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codeName="ThisWorkbook" hidePivotFieldList="1" autoCompressPictures="0"/>
  <mc:AlternateContent xmlns:mc="http://schemas.openxmlformats.org/markup-compatibility/2006">
    <mc:Choice Requires="x15">
      <x15ac:absPath xmlns:x15ac="http://schemas.microsoft.com/office/spreadsheetml/2010/11/ac" url="I:\DataExchange\DE2016-17\Summary Data\"/>
    </mc:Choice>
  </mc:AlternateContent>
  <bookViews>
    <workbookView xWindow="0" yWindow="0" windowWidth="28800" windowHeight="11610"/>
  </bookViews>
  <sheets>
    <sheet name="NEW-Tables 80-86" sheetId="16" r:id="rId1"/>
    <sheet name="OLD Tables" sheetId="18" r:id="rId2"/>
    <sheet name="FTE Pivot for regular counts" sheetId="12" r:id="rId3"/>
    <sheet name="Pivot-HS Student % of Undergrad" sheetId="17" r:id="rId4"/>
    <sheet name="04SCH_FTE" sheetId="6" r:id="rId5"/>
    <sheet name="Format for FTE" sheetId="13" r:id="rId6"/>
    <sheet name="Format for HS%" sheetId="14" r:id="rId7"/>
  </sheets>
  <definedNames>
    <definedName name="APPHEAD" localSheetId="1">#REF!</definedName>
    <definedName name="CHHEAD" localSheetId="1">#REF!</definedName>
    <definedName name="PAGE_17" localSheetId="1">#REF!</definedName>
    <definedName name="PAGE1" localSheetId="1">#REF!</definedName>
    <definedName name="PAGE10" localSheetId="1">#REF!</definedName>
    <definedName name="PAGE11" localSheetId="1">#REF!</definedName>
    <definedName name="PAGE12" localSheetId="1">#REF!</definedName>
    <definedName name="PAGE13" localSheetId="1">#REF!</definedName>
    <definedName name="PAGE14" localSheetId="1">#REF!</definedName>
    <definedName name="PAGE15" localSheetId="1">#REF!</definedName>
    <definedName name="PAGE16" localSheetId="1">#REF!</definedName>
    <definedName name="PAGE17" localSheetId="1">#REF!</definedName>
    <definedName name="PAGE18" localSheetId="1">#REF!</definedName>
    <definedName name="PAGE19" localSheetId="1">#REF!</definedName>
    <definedName name="PAGE2" localSheetId="1">#REF!</definedName>
    <definedName name="PAGE20" localSheetId="1">#REF!</definedName>
    <definedName name="PAGE3" localSheetId="1">#REF!</definedName>
    <definedName name="PAGE4" localSheetId="1">#REF!</definedName>
    <definedName name="PAGE5" localSheetId="1">#REF!</definedName>
    <definedName name="PAGE6" localSheetId="1">#REF!</definedName>
    <definedName name="PAGE7" localSheetId="1">#REF!</definedName>
    <definedName name="PAGE8" localSheetId="1">#REF!</definedName>
    <definedName name="PAGE9" localSheetId="1">#REF!</definedName>
    <definedName name="PART1" localSheetId="1">#REF!</definedName>
    <definedName name="PART2" localSheetId="1">#REF!</definedName>
    <definedName name="PART3" localSheetId="1">#REF!</definedName>
    <definedName name="PART4A" localSheetId="1">#REF!</definedName>
    <definedName name="PART4B" localSheetId="1">#REF!</definedName>
    <definedName name="PART5" localSheetId="1">#REF!</definedName>
    <definedName name="PART6A" localSheetId="1">#REF!</definedName>
    <definedName name="PART6B" localSheetId="1">#REF!</definedName>
    <definedName name="PART6C" localSheetId="1">#REF!</definedName>
    <definedName name="PART7B" localSheetId="1">#REF!</definedName>
    <definedName name="PART7C" localSheetId="1">#REF!</definedName>
    <definedName name="PART8" localSheetId="1">#REF!</definedName>
    <definedName name="_xlnm.Print_Area" localSheetId="4">'04SCH_FTE'!$A$3:$A$3</definedName>
    <definedName name="_xlnm.Print_Area" localSheetId="0">'NEW-Tables 80-86'!$A$1:$O$214</definedName>
    <definedName name="_xlnm.Print_Area" localSheetId="1">'OLD Tables'!$A$1:$O$212</definedName>
    <definedName name="_xlnm.Print_Area" localSheetId="3">'Pivot-HS Student % of Undergrad'!$C$6:$T$101</definedName>
    <definedName name="_xlnm.Print_Area">#REF!</definedName>
    <definedName name="_xlnm.Print_Titles" localSheetId="4">'04SCH_FTE'!B:B</definedName>
    <definedName name="_xlnm.Print_Titles" localSheetId="3">'Pivot-HS Student % of Undergrad'!$A:$B,'Pivot-HS Student % of Undergrad'!$4:$5</definedName>
    <definedName name="RATIONALE" localSheetId="1">#REF!</definedName>
    <definedName name="RATIONALE2" localSheetId="1">#REF!</definedName>
    <definedName name="SALHEAD" localSheetId="1">#REF!</definedName>
  </definedNames>
  <calcPr calcId="171027"/>
  <pivotCaches>
    <pivotCache cacheId="0" r:id="rId8"/>
    <pivotCache cacheId="1" r:id="rId9"/>
  </pivotCaches>
</workbook>
</file>

<file path=xl/calcChain.xml><?xml version="1.0" encoding="utf-8"?>
<calcChain xmlns="http://schemas.openxmlformats.org/spreadsheetml/2006/main">
  <c r="AX663" i="6" l="1"/>
  <c r="AY663" i="6" s="1"/>
  <c r="AW663" i="6"/>
  <c r="AV663" i="6"/>
  <c r="AM663" i="6"/>
  <c r="AL663" i="6"/>
  <c r="AI663" i="6"/>
  <c r="AH663" i="6"/>
  <c r="AF663" i="6"/>
  <c r="AG663" i="6" s="1"/>
  <c r="V663" i="6"/>
  <c r="U663" i="6"/>
  <c r="P663" i="6"/>
  <c r="Q663" i="6" s="1"/>
  <c r="AZ663" i="6" s="1"/>
  <c r="O663" i="6"/>
  <c r="R663" i="6" s="1"/>
  <c r="S663" i="6" s="1"/>
  <c r="BA663" i="6" s="1"/>
  <c r="M663" i="6"/>
  <c r="K663" i="6"/>
  <c r="AY662" i="6"/>
  <c r="AX662" i="6"/>
  <c r="AV662" i="6"/>
  <c r="AW662" i="6" s="1"/>
  <c r="AM662" i="6"/>
  <c r="AL662" i="6"/>
  <c r="AH662" i="6"/>
  <c r="AI662" i="6" s="1"/>
  <c r="AG662" i="6"/>
  <c r="AF662" i="6"/>
  <c r="V662" i="6"/>
  <c r="U662" i="6"/>
  <c r="P662" i="6"/>
  <c r="Q662" i="6" s="1"/>
  <c r="AZ662" i="6" s="1"/>
  <c r="O662" i="6"/>
  <c r="M662" i="6"/>
  <c r="K662" i="6"/>
  <c r="R662" i="6" s="1"/>
  <c r="S662" i="6" s="1"/>
  <c r="BA662" i="6" s="1"/>
  <c r="AY661" i="6"/>
  <c r="AX661" i="6"/>
  <c r="AW661" i="6"/>
  <c r="AV661" i="6"/>
  <c r="AM661" i="6"/>
  <c r="AL661" i="6"/>
  <c r="AH661" i="6"/>
  <c r="AI661" i="6" s="1"/>
  <c r="AG661" i="6"/>
  <c r="AF661" i="6"/>
  <c r="U661" i="6"/>
  <c r="R661" i="6"/>
  <c r="W661" i="6" s="1"/>
  <c r="P661" i="6"/>
  <c r="V661" i="6" s="1"/>
  <c r="O661" i="6"/>
  <c r="M661" i="6"/>
  <c r="K661" i="6"/>
  <c r="AX660" i="6"/>
  <c r="AY660" i="6" s="1"/>
  <c r="AV660" i="6"/>
  <c r="AW660" i="6" s="1"/>
  <c r="AM660" i="6"/>
  <c r="AL660" i="6"/>
  <c r="AH660" i="6"/>
  <c r="AI660" i="6" s="1"/>
  <c r="AF660" i="6"/>
  <c r="AG660" i="6" s="1"/>
  <c r="V660" i="6"/>
  <c r="U660" i="6"/>
  <c r="W660" i="6" s="1"/>
  <c r="Q660" i="6"/>
  <c r="P660" i="6"/>
  <c r="O660" i="6"/>
  <c r="M660" i="6"/>
  <c r="K660" i="6"/>
  <c r="R660" i="6" s="1"/>
  <c r="S660" i="6" s="1"/>
  <c r="AX659" i="6"/>
  <c r="AY659" i="6" s="1"/>
  <c r="AW659" i="6"/>
  <c r="AV659" i="6"/>
  <c r="AM659" i="6"/>
  <c r="AL659" i="6"/>
  <c r="AI659" i="6"/>
  <c r="AH659" i="6"/>
  <c r="AF659" i="6"/>
  <c r="AG659" i="6" s="1"/>
  <c r="V659" i="6"/>
  <c r="U659" i="6"/>
  <c r="P659" i="6"/>
  <c r="Q659" i="6" s="1"/>
  <c r="O659" i="6"/>
  <c r="M659" i="6"/>
  <c r="K659" i="6"/>
  <c r="R659" i="6" s="1"/>
  <c r="AY658" i="6"/>
  <c r="AX658" i="6"/>
  <c r="AV658" i="6"/>
  <c r="AW658" i="6" s="1"/>
  <c r="AM658" i="6"/>
  <c r="AL658" i="6"/>
  <c r="AH658" i="6"/>
  <c r="AI658" i="6" s="1"/>
  <c r="AG658" i="6"/>
  <c r="AF658" i="6"/>
  <c r="R658" i="6"/>
  <c r="W658" i="6" s="1"/>
  <c r="P658" i="6"/>
  <c r="Q658" i="6" s="1"/>
  <c r="AZ658" i="6" s="1"/>
  <c r="BA657" i="6"/>
  <c r="AX657" i="6"/>
  <c r="AY657" i="6" s="1"/>
  <c r="AV657" i="6"/>
  <c r="AW657" i="6" s="1"/>
  <c r="AM657" i="6"/>
  <c r="AL657" i="6"/>
  <c r="AI657" i="6"/>
  <c r="AH657" i="6"/>
  <c r="AF657" i="6"/>
  <c r="AG657" i="6" s="1"/>
  <c r="V657" i="6"/>
  <c r="S657" i="6"/>
  <c r="R657" i="6"/>
  <c r="W657" i="6" s="1"/>
  <c r="Q657" i="6"/>
  <c r="P657" i="6"/>
  <c r="AY656" i="6"/>
  <c r="AX656" i="6"/>
  <c r="AV656" i="6"/>
  <c r="AW656" i="6" s="1"/>
  <c r="AM656" i="6"/>
  <c r="AL656" i="6"/>
  <c r="AH656" i="6"/>
  <c r="AI656" i="6" s="1"/>
  <c r="AF656" i="6"/>
  <c r="AG656" i="6" s="1"/>
  <c r="AZ656" i="6" s="1"/>
  <c r="W656" i="6"/>
  <c r="S656" i="6"/>
  <c r="R656" i="6"/>
  <c r="P656" i="6"/>
  <c r="Q656" i="6" s="1"/>
  <c r="AY655" i="6"/>
  <c r="AX655" i="6"/>
  <c r="AW655" i="6"/>
  <c r="AV655" i="6"/>
  <c r="AM655" i="6"/>
  <c r="AL655" i="6"/>
  <c r="AH655" i="6"/>
  <c r="AI655" i="6" s="1"/>
  <c r="BA655" i="6" s="1"/>
  <c r="AG655" i="6"/>
  <c r="AF655" i="6"/>
  <c r="R655" i="6"/>
  <c r="S655" i="6" s="1"/>
  <c r="P655" i="6"/>
  <c r="V655" i="6" s="1"/>
  <c r="AY654" i="6"/>
  <c r="AX654" i="6"/>
  <c r="AV654" i="6"/>
  <c r="AW654" i="6" s="1"/>
  <c r="AM654" i="6"/>
  <c r="AL654" i="6"/>
  <c r="AH654" i="6"/>
  <c r="AI654" i="6" s="1"/>
  <c r="AG654" i="6"/>
  <c r="AF654" i="6"/>
  <c r="R654" i="6"/>
  <c r="W654" i="6" s="1"/>
  <c r="P654" i="6"/>
  <c r="V654" i="6" s="1"/>
  <c r="AX653" i="6"/>
  <c r="AY653" i="6" s="1"/>
  <c r="BA653" i="6" s="1"/>
  <c r="AW653" i="6"/>
  <c r="AV653" i="6"/>
  <c r="AM653" i="6"/>
  <c r="AL653" i="6"/>
  <c r="AI653" i="6"/>
  <c r="AH653" i="6"/>
  <c r="AF653" i="6"/>
  <c r="AG653" i="6" s="1"/>
  <c r="W653" i="6"/>
  <c r="V653" i="6"/>
  <c r="S653" i="6"/>
  <c r="R653" i="6"/>
  <c r="Q653" i="6"/>
  <c r="P653" i="6"/>
  <c r="AX652" i="6"/>
  <c r="AY652" i="6" s="1"/>
  <c r="AW652" i="6"/>
  <c r="AV652" i="6"/>
  <c r="AM652" i="6"/>
  <c r="AL652" i="6"/>
  <c r="AH652" i="6"/>
  <c r="AI652" i="6" s="1"/>
  <c r="AF652" i="6"/>
  <c r="AG652" i="6" s="1"/>
  <c r="AZ652" i="6" s="1"/>
  <c r="W652" i="6"/>
  <c r="V652" i="6"/>
  <c r="S652" i="6"/>
  <c r="R652" i="6"/>
  <c r="P652" i="6"/>
  <c r="Q652" i="6" s="1"/>
  <c r="AX651" i="6"/>
  <c r="AY651" i="6" s="1"/>
  <c r="AW651" i="6"/>
  <c r="AV651" i="6"/>
  <c r="AM651" i="6"/>
  <c r="AL651" i="6"/>
  <c r="AH651" i="6"/>
  <c r="AI651" i="6" s="1"/>
  <c r="BA651" i="6" s="1"/>
  <c r="AF651" i="6"/>
  <c r="AG651" i="6" s="1"/>
  <c r="W651" i="6"/>
  <c r="R651" i="6"/>
  <c r="S651" i="6" s="1"/>
  <c r="P651" i="6"/>
  <c r="V651" i="6" s="1"/>
  <c r="AY650" i="6"/>
  <c r="AX650" i="6"/>
  <c r="AV650" i="6"/>
  <c r="AW650" i="6" s="1"/>
  <c r="AM650" i="6"/>
  <c r="AL650" i="6"/>
  <c r="AI650" i="6"/>
  <c r="AH650" i="6"/>
  <c r="AG650" i="6"/>
  <c r="AF650" i="6"/>
  <c r="V650" i="6"/>
  <c r="S650" i="6"/>
  <c r="BA650" i="6" s="1"/>
  <c r="R650" i="6"/>
  <c r="W650" i="6" s="1"/>
  <c r="P650" i="6"/>
  <c r="Q650" i="6" s="1"/>
  <c r="AZ650" i="6" s="1"/>
  <c r="AX649" i="6"/>
  <c r="AY649" i="6" s="1"/>
  <c r="AV649" i="6"/>
  <c r="AW649" i="6" s="1"/>
  <c r="AM649" i="6"/>
  <c r="AL649" i="6"/>
  <c r="AI649" i="6"/>
  <c r="AH649" i="6"/>
  <c r="AF649" i="6"/>
  <c r="AG649" i="6" s="1"/>
  <c r="V649" i="6"/>
  <c r="R649" i="6"/>
  <c r="S649" i="6" s="1"/>
  <c r="BA649" i="6" s="1"/>
  <c r="Q649" i="6"/>
  <c r="P649" i="6"/>
  <c r="AX648" i="6"/>
  <c r="AY648" i="6" s="1"/>
  <c r="AV648" i="6"/>
  <c r="AW648" i="6" s="1"/>
  <c r="AM648" i="6"/>
  <c r="AL648" i="6"/>
  <c r="AH648" i="6"/>
  <c r="AI648" i="6" s="1"/>
  <c r="AG648" i="6"/>
  <c r="AF648" i="6"/>
  <c r="W648" i="6"/>
  <c r="V648" i="6"/>
  <c r="S648" i="6"/>
  <c r="R648" i="6"/>
  <c r="P648" i="6"/>
  <c r="Q648" i="6" s="1"/>
  <c r="AX647" i="6"/>
  <c r="AY647" i="6" s="1"/>
  <c r="AW647" i="6"/>
  <c r="AV647" i="6"/>
  <c r="AM647" i="6"/>
  <c r="AL647" i="6"/>
  <c r="AH647" i="6"/>
  <c r="AI647" i="6" s="1"/>
  <c r="AF647" i="6"/>
  <c r="AG647" i="6" s="1"/>
  <c r="R647" i="6"/>
  <c r="S647" i="6" s="1"/>
  <c r="Q647" i="6"/>
  <c r="AZ647" i="6" s="1"/>
  <c r="P647" i="6"/>
  <c r="V647" i="6" s="1"/>
  <c r="AY646" i="6"/>
  <c r="AX646" i="6"/>
  <c r="AV646" i="6"/>
  <c r="AW646" i="6" s="1"/>
  <c r="AM646" i="6"/>
  <c r="AL646" i="6"/>
  <c r="AI646" i="6"/>
  <c r="AH646" i="6"/>
  <c r="AG646" i="6"/>
  <c r="AF646" i="6"/>
  <c r="V646" i="6"/>
  <c r="R646" i="6"/>
  <c r="W646" i="6" s="1"/>
  <c r="Q646" i="6"/>
  <c r="AZ646" i="6" s="1"/>
  <c r="P646" i="6"/>
  <c r="AX645" i="6"/>
  <c r="AY645" i="6" s="1"/>
  <c r="AV645" i="6"/>
  <c r="AW645" i="6" s="1"/>
  <c r="AM645" i="6"/>
  <c r="AL645" i="6"/>
  <c r="AI645" i="6"/>
  <c r="AH645" i="6"/>
  <c r="AF645" i="6"/>
  <c r="AG645" i="6" s="1"/>
  <c r="V645" i="6"/>
  <c r="R645" i="6"/>
  <c r="W645" i="6" s="1"/>
  <c r="Q645" i="6"/>
  <c r="P645" i="6"/>
  <c r="AX644" i="6"/>
  <c r="AY644" i="6" s="1"/>
  <c r="AV644" i="6"/>
  <c r="AW644" i="6" s="1"/>
  <c r="AM644" i="6"/>
  <c r="AL644" i="6"/>
  <c r="AH644" i="6"/>
  <c r="AI644" i="6" s="1"/>
  <c r="AG644" i="6"/>
  <c r="AF644" i="6"/>
  <c r="W644" i="6"/>
  <c r="S644" i="6"/>
  <c r="R644" i="6"/>
  <c r="P644" i="6"/>
  <c r="Q644" i="6" s="1"/>
  <c r="AZ644" i="6" s="1"/>
  <c r="AX643" i="6"/>
  <c r="AY643" i="6" s="1"/>
  <c r="AW643" i="6"/>
  <c r="AV643" i="6"/>
  <c r="AM643" i="6"/>
  <c r="AL643" i="6"/>
  <c r="AI643" i="6"/>
  <c r="AH643" i="6"/>
  <c r="AF643" i="6"/>
  <c r="AG643" i="6" s="1"/>
  <c r="R643" i="6"/>
  <c r="S643" i="6" s="1"/>
  <c r="P643" i="6"/>
  <c r="V643" i="6" s="1"/>
  <c r="AY642" i="6"/>
  <c r="AX642" i="6"/>
  <c r="AV642" i="6"/>
  <c r="AW642" i="6" s="1"/>
  <c r="AM642" i="6"/>
  <c r="AL642" i="6"/>
  <c r="AH642" i="6"/>
  <c r="AI642" i="6" s="1"/>
  <c r="AG642" i="6"/>
  <c r="AF642" i="6"/>
  <c r="R642" i="6"/>
  <c r="W642" i="6" s="1"/>
  <c r="P642" i="6"/>
  <c r="V642" i="6" s="1"/>
  <c r="BA641" i="6"/>
  <c r="AX641" i="6"/>
  <c r="AY641" i="6" s="1"/>
  <c r="AV641" i="6"/>
  <c r="AW641" i="6" s="1"/>
  <c r="AM641" i="6"/>
  <c r="AL641" i="6"/>
  <c r="AI641" i="6"/>
  <c r="AH641" i="6"/>
  <c r="AF641" i="6"/>
  <c r="AG641" i="6" s="1"/>
  <c r="V641" i="6"/>
  <c r="S641" i="6"/>
  <c r="R641" i="6"/>
  <c r="W641" i="6" s="1"/>
  <c r="Q641" i="6"/>
  <c r="P641" i="6"/>
  <c r="AY640" i="6"/>
  <c r="AX640" i="6"/>
  <c r="AV640" i="6"/>
  <c r="AW640" i="6" s="1"/>
  <c r="AM640" i="6"/>
  <c r="AL640" i="6"/>
  <c r="AH640" i="6"/>
  <c r="AI640" i="6" s="1"/>
  <c r="AF640" i="6"/>
  <c r="AG640" i="6" s="1"/>
  <c r="W640" i="6"/>
  <c r="S640" i="6"/>
  <c r="R640" i="6"/>
  <c r="P640" i="6"/>
  <c r="Q640" i="6" s="1"/>
  <c r="AY639" i="6"/>
  <c r="AX639" i="6"/>
  <c r="AW639" i="6"/>
  <c r="AV639" i="6"/>
  <c r="AM639" i="6"/>
  <c r="AL639" i="6"/>
  <c r="AH639" i="6"/>
  <c r="AI639" i="6" s="1"/>
  <c r="BA639" i="6" s="1"/>
  <c r="AG639" i="6"/>
  <c r="AF639" i="6"/>
  <c r="R639" i="6"/>
  <c r="S639" i="6" s="1"/>
  <c r="P639" i="6"/>
  <c r="V639" i="6" s="1"/>
  <c r="AY638" i="6"/>
  <c r="AX638" i="6"/>
  <c r="AV638" i="6"/>
  <c r="AW638" i="6" s="1"/>
  <c r="AM638" i="6"/>
  <c r="AL638" i="6"/>
  <c r="AH638" i="6"/>
  <c r="AI638" i="6" s="1"/>
  <c r="AG638" i="6"/>
  <c r="AF638" i="6"/>
  <c r="R638" i="6"/>
  <c r="W638" i="6" s="1"/>
  <c r="P638" i="6"/>
  <c r="V638" i="6" s="1"/>
  <c r="AX637" i="6"/>
  <c r="AY637" i="6" s="1"/>
  <c r="BA637" i="6" s="1"/>
  <c r="AW637" i="6"/>
  <c r="AV637" i="6"/>
  <c r="AM637" i="6"/>
  <c r="AL637" i="6"/>
  <c r="AI637" i="6"/>
  <c r="AH637" i="6"/>
  <c r="AF637" i="6"/>
  <c r="AG637" i="6" s="1"/>
  <c r="W637" i="6"/>
  <c r="V637" i="6"/>
  <c r="S637" i="6"/>
  <c r="R637" i="6"/>
  <c r="Q637" i="6"/>
  <c r="P637" i="6"/>
  <c r="AX636" i="6"/>
  <c r="AY636" i="6" s="1"/>
  <c r="AW636" i="6"/>
  <c r="AV636" i="6"/>
  <c r="AM636" i="6"/>
  <c r="AL636" i="6"/>
  <c r="AH636" i="6"/>
  <c r="AI636" i="6" s="1"/>
  <c r="AF636" i="6"/>
  <c r="AG636" i="6" s="1"/>
  <c r="AZ636" i="6" s="1"/>
  <c r="W636" i="6"/>
  <c r="V636" i="6"/>
  <c r="S636" i="6"/>
  <c r="R636" i="6"/>
  <c r="P636" i="6"/>
  <c r="Q636" i="6" s="1"/>
  <c r="AX635" i="6"/>
  <c r="AY635" i="6" s="1"/>
  <c r="AW635" i="6"/>
  <c r="AV635" i="6"/>
  <c r="AM635" i="6"/>
  <c r="AL635" i="6"/>
  <c r="AH635" i="6"/>
  <c r="AI635" i="6" s="1"/>
  <c r="AF635" i="6"/>
  <c r="AG635" i="6" s="1"/>
  <c r="W635" i="6"/>
  <c r="R635" i="6"/>
  <c r="S635" i="6" s="1"/>
  <c r="P635" i="6"/>
  <c r="V635" i="6" s="1"/>
  <c r="AY634" i="6"/>
  <c r="AX634" i="6"/>
  <c r="AV634" i="6"/>
  <c r="AW634" i="6" s="1"/>
  <c r="AM634" i="6"/>
  <c r="AL634" i="6"/>
  <c r="AI634" i="6"/>
  <c r="AH634" i="6"/>
  <c r="AG634" i="6"/>
  <c r="AF634" i="6"/>
  <c r="V634" i="6"/>
  <c r="S634" i="6"/>
  <c r="BA634" i="6" s="1"/>
  <c r="R634" i="6"/>
  <c r="W634" i="6" s="1"/>
  <c r="P634" i="6"/>
  <c r="Q634" i="6" s="1"/>
  <c r="AZ634" i="6" s="1"/>
  <c r="AX633" i="6"/>
  <c r="AY633" i="6" s="1"/>
  <c r="AV633" i="6"/>
  <c r="AW633" i="6" s="1"/>
  <c r="AM633" i="6"/>
  <c r="AL633" i="6"/>
  <c r="AI633" i="6"/>
  <c r="AH633" i="6"/>
  <c r="AF633" i="6"/>
  <c r="AG633" i="6" s="1"/>
  <c r="V633" i="6"/>
  <c r="R633" i="6"/>
  <c r="W633" i="6" s="1"/>
  <c r="Q633" i="6"/>
  <c r="P633" i="6"/>
  <c r="AX632" i="6"/>
  <c r="AY632" i="6" s="1"/>
  <c r="AV632" i="6"/>
  <c r="AW632" i="6" s="1"/>
  <c r="AZ632" i="6" s="1"/>
  <c r="AM632" i="6"/>
  <c r="AL632" i="6"/>
  <c r="AH632" i="6"/>
  <c r="AI632" i="6" s="1"/>
  <c r="AG632" i="6"/>
  <c r="AF632" i="6"/>
  <c r="W632" i="6"/>
  <c r="V632" i="6"/>
  <c r="S632" i="6"/>
  <c r="R632" i="6"/>
  <c r="P632" i="6"/>
  <c r="Q632" i="6" s="1"/>
  <c r="AX631" i="6"/>
  <c r="AY631" i="6" s="1"/>
  <c r="AW631" i="6"/>
  <c r="AV631" i="6"/>
  <c r="AM631" i="6"/>
  <c r="AL631" i="6"/>
  <c r="AH631" i="6"/>
  <c r="AI631" i="6" s="1"/>
  <c r="AF631" i="6"/>
  <c r="AG631" i="6" s="1"/>
  <c r="R631" i="6"/>
  <c r="S631" i="6" s="1"/>
  <c r="Q631" i="6"/>
  <c r="AZ631" i="6" s="1"/>
  <c r="P631" i="6"/>
  <c r="V631" i="6" s="1"/>
  <c r="AY630" i="6"/>
  <c r="AX630" i="6"/>
  <c r="AV630" i="6"/>
  <c r="AW630" i="6" s="1"/>
  <c r="AM630" i="6"/>
  <c r="AL630" i="6"/>
  <c r="AI630" i="6"/>
  <c r="AH630" i="6"/>
  <c r="AG630" i="6"/>
  <c r="AF630" i="6"/>
  <c r="V630" i="6"/>
  <c r="R630" i="6"/>
  <c r="W630" i="6" s="1"/>
  <c r="Q630" i="6"/>
  <c r="AZ630" i="6" s="1"/>
  <c r="P630" i="6"/>
  <c r="AX629" i="6"/>
  <c r="AY629" i="6" s="1"/>
  <c r="AV629" i="6"/>
  <c r="AW629" i="6" s="1"/>
  <c r="AM629" i="6"/>
  <c r="AL629" i="6"/>
  <c r="AI629" i="6"/>
  <c r="AH629" i="6"/>
  <c r="AF629" i="6"/>
  <c r="AG629" i="6" s="1"/>
  <c r="V629" i="6"/>
  <c r="R629" i="6"/>
  <c r="W629" i="6" s="1"/>
  <c r="Q629" i="6"/>
  <c r="P629" i="6"/>
  <c r="AX628" i="6"/>
  <c r="AY628" i="6" s="1"/>
  <c r="AV628" i="6"/>
  <c r="AW628" i="6" s="1"/>
  <c r="AM628" i="6"/>
  <c r="AL628" i="6"/>
  <c r="AH628" i="6"/>
  <c r="AI628" i="6" s="1"/>
  <c r="AG628" i="6"/>
  <c r="AF628" i="6"/>
  <c r="W628" i="6"/>
  <c r="S628" i="6"/>
  <c r="R628" i="6"/>
  <c r="P628" i="6"/>
  <c r="Q628" i="6" s="1"/>
  <c r="AZ628" i="6" s="1"/>
  <c r="AX627" i="6"/>
  <c r="AY627" i="6" s="1"/>
  <c r="AW627" i="6"/>
  <c r="AV627" i="6"/>
  <c r="AM627" i="6"/>
  <c r="AL627" i="6"/>
  <c r="AI627" i="6"/>
  <c r="BA627" i="6" s="1"/>
  <c r="AH627" i="6"/>
  <c r="AF627" i="6"/>
  <c r="AG627" i="6" s="1"/>
  <c r="R627" i="6"/>
  <c r="S627" i="6" s="1"/>
  <c r="P627" i="6"/>
  <c r="V627" i="6" s="1"/>
  <c r="AY626" i="6"/>
  <c r="AX626" i="6"/>
  <c r="AV626" i="6"/>
  <c r="AW626" i="6" s="1"/>
  <c r="AM626" i="6"/>
  <c r="AL626" i="6"/>
  <c r="AH626" i="6"/>
  <c r="AI626" i="6" s="1"/>
  <c r="AG626" i="6"/>
  <c r="AF626" i="6"/>
  <c r="R626" i="6"/>
  <c r="W626" i="6" s="1"/>
  <c r="P626" i="6"/>
  <c r="V626" i="6" s="1"/>
  <c r="BA625" i="6"/>
  <c r="AX625" i="6"/>
  <c r="AY625" i="6" s="1"/>
  <c r="AV625" i="6"/>
  <c r="AW625" i="6" s="1"/>
  <c r="AM625" i="6"/>
  <c r="AL625" i="6"/>
  <c r="AI625" i="6"/>
  <c r="AH625" i="6"/>
  <c r="AF625" i="6"/>
  <c r="AG625" i="6" s="1"/>
  <c r="V625" i="6"/>
  <c r="S625" i="6"/>
  <c r="R625" i="6"/>
  <c r="W625" i="6" s="1"/>
  <c r="Q625" i="6"/>
  <c r="P625" i="6"/>
  <c r="AY624" i="6"/>
  <c r="AX624" i="6"/>
  <c r="AV624" i="6"/>
  <c r="AW624" i="6" s="1"/>
  <c r="AM624" i="6"/>
  <c r="AL624" i="6"/>
  <c r="AH624" i="6"/>
  <c r="AI624" i="6" s="1"/>
  <c r="AF624" i="6"/>
  <c r="AG624" i="6" s="1"/>
  <c r="W624" i="6"/>
  <c r="S624" i="6"/>
  <c r="R624" i="6"/>
  <c r="P624" i="6"/>
  <c r="Q624" i="6" s="1"/>
  <c r="AY623" i="6"/>
  <c r="AX623" i="6"/>
  <c r="AW623" i="6"/>
  <c r="AV623" i="6"/>
  <c r="AM623" i="6"/>
  <c r="AL623" i="6"/>
  <c r="AH623" i="6"/>
  <c r="AI623" i="6" s="1"/>
  <c r="BA623" i="6" s="1"/>
  <c r="AG623" i="6"/>
  <c r="AF623" i="6"/>
  <c r="R623" i="6"/>
  <c r="S623" i="6" s="1"/>
  <c r="P623" i="6"/>
  <c r="V623" i="6" s="1"/>
  <c r="AY622" i="6"/>
  <c r="AX622" i="6"/>
  <c r="AV622" i="6"/>
  <c r="AW622" i="6" s="1"/>
  <c r="AM622" i="6"/>
  <c r="AL622" i="6"/>
  <c r="AH622" i="6"/>
  <c r="AI622" i="6" s="1"/>
  <c r="AG622" i="6"/>
  <c r="AF622" i="6"/>
  <c r="R622" i="6"/>
  <c r="W622" i="6" s="1"/>
  <c r="P622" i="6"/>
  <c r="V622" i="6" s="1"/>
  <c r="AX621" i="6"/>
  <c r="AY621" i="6" s="1"/>
  <c r="BA621" i="6" s="1"/>
  <c r="AW621" i="6"/>
  <c r="AV621" i="6"/>
  <c r="AM621" i="6"/>
  <c r="AL621" i="6"/>
  <c r="AI621" i="6"/>
  <c r="AH621" i="6"/>
  <c r="AF621" i="6"/>
  <c r="AG621" i="6" s="1"/>
  <c r="W621" i="6"/>
  <c r="V621" i="6"/>
  <c r="S621" i="6"/>
  <c r="R621" i="6"/>
  <c r="Q621" i="6"/>
  <c r="P621" i="6"/>
  <c r="F237" i="18"/>
  <c r="B235" i="18"/>
  <c r="D232" i="18"/>
  <c r="F229" i="18"/>
  <c r="B227" i="18"/>
  <c r="D224" i="18"/>
  <c r="F220" i="18"/>
  <c r="B234" i="18"/>
  <c r="B226" i="18"/>
  <c r="F233" i="18"/>
  <c r="D233" i="18"/>
  <c r="D225" i="18"/>
  <c r="D237" i="18"/>
  <c r="F234" i="18"/>
  <c r="B232" i="18"/>
  <c r="D229" i="18"/>
  <c r="F226" i="18"/>
  <c r="B224" i="18"/>
  <c r="D220" i="18"/>
  <c r="F236" i="18"/>
  <c r="D223" i="18"/>
  <c r="D228" i="18"/>
  <c r="B223" i="18"/>
  <c r="F222" i="18"/>
  <c r="B237" i="18"/>
  <c r="D234" i="18"/>
  <c r="F231" i="18"/>
  <c r="B229" i="18"/>
  <c r="D226" i="18"/>
  <c r="F223" i="18"/>
  <c r="B220" i="18"/>
  <c r="D231" i="18"/>
  <c r="F228" i="18"/>
  <c r="D236" i="18"/>
  <c r="B231" i="18"/>
  <c r="B236" i="18"/>
  <c r="F230" i="18"/>
  <c r="F235" i="18"/>
  <c r="B233" i="18"/>
  <c r="D230" i="18"/>
  <c r="F227" i="18"/>
  <c r="B225" i="18"/>
  <c r="D222" i="18"/>
  <c r="D235" i="18"/>
  <c r="F232" i="18"/>
  <c r="B230" i="18"/>
  <c r="D227" i="18"/>
  <c r="F224" i="18"/>
  <c r="B222" i="18"/>
  <c r="F225" i="18"/>
  <c r="B228" i="18"/>
  <c r="I150" i="18"/>
  <c r="I149" i="18"/>
  <c r="I148" i="18"/>
  <c r="I147" i="18"/>
  <c r="I145" i="18"/>
  <c r="I144" i="18"/>
  <c r="I143" i="18"/>
  <c r="I142" i="18"/>
  <c r="I140" i="18"/>
  <c r="I139" i="18"/>
  <c r="I138" i="18"/>
  <c r="I137" i="18"/>
  <c r="I135" i="18"/>
  <c r="I134" i="18"/>
  <c r="I133" i="18"/>
  <c r="I132" i="18"/>
  <c r="I130" i="18"/>
  <c r="F147" i="18"/>
  <c r="F139" i="18"/>
  <c r="F134" i="18"/>
  <c r="E149" i="18"/>
  <c r="E144" i="18"/>
  <c r="E138" i="18"/>
  <c r="E133" i="18"/>
  <c r="B149" i="18"/>
  <c r="B138" i="18"/>
  <c r="B130" i="18"/>
  <c r="H150" i="18"/>
  <c r="H149" i="18"/>
  <c r="H148" i="18"/>
  <c r="H147" i="18"/>
  <c r="H145" i="18"/>
  <c r="H144" i="18"/>
  <c r="H143" i="18"/>
  <c r="H142" i="18"/>
  <c r="H140" i="18"/>
  <c r="H139" i="18"/>
  <c r="H138" i="18"/>
  <c r="H137" i="18"/>
  <c r="H135" i="18"/>
  <c r="H134" i="18"/>
  <c r="H133" i="18"/>
  <c r="H132" i="18"/>
  <c r="H130" i="18"/>
  <c r="F149" i="18"/>
  <c r="F144" i="18"/>
  <c r="F142" i="18"/>
  <c r="F138" i="18"/>
  <c r="F135" i="18"/>
  <c r="F130" i="18"/>
  <c r="E148" i="18"/>
  <c r="E145" i="18"/>
  <c r="E143" i="18"/>
  <c r="E140" i="18"/>
  <c r="E137" i="18"/>
  <c r="E134" i="18"/>
  <c r="E130" i="18"/>
  <c r="B147" i="18"/>
  <c r="B139" i="18"/>
  <c r="B133" i="18"/>
  <c r="G150" i="18"/>
  <c r="G149" i="18"/>
  <c r="G148" i="18"/>
  <c r="G147" i="18"/>
  <c r="G145" i="18"/>
  <c r="G144" i="18"/>
  <c r="G143" i="18"/>
  <c r="G142" i="18"/>
  <c r="G140" i="18"/>
  <c r="G139" i="18"/>
  <c r="G138" i="18"/>
  <c r="G137" i="18"/>
  <c r="G135" i="18"/>
  <c r="G134" i="18"/>
  <c r="G133" i="18"/>
  <c r="G132" i="18"/>
  <c r="G130" i="18"/>
  <c r="F150" i="18"/>
  <c r="F148" i="18"/>
  <c r="F145" i="18"/>
  <c r="F143" i="18"/>
  <c r="F140" i="18"/>
  <c r="F137" i="18"/>
  <c r="F133" i="18"/>
  <c r="F132" i="18"/>
  <c r="E150" i="18"/>
  <c r="E147" i="18"/>
  <c r="E142" i="18"/>
  <c r="E139" i="18"/>
  <c r="E135" i="18"/>
  <c r="E132" i="18"/>
  <c r="B144" i="18"/>
  <c r="B140" i="18"/>
  <c r="B135" i="18"/>
  <c r="D150" i="18"/>
  <c r="D149" i="18"/>
  <c r="D148" i="18"/>
  <c r="D147" i="18"/>
  <c r="D145" i="18"/>
  <c r="D144" i="18"/>
  <c r="D143" i="18"/>
  <c r="D142" i="18"/>
  <c r="D140" i="18"/>
  <c r="D139" i="18"/>
  <c r="D138" i="18"/>
  <c r="D137" i="18"/>
  <c r="D135" i="18"/>
  <c r="D134" i="18"/>
  <c r="D133" i="18"/>
  <c r="D132" i="18"/>
  <c r="D130" i="18"/>
  <c r="C150" i="18"/>
  <c r="C149" i="18"/>
  <c r="C148" i="18"/>
  <c r="C147" i="18"/>
  <c r="C145" i="18"/>
  <c r="C144" i="18"/>
  <c r="C143" i="18"/>
  <c r="C142" i="18"/>
  <c r="C140" i="18"/>
  <c r="C139" i="18"/>
  <c r="C138" i="18"/>
  <c r="C137" i="18"/>
  <c r="C135" i="18"/>
  <c r="C134" i="18"/>
  <c r="C133" i="18"/>
  <c r="C132" i="18"/>
  <c r="C130" i="18"/>
  <c r="B150" i="18"/>
  <c r="B148" i="18"/>
  <c r="B145" i="18"/>
  <c r="B143" i="18"/>
  <c r="B142" i="18"/>
  <c r="B137" i="18"/>
  <c r="B134" i="18"/>
  <c r="B132" i="18"/>
  <c r="H59" i="18"/>
  <c r="G58" i="18"/>
  <c r="F57" i="18"/>
  <c r="E56" i="18"/>
  <c r="D54" i="18"/>
  <c r="C53" i="18"/>
  <c r="B52" i="18"/>
  <c r="H49" i="18"/>
  <c r="G48" i="18"/>
  <c r="F47" i="18"/>
  <c r="E46" i="18"/>
  <c r="D44" i="18"/>
  <c r="C43" i="18"/>
  <c r="H39" i="18"/>
  <c r="C57" i="18"/>
  <c r="F51" i="18"/>
  <c r="H43" i="18"/>
  <c r="D59" i="18"/>
  <c r="G53" i="18"/>
  <c r="D49" i="18"/>
  <c r="H44" i="18"/>
  <c r="B58" i="18"/>
  <c r="F53" i="18"/>
  <c r="B48" i="18"/>
  <c r="E42" i="18"/>
  <c r="H57" i="18"/>
  <c r="C51" i="18"/>
  <c r="G46" i="18"/>
  <c r="C41" i="18"/>
  <c r="G59" i="18"/>
  <c r="F58" i="18"/>
  <c r="E57" i="18"/>
  <c r="D56" i="18"/>
  <c r="C54" i="18"/>
  <c r="B53" i="18"/>
  <c r="H51" i="18"/>
  <c r="G49" i="18"/>
  <c r="F48" i="18"/>
  <c r="E47" i="18"/>
  <c r="D46" i="18"/>
  <c r="C44" i="18"/>
  <c r="B43" i="18"/>
  <c r="H41" i="18"/>
  <c r="G39" i="18"/>
  <c r="G41" i="18"/>
  <c r="D58" i="18"/>
  <c r="H53" i="18"/>
  <c r="C47" i="18"/>
  <c r="G42" i="18"/>
  <c r="C58" i="18"/>
  <c r="F52" i="18"/>
  <c r="C48" i="18"/>
  <c r="F42" i="18"/>
  <c r="E41" i="18"/>
  <c r="C59" i="18"/>
  <c r="E52" i="18"/>
  <c r="H46" i="18"/>
  <c r="D41" i="18"/>
  <c r="B59" i="18"/>
  <c r="D52" i="18"/>
  <c r="F44" i="18"/>
  <c r="B39" i="18"/>
  <c r="F59" i="18"/>
  <c r="E58" i="18"/>
  <c r="D57" i="18"/>
  <c r="C56" i="18"/>
  <c r="B54" i="18"/>
  <c r="H52" i="18"/>
  <c r="G51" i="18"/>
  <c r="F49" i="18"/>
  <c r="E48" i="18"/>
  <c r="D47" i="18"/>
  <c r="C46" i="18"/>
  <c r="B44" i="18"/>
  <c r="H42" i="18"/>
  <c r="F39" i="18"/>
  <c r="B56" i="18"/>
  <c r="D48" i="18"/>
  <c r="E39" i="18"/>
  <c r="H54" i="18"/>
  <c r="B47" i="18"/>
  <c r="G54" i="18"/>
  <c r="D51" i="18"/>
  <c r="F43" i="18"/>
  <c r="F54" i="18"/>
  <c r="B49" i="18"/>
  <c r="E43" i="18"/>
  <c r="H58" i="18"/>
  <c r="G57" i="18"/>
  <c r="F56" i="18"/>
  <c r="E54" i="18"/>
  <c r="D53" i="18"/>
  <c r="C52" i="18"/>
  <c r="B51" i="18"/>
  <c r="H48" i="18"/>
  <c r="G47" i="18"/>
  <c r="F46" i="18"/>
  <c r="E44" i="18"/>
  <c r="D43" i="18"/>
  <c r="C42" i="18"/>
  <c r="B41" i="18"/>
  <c r="B42" i="18"/>
  <c r="E59" i="18"/>
  <c r="G52" i="18"/>
  <c r="E49" i="18"/>
  <c r="B46" i="18"/>
  <c r="F41" i="18"/>
  <c r="B57" i="18"/>
  <c r="E51" i="18"/>
  <c r="G43" i="18"/>
  <c r="D39" i="18"/>
  <c r="H56" i="18"/>
  <c r="C49" i="18"/>
  <c r="G44" i="18"/>
  <c r="C39" i="18"/>
  <c r="G56" i="18"/>
  <c r="E53" i="18"/>
  <c r="H47" i="18"/>
  <c r="D42" i="18"/>
  <c r="I120" i="18"/>
  <c r="I119" i="18"/>
  <c r="I118" i="18"/>
  <c r="I117" i="18"/>
  <c r="I115" i="18"/>
  <c r="I114" i="18"/>
  <c r="I113" i="18"/>
  <c r="I112" i="18"/>
  <c r="I110" i="18"/>
  <c r="I109" i="18"/>
  <c r="I108" i="18"/>
  <c r="I107" i="18"/>
  <c r="I105" i="18"/>
  <c r="I104" i="18"/>
  <c r="I103" i="18"/>
  <c r="I102" i="18"/>
  <c r="I100" i="18"/>
  <c r="N29" i="18"/>
  <c r="L28" i="18"/>
  <c r="J27" i="18"/>
  <c r="H26" i="18"/>
  <c r="F24" i="18"/>
  <c r="D23" i="18"/>
  <c r="B22" i="18"/>
  <c r="N19" i="18"/>
  <c r="L18" i="18"/>
  <c r="J17" i="18"/>
  <c r="H16" i="18"/>
  <c r="F14" i="18"/>
  <c r="D13" i="18"/>
  <c r="N9" i="18"/>
  <c r="F119" i="18"/>
  <c r="F113" i="18"/>
  <c r="F108" i="18"/>
  <c r="F103" i="18"/>
  <c r="D27" i="18"/>
  <c r="H19" i="18"/>
  <c r="J11" i="18"/>
  <c r="E119" i="18"/>
  <c r="E114" i="18"/>
  <c r="E109" i="18"/>
  <c r="E104" i="18"/>
  <c r="F29" i="18"/>
  <c r="H21" i="18"/>
  <c r="L13" i="18"/>
  <c r="D118" i="18"/>
  <c r="D110" i="18"/>
  <c r="D107" i="18"/>
  <c r="D100" i="18"/>
  <c r="L24" i="18"/>
  <c r="B18" i="18"/>
  <c r="J13" i="18"/>
  <c r="C119" i="18"/>
  <c r="C115" i="18"/>
  <c r="C110" i="18"/>
  <c r="C105" i="18"/>
  <c r="B29" i="18"/>
  <c r="D21" i="18"/>
  <c r="H13" i="18"/>
  <c r="H120" i="18"/>
  <c r="H119" i="18"/>
  <c r="H118" i="18"/>
  <c r="H117" i="18"/>
  <c r="H115" i="18"/>
  <c r="H114" i="18"/>
  <c r="H113" i="18"/>
  <c r="H112" i="18"/>
  <c r="H110" i="18"/>
  <c r="H109" i="18"/>
  <c r="H108" i="18"/>
  <c r="H107" i="18"/>
  <c r="H105" i="18"/>
  <c r="H104" i="18"/>
  <c r="H103" i="18"/>
  <c r="H102" i="18"/>
  <c r="H100" i="18"/>
  <c r="L29" i="18"/>
  <c r="J28" i="18"/>
  <c r="H27" i="18"/>
  <c r="F26" i="18"/>
  <c r="D24" i="18"/>
  <c r="B23" i="18"/>
  <c r="N21" i="18"/>
  <c r="L19" i="18"/>
  <c r="J18" i="18"/>
  <c r="H17" i="18"/>
  <c r="F16" i="18"/>
  <c r="D14" i="18"/>
  <c r="B13" i="18"/>
  <c r="L9" i="18"/>
  <c r="F118" i="18"/>
  <c r="F112" i="18"/>
  <c r="F100" i="18"/>
  <c r="N23" i="18"/>
  <c r="F18" i="18"/>
  <c r="B16" i="18"/>
  <c r="H9" i="18"/>
  <c r="E117" i="18"/>
  <c r="E110" i="18"/>
  <c r="E105" i="18"/>
  <c r="E100" i="18"/>
  <c r="N24" i="18"/>
  <c r="J22" i="18"/>
  <c r="D18" i="18"/>
  <c r="N14" i="18"/>
  <c r="H11" i="18"/>
  <c r="D119" i="18"/>
  <c r="D104" i="18"/>
  <c r="B28" i="18"/>
  <c r="F21" i="18"/>
  <c r="L14" i="18"/>
  <c r="D9" i="18"/>
  <c r="C118" i="18"/>
  <c r="C113" i="18"/>
  <c r="C108" i="18"/>
  <c r="C103" i="18"/>
  <c r="N27" i="18"/>
  <c r="H23" i="18"/>
  <c r="N17" i="18"/>
  <c r="J14" i="18"/>
  <c r="B9" i="18"/>
  <c r="G120" i="18"/>
  <c r="G119" i="18"/>
  <c r="G118" i="18"/>
  <c r="G117" i="18"/>
  <c r="G115" i="18"/>
  <c r="G114" i="18"/>
  <c r="G113" i="18"/>
  <c r="G112" i="18"/>
  <c r="G110" i="18"/>
  <c r="G109" i="18"/>
  <c r="G108" i="18"/>
  <c r="G107" i="18"/>
  <c r="G105" i="18"/>
  <c r="G104" i="18"/>
  <c r="G103" i="18"/>
  <c r="G102" i="18"/>
  <c r="G100" i="18"/>
  <c r="J29" i="18"/>
  <c r="H28" i="18"/>
  <c r="F27" i="18"/>
  <c r="D26" i="18"/>
  <c r="B24" i="18"/>
  <c r="N22" i="18"/>
  <c r="L21" i="18"/>
  <c r="J19" i="18"/>
  <c r="H18" i="18"/>
  <c r="F17" i="18"/>
  <c r="D16" i="18"/>
  <c r="B14" i="18"/>
  <c r="N12" i="18"/>
  <c r="L11" i="18"/>
  <c r="J9" i="18"/>
  <c r="F117" i="18"/>
  <c r="F114" i="18"/>
  <c r="F109" i="18"/>
  <c r="F104" i="18"/>
  <c r="H29" i="18"/>
  <c r="J21" i="18"/>
  <c r="N13" i="18"/>
  <c r="E118" i="18"/>
  <c r="E113" i="18"/>
  <c r="E108" i="18"/>
  <c r="E103" i="18"/>
  <c r="D28" i="18"/>
  <c r="F19" i="18"/>
  <c r="J12" i="18"/>
  <c r="D117" i="18"/>
  <c r="D112" i="18"/>
  <c r="D108" i="18"/>
  <c r="D102" i="18"/>
  <c r="J23" i="18"/>
  <c r="D19" i="18"/>
  <c r="H12" i="18"/>
  <c r="C120" i="18"/>
  <c r="C114" i="18"/>
  <c r="C109" i="18"/>
  <c r="C104" i="18"/>
  <c r="L26" i="18"/>
  <c r="B19" i="18"/>
  <c r="F12" i="18"/>
  <c r="B120" i="18"/>
  <c r="B119" i="18"/>
  <c r="B118" i="18"/>
  <c r="B117" i="18"/>
  <c r="B115" i="18"/>
  <c r="B114" i="18"/>
  <c r="B113" i="18"/>
  <c r="B112" i="18"/>
  <c r="B110" i="18"/>
  <c r="B109" i="18"/>
  <c r="B108" i="18"/>
  <c r="B107" i="18"/>
  <c r="B105" i="18"/>
  <c r="B104" i="18"/>
  <c r="B103" i="18"/>
  <c r="B102" i="18"/>
  <c r="B100" i="18"/>
  <c r="N28" i="18"/>
  <c r="L27" i="18"/>
  <c r="J26" i="18"/>
  <c r="H24" i="18"/>
  <c r="F23" i="18"/>
  <c r="D22" i="18"/>
  <c r="B21" i="18"/>
  <c r="N18" i="18"/>
  <c r="L17" i="18"/>
  <c r="J16" i="18"/>
  <c r="H14" i="18"/>
  <c r="F13" i="18"/>
  <c r="D12" i="18"/>
  <c r="B11" i="18"/>
  <c r="B12" i="18"/>
  <c r="N11" i="18"/>
  <c r="F120" i="18"/>
  <c r="F115" i="18"/>
  <c r="F110" i="18"/>
  <c r="F107" i="18"/>
  <c r="F105" i="18"/>
  <c r="F102" i="18"/>
  <c r="F28" i="18"/>
  <c r="B26" i="18"/>
  <c r="L22" i="18"/>
  <c r="D17" i="18"/>
  <c r="L12" i="18"/>
  <c r="E120" i="18"/>
  <c r="E115" i="18"/>
  <c r="E112" i="18"/>
  <c r="E107" i="18"/>
  <c r="E102" i="18"/>
  <c r="B27" i="18"/>
  <c r="L23" i="18"/>
  <c r="B17" i="18"/>
  <c r="F9" i="18"/>
  <c r="D120" i="18"/>
  <c r="D115" i="18"/>
  <c r="D114" i="18"/>
  <c r="D113" i="18"/>
  <c r="D109" i="18"/>
  <c r="D105" i="18"/>
  <c r="D103" i="18"/>
  <c r="D29" i="18"/>
  <c r="N26" i="18"/>
  <c r="H22" i="18"/>
  <c r="N16" i="18"/>
  <c r="F11" i="18"/>
  <c r="C117" i="18"/>
  <c r="C112" i="18"/>
  <c r="C107" i="18"/>
  <c r="C102" i="18"/>
  <c r="C100" i="18"/>
  <c r="J24" i="18"/>
  <c r="F22" i="18"/>
  <c r="L16" i="18"/>
  <c r="D11" i="18"/>
  <c r="AI183" i="12"/>
  <c r="AJ170" i="12"/>
  <c r="AI171" i="12"/>
  <c r="AI170" i="12"/>
  <c r="AJ171" i="12"/>
  <c r="AH170" i="12"/>
  <c r="AG170" i="12"/>
  <c r="AF170" i="12"/>
  <c r="AG171" i="12"/>
  <c r="AJ182" i="12"/>
  <c r="AJ183" i="12"/>
  <c r="AI182" i="12"/>
  <c r="AH171" i="12"/>
  <c r="AF171" i="12"/>
  <c r="C209" i="18"/>
  <c r="E205" i="18"/>
  <c r="G202" i="18"/>
  <c r="C199" i="18"/>
  <c r="E195" i="18"/>
  <c r="G192" i="18"/>
  <c r="K179" i="18"/>
  <c r="E178" i="18"/>
  <c r="I175" i="18"/>
  <c r="C174" i="18"/>
  <c r="G172" i="18"/>
  <c r="K169" i="18"/>
  <c r="E168" i="18"/>
  <c r="I165" i="18"/>
  <c r="C164" i="18"/>
  <c r="G162" i="18"/>
  <c r="I29" i="18"/>
  <c r="O28" i="18"/>
  <c r="G28" i="18"/>
  <c r="M27" i="18"/>
  <c r="E27" i="18"/>
  <c r="K26" i="18"/>
  <c r="C26" i="18"/>
  <c r="I24" i="18"/>
  <c r="O23" i="18"/>
  <c r="G23" i="18"/>
  <c r="M22" i="18"/>
  <c r="E22" i="18"/>
  <c r="K21" i="18"/>
  <c r="C21" i="18"/>
  <c r="I19" i="18"/>
  <c r="O18" i="18"/>
  <c r="G18" i="18"/>
  <c r="M17" i="18"/>
  <c r="E17" i="18"/>
  <c r="K16" i="18"/>
  <c r="C16" i="18"/>
  <c r="I14" i="18"/>
  <c r="O13" i="18"/>
  <c r="G13" i="18"/>
  <c r="M12" i="18"/>
  <c r="E12" i="18"/>
  <c r="K11" i="18"/>
  <c r="C11" i="18"/>
  <c r="C204" i="18"/>
  <c r="C194" i="18"/>
  <c r="K174" i="18"/>
  <c r="I170" i="18"/>
  <c r="E163" i="18"/>
  <c r="G208" i="18"/>
  <c r="C205" i="18"/>
  <c r="E202" i="18"/>
  <c r="G198" i="18"/>
  <c r="C195" i="18"/>
  <c r="E192" i="18"/>
  <c r="I179" i="18"/>
  <c r="C178" i="18"/>
  <c r="G175" i="18"/>
  <c r="K173" i="18"/>
  <c r="E172" i="18"/>
  <c r="I169" i="18"/>
  <c r="C168" i="18"/>
  <c r="G165" i="18"/>
  <c r="K163" i="18"/>
  <c r="E162" i="18"/>
  <c r="G177" i="18"/>
  <c r="K164" i="18"/>
  <c r="E208" i="18"/>
  <c r="G204" i="18"/>
  <c r="C202" i="18"/>
  <c r="E198" i="18"/>
  <c r="G194" i="18"/>
  <c r="C192" i="18"/>
  <c r="G179" i="18"/>
  <c r="K177" i="18"/>
  <c r="E175" i="18"/>
  <c r="I173" i="18"/>
  <c r="C172" i="18"/>
  <c r="G169" i="18"/>
  <c r="K167" i="18"/>
  <c r="E165" i="18"/>
  <c r="I163" i="18"/>
  <c r="C162" i="18"/>
  <c r="O29" i="18"/>
  <c r="G29" i="18"/>
  <c r="M28" i="18"/>
  <c r="E28" i="18"/>
  <c r="K27" i="18"/>
  <c r="C27" i="18"/>
  <c r="I26" i="18"/>
  <c r="O24" i="18"/>
  <c r="G24" i="18"/>
  <c r="M23" i="18"/>
  <c r="E23" i="18"/>
  <c r="K22" i="18"/>
  <c r="C22" i="18"/>
  <c r="I21" i="18"/>
  <c r="O19" i="18"/>
  <c r="G19" i="18"/>
  <c r="M18" i="18"/>
  <c r="E18" i="18"/>
  <c r="K17" i="18"/>
  <c r="C17" i="18"/>
  <c r="I16" i="18"/>
  <c r="O14" i="18"/>
  <c r="G14" i="18"/>
  <c r="M13" i="18"/>
  <c r="E13" i="18"/>
  <c r="K12" i="18"/>
  <c r="C12" i="18"/>
  <c r="I11" i="18"/>
  <c r="G207" i="18"/>
  <c r="E200" i="18"/>
  <c r="I180" i="18"/>
  <c r="E173" i="18"/>
  <c r="C169" i="18"/>
  <c r="G210" i="18"/>
  <c r="C208" i="18"/>
  <c r="E204" i="18"/>
  <c r="G200" i="18"/>
  <c r="C198" i="18"/>
  <c r="E194" i="18"/>
  <c r="K180" i="18"/>
  <c r="E179" i="18"/>
  <c r="I177" i="18"/>
  <c r="C175" i="18"/>
  <c r="G173" i="18"/>
  <c r="K170" i="18"/>
  <c r="E169" i="18"/>
  <c r="I167" i="18"/>
  <c r="C165" i="18"/>
  <c r="G163" i="18"/>
  <c r="E210" i="18"/>
  <c r="G197" i="18"/>
  <c r="C179" i="18"/>
  <c r="G167" i="18"/>
  <c r="G203" i="18"/>
  <c r="G195" i="18"/>
  <c r="I178" i="18"/>
  <c r="C173" i="18"/>
  <c r="G168" i="18"/>
  <c r="K162" i="18"/>
  <c r="K29" i="18"/>
  <c r="I28" i="18"/>
  <c r="G27" i="18"/>
  <c r="E26" i="18"/>
  <c r="C24" i="18"/>
  <c r="O22" i="18"/>
  <c r="M21" i="18"/>
  <c r="K19" i="18"/>
  <c r="I18" i="18"/>
  <c r="G17" i="18"/>
  <c r="E16" i="18"/>
  <c r="C14" i="18"/>
  <c r="O12" i="18"/>
  <c r="M11" i="18"/>
  <c r="G180" i="18"/>
  <c r="I164" i="18"/>
  <c r="G22" i="18"/>
  <c r="K14" i="18"/>
  <c r="E180" i="18"/>
  <c r="C170" i="18"/>
  <c r="E203" i="18"/>
  <c r="G193" i="18"/>
  <c r="G178" i="18"/>
  <c r="K172" i="18"/>
  <c r="E167" i="18"/>
  <c r="I162" i="18"/>
  <c r="E209" i="18"/>
  <c r="K175" i="18"/>
  <c r="M26" i="18"/>
  <c r="O17" i="18"/>
  <c r="E11" i="18"/>
  <c r="E199" i="18"/>
  <c r="C210" i="18"/>
  <c r="C203" i="18"/>
  <c r="E193" i="18"/>
  <c r="E177" i="18"/>
  <c r="I172" i="18"/>
  <c r="C167" i="18"/>
  <c r="E29" i="18"/>
  <c r="C28" i="18"/>
  <c r="O26" i="18"/>
  <c r="M24" i="18"/>
  <c r="K23" i="18"/>
  <c r="I22" i="18"/>
  <c r="G21" i="18"/>
  <c r="E19" i="18"/>
  <c r="C18" i="18"/>
  <c r="O16" i="18"/>
  <c r="M14" i="18"/>
  <c r="K13" i="18"/>
  <c r="I12" i="18"/>
  <c r="G11" i="18"/>
  <c r="G209" i="18"/>
  <c r="C200" i="18"/>
  <c r="C193" i="18"/>
  <c r="C177" i="18"/>
  <c r="G170" i="18"/>
  <c r="K165" i="18"/>
  <c r="G199" i="18"/>
  <c r="E170" i="18"/>
  <c r="C29" i="18"/>
  <c r="K24" i="18"/>
  <c r="C19" i="18"/>
  <c r="I13" i="18"/>
  <c r="I174" i="18"/>
  <c r="G164" i="18"/>
  <c r="C207" i="18"/>
  <c r="E197" i="18"/>
  <c r="C180" i="18"/>
  <c r="G174" i="18"/>
  <c r="K168" i="18"/>
  <c r="E164" i="18"/>
  <c r="M29" i="18"/>
  <c r="K28" i="18"/>
  <c r="I27" i="18"/>
  <c r="G26" i="18"/>
  <c r="E24" i="18"/>
  <c r="C23" i="18"/>
  <c r="O21" i="18"/>
  <c r="M19" i="18"/>
  <c r="K18" i="18"/>
  <c r="I17" i="18"/>
  <c r="G16" i="18"/>
  <c r="E14" i="18"/>
  <c r="C13" i="18"/>
  <c r="O11" i="18"/>
  <c r="G205" i="18"/>
  <c r="C197" i="18"/>
  <c r="K178" i="18"/>
  <c r="E174" i="18"/>
  <c r="I168" i="18"/>
  <c r="C163" i="18"/>
  <c r="O27" i="18"/>
  <c r="I23" i="18"/>
  <c r="E21" i="18"/>
  <c r="M16" i="18"/>
  <c r="G12" i="18"/>
  <c r="E207" i="18"/>
  <c r="C74" i="18" l="1"/>
  <c r="D82" i="18"/>
  <c r="H87" i="18"/>
  <c r="B178" i="18"/>
  <c r="E82" i="18"/>
  <c r="B88" i="18"/>
  <c r="B165" i="18"/>
  <c r="D72" i="18"/>
  <c r="E73" i="18"/>
  <c r="E75" i="18"/>
  <c r="F77" i="18"/>
  <c r="F78" i="18"/>
  <c r="B84" i="18"/>
  <c r="G89" i="18"/>
  <c r="J165" i="18"/>
  <c r="F202" i="18"/>
  <c r="F208" i="18"/>
  <c r="H228" i="18"/>
  <c r="F82" i="18"/>
  <c r="C84" i="18"/>
  <c r="C88" i="18"/>
  <c r="B90" i="18"/>
  <c r="B167" i="18"/>
  <c r="B173" i="18"/>
  <c r="B179" i="18"/>
  <c r="B70" i="18"/>
  <c r="F73" i="18"/>
  <c r="G74" i="18"/>
  <c r="B79" i="18"/>
  <c r="F84" i="18"/>
  <c r="F90" i="18"/>
  <c r="H162" i="18"/>
  <c r="D198" i="18"/>
  <c r="D204" i="18"/>
  <c r="D210" i="18"/>
  <c r="H232" i="18"/>
  <c r="C73" i="18"/>
  <c r="F200" i="18"/>
  <c r="E77" i="18"/>
  <c r="E78" i="18"/>
  <c r="D208" i="18"/>
  <c r="D70" i="18"/>
  <c r="H77" i="18"/>
  <c r="C83" i="18"/>
  <c r="G88" i="18"/>
  <c r="F192" i="18"/>
  <c r="F198" i="18"/>
  <c r="F204" i="18"/>
  <c r="F210" i="18"/>
  <c r="G70" i="18"/>
  <c r="H72" i="18"/>
  <c r="B74" i="18"/>
  <c r="H74" i="18"/>
  <c r="B77" i="18"/>
  <c r="G80" i="18"/>
  <c r="D87" i="18"/>
  <c r="B163" i="18"/>
  <c r="B169" i="18"/>
  <c r="B175" i="18"/>
  <c r="D75" i="18"/>
  <c r="F194" i="18"/>
  <c r="H79" i="18"/>
  <c r="E85" i="18"/>
  <c r="H172" i="18"/>
  <c r="C79" i="18"/>
  <c r="G84" i="18"/>
  <c r="G90" i="18"/>
  <c r="B72" i="18"/>
  <c r="C75" i="18"/>
  <c r="D79" i="18"/>
  <c r="H80" i="18"/>
  <c r="H84" i="18"/>
  <c r="E87" i="18"/>
  <c r="H90" i="18"/>
  <c r="H163" i="18"/>
  <c r="H169" i="18"/>
  <c r="J175" i="18"/>
  <c r="H222" i="18"/>
  <c r="F79" i="18"/>
  <c r="H82" i="18"/>
  <c r="C85" i="18"/>
  <c r="E88" i="18"/>
  <c r="D190" i="18"/>
  <c r="J164" i="18"/>
  <c r="D197" i="18"/>
  <c r="J170" i="18"/>
  <c r="F203" i="18"/>
  <c r="J177" i="18"/>
  <c r="H180" i="18"/>
  <c r="H70" i="18"/>
  <c r="F72" i="18"/>
  <c r="F74" i="18"/>
  <c r="H75" i="18"/>
  <c r="C78" i="18"/>
  <c r="G79" i="18"/>
  <c r="E80" i="18"/>
  <c r="B83" i="18"/>
  <c r="G83" i="18"/>
  <c r="D85" i="18"/>
  <c r="B87" i="18"/>
  <c r="F88" i="18"/>
  <c r="E89" i="18"/>
  <c r="F190" i="18"/>
  <c r="D194" i="18"/>
  <c r="B168" i="18"/>
  <c r="D200" i="18"/>
  <c r="J174" i="18"/>
  <c r="D207" i="18"/>
  <c r="J180" i="18"/>
  <c r="B73" i="18"/>
  <c r="D77" i="18"/>
  <c r="E83" i="18"/>
  <c r="G85" i="18"/>
  <c r="B89" i="18"/>
  <c r="H160" i="18"/>
  <c r="J163" i="18"/>
  <c r="H167" i="18"/>
  <c r="D199" i="18"/>
  <c r="H173" i="18"/>
  <c r="B177" i="18"/>
  <c r="H179" i="18"/>
  <c r="E70" i="18"/>
  <c r="D74" i="18"/>
  <c r="C80" i="18"/>
  <c r="F70" i="18"/>
  <c r="E72" i="18"/>
  <c r="G73" i="18"/>
  <c r="G75" i="18"/>
  <c r="B78" i="18"/>
  <c r="G78" i="18"/>
  <c r="D80" i="18"/>
  <c r="B82" i="18"/>
  <c r="F83" i="18"/>
  <c r="D84" i="18"/>
  <c r="H85" i="18"/>
  <c r="F87" i="18"/>
  <c r="C89" i="18"/>
  <c r="C90" i="18"/>
  <c r="J160" i="18"/>
  <c r="F193" i="18"/>
  <c r="J167" i="18"/>
  <c r="H170" i="18"/>
  <c r="J173" i="18"/>
  <c r="H177" i="18"/>
  <c r="D209" i="18"/>
  <c r="H230" i="18"/>
  <c r="H226" i="18"/>
  <c r="C70" i="18"/>
  <c r="C72" i="18"/>
  <c r="G72" i="18"/>
  <c r="D73" i="18"/>
  <c r="H73" i="18"/>
  <c r="E74" i="18"/>
  <c r="B75" i="18"/>
  <c r="F75" i="18"/>
  <c r="C77" i="18"/>
  <c r="G77" i="18"/>
  <c r="D78" i="18"/>
  <c r="H78" i="18"/>
  <c r="E79" i="18"/>
  <c r="B80" i="18"/>
  <c r="F80" i="18"/>
  <c r="C82" i="18"/>
  <c r="G82" i="18"/>
  <c r="D83" i="18"/>
  <c r="H83" i="18"/>
  <c r="E84" i="18"/>
  <c r="B85" i="18"/>
  <c r="F85" i="18"/>
  <c r="C87" i="18"/>
  <c r="G87" i="18"/>
  <c r="D88" i="18"/>
  <c r="H88" i="18"/>
  <c r="F89" i="18"/>
  <c r="D90" i="18"/>
  <c r="B162" i="18"/>
  <c r="D193" i="18"/>
  <c r="H165" i="18"/>
  <c r="F197" i="18"/>
  <c r="J169" i="18"/>
  <c r="B172" i="18"/>
  <c r="D203" i="18"/>
  <c r="H175" i="18"/>
  <c r="F207" i="18"/>
  <c r="J179" i="18"/>
  <c r="H236" i="18"/>
  <c r="J162" i="18"/>
  <c r="B164" i="18"/>
  <c r="D195" i="18"/>
  <c r="H168" i="18"/>
  <c r="F199" i="18"/>
  <c r="J172" i="18"/>
  <c r="B174" i="18"/>
  <c r="D205" i="18"/>
  <c r="H178" i="18"/>
  <c r="F209" i="18"/>
  <c r="H224" i="18"/>
  <c r="B160" i="18"/>
  <c r="D192" i="18"/>
  <c r="H164" i="18"/>
  <c r="F195" i="18"/>
  <c r="J168" i="18"/>
  <c r="B170" i="18"/>
  <c r="D202" i="18"/>
  <c r="H174" i="18"/>
  <c r="F205" i="18"/>
  <c r="J178" i="18"/>
  <c r="B180" i="18"/>
  <c r="H234" i="18"/>
  <c r="B190" i="18"/>
  <c r="B192" i="18"/>
  <c r="B193" i="18"/>
  <c r="B194" i="18"/>
  <c r="B195" i="18"/>
  <c r="B197" i="18"/>
  <c r="B198" i="18"/>
  <c r="B199" i="18"/>
  <c r="B200" i="18"/>
  <c r="B202" i="18"/>
  <c r="B203" i="18"/>
  <c r="B204" i="18"/>
  <c r="B205" i="18"/>
  <c r="B207" i="18"/>
  <c r="B208" i="18"/>
  <c r="B209" i="18"/>
  <c r="B210" i="18"/>
  <c r="D160" i="18"/>
  <c r="D162" i="18"/>
  <c r="D163" i="18"/>
  <c r="D164" i="18"/>
  <c r="D165" i="18"/>
  <c r="D167" i="18"/>
  <c r="D168" i="18"/>
  <c r="D169" i="18"/>
  <c r="D170" i="18"/>
  <c r="D172" i="18"/>
  <c r="D173" i="18"/>
  <c r="D174" i="18"/>
  <c r="D175" i="18"/>
  <c r="D177" i="18"/>
  <c r="D178" i="18"/>
  <c r="D179" i="18"/>
  <c r="D180" i="18"/>
  <c r="D89" i="18"/>
  <c r="H89" i="18"/>
  <c r="E90" i="18"/>
  <c r="F160" i="18"/>
  <c r="F162" i="18"/>
  <c r="F163" i="18"/>
  <c r="F164" i="18"/>
  <c r="F165" i="18"/>
  <c r="F167" i="18"/>
  <c r="F168" i="18"/>
  <c r="F169" i="18"/>
  <c r="F170" i="18"/>
  <c r="F172" i="18"/>
  <c r="F173" i="18"/>
  <c r="F174" i="18"/>
  <c r="F175" i="18"/>
  <c r="F177" i="18"/>
  <c r="F178" i="18"/>
  <c r="F179" i="18"/>
  <c r="F180" i="18"/>
  <c r="H220" i="18"/>
  <c r="H223" i="18"/>
  <c r="H225" i="18"/>
  <c r="H227" i="18"/>
  <c r="H229" i="18"/>
  <c r="H231" i="18"/>
  <c r="H233" i="18"/>
  <c r="H235" i="18"/>
  <c r="H237" i="18"/>
  <c r="AK171" i="12"/>
  <c r="AK182" i="12"/>
  <c r="AK170" i="12"/>
  <c r="AK183" i="12"/>
  <c r="S659" i="6"/>
  <c r="BA659" i="6" s="1"/>
  <c r="W659" i="6"/>
  <c r="BA635" i="6"/>
  <c r="AZ624" i="6"/>
  <c r="BA643" i="6"/>
  <c r="AZ648" i="6"/>
  <c r="BA647" i="6"/>
  <c r="AZ640" i="6"/>
  <c r="W663" i="6"/>
  <c r="BA631" i="6"/>
  <c r="AZ660" i="6"/>
  <c r="S633" i="6"/>
  <c r="BA633" i="6" s="1"/>
  <c r="AZ645" i="6"/>
  <c r="Q642" i="6"/>
  <c r="AZ642" i="6" s="1"/>
  <c r="Q643" i="6"/>
  <c r="AZ643" i="6" s="1"/>
  <c r="BA628" i="6"/>
  <c r="S629" i="6"/>
  <c r="BA629" i="6" s="1"/>
  <c r="AZ641" i="6"/>
  <c r="BA644" i="6"/>
  <c r="S645" i="6"/>
  <c r="BA645" i="6" s="1"/>
  <c r="W649" i="6"/>
  <c r="AZ657" i="6"/>
  <c r="BA660" i="6"/>
  <c r="S661" i="6"/>
  <c r="BA661" i="6" s="1"/>
  <c r="Q622" i="6"/>
  <c r="AZ622" i="6" s="1"/>
  <c r="Q623" i="6"/>
  <c r="AZ623" i="6" s="1"/>
  <c r="S626" i="6"/>
  <c r="BA626" i="6" s="1"/>
  <c r="W627" i="6"/>
  <c r="V628" i="6"/>
  <c r="Q638" i="6"/>
  <c r="AZ638" i="6" s="1"/>
  <c r="Q639" i="6"/>
  <c r="AZ639" i="6" s="1"/>
  <c r="S642" i="6"/>
  <c r="BA642" i="6" s="1"/>
  <c r="W643" i="6"/>
  <c r="V644" i="6"/>
  <c r="Q654" i="6"/>
  <c r="AZ654" i="6" s="1"/>
  <c r="Q655" i="6"/>
  <c r="AZ655" i="6" s="1"/>
  <c r="S658" i="6"/>
  <c r="BA658" i="6" s="1"/>
  <c r="AZ659" i="6"/>
  <c r="BA632" i="6"/>
  <c r="Q661" i="6"/>
  <c r="AZ661" i="6" s="1"/>
  <c r="W662" i="6"/>
  <c r="Q626" i="6"/>
  <c r="AZ626" i="6" s="1"/>
  <c r="S646" i="6"/>
  <c r="BA646" i="6" s="1"/>
  <c r="AZ625" i="6"/>
  <c r="AZ621" i="6"/>
  <c r="BA624" i="6"/>
  <c r="AZ637" i="6"/>
  <c r="BA640" i="6"/>
  <c r="BA656" i="6"/>
  <c r="V658" i="6"/>
  <c r="S622" i="6"/>
  <c r="BA622" i="6" s="1"/>
  <c r="W623" i="6"/>
  <c r="V624" i="6"/>
  <c r="Q635" i="6"/>
  <c r="AZ635" i="6" s="1"/>
  <c r="S638" i="6"/>
  <c r="BA638" i="6" s="1"/>
  <c r="W639" i="6"/>
  <c r="V640" i="6"/>
  <c r="Q651" i="6"/>
  <c r="AZ651" i="6" s="1"/>
  <c r="S654" i="6"/>
  <c r="BA654" i="6" s="1"/>
  <c r="W655" i="6"/>
  <c r="V656" i="6"/>
  <c r="AZ629" i="6"/>
  <c r="BA648" i="6"/>
  <c r="Q627" i="6"/>
  <c r="AZ627" i="6" s="1"/>
  <c r="S630" i="6"/>
  <c r="BA630" i="6" s="1"/>
  <c r="W631" i="6"/>
  <c r="W647" i="6"/>
  <c r="AZ653" i="6"/>
  <c r="AZ633" i="6"/>
  <c r="BA636" i="6"/>
  <c r="AZ649" i="6"/>
  <c r="BA652" i="6"/>
  <c r="AH478" i="6" l="1"/>
  <c r="AH479" i="6"/>
  <c r="AH480" i="6"/>
  <c r="AH481" i="6"/>
  <c r="AH482" i="6"/>
  <c r="AH483" i="6"/>
  <c r="AH484" i="6"/>
  <c r="AH485" i="6"/>
  <c r="AH486" i="6"/>
  <c r="AH487" i="6"/>
  <c r="AH488" i="6"/>
  <c r="AH489" i="6"/>
  <c r="AH490" i="6"/>
  <c r="AH491" i="6"/>
  <c r="AH492" i="6"/>
  <c r="AH493" i="6"/>
  <c r="AH494" i="6"/>
  <c r="AH495" i="6"/>
  <c r="AH496" i="6"/>
  <c r="AH497" i="6"/>
  <c r="AH498" i="6"/>
  <c r="AH499" i="6"/>
  <c r="AH500" i="6"/>
  <c r="AH501" i="6"/>
  <c r="AH502" i="6"/>
  <c r="AH503" i="6"/>
  <c r="AH504" i="6"/>
  <c r="AH505" i="6"/>
  <c r="AH506" i="6"/>
  <c r="AH507" i="6"/>
  <c r="AH508" i="6"/>
  <c r="AH509" i="6"/>
  <c r="AH510" i="6"/>
  <c r="AH511" i="6"/>
  <c r="AH512" i="6"/>
  <c r="AH513" i="6"/>
  <c r="AH514" i="6"/>
  <c r="AH515" i="6"/>
  <c r="AH516" i="6"/>
  <c r="AH517" i="6"/>
  <c r="AH518" i="6"/>
  <c r="AH519" i="6"/>
  <c r="AH520" i="6"/>
  <c r="AH521" i="6"/>
  <c r="AH522" i="6"/>
  <c r="AH523" i="6"/>
  <c r="AH524" i="6"/>
  <c r="AH525" i="6"/>
  <c r="AH526" i="6"/>
  <c r="AH527" i="6"/>
  <c r="AH528" i="6"/>
  <c r="AH529" i="6"/>
  <c r="AH530" i="6"/>
  <c r="AH531" i="6"/>
  <c r="AH532" i="6"/>
  <c r="AH533" i="6"/>
  <c r="AH534" i="6"/>
  <c r="AH535" i="6"/>
  <c r="AH536" i="6"/>
  <c r="AH537" i="6"/>
  <c r="AH538" i="6"/>
  <c r="AH539" i="6"/>
  <c r="AH540" i="6"/>
  <c r="AH541" i="6"/>
  <c r="AH542" i="6"/>
  <c r="AH543" i="6"/>
  <c r="AH544" i="6"/>
  <c r="AH545" i="6"/>
  <c r="AH546" i="6"/>
  <c r="AH547" i="6"/>
  <c r="AH548" i="6"/>
  <c r="AH549" i="6"/>
  <c r="AH550" i="6"/>
  <c r="AH551" i="6"/>
  <c r="AH552" i="6"/>
  <c r="AH553" i="6"/>
  <c r="AH554" i="6"/>
  <c r="AH555" i="6"/>
  <c r="AH556" i="6"/>
  <c r="AH557" i="6"/>
  <c r="AH558" i="6"/>
  <c r="AH559" i="6"/>
  <c r="AH560" i="6"/>
  <c r="AH561" i="6"/>
  <c r="AH562" i="6"/>
  <c r="AH563" i="6"/>
  <c r="AH564" i="6"/>
  <c r="AH565" i="6"/>
  <c r="AH566" i="6"/>
  <c r="AH567" i="6"/>
  <c r="AH568" i="6"/>
  <c r="AH569" i="6"/>
  <c r="AH570" i="6"/>
  <c r="AH571" i="6"/>
  <c r="AH572" i="6"/>
  <c r="AH573" i="6"/>
  <c r="AH574" i="6"/>
  <c r="AH575" i="6"/>
  <c r="AH576" i="6"/>
  <c r="AH577" i="6"/>
  <c r="AH578" i="6"/>
  <c r="AH579" i="6"/>
  <c r="AH580" i="6"/>
  <c r="AH581" i="6"/>
  <c r="AH582" i="6"/>
  <c r="AH583" i="6"/>
  <c r="AH584" i="6"/>
  <c r="AH585" i="6"/>
  <c r="AH586" i="6"/>
  <c r="AH587" i="6"/>
  <c r="AH588" i="6"/>
  <c r="AH589" i="6"/>
  <c r="AH590" i="6"/>
  <c r="AH591" i="6"/>
  <c r="AH592" i="6"/>
  <c r="AH593" i="6"/>
  <c r="AH594" i="6"/>
  <c r="AH595" i="6"/>
  <c r="AH596" i="6"/>
  <c r="AH597" i="6"/>
  <c r="AH598" i="6"/>
  <c r="AH599" i="6"/>
  <c r="AH600" i="6"/>
  <c r="AH601" i="6"/>
  <c r="AH602" i="6"/>
  <c r="AH603" i="6"/>
  <c r="AH604" i="6"/>
  <c r="AH605" i="6"/>
  <c r="AH606" i="6"/>
  <c r="AH607" i="6"/>
  <c r="AH608" i="6"/>
  <c r="AH609" i="6"/>
  <c r="AH610" i="6"/>
  <c r="AH611" i="6"/>
  <c r="AH612" i="6"/>
  <c r="AH613" i="6"/>
  <c r="AH614" i="6"/>
  <c r="AH615" i="6"/>
  <c r="AH616" i="6"/>
  <c r="AH617" i="6"/>
  <c r="AH618" i="6"/>
  <c r="AH619" i="6"/>
  <c r="AH620" i="6"/>
  <c r="AH664" i="6"/>
  <c r="AH665" i="6"/>
  <c r="AH666" i="6"/>
  <c r="AH667" i="6"/>
  <c r="AH668" i="6"/>
  <c r="AH669" i="6"/>
  <c r="AH670" i="6"/>
  <c r="AH671" i="6"/>
  <c r="AH672" i="6"/>
  <c r="AH673" i="6"/>
  <c r="AH674" i="6"/>
  <c r="AH675" i="6"/>
  <c r="AH676" i="6"/>
  <c r="AH677" i="6"/>
  <c r="AH678" i="6"/>
  <c r="AH679" i="6"/>
  <c r="AH680" i="6"/>
  <c r="AH681" i="6"/>
  <c r="AH682" i="6"/>
  <c r="AH683" i="6"/>
  <c r="S2" i="6"/>
  <c r="AZ683" i="6" l="1"/>
  <c r="AY683" i="6"/>
  <c r="AX683" i="6"/>
  <c r="AW683" i="6"/>
  <c r="AV683" i="6"/>
  <c r="AM683" i="6"/>
  <c r="AL683" i="6"/>
  <c r="AI683" i="6"/>
  <c r="BA683" i="6" s="1"/>
  <c r="AG683" i="6"/>
  <c r="AF683" i="6"/>
  <c r="W683" i="6"/>
  <c r="V683" i="6"/>
  <c r="S683" i="6"/>
  <c r="R683" i="6"/>
  <c r="Q683" i="6"/>
  <c r="P683" i="6"/>
  <c r="AZ682" i="6"/>
  <c r="AY682" i="6"/>
  <c r="AX682" i="6"/>
  <c r="AW682" i="6"/>
  <c r="AV682" i="6"/>
  <c r="AM682" i="6"/>
  <c r="AL682" i="6"/>
  <c r="AI682" i="6"/>
  <c r="BA682" i="6" s="1"/>
  <c r="AG682" i="6"/>
  <c r="AF682" i="6"/>
  <c r="W682" i="6"/>
  <c r="V682" i="6"/>
  <c r="S682" i="6"/>
  <c r="R682" i="6"/>
  <c r="Q682" i="6"/>
  <c r="P682" i="6"/>
  <c r="AZ681" i="6"/>
  <c r="AY681" i="6"/>
  <c r="AX681" i="6"/>
  <c r="AW681" i="6"/>
  <c r="AV681" i="6"/>
  <c r="AM681" i="6"/>
  <c r="AL681" i="6"/>
  <c r="AI681" i="6"/>
  <c r="BA681" i="6" s="1"/>
  <c r="AG681" i="6"/>
  <c r="AF681" i="6"/>
  <c r="W681" i="6"/>
  <c r="V681" i="6"/>
  <c r="S681" i="6"/>
  <c r="R681" i="6"/>
  <c r="Q681" i="6"/>
  <c r="P681" i="6"/>
  <c r="AZ680" i="6"/>
  <c r="AY680" i="6"/>
  <c r="AX680" i="6"/>
  <c r="AW680" i="6"/>
  <c r="AV680" i="6"/>
  <c r="AM680" i="6"/>
  <c r="AL680" i="6"/>
  <c r="AI680" i="6"/>
  <c r="BA680" i="6" s="1"/>
  <c r="AG680" i="6"/>
  <c r="AF680" i="6"/>
  <c r="W680" i="6"/>
  <c r="V680" i="6"/>
  <c r="S680" i="6"/>
  <c r="R680" i="6"/>
  <c r="Q680" i="6"/>
  <c r="P680" i="6"/>
  <c r="AZ679" i="6"/>
  <c r="AY679" i="6"/>
  <c r="AX679" i="6"/>
  <c r="AW679" i="6"/>
  <c r="AV679" i="6"/>
  <c r="AM679" i="6"/>
  <c r="AL679" i="6"/>
  <c r="AI679" i="6"/>
  <c r="BA679" i="6" s="1"/>
  <c r="AG679" i="6"/>
  <c r="AF679" i="6"/>
  <c r="W679" i="6"/>
  <c r="V679" i="6"/>
  <c r="S679" i="6"/>
  <c r="R679" i="6"/>
  <c r="Q679" i="6"/>
  <c r="P679" i="6"/>
  <c r="AZ678" i="6"/>
  <c r="AY678" i="6"/>
  <c r="AX678" i="6"/>
  <c r="AW678" i="6"/>
  <c r="AV678" i="6"/>
  <c r="AM678" i="6"/>
  <c r="AL678" i="6"/>
  <c r="AI678" i="6"/>
  <c r="BA678" i="6" s="1"/>
  <c r="AG678" i="6"/>
  <c r="AF678" i="6"/>
  <c r="W678" i="6"/>
  <c r="V678" i="6"/>
  <c r="S678" i="6"/>
  <c r="R678" i="6"/>
  <c r="Q678" i="6"/>
  <c r="P678" i="6"/>
  <c r="AZ677" i="6"/>
  <c r="AY677" i="6"/>
  <c r="AX677" i="6"/>
  <c r="AW677" i="6"/>
  <c r="AV677" i="6"/>
  <c r="AM677" i="6"/>
  <c r="AL677" i="6"/>
  <c r="AI677" i="6"/>
  <c r="BA677" i="6" s="1"/>
  <c r="AG677" i="6"/>
  <c r="AF677" i="6"/>
  <c r="W677" i="6"/>
  <c r="V677" i="6"/>
  <c r="S677" i="6"/>
  <c r="R677" i="6"/>
  <c r="Q677" i="6"/>
  <c r="P677" i="6"/>
  <c r="AZ676" i="6"/>
  <c r="AY676" i="6"/>
  <c r="AX676" i="6"/>
  <c r="AW676" i="6"/>
  <c r="AV676" i="6"/>
  <c r="AM676" i="6"/>
  <c r="AL676" i="6"/>
  <c r="AI676" i="6"/>
  <c r="BA676" i="6" s="1"/>
  <c r="AG676" i="6"/>
  <c r="AF676" i="6"/>
  <c r="W676" i="6"/>
  <c r="V676" i="6"/>
  <c r="S676" i="6"/>
  <c r="R676" i="6"/>
  <c r="Q676" i="6"/>
  <c r="P676" i="6"/>
  <c r="AZ675" i="6"/>
  <c r="AY675" i="6"/>
  <c r="AX675" i="6"/>
  <c r="AW675" i="6"/>
  <c r="AV675" i="6"/>
  <c r="AM675" i="6"/>
  <c r="AL675" i="6"/>
  <c r="AI675" i="6"/>
  <c r="BA675" i="6" s="1"/>
  <c r="AG675" i="6"/>
  <c r="AF675" i="6"/>
  <c r="W675" i="6"/>
  <c r="V675" i="6"/>
  <c r="S675" i="6"/>
  <c r="R675" i="6"/>
  <c r="Q675" i="6"/>
  <c r="P675" i="6"/>
  <c r="AZ674" i="6"/>
  <c r="AY674" i="6"/>
  <c r="AX674" i="6"/>
  <c r="AW674" i="6"/>
  <c r="AV674" i="6"/>
  <c r="AM674" i="6"/>
  <c r="AL674" i="6"/>
  <c r="AI674" i="6"/>
  <c r="BA674" i="6" s="1"/>
  <c r="AG674" i="6"/>
  <c r="AF674" i="6"/>
  <c r="W674" i="6"/>
  <c r="V674" i="6"/>
  <c r="S674" i="6"/>
  <c r="R674" i="6"/>
  <c r="Q674" i="6"/>
  <c r="P674" i="6"/>
  <c r="AZ673" i="6"/>
  <c r="AY673" i="6"/>
  <c r="AX673" i="6"/>
  <c r="AW673" i="6"/>
  <c r="AV673" i="6"/>
  <c r="AM673" i="6"/>
  <c r="AL673" i="6"/>
  <c r="AI673" i="6"/>
  <c r="BA673" i="6" s="1"/>
  <c r="AG673" i="6"/>
  <c r="AF673" i="6"/>
  <c r="W673" i="6"/>
  <c r="V673" i="6"/>
  <c r="S673" i="6"/>
  <c r="R673" i="6"/>
  <c r="Q673" i="6"/>
  <c r="P673" i="6"/>
  <c r="AZ672" i="6"/>
  <c r="AY672" i="6"/>
  <c r="AX672" i="6"/>
  <c r="AW672" i="6"/>
  <c r="AV672" i="6"/>
  <c r="AM672" i="6"/>
  <c r="AL672" i="6"/>
  <c r="AI672" i="6"/>
  <c r="BA672" i="6" s="1"/>
  <c r="AG672" i="6"/>
  <c r="AF672" i="6"/>
  <c r="W672" i="6"/>
  <c r="V672" i="6"/>
  <c r="S672" i="6"/>
  <c r="R672" i="6"/>
  <c r="Q672" i="6"/>
  <c r="P672" i="6"/>
  <c r="AZ671" i="6"/>
  <c r="AY671" i="6"/>
  <c r="AX671" i="6"/>
  <c r="AW671" i="6"/>
  <c r="AV671" i="6"/>
  <c r="AM671" i="6"/>
  <c r="AL671" i="6"/>
  <c r="AI671" i="6"/>
  <c r="BA671" i="6" s="1"/>
  <c r="AG671" i="6"/>
  <c r="AF671" i="6"/>
  <c r="W671" i="6"/>
  <c r="V671" i="6"/>
  <c r="S671" i="6"/>
  <c r="R671" i="6"/>
  <c r="Q671" i="6"/>
  <c r="P671" i="6"/>
  <c r="AZ670" i="6"/>
  <c r="AY670" i="6"/>
  <c r="AX670" i="6"/>
  <c r="AW670" i="6"/>
  <c r="AV670" i="6"/>
  <c r="AM670" i="6"/>
  <c r="AL670" i="6"/>
  <c r="AI670" i="6"/>
  <c r="BA670" i="6" s="1"/>
  <c r="AG670" i="6"/>
  <c r="AF670" i="6"/>
  <c r="W670" i="6"/>
  <c r="V670" i="6"/>
  <c r="S670" i="6"/>
  <c r="R670" i="6"/>
  <c r="Q670" i="6"/>
  <c r="P670" i="6"/>
  <c r="AZ669" i="6"/>
  <c r="AY669" i="6"/>
  <c r="AX669" i="6"/>
  <c r="AW669" i="6"/>
  <c r="AV669" i="6"/>
  <c r="AM669" i="6"/>
  <c r="AL669" i="6"/>
  <c r="AI669" i="6"/>
  <c r="BA669" i="6" s="1"/>
  <c r="AG669" i="6"/>
  <c r="AF669" i="6"/>
  <c r="W669" i="6"/>
  <c r="V669" i="6"/>
  <c r="S669" i="6"/>
  <c r="R669" i="6"/>
  <c r="Q669" i="6"/>
  <c r="P669" i="6"/>
  <c r="AZ668" i="6"/>
  <c r="AY668" i="6"/>
  <c r="AX668" i="6"/>
  <c r="AW668" i="6"/>
  <c r="AV668" i="6"/>
  <c r="AM668" i="6"/>
  <c r="AL668" i="6"/>
  <c r="AI668" i="6"/>
  <c r="BA668" i="6" s="1"/>
  <c r="AG668" i="6"/>
  <c r="AF668" i="6"/>
  <c r="W668" i="6"/>
  <c r="V668" i="6"/>
  <c r="S668" i="6"/>
  <c r="R668" i="6"/>
  <c r="Q668" i="6"/>
  <c r="P668" i="6"/>
  <c r="AZ667" i="6"/>
  <c r="AY667" i="6"/>
  <c r="AX667" i="6"/>
  <c r="AW667" i="6"/>
  <c r="AV667" i="6"/>
  <c r="AM667" i="6"/>
  <c r="AL667" i="6"/>
  <c r="AI667" i="6"/>
  <c r="BA667" i="6" s="1"/>
  <c r="AG667" i="6"/>
  <c r="AF667" i="6"/>
  <c r="W667" i="6"/>
  <c r="V667" i="6"/>
  <c r="S667" i="6"/>
  <c r="R667" i="6"/>
  <c r="Q667" i="6"/>
  <c r="P667" i="6"/>
  <c r="AZ666" i="6"/>
  <c r="AY666" i="6"/>
  <c r="AX666" i="6"/>
  <c r="AW666" i="6"/>
  <c r="AV666" i="6"/>
  <c r="AM666" i="6"/>
  <c r="AL666" i="6"/>
  <c r="AI666" i="6"/>
  <c r="BA666" i="6" s="1"/>
  <c r="AG666" i="6"/>
  <c r="AF666" i="6"/>
  <c r="W666" i="6"/>
  <c r="V666" i="6"/>
  <c r="S666" i="6"/>
  <c r="R666" i="6"/>
  <c r="Q666" i="6"/>
  <c r="P666" i="6"/>
  <c r="AZ665" i="6"/>
  <c r="AY665" i="6"/>
  <c r="AX665" i="6"/>
  <c r="AW665" i="6"/>
  <c r="AV665" i="6"/>
  <c r="AM665" i="6"/>
  <c r="AL665" i="6"/>
  <c r="AI665" i="6"/>
  <c r="BA665" i="6" s="1"/>
  <c r="AG665" i="6"/>
  <c r="AF665" i="6"/>
  <c r="W665" i="6"/>
  <c r="V665" i="6"/>
  <c r="S665" i="6"/>
  <c r="R665" i="6"/>
  <c r="Q665" i="6"/>
  <c r="P665" i="6"/>
  <c r="AZ664" i="6"/>
  <c r="AY664" i="6"/>
  <c r="AX664" i="6"/>
  <c r="AW664" i="6"/>
  <c r="AV664" i="6"/>
  <c r="AM664" i="6"/>
  <c r="AL664" i="6"/>
  <c r="AI664" i="6"/>
  <c r="BA664" i="6" s="1"/>
  <c r="AG664" i="6"/>
  <c r="AF664" i="6"/>
  <c r="W664" i="6"/>
  <c r="V664" i="6"/>
  <c r="S664" i="6"/>
  <c r="R664" i="6"/>
  <c r="Q664" i="6"/>
  <c r="P664" i="6"/>
  <c r="AZ620" i="6"/>
  <c r="AY620" i="6"/>
  <c r="AX620" i="6"/>
  <c r="AW620" i="6"/>
  <c r="AV620" i="6"/>
  <c r="AM620" i="6"/>
  <c r="AL620" i="6"/>
  <c r="AI620" i="6"/>
  <c r="BA620" i="6" s="1"/>
  <c r="AG620" i="6"/>
  <c r="AF620" i="6"/>
  <c r="W620" i="6"/>
  <c r="V620" i="6"/>
  <c r="S620" i="6"/>
  <c r="R620" i="6"/>
  <c r="Q620" i="6"/>
  <c r="P620" i="6"/>
  <c r="AZ619" i="6"/>
  <c r="AY619" i="6"/>
  <c r="AX619" i="6"/>
  <c r="AW619" i="6"/>
  <c r="AV619" i="6"/>
  <c r="AM619" i="6"/>
  <c r="AL619" i="6"/>
  <c r="AI619" i="6"/>
  <c r="BA619" i="6" s="1"/>
  <c r="AG619" i="6"/>
  <c r="AF619" i="6"/>
  <c r="W619" i="6"/>
  <c r="V619" i="6"/>
  <c r="S619" i="6"/>
  <c r="R619" i="6"/>
  <c r="Q619" i="6"/>
  <c r="P619" i="6"/>
  <c r="AZ618" i="6"/>
  <c r="AY618" i="6"/>
  <c r="AX618" i="6"/>
  <c r="AW618" i="6"/>
  <c r="AV618" i="6"/>
  <c r="AM618" i="6"/>
  <c r="AL618" i="6"/>
  <c r="AI618" i="6"/>
  <c r="BA618" i="6" s="1"/>
  <c r="AG618" i="6"/>
  <c r="AF618" i="6"/>
  <c r="AE618" i="6"/>
  <c r="AC618" i="6"/>
  <c r="AA618" i="6"/>
  <c r="Y618" i="6"/>
  <c r="W618" i="6"/>
  <c r="V618" i="6"/>
  <c r="U618" i="6"/>
  <c r="S618" i="6"/>
  <c r="R618" i="6"/>
  <c r="Q618" i="6"/>
  <c r="P618" i="6"/>
  <c r="O618" i="6"/>
  <c r="M618" i="6"/>
  <c r="K618" i="6"/>
  <c r="I618" i="6"/>
  <c r="AZ617" i="6"/>
  <c r="AY617" i="6"/>
  <c r="AX617" i="6"/>
  <c r="AW617" i="6"/>
  <c r="AV617" i="6"/>
  <c r="AM617" i="6"/>
  <c r="AL617" i="6"/>
  <c r="AI617" i="6"/>
  <c r="BA617" i="6" s="1"/>
  <c r="AG617" i="6"/>
  <c r="AF617" i="6"/>
  <c r="AE617" i="6"/>
  <c r="AC617" i="6"/>
  <c r="AA617" i="6"/>
  <c r="Y617" i="6"/>
  <c r="W617" i="6"/>
  <c r="V617" i="6"/>
  <c r="U617" i="6"/>
  <c r="S617" i="6"/>
  <c r="R617" i="6"/>
  <c r="Q617" i="6"/>
  <c r="P617" i="6"/>
  <c r="O617" i="6"/>
  <c r="M617" i="6"/>
  <c r="K617" i="6"/>
  <c r="I617" i="6"/>
  <c r="AZ616" i="6"/>
  <c r="AY616" i="6"/>
  <c r="AX616" i="6"/>
  <c r="AW616" i="6"/>
  <c r="AV616" i="6"/>
  <c r="AM616" i="6"/>
  <c r="AL616" i="6"/>
  <c r="AI616" i="6"/>
  <c r="BA616" i="6" s="1"/>
  <c r="AG616" i="6"/>
  <c r="AF616" i="6"/>
  <c r="AE616" i="6"/>
  <c r="AC616" i="6"/>
  <c r="AA616" i="6"/>
  <c r="Y616" i="6"/>
  <c r="W616" i="6"/>
  <c r="V616" i="6"/>
  <c r="U616" i="6"/>
  <c r="S616" i="6"/>
  <c r="R616" i="6"/>
  <c r="Q616" i="6"/>
  <c r="P616" i="6"/>
  <c r="O616" i="6"/>
  <c r="M616" i="6"/>
  <c r="K616" i="6"/>
  <c r="I616" i="6"/>
  <c r="AZ615" i="6"/>
  <c r="AY615" i="6"/>
  <c r="AX615" i="6"/>
  <c r="AW615" i="6"/>
  <c r="AV615" i="6"/>
  <c r="AM615" i="6"/>
  <c r="AL615" i="6"/>
  <c r="AI615" i="6"/>
  <c r="BA615" i="6" s="1"/>
  <c r="AG615" i="6"/>
  <c r="AF615" i="6"/>
  <c r="AE615" i="6"/>
  <c r="AC615" i="6"/>
  <c r="AA615" i="6"/>
  <c r="Y615" i="6"/>
  <c r="W615" i="6"/>
  <c r="V615" i="6"/>
  <c r="U615" i="6"/>
  <c r="S615" i="6"/>
  <c r="R615" i="6"/>
  <c r="Q615" i="6"/>
  <c r="P615" i="6"/>
  <c r="O615" i="6"/>
  <c r="M615" i="6"/>
  <c r="K615" i="6"/>
  <c r="I615" i="6"/>
  <c r="AZ614" i="6"/>
  <c r="AY614" i="6"/>
  <c r="AX614" i="6"/>
  <c r="AW614" i="6"/>
  <c r="AV614" i="6"/>
  <c r="AM614" i="6"/>
  <c r="AL614" i="6"/>
  <c r="AI614" i="6"/>
  <c r="BA614" i="6" s="1"/>
  <c r="AG614" i="6"/>
  <c r="AF614" i="6"/>
  <c r="AE614" i="6"/>
  <c r="AC614" i="6"/>
  <c r="AA614" i="6"/>
  <c r="Y614" i="6"/>
  <c r="W614" i="6"/>
  <c r="V614" i="6"/>
  <c r="U614" i="6"/>
  <c r="S614" i="6"/>
  <c r="R614" i="6"/>
  <c r="Q614" i="6"/>
  <c r="P614" i="6"/>
  <c r="O614" i="6"/>
  <c r="M614" i="6"/>
  <c r="K614" i="6"/>
  <c r="I614" i="6"/>
  <c r="AZ613" i="6"/>
  <c r="AY613" i="6"/>
  <c r="AX613" i="6"/>
  <c r="AW613" i="6"/>
  <c r="AV613" i="6"/>
  <c r="AM613" i="6"/>
  <c r="AL613" i="6"/>
  <c r="AI613" i="6"/>
  <c r="BA613" i="6" s="1"/>
  <c r="AG613" i="6"/>
  <c r="AF613" i="6"/>
  <c r="AE613" i="6"/>
  <c r="AC613" i="6"/>
  <c r="AA613" i="6"/>
  <c r="Y613" i="6"/>
  <c r="W613" i="6"/>
  <c r="V613" i="6"/>
  <c r="U613" i="6"/>
  <c r="S613" i="6"/>
  <c r="R613" i="6"/>
  <c r="Q613" i="6"/>
  <c r="P613" i="6"/>
  <c r="O613" i="6"/>
  <c r="M613" i="6"/>
  <c r="K613" i="6"/>
  <c r="I613" i="6"/>
  <c r="AZ612" i="6"/>
  <c r="AY612" i="6"/>
  <c r="AX612" i="6"/>
  <c r="AW612" i="6"/>
  <c r="AV612" i="6"/>
  <c r="AM612" i="6"/>
  <c r="AL612" i="6"/>
  <c r="AI612" i="6"/>
  <c r="BA612" i="6" s="1"/>
  <c r="AG612" i="6"/>
  <c r="AF612" i="6"/>
  <c r="W612" i="6"/>
  <c r="V612" i="6"/>
  <c r="S612" i="6"/>
  <c r="R612" i="6"/>
  <c r="Q612" i="6"/>
  <c r="P612" i="6"/>
  <c r="AZ611" i="6"/>
  <c r="AY611" i="6"/>
  <c r="AX611" i="6"/>
  <c r="AW611" i="6"/>
  <c r="AV611" i="6"/>
  <c r="AM611" i="6"/>
  <c r="AL611" i="6"/>
  <c r="AI611" i="6"/>
  <c r="BA611" i="6" s="1"/>
  <c r="AG611" i="6"/>
  <c r="AF611" i="6"/>
  <c r="AE611" i="6"/>
  <c r="AC611" i="6"/>
  <c r="AA611" i="6"/>
  <c r="Y611" i="6"/>
  <c r="W611" i="6"/>
  <c r="V611" i="6"/>
  <c r="U611" i="6"/>
  <c r="S611" i="6"/>
  <c r="R611" i="6"/>
  <c r="Q611" i="6"/>
  <c r="P611" i="6"/>
  <c r="O611" i="6"/>
  <c r="M611" i="6"/>
  <c r="K611" i="6"/>
  <c r="I611" i="6"/>
  <c r="AZ610" i="6"/>
  <c r="AY610" i="6"/>
  <c r="AX610" i="6"/>
  <c r="AW610" i="6"/>
  <c r="AV610" i="6"/>
  <c r="AM610" i="6"/>
  <c r="AL610" i="6"/>
  <c r="AI610" i="6"/>
  <c r="BA610" i="6" s="1"/>
  <c r="AG610" i="6"/>
  <c r="AF610" i="6"/>
  <c r="AE610" i="6"/>
  <c r="AC610" i="6"/>
  <c r="AA610" i="6"/>
  <c r="Y610" i="6"/>
  <c r="W610" i="6"/>
  <c r="V610" i="6"/>
  <c r="U610" i="6"/>
  <c r="S610" i="6"/>
  <c r="R610" i="6"/>
  <c r="Q610" i="6"/>
  <c r="P610" i="6"/>
  <c r="O610" i="6"/>
  <c r="M610" i="6"/>
  <c r="K610" i="6"/>
  <c r="I610" i="6"/>
  <c r="AZ609" i="6"/>
  <c r="AY609" i="6"/>
  <c r="AX609" i="6"/>
  <c r="AW609" i="6"/>
  <c r="AV609" i="6"/>
  <c r="AM609" i="6"/>
  <c r="AL609" i="6"/>
  <c r="AI609" i="6"/>
  <c r="BA609" i="6" s="1"/>
  <c r="AG609" i="6"/>
  <c r="AF609" i="6"/>
  <c r="AE609" i="6"/>
  <c r="AC609" i="6"/>
  <c r="AA609" i="6"/>
  <c r="Y609" i="6"/>
  <c r="W609" i="6"/>
  <c r="V609" i="6"/>
  <c r="U609" i="6"/>
  <c r="S609" i="6"/>
  <c r="R609" i="6"/>
  <c r="Q609" i="6"/>
  <c r="P609" i="6"/>
  <c r="O609" i="6"/>
  <c r="M609" i="6"/>
  <c r="K609" i="6"/>
  <c r="I609" i="6"/>
  <c r="AZ608" i="6"/>
  <c r="AY608" i="6"/>
  <c r="AX608" i="6"/>
  <c r="AW608" i="6"/>
  <c r="AV608" i="6"/>
  <c r="AM608" i="6"/>
  <c r="AL608" i="6"/>
  <c r="AI608" i="6"/>
  <c r="BA608" i="6" s="1"/>
  <c r="AG608" i="6"/>
  <c r="AF608" i="6"/>
  <c r="W608" i="6"/>
  <c r="V608" i="6"/>
  <c r="S608" i="6"/>
  <c r="R608" i="6"/>
  <c r="Q608" i="6"/>
  <c r="P608" i="6"/>
  <c r="AZ607" i="6"/>
  <c r="AY607" i="6"/>
  <c r="AX607" i="6"/>
  <c r="AW607" i="6"/>
  <c r="AV607" i="6"/>
  <c r="AM607" i="6"/>
  <c r="AL607" i="6"/>
  <c r="AI607" i="6"/>
  <c r="BA607" i="6" s="1"/>
  <c r="AG607" i="6"/>
  <c r="AF607" i="6"/>
  <c r="W607" i="6"/>
  <c r="V607" i="6"/>
  <c r="S607" i="6"/>
  <c r="R607" i="6"/>
  <c r="Q607" i="6"/>
  <c r="P607" i="6"/>
  <c r="AZ606" i="6"/>
  <c r="AY606" i="6"/>
  <c r="AX606" i="6"/>
  <c r="AW606" i="6"/>
  <c r="AV606" i="6"/>
  <c r="AM606" i="6"/>
  <c r="AL606" i="6"/>
  <c r="AI606" i="6"/>
  <c r="BA606" i="6" s="1"/>
  <c r="AG606" i="6"/>
  <c r="AF606" i="6"/>
  <c r="W606" i="6"/>
  <c r="V606" i="6"/>
  <c r="S606" i="6"/>
  <c r="R606" i="6"/>
  <c r="Q606" i="6"/>
  <c r="P606" i="6"/>
  <c r="AZ605" i="6"/>
  <c r="AY605" i="6"/>
  <c r="AX605" i="6"/>
  <c r="AW605" i="6"/>
  <c r="AV605" i="6"/>
  <c r="AM605" i="6"/>
  <c r="AL605" i="6"/>
  <c r="AI605" i="6"/>
  <c r="BA605" i="6" s="1"/>
  <c r="AG605" i="6"/>
  <c r="AF605" i="6"/>
  <c r="W605" i="6"/>
  <c r="V605" i="6"/>
  <c r="S605" i="6"/>
  <c r="R605" i="6"/>
  <c r="Q605" i="6"/>
  <c r="P605" i="6"/>
  <c r="AZ604" i="6"/>
  <c r="AY604" i="6"/>
  <c r="AX604" i="6"/>
  <c r="AW604" i="6"/>
  <c r="AV604" i="6"/>
  <c r="AM604" i="6"/>
  <c r="AL604" i="6"/>
  <c r="AI604" i="6"/>
  <c r="BA604" i="6" s="1"/>
  <c r="AG604" i="6"/>
  <c r="AF604" i="6"/>
  <c r="W604" i="6"/>
  <c r="V604" i="6"/>
  <c r="S604" i="6"/>
  <c r="R604" i="6"/>
  <c r="Q604" i="6"/>
  <c r="P604" i="6"/>
  <c r="AZ603" i="6"/>
  <c r="AY603" i="6"/>
  <c r="AX603" i="6"/>
  <c r="AW603" i="6"/>
  <c r="AV603" i="6"/>
  <c r="AM603" i="6"/>
  <c r="AL603" i="6"/>
  <c r="AI603" i="6"/>
  <c r="BA603" i="6" s="1"/>
  <c r="AG603" i="6"/>
  <c r="AF603" i="6"/>
  <c r="W603" i="6"/>
  <c r="V603" i="6"/>
  <c r="S603" i="6"/>
  <c r="R603" i="6"/>
  <c r="Q603" i="6"/>
  <c r="P603" i="6"/>
  <c r="AZ602" i="6"/>
  <c r="AY602" i="6"/>
  <c r="AX602" i="6"/>
  <c r="AW602" i="6"/>
  <c r="AV602" i="6"/>
  <c r="AM602" i="6"/>
  <c r="AL602" i="6"/>
  <c r="AI602" i="6"/>
  <c r="BA602" i="6" s="1"/>
  <c r="AG602" i="6"/>
  <c r="AF602" i="6"/>
  <c r="W602" i="6"/>
  <c r="V602" i="6"/>
  <c r="S602" i="6"/>
  <c r="R602" i="6"/>
  <c r="Q602" i="6"/>
  <c r="P602" i="6"/>
  <c r="AZ601" i="6"/>
  <c r="AY601" i="6"/>
  <c r="AX601" i="6"/>
  <c r="AW601" i="6"/>
  <c r="AV601" i="6"/>
  <c r="AM601" i="6"/>
  <c r="AL601" i="6"/>
  <c r="AI601" i="6"/>
  <c r="BA601" i="6" s="1"/>
  <c r="AG601" i="6"/>
  <c r="AF601" i="6"/>
  <c r="W601" i="6"/>
  <c r="V601" i="6"/>
  <c r="S601" i="6"/>
  <c r="R601" i="6"/>
  <c r="Q601" i="6"/>
  <c r="P601" i="6"/>
  <c r="BA600" i="6"/>
  <c r="AZ600" i="6"/>
  <c r="AY600" i="6"/>
  <c r="AX600" i="6"/>
  <c r="AW600" i="6"/>
  <c r="AV600" i="6"/>
  <c r="AM600" i="6"/>
  <c r="AL600" i="6"/>
  <c r="AI600" i="6"/>
  <c r="AG600" i="6"/>
  <c r="AF600" i="6"/>
  <c r="W600" i="6"/>
  <c r="V600" i="6"/>
  <c r="S600" i="6"/>
  <c r="R600" i="6"/>
  <c r="Q600" i="6"/>
  <c r="P600" i="6"/>
  <c r="AZ599" i="6"/>
  <c r="AY599" i="6"/>
  <c r="AX599" i="6"/>
  <c r="AW599" i="6"/>
  <c r="AV599" i="6"/>
  <c r="AM599" i="6"/>
  <c r="AL599" i="6"/>
  <c r="AI599" i="6"/>
  <c r="BA599" i="6" s="1"/>
  <c r="AG599" i="6"/>
  <c r="AF599" i="6"/>
  <c r="W599" i="6"/>
  <c r="V599" i="6"/>
  <c r="S599" i="6"/>
  <c r="R599" i="6"/>
  <c r="Q599" i="6"/>
  <c r="P599" i="6"/>
  <c r="AZ598" i="6"/>
  <c r="AY598" i="6"/>
  <c r="AX598" i="6"/>
  <c r="AW598" i="6"/>
  <c r="AV598" i="6"/>
  <c r="AM598" i="6"/>
  <c r="AL598" i="6"/>
  <c r="AI598" i="6"/>
  <c r="BA598" i="6" s="1"/>
  <c r="AG598" i="6"/>
  <c r="AF598" i="6"/>
  <c r="W598" i="6"/>
  <c r="V598" i="6"/>
  <c r="S598" i="6"/>
  <c r="R598" i="6"/>
  <c r="Q598" i="6"/>
  <c r="P598" i="6"/>
  <c r="AZ597" i="6"/>
  <c r="AY597" i="6"/>
  <c r="AX597" i="6"/>
  <c r="AW597" i="6"/>
  <c r="AV597" i="6"/>
  <c r="AM597" i="6"/>
  <c r="AL597" i="6"/>
  <c r="AI597" i="6"/>
  <c r="BA597" i="6" s="1"/>
  <c r="AG597" i="6"/>
  <c r="AF597" i="6"/>
  <c r="W597" i="6"/>
  <c r="V597" i="6"/>
  <c r="S597" i="6"/>
  <c r="R597" i="6"/>
  <c r="Q597" i="6"/>
  <c r="P597" i="6"/>
  <c r="AZ596" i="6"/>
  <c r="AY596" i="6"/>
  <c r="AX596" i="6"/>
  <c r="AW596" i="6"/>
  <c r="AV596" i="6"/>
  <c r="AM596" i="6"/>
  <c r="AL596" i="6"/>
  <c r="AI596" i="6"/>
  <c r="BA596" i="6" s="1"/>
  <c r="AG596" i="6"/>
  <c r="AF596" i="6"/>
  <c r="W596" i="6"/>
  <c r="V596" i="6"/>
  <c r="S596" i="6"/>
  <c r="R596" i="6"/>
  <c r="Q596" i="6"/>
  <c r="P596" i="6"/>
  <c r="AZ595" i="6"/>
  <c r="AY595" i="6"/>
  <c r="AX595" i="6"/>
  <c r="AW595" i="6"/>
  <c r="AV595" i="6"/>
  <c r="AM595" i="6"/>
  <c r="AL595" i="6"/>
  <c r="AI595" i="6"/>
  <c r="BA595" i="6" s="1"/>
  <c r="AG595" i="6"/>
  <c r="AF595" i="6"/>
  <c r="W595" i="6"/>
  <c r="V595" i="6"/>
  <c r="S595" i="6"/>
  <c r="R595" i="6"/>
  <c r="Q595" i="6"/>
  <c r="P595" i="6"/>
  <c r="AZ594" i="6"/>
  <c r="AY594" i="6"/>
  <c r="AX594" i="6"/>
  <c r="AW594" i="6"/>
  <c r="AV594" i="6"/>
  <c r="AM594" i="6"/>
  <c r="AL594" i="6"/>
  <c r="AI594" i="6"/>
  <c r="BA594" i="6" s="1"/>
  <c r="AG594" i="6"/>
  <c r="AF594" i="6"/>
  <c r="W594" i="6"/>
  <c r="V594" i="6"/>
  <c r="S594" i="6"/>
  <c r="R594" i="6"/>
  <c r="Q594" i="6"/>
  <c r="P594" i="6"/>
  <c r="AZ593" i="6"/>
  <c r="AY593" i="6"/>
  <c r="AX593" i="6"/>
  <c r="AW593" i="6"/>
  <c r="AV593" i="6"/>
  <c r="AM593" i="6"/>
  <c r="AL593" i="6"/>
  <c r="AI593" i="6"/>
  <c r="BA593" i="6" s="1"/>
  <c r="AG593" i="6"/>
  <c r="AF593" i="6"/>
  <c r="W593" i="6"/>
  <c r="V593" i="6"/>
  <c r="S593" i="6"/>
  <c r="R593" i="6"/>
  <c r="Q593" i="6"/>
  <c r="P593" i="6"/>
  <c r="AZ592" i="6"/>
  <c r="AY592" i="6"/>
  <c r="AX592" i="6"/>
  <c r="AW592" i="6"/>
  <c r="AV592" i="6"/>
  <c r="AM592" i="6"/>
  <c r="AL592" i="6"/>
  <c r="AI592" i="6"/>
  <c r="BA592" i="6" s="1"/>
  <c r="AG592" i="6"/>
  <c r="AF592" i="6"/>
  <c r="W592" i="6"/>
  <c r="V592" i="6"/>
  <c r="S592" i="6"/>
  <c r="R592" i="6"/>
  <c r="Q592" i="6"/>
  <c r="P592" i="6"/>
  <c r="AZ591" i="6"/>
  <c r="AY591" i="6"/>
  <c r="AX591" i="6"/>
  <c r="AW591" i="6"/>
  <c r="AV591" i="6"/>
  <c r="AM591" i="6"/>
  <c r="AL591" i="6"/>
  <c r="AI591" i="6"/>
  <c r="BA591" i="6" s="1"/>
  <c r="AG591" i="6"/>
  <c r="AF591" i="6"/>
  <c r="W591" i="6"/>
  <c r="V591" i="6"/>
  <c r="S591" i="6"/>
  <c r="R591" i="6"/>
  <c r="Q591" i="6"/>
  <c r="P591" i="6"/>
  <c r="AZ590" i="6"/>
  <c r="AY590" i="6"/>
  <c r="AX590" i="6"/>
  <c r="AW590" i="6"/>
  <c r="AV590" i="6"/>
  <c r="AM590" i="6"/>
  <c r="AL590" i="6"/>
  <c r="AI590" i="6"/>
  <c r="BA590" i="6" s="1"/>
  <c r="AG590" i="6"/>
  <c r="AF590" i="6"/>
  <c r="W590" i="6"/>
  <c r="V590" i="6"/>
  <c r="S590" i="6"/>
  <c r="R590" i="6"/>
  <c r="Q590" i="6"/>
  <c r="P590" i="6"/>
  <c r="AZ589" i="6"/>
  <c r="AY589" i="6"/>
  <c r="AX589" i="6"/>
  <c r="AW589" i="6"/>
  <c r="AV589" i="6"/>
  <c r="AM589" i="6"/>
  <c r="AL589" i="6"/>
  <c r="AI589" i="6"/>
  <c r="BA589" i="6" s="1"/>
  <c r="AG589" i="6"/>
  <c r="AF589" i="6"/>
  <c r="W589" i="6"/>
  <c r="V589" i="6"/>
  <c r="S589" i="6"/>
  <c r="R589" i="6"/>
  <c r="Q589" i="6"/>
  <c r="P589" i="6"/>
  <c r="AZ588" i="6"/>
  <c r="AY588" i="6"/>
  <c r="AX588" i="6"/>
  <c r="AW588" i="6"/>
  <c r="AV588" i="6"/>
  <c r="AM588" i="6"/>
  <c r="AL588" i="6"/>
  <c r="AI588" i="6"/>
  <c r="BA588" i="6" s="1"/>
  <c r="AG588" i="6"/>
  <c r="AF588" i="6"/>
  <c r="W588" i="6"/>
  <c r="V588" i="6"/>
  <c r="S588" i="6"/>
  <c r="R588" i="6"/>
  <c r="Q588" i="6"/>
  <c r="P588" i="6"/>
  <c r="AZ587" i="6"/>
  <c r="AY587" i="6"/>
  <c r="AX587" i="6"/>
  <c r="AW587" i="6"/>
  <c r="AV587" i="6"/>
  <c r="AM587" i="6"/>
  <c r="AL587" i="6"/>
  <c r="AI587" i="6"/>
  <c r="BA587" i="6" s="1"/>
  <c r="AG587" i="6"/>
  <c r="AF587" i="6"/>
  <c r="W587" i="6"/>
  <c r="V587" i="6"/>
  <c r="S587" i="6"/>
  <c r="R587" i="6"/>
  <c r="Q587" i="6"/>
  <c r="P587" i="6"/>
  <c r="AZ586" i="6"/>
  <c r="AY586" i="6"/>
  <c r="AX586" i="6"/>
  <c r="AW586" i="6"/>
  <c r="AV586" i="6"/>
  <c r="AM586" i="6"/>
  <c r="AL586" i="6"/>
  <c r="AI586" i="6"/>
  <c r="BA586" i="6" s="1"/>
  <c r="AG586" i="6"/>
  <c r="AF586" i="6"/>
  <c r="W586" i="6"/>
  <c r="V586" i="6"/>
  <c r="S586" i="6"/>
  <c r="R586" i="6"/>
  <c r="Q586" i="6"/>
  <c r="P586" i="6"/>
  <c r="AZ585" i="6"/>
  <c r="AY585" i="6"/>
  <c r="AX585" i="6"/>
  <c r="AW585" i="6"/>
  <c r="AV585" i="6"/>
  <c r="AM585" i="6"/>
  <c r="AL585" i="6"/>
  <c r="AI585" i="6"/>
  <c r="BA585" i="6" s="1"/>
  <c r="AG585" i="6"/>
  <c r="AF585" i="6"/>
  <c r="W585" i="6"/>
  <c r="V585" i="6"/>
  <c r="S585" i="6"/>
  <c r="R585" i="6"/>
  <c r="Q585" i="6"/>
  <c r="P585" i="6"/>
  <c r="AZ584" i="6"/>
  <c r="AY584" i="6"/>
  <c r="AX584" i="6"/>
  <c r="AW584" i="6"/>
  <c r="AV584" i="6"/>
  <c r="AM584" i="6"/>
  <c r="AL584" i="6"/>
  <c r="AI584" i="6"/>
  <c r="BA584" i="6" s="1"/>
  <c r="AG584" i="6"/>
  <c r="AF584" i="6"/>
  <c r="W584" i="6"/>
  <c r="V584" i="6"/>
  <c r="S584" i="6"/>
  <c r="R584" i="6"/>
  <c r="Q584" i="6"/>
  <c r="P584" i="6"/>
  <c r="AZ583" i="6"/>
  <c r="AY583" i="6"/>
  <c r="AX583" i="6"/>
  <c r="AW583" i="6"/>
  <c r="AV583" i="6"/>
  <c r="AM583" i="6"/>
  <c r="AL583" i="6"/>
  <c r="AI583" i="6"/>
  <c r="BA583" i="6" s="1"/>
  <c r="AG583" i="6"/>
  <c r="AF583" i="6"/>
  <c r="W583" i="6"/>
  <c r="V583" i="6"/>
  <c r="S583" i="6"/>
  <c r="R583" i="6"/>
  <c r="Q583" i="6"/>
  <c r="P583" i="6"/>
  <c r="AZ582" i="6"/>
  <c r="AY582" i="6"/>
  <c r="AX582" i="6"/>
  <c r="AW582" i="6"/>
  <c r="AV582" i="6"/>
  <c r="AM582" i="6"/>
  <c r="AL582" i="6"/>
  <c r="AI582" i="6"/>
  <c r="BA582" i="6" s="1"/>
  <c r="AG582" i="6"/>
  <c r="AF582" i="6"/>
  <c r="W582" i="6"/>
  <c r="V582" i="6"/>
  <c r="S582" i="6"/>
  <c r="R582" i="6"/>
  <c r="Q582" i="6"/>
  <c r="P582" i="6"/>
  <c r="AZ581" i="6"/>
  <c r="AY581" i="6"/>
  <c r="AX581" i="6"/>
  <c r="AW581" i="6"/>
  <c r="AV581" i="6"/>
  <c r="AM581" i="6"/>
  <c r="AL581" i="6"/>
  <c r="AI581" i="6"/>
  <c r="BA581" i="6" s="1"/>
  <c r="AG581" i="6"/>
  <c r="AF581" i="6"/>
  <c r="W581" i="6"/>
  <c r="V581" i="6"/>
  <c r="S581" i="6"/>
  <c r="R581" i="6"/>
  <c r="Q581" i="6"/>
  <c r="P581" i="6"/>
  <c r="AZ580" i="6"/>
  <c r="AY580" i="6"/>
  <c r="AX580" i="6"/>
  <c r="AW580" i="6"/>
  <c r="AV580" i="6"/>
  <c r="AM580" i="6"/>
  <c r="AL580" i="6"/>
  <c r="AI580" i="6"/>
  <c r="BA580" i="6" s="1"/>
  <c r="AG580" i="6"/>
  <c r="AF580" i="6"/>
  <c r="W580" i="6"/>
  <c r="V580" i="6"/>
  <c r="S580" i="6"/>
  <c r="R580" i="6"/>
  <c r="Q580" i="6"/>
  <c r="P580" i="6"/>
  <c r="AZ579" i="6"/>
  <c r="AY579" i="6"/>
  <c r="AX579" i="6"/>
  <c r="AW579" i="6"/>
  <c r="AV579" i="6"/>
  <c r="AM579" i="6"/>
  <c r="AL579" i="6"/>
  <c r="AI579" i="6"/>
  <c r="BA579" i="6" s="1"/>
  <c r="AG579" i="6"/>
  <c r="AF579" i="6"/>
  <c r="W579" i="6"/>
  <c r="V579" i="6"/>
  <c r="S579" i="6"/>
  <c r="R579" i="6"/>
  <c r="Q579" i="6"/>
  <c r="P579" i="6"/>
  <c r="AZ578" i="6"/>
  <c r="AY578" i="6"/>
  <c r="AX578" i="6"/>
  <c r="AW578" i="6"/>
  <c r="AV578" i="6"/>
  <c r="AM578" i="6"/>
  <c r="AL578" i="6"/>
  <c r="AI578" i="6"/>
  <c r="BA578" i="6" s="1"/>
  <c r="AG578" i="6"/>
  <c r="AF578" i="6"/>
  <c r="W578" i="6"/>
  <c r="V578" i="6"/>
  <c r="S578" i="6"/>
  <c r="R578" i="6"/>
  <c r="Q578" i="6"/>
  <c r="P578" i="6"/>
  <c r="AZ577" i="6"/>
  <c r="AY577" i="6"/>
  <c r="AX577" i="6"/>
  <c r="AW577" i="6"/>
  <c r="AV577" i="6"/>
  <c r="AM577" i="6"/>
  <c r="AL577" i="6"/>
  <c r="AI577" i="6"/>
  <c r="BA577" i="6" s="1"/>
  <c r="AG577" i="6"/>
  <c r="AF577" i="6"/>
  <c r="W577" i="6"/>
  <c r="V577" i="6"/>
  <c r="S577" i="6"/>
  <c r="R577" i="6"/>
  <c r="Q577" i="6"/>
  <c r="P577" i="6"/>
  <c r="AZ576" i="6"/>
  <c r="AY576" i="6"/>
  <c r="AX576" i="6"/>
  <c r="AW576" i="6"/>
  <c r="AV576" i="6"/>
  <c r="AM576" i="6"/>
  <c r="AL576" i="6"/>
  <c r="AI576" i="6"/>
  <c r="BA576" i="6" s="1"/>
  <c r="AG576" i="6"/>
  <c r="AF576" i="6"/>
  <c r="W576" i="6"/>
  <c r="V576" i="6"/>
  <c r="S576" i="6"/>
  <c r="R576" i="6"/>
  <c r="Q576" i="6"/>
  <c r="P576" i="6"/>
  <c r="AZ575" i="6"/>
  <c r="AY575" i="6"/>
  <c r="AX575" i="6"/>
  <c r="AW575" i="6"/>
  <c r="AV575" i="6"/>
  <c r="AM575" i="6"/>
  <c r="AL575" i="6"/>
  <c r="AI575" i="6"/>
  <c r="BA575" i="6" s="1"/>
  <c r="AG575" i="6"/>
  <c r="AF575" i="6"/>
  <c r="W575" i="6"/>
  <c r="V575" i="6"/>
  <c r="S575" i="6"/>
  <c r="R575" i="6"/>
  <c r="Q575" i="6"/>
  <c r="P575" i="6"/>
  <c r="AZ574" i="6"/>
  <c r="AY574" i="6"/>
  <c r="AX574" i="6"/>
  <c r="AW574" i="6"/>
  <c r="AV574" i="6"/>
  <c r="AM574" i="6"/>
  <c r="AL574" i="6"/>
  <c r="AI574" i="6"/>
  <c r="BA574" i="6" s="1"/>
  <c r="AG574" i="6"/>
  <c r="AF574" i="6"/>
  <c r="W574" i="6"/>
  <c r="V574" i="6"/>
  <c r="S574" i="6"/>
  <c r="R574" i="6"/>
  <c r="Q574" i="6"/>
  <c r="P574" i="6"/>
  <c r="AZ573" i="6"/>
  <c r="AY573" i="6"/>
  <c r="AX573" i="6"/>
  <c r="AW573" i="6"/>
  <c r="AV573" i="6"/>
  <c r="AM573" i="6"/>
  <c r="AL573" i="6"/>
  <c r="AI573" i="6"/>
  <c r="BA573" i="6" s="1"/>
  <c r="AG573" i="6"/>
  <c r="AF573" i="6"/>
  <c r="W573" i="6"/>
  <c r="V573" i="6"/>
  <c r="S573" i="6"/>
  <c r="R573" i="6"/>
  <c r="Q573" i="6"/>
  <c r="P573" i="6"/>
  <c r="AZ572" i="6"/>
  <c r="AY572" i="6"/>
  <c r="AX572" i="6"/>
  <c r="AW572" i="6"/>
  <c r="AV572" i="6"/>
  <c r="AM572" i="6"/>
  <c r="AL572" i="6"/>
  <c r="AI572" i="6"/>
  <c r="BA572" i="6" s="1"/>
  <c r="AG572" i="6"/>
  <c r="AF572" i="6"/>
  <c r="W572" i="6"/>
  <c r="V572" i="6"/>
  <c r="S572" i="6"/>
  <c r="R572" i="6"/>
  <c r="Q572" i="6"/>
  <c r="P572" i="6"/>
  <c r="AZ571" i="6"/>
  <c r="AY571" i="6"/>
  <c r="AX571" i="6"/>
  <c r="AW571" i="6"/>
  <c r="AV571" i="6"/>
  <c r="AM571" i="6"/>
  <c r="AL571" i="6"/>
  <c r="AI571" i="6"/>
  <c r="BA571" i="6" s="1"/>
  <c r="AG571" i="6"/>
  <c r="AF571" i="6"/>
  <c r="W571" i="6"/>
  <c r="V571" i="6"/>
  <c r="S571" i="6"/>
  <c r="R571" i="6"/>
  <c r="Q571" i="6"/>
  <c r="P571" i="6"/>
  <c r="AZ570" i="6"/>
  <c r="AY570" i="6"/>
  <c r="AX570" i="6"/>
  <c r="AW570" i="6"/>
  <c r="AV570" i="6"/>
  <c r="AM570" i="6"/>
  <c r="AL570" i="6"/>
  <c r="AI570" i="6"/>
  <c r="BA570" i="6" s="1"/>
  <c r="AG570" i="6"/>
  <c r="AF570" i="6"/>
  <c r="W570" i="6"/>
  <c r="V570" i="6"/>
  <c r="S570" i="6"/>
  <c r="R570" i="6"/>
  <c r="Q570" i="6"/>
  <c r="P570" i="6"/>
  <c r="AZ569" i="6"/>
  <c r="AY569" i="6"/>
  <c r="AX569" i="6"/>
  <c r="AW569" i="6"/>
  <c r="AV569" i="6"/>
  <c r="AM569" i="6"/>
  <c r="AL569" i="6"/>
  <c r="AI569" i="6"/>
  <c r="BA569" i="6" s="1"/>
  <c r="AG569" i="6"/>
  <c r="AF569" i="6"/>
  <c r="W569" i="6"/>
  <c r="V569" i="6"/>
  <c r="S569" i="6"/>
  <c r="R569" i="6"/>
  <c r="Q569" i="6"/>
  <c r="P569" i="6"/>
  <c r="BA568" i="6"/>
  <c r="AZ568" i="6"/>
  <c r="AY568" i="6"/>
  <c r="AX568" i="6"/>
  <c r="AW568" i="6"/>
  <c r="AV568" i="6"/>
  <c r="AM568" i="6"/>
  <c r="AL568" i="6"/>
  <c r="AI568" i="6"/>
  <c r="AG568" i="6"/>
  <c r="AF568" i="6"/>
  <c r="W568" i="6"/>
  <c r="V568" i="6"/>
  <c r="S568" i="6"/>
  <c r="R568" i="6"/>
  <c r="Q568" i="6"/>
  <c r="P568" i="6"/>
  <c r="AZ567" i="6"/>
  <c r="AY567" i="6"/>
  <c r="AX567" i="6"/>
  <c r="AW567" i="6"/>
  <c r="AV567" i="6"/>
  <c r="AM567" i="6"/>
  <c r="AL567" i="6"/>
  <c r="AI567" i="6"/>
  <c r="BA567" i="6" s="1"/>
  <c r="AG567" i="6"/>
  <c r="AF567" i="6"/>
  <c r="W567" i="6"/>
  <c r="V567" i="6"/>
  <c r="S567" i="6"/>
  <c r="R567" i="6"/>
  <c r="Q567" i="6"/>
  <c r="P567" i="6"/>
  <c r="AZ566" i="6"/>
  <c r="AY566" i="6"/>
  <c r="AX566" i="6"/>
  <c r="AW566" i="6"/>
  <c r="AV566" i="6"/>
  <c r="AM566" i="6"/>
  <c r="AL566" i="6"/>
  <c r="AI566" i="6"/>
  <c r="BA566" i="6" s="1"/>
  <c r="AG566" i="6"/>
  <c r="AF566" i="6"/>
  <c r="W566" i="6"/>
  <c r="V566" i="6"/>
  <c r="S566" i="6"/>
  <c r="R566" i="6"/>
  <c r="Q566" i="6"/>
  <c r="P566" i="6"/>
  <c r="AZ565" i="6"/>
  <c r="AY565" i="6"/>
  <c r="AX565" i="6"/>
  <c r="AW565" i="6"/>
  <c r="AV565" i="6"/>
  <c r="AM565" i="6"/>
  <c r="AL565" i="6"/>
  <c r="AI565" i="6"/>
  <c r="BA565" i="6" s="1"/>
  <c r="AG565" i="6"/>
  <c r="AF565" i="6"/>
  <c r="W565" i="6"/>
  <c r="V565" i="6"/>
  <c r="S565" i="6"/>
  <c r="R565" i="6"/>
  <c r="Q565" i="6"/>
  <c r="P565" i="6"/>
  <c r="AZ564" i="6"/>
  <c r="AY564" i="6"/>
  <c r="AX564" i="6"/>
  <c r="AW564" i="6"/>
  <c r="AV564" i="6"/>
  <c r="AM564" i="6"/>
  <c r="AL564" i="6"/>
  <c r="AI564" i="6"/>
  <c r="BA564" i="6" s="1"/>
  <c r="AG564" i="6"/>
  <c r="AF564" i="6"/>
  <c r="W564" i="6"/>
  <c r="V564" i="6"/>
  <c r="S564" i="6"/>
  <c r="R564" i="6"/>
  <c r="Q564" i="6"/>
  <c r="P564" i="6"/>
  <c r="AZ563" i="6"/>
  <c r="AY563" i="6"/>
  <c r="AX563" i="6"/>
  <c r="AW563" i="6"/>
  <c r="AV563" i="6"/>
  <c r="AM563" i="6"/>
  <c r="AL563" i="6"/>
  <c r="AI563" i="6"/>
  <c r="BA563" i="6" s="1"/>
  <c r="AG563" i="6"/>
  <c r="AF563" i="6"/>
  <c r="W563" i="6"/>
  <c r="V563" i="6"/>
  <c r="S563" i="6"/>
  <c r="R563" i="6"/>
  <c r="Q563" i="6"/>
  <c r="P563" i="6"/>
  <c r="AZ562" i="6"/>
  <c r="AY562" i="6"/>
  <c r="AX562" i="6"/>
  <c r="AW562" i="6"/>
  <c r="AV562" i="6"/>
  <c r="AM562" i="6"/>
  <c r="AL562" i="6"/>
  <c r="AI562" i="6"/>
  <c r="BA562" i="6" s="1"/>
  <c r="AG562" i="6"/>
  <c r="AF562" i="6"/>
  <c r="W562" i="6"/>
  <c r="V562" i="6"/>
  <c r="S562" i="6"/>
  <c r="R562" i="6"/>
  <c r="Q562" i="6"/>
  <c r="P562" i="6"/>
  <c r="AZ561" i="6"/>
  <c r="AY561" i="6"/>
  <c r="AX561" i="6"/>
  <c r="AW561" i="6"/>
  <c r="AV561" i="6"/>
  <c r="AM561" i="6"/>
  <c r="AL561" i="6"/>
  <c r="AI561" i="6"/>
  <c r="BA561" i="6" s="1"/>
  <c r="AG561" i="6"/>
  <c r="AF561" i="6"/>
  <c r="W561" i="6"/>
  <c r="V561" i="6"/>
  <c r="S561" i="6"/>
  <c r="R561" i="6"/>
  <c r="Q561" i="6"/>
  <c r="P561" i="6"/>
  <c r="BA560" i="6"/>
  <c r="AZ560" i="6"/>
  <c r="AY560" i="6"/>
  <c r="AX560" i="6"/>
  <c r="AW560" i="6"/>
  <c r="AV560" i="6"/>
  <c r="AM560" i="6"/>
  <c r="AL560" i="6"/>
  <c r="AI560" i="6"/>
  <c r="AG560" i="6"/>
  <c r="AF560" i="6"/>
  <c r="W560" i="6"/>
  <c r="V560" i="6"/>
  <c r="S560" i="6"/>
  <c r="R560" i="6"/>
  <c r="Q560" i="6"/>
  <c r="P560" i="6"/>
  <c r="AZ559" i="6"/>
  <c r="AY559" i="6"/>
  <c r="AX559" i="6"/>
  <c r="AW559" i="6"/>
  <c r="AV559" i="6"/>
  <c r="AM559" i="6"/>
  <c r="AL559" i="6"/>
  <c r="AI559" i="6"/>
  <c r="BA559" i="6" s="1"/>
  <c r="AG559" i="6"/>
  <c r="AF559" i="6"/>
  <c r="W559" i="6"/>
  <c r="V559" i="6"/>
  <c r="S559" i="6"/>
  <c r="R559" i="6"/>
  <c r="Q559" i="6"/>
  <c r="P559" i="6"/>
  <c r="AZ558" i="6"/>
  <c r="AY558" i="6"/>
  <c r="AX558" i="6"/>
  <c r="AW558" i="6"/>
  <c r="AV558" i="6"/>
  <c r="AM558" i="6"/>
  <c r="AL558" i="6"/>
  <c r="AI558" i="6"/>
  <c r="BA558" i="6" s="1"/>
  <c r="AG558" i="6"/>
  <c r="AF558" i="6"/>
  <c r="W558" i="6"/>
  <c r="V558" i="6"/>
  <c r="S558" i="6"/>
  <c r="R558" i="6"/>
  <c r="Q558" i="6"/>
  <c r="P558" i="6"/>
  <c r="AZ557" i="6"/>
  <c r="AY557" i="6"/>
  <c r="AX557" i="6"/>
  <c r="AW557" i="6"/>
  <c r="AV557" i="6"/>
  <c r="AM557" i="6"/>
  <c r="AL557" i="6"/>
  <c r="AI557" i="6"/>
  <c r="BA557" i="6" s="1"/>
  <c r="AG557" i="6"/>
  <c r="AF557" i="6"/>
  <c r="W557" i="6"/>
  <c r="V557" i="6"/>
  <c r="S557" i="6"/>
  <c r="R557" i="6"/>
  <c r="Q557" i="6"/>
  <c r="P557" i="6"/>
  <c r="AZ556" i="6"/>
  <c r="AY556" i="6"/>
  <c r="AX556" i="6"/>
  <c r="AW556" i="6"/>
  <c r="AV556" i="6"/>
  <c r="AM556" i="6"/>
  <c r="AL556" i="6"/>
  <c r="AI556" i="6"/>
  <c r="BA556" i="6" s="1"/>
  <c r="AG556" i="6"/>
  <c r="AF556" i="6"/>
  <c r="W556" i="6"/>
  <c r="V556" i="6"/>
  <c r="S556" i="6"/>
  <c r="R556" i="6"/>
  <c r="Q556" i="6"/>
  <c r="P556" i="6"/>
  <c r="AZ555" i="6"/>
  <c r="AY555" i="6"/>
  <c r="AX555" i="6"/>
  <c r="AW555" i="6"/>
  <c r="AV555" i="6"/>
  <c r="AM555" i="6"/>
  <c r="AL555" i="6"/>
  <c r="AI555" i="6"/>
  <c r="BA555" i="6" s="1"/>
  <c r="AG555" i="6"/>
  <c r="AF555" i="6"/>
  <c r="W555" i="6"/>
  <c r="V555" i="6"/>
  <c r="S555" i="6"/>
  <c r="R555" i="6"/>
  <c r="Q555" i="6"/>
  <c r="P555" i="6"/>
  <c r="AZ554" i="6"/>
  <c r="AY554" i="6"/>
  <c r="AX554" i="6"/>
  <c r="AW554" i="6"/>
  <c r="AV554" i="6"/>
  <c r="AM554" i="6"/>
  <c r="AL554" i="6"/>
  <c r="AI554" i="6"/>
  <c r="BA554" i="6" s="1"/>
  <c r="AG554" i="6"/>
  <c r="AF554" i="6"/>
  <c r="W554" i="6"/>
  <c r="V554" i="6"/>
  <c r="S554" i="6"/>
  <c r="R554" i="6"/>
  <c r="Q554" i="6"/>
  <c r="P554" i="6"/>
  <c r="AZ553" i="6"/>
  <c r="AY553" i="6"/>
  <c r="AX553" i="6"/>
  <c r="AW553" i="6"/>
  <c r="AV553" i="6"/>
  <c r="AM553" i="6"/>
  <c r="AL553" i="6"/>
  <c r="AI553" i="6"/>
  <c r="BA553" i="6" s="1"/>
  <c r="AG553" i="6"/>
  <c r="AF553" i="6"/>
  <c r="W553" i="6"/>
  <c r="V553" i="6"/>
  <c r="S553" i="6"/>
  <c r="R553" i="6"/>
  <c r="Q553" i="6"/>
  <c r="P553" i="6"/>
  <c r="AZ552" i="6"/>
  <c r="AY552" i="6"/>
  <c r="AX552" i="6"/>
  <c r="AW552" i="6"/>
  <c r="AV552" i="6"/>
  <c r="AM552" i="6"/>
  <c r="AL552" i="6"/>
  <c r="AI552" i="6"/>
  <c r="BA552" i="6" s="1"/>
  <c r="AG552" i="6"/>
  <c r="AF552" i="6"/>
  <c r="W552" i="6"/>
  <c r="V552" i="6"/>
  <c r="S552" i="6"/>
  <c r="R552" i="6"/>
  <c r="Q552" i="6"/>
  <c r="P552" i="6"/>
  <c r="AZ551" i="6"/>
  <c r="AY551" i="6"/>
  <c r="AX551" i="6"/>
  <c r="AW551" i="6"/>
  <c r="AV551" i="6"/>
  <c r="AM551" i="6"/>
  <c r="AL551" i="6"/>
  <c r="AI551" i="6"/>
  <c r="BA551" i="6" s="1"/>
  <c r="AG551" i="6"/>
  <c r="AF551" i="6"/>
  <c r="W551" i="6"/>
  <c r="V551" i="6"/>
  <c r="S551" i="6"/>
  <c r="R551" i="6"/>
  <c r="Q551" i="6"/>
  <c r="P551" i="6"/>
  <c r="AZ550" i="6"/>
  <c r="AY550" i="6"/>
  <c r="AX550" i="6"/>
  <c r="AW550" i="6"/>
  <c r="AV550" i="6"/>
  <c r="AM550" i="6"/>
  <c r="AL550" i="6"/>
  <c r="AI550" i="6"/>
  <c r="BA550" i="6" s="1"/>
  <c r="AG550" i="6"/>
  <c r="AF550" i="6"/>
  <c r="W550" i="6"/>
  <c r="V550" i="6"/>
  <c r="S550" i="6"/>
  <c r="R550" i="6"/>
  <c r="Q550" i="6"/>
  <c r="P550" i="6"/>
  <c r="AZ549" i="6"/>
  <c r="AY549" i="6"/>
  <c r="AX549" i="6"/>
  <c r="AW549" i="6"/>
  <c r="AV549" i="6"/>
  <c r="AM549" i="6"/>
  <c r="AL549" i="6"/>
  <c r="AI549" i="6"/>
  <c r="BA549" i="6" s="1"/>
  <c r="AG549" i="6"/>
  <c r="AF549" i="6"/>
  <c r="W549" i="6"/>
  <c r="V549" i="6"/>
  <c r="S549" i="6"/>
  <c r="R549" i="6"/>
  <c r="Q549" i="6"/>
  <c r="P549" i="6"/>
  <c r="AZ548" i="6"/>
  <c r="AY548" i="6"/>
  <c r="AX548" i="6"/>
  <c r="AW548" i="6"/>
  <c r="AV548" i="6"/>
  <c r="AM548" i="6"/>
  <c r="AL548" i="6"/>
  <c r="AI548" i="6"/>
  <c r="BA548" i="6" s="1"/>
  <c r="AG548" i="6"/>
  <c r="AF548" i="6"/>
  <c r="W548" i="6"/>
  <c r="V548" i="6"/>
  <c r="S548" i="6"/>
  <c r="R548" i="6"/>
  <c r="Q548" i="6"/>
  <c r="P548" i="6"/>
  <c r="AZ547" i="6"/>
  <c r="AY547" i="6"/>
  <c r="AX547" i="6"/>
  <c r="AW547" i="6"/>
  <c r="AV547" i="6"/>
  <c r="AM547" i="6"/>
  <c r="AL547" i="6"/>
  <c r="AI547" i="6"/>
  <c r="BA547" i="6" s="1"/>
  <c r="AG547" i="6"/>
  <c r="AF547" i="6"/>
  <c r="W547" i="6"/>
  <c r="V547" i="6"/>
  <c r="S547" i="6"/>
  <c r="R547" i="6"/>
  <c r="Q547" i="6"/>
  <c r="P547" i="6"/>
  <c r="AZ546" i="6"/>
  <c r="AY546" i="6"/>
  <c r="AX546" i="6"/>
  <c r="AW546" i="6"/>
  <c r="AV546" i="6"/>
  <c r="AM546" i="6"/>
  <c r="AL546" i="6"/>
  <c r="AI546" i="6"/>
  <c r="BA546" i="6" s="1"/>
  <c r="AG546" i="6"/>
  <c r="AF546" i="6"/>
  <c r="W546" i="6"/>
  <c r="V546" i="6"/>
  <c r="S546" i="6"/>
  <c r="R546" i="6"/>
  <c r="Q546" i="6"/>
  <c r="P546" i="6"/>
  <c r="AZ545" i="6"/>
  <c r="AY545" i="6"/>
  <c r="AX545" i="6"/>
  <c r="AW545" i="6"/>
  <c r="AV545" i="6"/>
  <c r="AM545" i="6"/>
  <c r="AL545" i="6"/>
  <c r="AI545" i="6"/>
  <c r="BA545" i="6" s="1"/>
  <c r="AG545" i="6"/>
  <c r="AF545" i="6"/>
  <c r="W545" i="6"/>
  <c r="V545" i="6"/>
  <c r="S545" i="6"/>
  <c r="R545" i="6"/>
  <c r="Q545" i="6"/>
  <c r="P545" i="6"/>
  <c r="AZ544" i="6"/>
  <c r="AY544" i="6"/>
  <c r="AX544" i="6"/>
  <c r="AW544" i="6"/>
  <c r="AV544" i="6"/>
  <c r="AM544" i="6"/>
  <c r="AL544" i="6"/>
  <c r="AI544" i="6"/>
  <c r="BA544" i="6" s="1"/>
  <c r="AG544" i="6"/>
  <c r="AF544" i="6"/>
  <c r="W544" i="6"/>
  <c r="V544" i="6"/>
  <c r="S544" i="6"/>
  <c r="R544" i="6"/>
  <c r="Q544" i="6"/>
  <c r="P544" i="6"/>
  <c r="AZ543" i="6"/>
  <c r="AY543" i="6"/>
  <c r="AX543" i="6"/>
  <c r="AW543" i="6"/>
  <c r="AV543" i="6"/>
  <c r="AM543" i="6"/>
  <c r="AL543" i="6"/>
  <c r="AI543" i="6"/>
  <c r="BA543" i="6" s="1"/>
  <c r="AG543" i="6"/>
  <c r="AF543" i="6"/>
  <c r="W543" i="6"/>
  <c r="V543" i="6"/>
  <c r="S543" i="6"/>
  <c r="R543" i="6"/>
  <c r="Q543" i="6"/>
  <c r="P543" i="6"/>
  <c r="AZ542" i="6"/>
  <c r="AY542" i="6"/>
  <c r="AX542" i="6"/>
  <c r="AW542" i="6"/>
  <c r="AV542" i="6"/>
  <c r="AM542" i="6"/>
  <c r="AL542" i="6"/>
  <c r="AI542" i="6"/>
  <c r="BA542" i="6" s="1"/>
  <c r="AG542" i="6"/>
  <c r="AF542" i="6"/>
  <c r="W542" i="6"/>
  <c r="V542" i="6"/>
  <c r="S542" i="6"/>
  <c r="R542" i="6"/>
  <c r="Q542" i="6"/>
  <c r="P542" i="6"/>
  <c r="AZ541" i="6"/>
  <c r="AY541" i="6"/>
  <c r="AX541" i="6"/>
  <c r="AW541" i="6"/>
  <c r="AV541" i="6"/>
  <c r="AM541" i="6"/>
  <c r="AL541" i="6"/>
  <c r="AI541" i="6"/>
  <c r="BA541" i="6" s="1"/>
  <c r="AG541" i="6"/>
  <c r="AF541" i="6"/>
  <c r="W541" i="6"/>
  <c r="V541" i="6"/>
  <c r="S541" i="6"/>
  <c r="R541" i="6"/>
  <c r="Q541" i="6"/>
  <c r="P541" i="6"/>
  <c r="AZ540" i="6"/>
  <c r="AY540" i="6"/>
  <c r="AX540" i="6"/>
  <c r="AW540" i="6"/>
  <c r="AV540" i="6"/>
  <c r="AM540" i="6"/>
  <c r="AL540" i="6"/>
  <c r="AI540" i="6"/>
  <c r="BA540" i="6" s="1"/>
  <c r="AG540" i="6"/>
  <c r="AF540" i="6"/>
  <c r="W540" i="6"/>
  <c r="V540" i="6"/>
  <c r="S540" i="6"/>
  <c r="R540" i="6"/>
  <c r="Q540" i="6"/>
  <c r="P540" i="6"/>
  <c r="AZ539" i="6"/>
  <c r="AY539" i="6"/>
  <c r="AX539" i="6"/>
  <c r="AW539" i="6"/>
  <c r="AV539" i="6"/>
  <c r="AM539" i="6"/>
  <c r="AL539" i="6"/>
  <c r="AI539" i="6"/>
  <c r="BA539" i="6" s="1"/>
  <c r="AG539" i="6"/>
  <c r="AF539" i="6"/>
  <c r="W539" i="6"/>
  <c r="V539" i="6"/>
  <c r="S539" i="6"/>
  <c r="R539" i="6"/>
  <c r="Q539" i="6"/>
  <c r="P539" i="6"/>
  <c r="AZ538" i="6"/>
  <c r="AY538" i="6"/>
  <c r="AX538" i="6"/>
  <c r="AW538" i="6"/>
  <c r="AV538" i="6"/>
  <c r="AM538" i="6"/>
  <c r="AL538" i="6"/>
  <c r="AI538" i="6"/>
  <c r="BA538" i="6" s="1"/>
  <c r="AG538" i="6"/>
  <c r="AF538" i="6"/>
  <c r="W538" i="6"/>
  <c r="V538" i="6"/>
  <c r="S538" i="6"/>
  <c r="R538" i="6"/>
  <c r="Q538" i="6"/>
  <c r="P538" i="6"/>
  <c r="AZ537" i="6"/>
  <c r="AY537" i="6"/>
  <c r="AX537" i="6"/>
  <c r="AW537" i="6"/>
  <c r="AV537" i="6"/>
  <c r="AM537" i="6"/>
  <c r="AL537" i="6"/>
  <c r="AI537" i="6"/>
  <c r="BA537" i="6" s="1"/>
  <c r="AG537" i="6"/>
  <c r="AF537" i="6"/>
  <c r="W537" i="6"/>
  <c r="V537" i="6"/>
  <c r="S537" i="6"/>
  <c r="R537" i="6"/>
  <c r="Q537" i="6"/>
  <c r="P537" i="6"/>
  <c r="AZ536" i="6"/>
  <c r="AY536" i="6"/>
  <c r="AX536" i="6"/>
  <c r="AW536" i="6"/>
  <c r="AV536" i="6"/>
  <c r="AM536" i="6"/>
  <c r="AL536" i="6"/>
  <c r="AI536" i="6"/>
  <c r="BA536" i="6" s="1"/>
  <c r="AG536" i="6"/>
  <c r="AF536" i="6"/>
  <c r="W536" i="6"/>
  <c r="V536" i="6"/>
  <c r="S536" i="6"/>
  <c r="R536" i="6"/>
  <c r="Q536" i="6"/>
  <c r="P536" i="6"/>
  <c r="AZ535" i="6"/>
  <c r="AY535" i="6"/>
  <c r="AX535" i="6"/>
  <c r="AW535" i="6"/>
  <c r="AV535" i="6"/>
  <c r="AM535" i="6"/>
  <c r="AL535" i="6"/>
  <c r="AI535" i="6"/>
  <c r="BA535" i="6" s="1"/>
  <c r="AG535" i="6"/>
  <c r="AF535" i="6"/>
  <c r="W535" i="6"/>
  <c r="V535" i="6"/>
  <c r="S535" i="6"/>
  <c r="R535" i="6"/>
  <c r="Q535" i="6"/>
  <c r="P535" i="6"/>
  <c r="AZ534" i="6"/>
  <c r="AY534" i="6"/>
  <c r="AX534" i="6"/>
  <c r="AW534" i="6"/>
  <c r="AV534" i="6"/>
  <c r="AM534" i="6"/>
  <c r="AL534" i="6"/>
  <c r="AI534" i="6"/>
  <c r="BA534" i="6" s="1"/>
  <c r="AG534" i="6"/>
  <c r="AF534" i="6"/>
  <c r="W534" i="6"/>
  <c r="V534" i="6"/>
  <c r="S534" i="6"/>
  <c r="R534" i="6"/>
  <c r="Q534" i="6"/>
  <c r="P534" i="6"/>
  <c r="AZ533" i="6"/>
  <c r="AY533" i="6"/>
  <c r="AX533" i="6"/>
  <c r="AW533" i="6"/>
  <c r="AV533" i="6"/>
  <c r="AM533" i="6"/>
  <c r="AL533" i="6"/>
  <c r="AI533" i="6"/>
  <c r="BA533" i="6" s="1"/>
  <c r="AG533" i="6"/>
  <c r="AF533" i="6"/>
  <c r="W533" i="6"/>
  <c r="V533" i="6"/>
  <c r="S533" i="6"/>
  <c r="R533" i="6"/>
  <c r="Q533" i="6"/>
  <c r="P533" i="6"/>
  <c r="AZ532" i="6"/>
  <c r="AY532" i="6"/>
  <c r="AX532" i="6"/>
  <c r="AW532" i="6"/>
  <c r="AV532" i="6"/>
  <c r="AM532" i="6"/>
  <c r="AL532" i="6"/>
  <c r="AI532" i="6"/>
  <c r="BA532" i="6" s="1"/>
  <c r="AG532" i="6"/>
  <c r="AF532" i="6"/>
  <c r="W532" i="6"/>
  <c r="V532" i="6"/>
  <c r="S532" i="6"/>
  <c r="R532" i="6"/>
  <c r="Q532" i="6"/>
  <c r="P532" i="6"/>
  <c r="AZ531" i="6"/>
  <c r="AY531" i="6"/>
  <c r="AX531" i="6"/>
  <c r="AW531" i="6"/>
  <c r="AV531" i="6"/>
  <c r="AM531" i="6"/>
  <c r="AL531" i="6"/>
  <c r="AI531" i="6"/>
  <c r="BA531" i="6" s="1"/>
  <c r="AG531" i="6"/>
  <c r="AF531" i="6"/>
  <c r="W531" i="6"/>
  <c r="V531" i="6"/>
  <c r="S531" i="6"/>
  <c r="R531" i="6"/>
  <c r="Q531" i="6"/>
  <c r="P531" i="6"/>
  <c r="AZ530" i="6"/>
  <c r="AY530" i="6"/>
  <c r="AX530" i="6"/>
  <c r="AW530" i="6"/>
  <c r="AV530" i="6"/>
  <c r="AM530" i="6"/>
  <c r="AL530" i="6"/>
  <c r="AI530" i="6"/>
  <c r="BA530" i="6" s="1"/>
  <c r="AG530" i="6"/>
  <c r="AF530" i="6"/>
  <c r="W530" i="6"/>
  <c r="V530" i="6"/>
  <c r="S530" i="6"/>
  <c r="R530" i="6"/>
  <c r="Q530" i="6"/>
  <c r="P530" i="6"/>
  <c r="AZ529" i="6"/>
  <c r="AY529" i="6"/>
  <c r="AX529" i="6"/>
  <c r="AW529" i="6"/>
  <c r="AV529" i="6"/>
  <c r="AM529" i="6"/>
  <c r="AL529" i="6"/>
  <c r="AI529" i="6"/>
  <c r="BA529" i="6" s="1"/>
  <c r="AG529" i="6"/>
  <c r="AF529" i="6"/>
  <c r="W529" i="6"/>
  <c r="V529" i="6"/>
  <c r="S529" i="6"/>
  <c r="R529" i="6"/>
  <c r="Q529" i="6"/>
  <c r="P529" i="6"/>
  <c r="AZ528" i="6"/>
  <c r="AY528" i="6"/>
  <c r="AX528" i="6"/>
  <c r="AW528" i="6"/>
  <c r="AV528" i="6"/>
  <c r="AM528" i="6"/>
  <c r="AL528" i="6"/>
  <c r="AI528" i="6"/>
  <c r="BA528" i="6" s="1"/>
  <c r="AG528" i="6"/>
  <c r="AF528" i="6"/>
  <c r="W528" i="6"/>
  <c r="V528" i="6"/>
  <c r="S528" i="6"/>
  <c r="R528" i="6"/>
  <c r="Q528" i="6"/>
  <c r="P528" i="6"/>
  <c r="AZ527" i="6"/>
  <c r="AY527" i="6"/>
  <c r="AX527" i="6"/>
  <c r="AW527" i="6"/>
  <c r="AV527" i="6"/>
  <c r="AM527" i="6"/>
  <c r="AL527" i="6"/>
  <c r="AI527" i="6"/>
  <c r="BA527" i="6" s="1"/>
  <c r="AG527" i="6"/>
  <c r="AF527" i="6"/>
  <c r="W527" i="6"/>
  <c r="V527" i="6"/>
  <c r="S527" i="6"/>
  <c r="R527" i="6"/>
  <c r="Q527" i="6"/>
  <c r="P527" i="6"/>
  <c r="AZ526" i="6"/>
  <c r="AY526" i="6"/>
  <c r="AX526" i="6"/>
  <c r="AW526" i="6"/>
  <c r="AV526" i="6"/>
  <c r="AM526" i="6"/>
  <c r="AL526" i="6"/>
  <c r="AI526" i="6"/>
  <c r="BA526" i="6" s="1"/>
  <c r="AG526" i="6"/>
  <c r="AF526" i="6"/>
  <c r="W526" i="6"/>
  <c r="V526" i="6"/>
  <c r="S526" i="6"/>
  <c r="R526" i="6"/>
  <c r="Q526" i="6"/>
  <c r="P526" i="6"/>
  <c r="AZ525" i="6"/>
  <c r="AY525" i="6"/>
  <c r="AX525" i="6"/>
  <c r="AW525" i="6"/>
  <c r="AV525" i="6"/>
  <c r="AM525" i="6"/>
  <c r="AL525" i="6"/>
  <c r="AI525" i="6"/>
  <c r="BA525" i="6" s="1"/>
  <c r="AG525" i="6"/>
  <c r="AF525" i="6"/>
  <c r="W525" i="6"/>
  <c r="V525" i="6"/>
  <c r="S525" i="6"/>
  <c r="R525" i="6"/>
  <c r="Q525" i="6"/>
  <c r="P525" i="6"/>
  <c r="AZ524" i="6"/>
  <c r="AY524" i="6"/>
  <c r="AX524" i="6"/>
  <c r="AW524" i="6"/>
  <c r="AV524" i="6"/>
  <c r="AM524" i="6"/>
  <c r="AL524" i="6"/>
  <c r="AI524" i="6"/>
  <c r="BA524" i="6" s="1"/>
  <c r="AG524" i="6"/>
  <c r="AF524" i="6"/>
  <c r="W524" i="6"/>
  <c r="V524" i="6"/>
  <c r="S524" i="6"/>
  <c r="R524" i="6"/>
  <c r="Q524" i="6"/>
  <c r="P524" i="6"/>
  <c r="AZ523" i="6"/>
  <c r="AY523" i="6"/>
  <c r="AX523" i="6"/>
  <c r="AW523" i="6"/>
  <c r="AV523" i="6"/>
  <c r="AM523" i="6"/>
  <c r="AL523" i="6"/>
  <c r="AI523" i="6"/>
  <c r="BA523" i="6" s="1"/>
  <c r="AG523" i="6"/>
  <c r="AF523" i="6"/>
  <c r="W523" i="6"/>
  <c r="V523" i="6"/>
  <c r="S523" i="6"/>
  <c r="R523" i="6"/>
  <c r="Q523" i="6"/>
  <c r="P523" i="6"/>
  <c r="AZ522" i="6"/>
  <c r="AY522" i="6"/>
  <c r="AX522" i="6"/>
  <c r="AW522" i="6"/>
  <c r="AV522" i="6"/>
  <c r="AM522" i="6"/>
  <c r="AL522" i="6"/>
  <c r="AI522" i="6"/>
  <c r="BA522" i="6" s="1"/>
  <c r="AG522" i="6"/>
  <c r="AF522" i="6"/>
  <c r="W522" i="6"/>
  <c r="V522" i="6"/>
  <c r="S522" i="6"/>
  <c r="R522" i="6"/>
  <c r="Q522" i="6"/>
  <c r="P522" i="6"/>
  <c r="AZ521" i="6"/>
  <c r="AY521" i="6"/>
  <c r="AX521" i="6"/>
  <c r="AW521" i="6"/>
  <c r="AV521" i="6"/>
  <c r="AM521" i="6"/>
  <c r="AL521" i="6"/>
  <c r="AI521" i="6"/>
  <c r="BA521" i="6" s="1"/>
  <c r="AG521" i="6"/>
  <c r="AF521" i="6"/>
  <c r="W521" i="6"/>
  <c r="V521" i="6"/>
  <c r="S521" i="6"/>
  <c r="R521" i="6"/>
  <c r="Q521" i="6"/>
  <c r="P521" i="6"/>
  <c r="AZ520" i="6"/>
  <c r="AY520" i="6"/>
  <c r="AX520" i="6"/>
  <c r="AW520" i="6"/>
  <c r="AV520" i="6"/>
  <c r="AM520" i="6"/>
  <c r="AL520" i="6"/>
  <c r="AI520" i="6"/>
  <c r="BA520" i="6" s="1"/>
  <c r="AG520" i="6"/>
  <c r="AF520" i="6"/>
  <c r="W520" i="6"/>
  <c r="V520" i="6"/>
  <c r="S520" i="6"/>
  <c r="R520" i="6"/>
  <c r="Q520" i="6"/>
  <c r="P520" i="6"/>
  <c r="AZ519" i="6"/>
  <c r="AY519" i="6"/>
  <c r="AX519" i="6"/>
  <c r="AW519" i="6"/>
  <c r="AV519" i="6"/>
  <c r="AM519" i="6"/>
  <c r="AL519" i="6"/>
  <c r="AI519" i="6"/>
  <c r="BA519" i="6" s="1"/>
  <c r="AG519" i="6"/>
  <c r="AF519" i="6"/>
  <c r="W519" i="6"/>
  <c r="V519" i="6"/>
  <c r="S519" i="6"/>
  <c r="R519" i="6"/>
  <c r="Q519" i="6"/>
  <c r="P519" i="6"/>
  <c r="AZ518" i="6"/>
  <c r="AY518" i="6"/>
  <c r="AX518" i="6"/>
  <c r="AW518" i="6"/>
  <c r="AV518" i="6"/>
  <c r="AM518" i="6"/>
  <c r="AL518" i="6"/>
  <c r="AI518" i="6"/>
  <c r="BA518" i="6" s="1"/>
  <c r="AG518" i="6"/>
  <c r="AF518" i="6"/>
  <c r="W518" i="6"/>
  <c r="V518" i="6"/>
  <c r="S518" i="6"/>
  <c r="R518" i="6"/>
  <c r="Q518" i="6"/>
  <c r="P518" i="6"/>
  <c r="AZ517" i="6"/>
  <c r="AY517" i="6"/>
  <c r="AX517" i="6"/>
  <c r="AW517" i="6"/>
  <c r="AV517" i="6"/>
  <c r="AM517" i="6"/>
  <c r="AL517" i="6"/>
  <c r="AI517" i="6"/>
  <c r="BA517" i="6" s="1"/>
  <c r="AG517" i="6"/>
  <c r="AF517" i="6"/>
  <c r="W517" i="6"/>
  <c r="V517" i="6"/>
  <c r="S517" i="6"/>
  <c r="R517" i="6"/>
  <c r="Q517" i="6"/>
  <c r="P517" i="6"/>
  <c r="AZ516" i="6"/>
  <c r="AY516" i="6"/>
  <c r="AX516" i="6"/>
  <c r="AW516" i="6"/>
  <c r="AV516" i="6"/>
  <c r="AM516" i="6"/>
  <c r="AL516" i="6"/>
  <c r="AI516" i="6"/>
  <c r="BA516" i="6" s="1"/>
  <c r="AG516" i="6"/>
  <c r="AF516" i="6"/>
  <c r="W516" i="6"/>
  <c r="V516" i="6"/>
  <c r="S516" i="6"/>
  <c r="R516" i="6"/>
  <c r="Q516" i="6"/>
  <c r="P516" i="6"/>
  <c r="AZ515" i="6"/>
  <c r="AY515" i="6"/>
  <c r="AX515" i="6"/>
  <c r="AW515" i="6"/>
  <c r="AV515" i="6"/>
  <c r="AM515" i="6"/>
  <c r="AL515" i="6"/>
  <c r="AI515" i="6"/>
  <c r="BA515" i="6" s="1"/>
  <c r="AG515" i="6"/>
  <c r="AF515" i="6"/>
  <c r="W515" i="6"/>
  <c r="V515" i="6"/>
  <c r="S515" i="6"/>
  <c r="R515" i="6"/>
  <c r="Q515" i="6"/>
  <c r="P515" i="6"/>
  <c r="AZ514" i="6"/>
  <c r="AY514" i="6"/>
  <c r="AX514" i="6"/>
  <c r="AW514" i="6"/>
  <c r="AV514" i="6"/>
  <c r="AM514" i="6"/>
  <c r="AL514" i="6"/>
  <c r="AI514" i="6"/>
  <c r="BA514" i="6" s="1"/>
  <c r="AG514" i="6"/>
  <c r="AF514" i="6"/>
  <c r="W514" i="6"/>
  <c r="V514" i="6"/>
  <c r="S514" i="6"/>
  <c r="R514" i="6"/>
  <c r="Q514" i="6"/>
  <c r="P514" i="6"/>
  <c r="AZ513" i="6"/>
  <c r="AY513" i="6"/>
  <c r="AX513" i="6"/>
  <c r="AW513" i="6"/>
  <c r="AV513" i="6"/>
  <c r="AM513" i="6"/>
  <c r="AL513" i="6"/>
  <c r="AI513" i="6"/>
  <c r="BA513" i="6" s="1"/>
  <c r="AG513" i="6"/>
  <c r="AF513" i="6"/>
  <c r="W513" i="6"/>
  <c r="V513" i="6"/>
  <c r="S513" i="6"/>
  <c r="R513" i="6"/>
  <c r="Q513" i="6"/>
  <c r="P513" i="6"/>
  <c r="AZ512" i="6"/>
  <c r="AY512" i="6"/>
  <c r="AX512" i="6"/>
  <c r="AW512" i="6"/>
  <c r="AV512" i="6"/>
  <c r="AM512" i="6"/>
  <c r="AL512" i="6"/>
  <c r="AI512" i="6"/>
  <c r="BA512" i="6" s="1"/>
  <c r="AG512" i="6"/>
  <c r="AF512" i="6"/>
  <c r="W512" i="6"/>
  <c r="V512" i="6"/>
  <c r="S512" i="6"/>
  <c r="R512" i="6"/>
  <c r="Q512" i="6"/>
  <c r="P512" i="6"/>
  <c r="AZ511" i="6"/>
  <c r="AY511" i="6"/>
  <c r="AX511" i="6"/>
  <c r="AW511" i="6"/>
  <c r="AV511" i="6"/>
  <c r="AM511" i="6"/>
  <c r="AL511" i="6"/>
  <c r="AI511" i="6"/>
  <c r="BA511" i="6" s="1"/>
  <c r="AG511" i="6"/>
  <c r="AF511" i="6"/>
  <c r="W511" i="6"/>
  <c r="V511" i="6"/>
  <c r="S511" i="6"/>
  <c r="R511" i="6"/>
  <c r="Q511" i="6"/>
  <c r="P511" i="6"/>
  <c r="AZ510" i="6"/>
  <c r="AY510" i="6"/>
  <c r="AX510" i="6"/>
  <c r="AW510" i="6"/>
  <c r="AV510" i="6"/>
  <c r="AM510" i="6"/>
  <c r="AL510" i="6"/>
  <c r="AI510" i="6"/>
  <c r="BA510" i="6" s="1"/>
  <c r="AG510" i="6"/>
  <c r="AF510" i="6"/>
  <c r="W510" i="6"/>
  <c r="V510" i="6"/>
  <c r="S510" i="6"/>
  <c r="R510" i="6"/>
  <c r="Q510" i="6"/>
  <c r="P510" i="6"/>
  <c r="AZ509" i="6"/>
  <c r="AY509" i="6"/>
  <c r="AX509" i="6"/>
  <c r="AW509" i="6"/>
  <c r="AV509" i="6"/>
  <c r="AM509" i="6"/>
  <c r="AL509" i="6"/>
  <c r="AI509" i="6"/>
  <c r="BA509" i="6" s="1"/>
  <c r="AG509" i="6"/>
  <c r="AF509" i="6"/>
  <c r="W509" i="6"/>
  <c r="V509" i="6"/>
  <c r="S509" i="6"/>
  <c r="R509" i="6"/>
  <c r="Q509" i="6"/>
  <c r="P509" i="6"/>
  <c r="AZ508" i="6"/>
  <c r="AY508" i="6"/>
  <c r="AX508" i="6"/>
  <c r="AW508" i="6"/>
  <c r="AV508" i="6"/>
  <c r="AM508" i="6"/>
  <c r="AL508" i="6"/>
  <c r="AI508" i="6"/>
  <c r="BA508" i="6" s="1"/>
  <c r="AG508" i="6"/>
  <c r="AF508" i="6"/>
  <c r="W508" i="6"/>
  <c r="V508" i="6"/>
  <c r="S508" i="6"/>
  <c r="R508" i="6"/>
  <c r="Q508" i="6"/>
  <c r="P508" i="6"/>
  <c r="AZ507" i="6"/>
  <c r="AY507" i="6"/>
  <c r="AX507" i="6"/>
  <c r="AW507" i="6"/>
  <c r="AV507" i="6"/>
  <c r="AM507" i="6"/>
  <c r="AL507" i="6"/>
  <c r="AI507" i="6"/>
  <c r="BA507" i="6" s="1"/>
  <c r="AG507" i="6"/>
  <c r="AF507" i="6"/>
  <c r="W507" i="6"/>
  <c r="V507" i="6"/>
  <c r="S507" i="6"/>
  <c r="R507" i="6"/>
  <c r="Q507" i="6"/>
  <c r="P507" i="6"/>
  <c r="AZ506" i="6"/>
  <c r="AY506" i="6"/>
  <c r="AX506" i="6"/>
  <c r="AW506" i="6"/>
  <c r="AV506" i="6"/>
  <c r="AM506" i="6"/>
  <c r="AL506" i="6"/>
  <c r="AI506" i="6"/>
  <c r="BA506" i="6" s="1"/>
  <c r="AG506" i="6"/>
  <c r="AF506" i="6"/>
  <c r="W506" i="6"/>
  <c r="V506" i="6"/>
  <c r="S506" i="6"/>
  <c r="R506" i="6"/>
  <c r="Q506" i="6"/>
  <c r="P506" i="6"/>
  <c r="AZ505" i="6"/>
  <c r="AY505" i="6"/>
  <c r="AX505" i="6"/>
  <c r="AW505" i="6"/>
  <c r="AV505" i="6"/>
  <c r="AM505" i="6"/>
  <c r="AL505" i="6"/>
  <c r="AI505" i="6"/>
  <c r="BA505" i="6" s="1"/>
  <c r="AG505" i="6"/>
  <c r="AF505" i="6"/>
  <c r="W505" i="6"/>
  <c r="V505" i="6"/>
  <c r="S505" i="6"/>
  <c r="R505" i="6"/>
  <c r="Q505" i="6"/>
  <c r="P505" i="6"/>
  <c r="AZ504" i="6"/>
  <c r="AY504" i="6"/>
  <c r="AX504" i="6"/>
  <c r="AW504" i="6"/>
  <c r="AV504" i="6"/>
  <c r="AM504" i="6"/>
  <c r="AL504" i="6"/>
  <c r="AI504" i="6"/>
  <c r="BA504" i="6" s="1"/>
  <c r="AG504" i="6"/>
  <c r="AF504" i="6"/>
  <c r="W504" i="6"/>
  <c r="V504" i="6"/>
  <c r="S504" i="6"/>
  <c r="R504" i="6"/>
  <c r="Q504" i="6"/>
  <c r="P504" i="6"/>
  <c r="AZ503" i="6"/>
  <c r="AY503" i="6"/>
  <c r="AX503" i="6"/>
  <c r="AW503" i="6"/>
  <c r="AV503" i="6"/>
  <c r="AM503" i="6"/>
  <c r="AL503" i="6"/>
  <c r="AI503" i="6"/>
  <c r="BA503" i="6" s="1"/>
  <c r="AG503" i="6"/>
  <c r="AF503" i="6"/>
  <c r="W503" i="6"/>
  <c r="V503" i="6"/>
  <c r="S503" i="6"/>
  <c r="R503" i="6"/>
  <c r="Q503" i="6"/>
  <c r="P503" i="6"/>
  <c r="AZ502" i="6"/>
  <c r="AY502" i="6"/>
  <c r="AX502" i="6"/>
  <c r="AW502" i="6"/>
  <c r="AV502" i="6"/>
  <c r="AM502" i="6"/>
  <c r="AL502" i="6"/>
  <c r="AI502" i="6"/>
  <c r="BA502" i="6" s="1"/>
  <c r="AG502" i="6"/>
  <c r="AF502" i="6"/>
  <c r="W502" i="6"/>
  <c r="V502" i="6"/>
  <c r="S502" i="6"/>
  <c r="R502" i="6"/>
  <c r="Q502" i="6"/>
  <c r="P502" i="6"/>
  <c r="AZ501" i="6"/>
  <c r="AY501" i="6"/>
  <c r="AX501" i="6"/>
  <c r="AW501" i="6"/>
  <c r="AV501" i="6"/>
  <c r="AM501" i="6"/>
  <c r="AL501" i="6"/>
  <c r="AI501" i="6"/>
  <c r="BA501" i="6" s="1"/>
  <c r="AG501" i="6"/>
  <c r="AF501" i="6"/>
  <c r="W501" i="6"/>
  <c r="V501" i="6"/>
  <c r="S501" i="6"/>
  <c r="R501" i="6"/>
  <c r="Q501" i="6"/>
  <c r="P501" i="6"/>
  <c r="AZ500" i="6"/>
  <c r="AY500" i="6"/>
  <c r="AX500" i="6"/>
  <c r="AW500" i="6"/>
  <c r="AV500" i="6"/>
  <c r="AM500" i="6"/>
  <c r="AL500" i="6"/>
  <c r="AI500" i="6"/>
  <c r="BA500" i="6" s="1"/>
  <c r="AG500" i="6"/>
  <c r="AF500" i="6"/>
  <c r="W500" i="6"/>
  <c r="V500" i="6"/>
  <c r="S500" i="6"/>
  <c r="R500" i="6"/>
  <c r="Q500" i="6"/>
  <c r="P500" i="6"/>
  <c r="AZ499" i="6"/>
  <c r="AY499" i="6"/>
  <c r="AX499" i="6"/>
  <c r="AW499" i="6"/>
  <c r="AV499" i="6"/>
  <c r="AM499" i="6"/>
  <c r="AL499" i="6"/>
  <c r="AI499" i="6"/>
  <c r="BA499" i="6" s="1"/>
  <c r="AG499" i="6"/>
  <c r="AF499" i="6"/>
  <c r="W499" i="6"/>
  <c r="V499" i="6"/>
  <c r="S499" i="6"/>
  <c r="R499" i="6"/>
  <c r="Q499" i="6"/>
  <c r="P499" i="6"/>
  <c r="AZ498" i="6"/>
  <c r="AY498" i="6"/>
  <c r="AX498" i="6"/>
  <c r="AW498" i="6"/>
  <c r="AV498" i="6"/>
  <c r="AM498" i="6"/>
  <c r="AL498" i="6"/>
  <c r="AI498" i="6"/>
  <c r="BA498" i="6" s="1"/>
  <c r="AG498" i="6"/>
  <c r="AF498" i="6"/>
  <c r="W498" i="6"/>
  <c r="V498" i="6"/>
  <c r="S498" i="6"/>
  <c r="R498" i="6"/>
  <c r="Q498" i="6"/>
  <c r="P498" i="6"/>
  <c r="AZ497" i="6"/>
  <c r="AY497" i="6"/>
  <c r="AX497" i="6"/>
  <c r="AW497" i="6"/>
  <c r="AV497" i="6"/>
  <c r="AM497" i="6"/>
  <c r="AL497" i="6"/>
  <c r="AI497" i="6"/>
  <c r="BA497" i="6" s="1"/>
  <c r="AG497" i="6"/>
  <c r="AF497" i="6"/>
  <c r="W497" i="6"/>
  <c r="V497" i="6"/>
  <c r="S497" i="6"/>
  <c r="R497" i="6"/>
  <c r="Q497" i="6"/>
  <c r="P497" i="6"/>
  <c r="AZ496" i="6"/>
  <c r="AY496" i="6"/>
  <c r="AX496" i="6"/>
  <c r="AW496" i="6"/>
  <c r="AV496" i="6"/>
  <c r="AM496" i="6"/>
  <c r="AL496" i="6"/>
  <c r="AI496" i="6"/>
  <c r="BA496" i="6" s="1"/>
  <c r="AG496" i="6"/>
  <c r="AF496" i="6"/>
  <c r="W496" i="6"/>
  <c r="V496" i="6"/>
  <c r="S496" i="6"/>
  <c r="R496" i="6"/>
  <c r="Q496" i="6"/>
  <c r="P496" i="6"/>
  <c r="AZ495" i="6"/>
  <c r="AY495" i="6"/>
  <c r="AX495" i="6"/>
  <c r="AW495" i="6"/>
  <c r="AV495" i="6"/>
  <c r="AM495" i="6"/>
  <c r="AL495" i="6"/>
  <c r="AI495" i="6"/>
  <c r="BA495" i="6" s="1"/>
  <c r="AG495" i="6"/>
  <c r="AF495" i="6"/>
  <c r="W495" i="6"/>
  <c r="V495" i="6"/>
  <c r="S495" i="6"/>
  <c r="R495" i="6"/>
  <c r="Q495" i="6"/>
  <c r="P495" i="6"/>
  <c r="AZ494" i="6"/>
  <c r="AY494" i="6"/>
  <c r="AX494" i="6"/>
  <c r="AW494" i="6"/>
  <c r="AV494" i="6"/>
  <c r="AM494" i="6"/>
  <c r="AL494" i="6"/>
  <c r="AI494" i="6"/>
  <c r="BA494" i="6" s="1"/>
  <c r="AG494" i="6"/>
  <c r="AF494" i="6"/>
  <c r="W494" i="6"/>
  <c r="V494" i="6"/>
  <c r="S494" i="6"/>
  <c r="R494" i="6"/>
  <c r="Q494" i="6"/>
  <c r="P494" i="6"/>
  <c r="AZ493" i="6"/>
  <c r="AY493" i="6"/>
  <c r="AX493" i="6"/>
  <c r="AW493" i="6"/>
  <c r="AV493" i="6"/>
  <c r="AM493" i="6"/>
  <c r="AL493" i="6"/>
  <c r="AI493" i="6"/>
  <c r="BA493" i="6" s="1"/>
  <c r="AG493" i="6"/>
  <c r="AF493" i="6"/>
  <c r="W493" i="6"/>
  <c r="V493" i="6"/>
  <c r="S493" i="6"/>
  <c r="R493" i="6"/>
  <c r="Q493" i="6"/>
  <c r="P493" i="6"/>
  <c r="AZ492" i="6"/>
  <c r="AY492" i="6"/>
  <c r="AX492" i="6"/>
  <c r="AW492" i="6"/>
  <c r="AV492" i="6"/>
  <c r="AM492" i="6"/>
  <c r="AL492" i="6"/>
  <c r="AI492" i="6"/>
  <c r="BA492" i="6" s="1"/>
  <c r="AG492" i="6"/>
  <c r="AF492" i="6"/>
  <c r="W492" i="6"/>
  <c r="V492" i="6"/>
  <c r="S492" i="6"/>
  <c r="R492" i="6"/>
  <c r="Q492" i="6"/>
  <c r="P492" i="6"/>
  <c r="AZ491" i="6"/>
  <c r="AY491" i="6"/>
  <c r="AX491" i="6"/>
  <c r="AW491" i="6"/>
  <c r="AV491" i="6"/>
  <c r="AM491" i="6"/>
  <c r="AL491" i="6"/>
  <c r="AI491" i="6"/>
  <c r="BA491" i="6" s="1"/>
  <c r="AG491" i="6"/>
  <c r="AF491" i="6"/>
  <c r="W491" i="6"/>
  <c r="V491" i="6"/>
  <c r="S491" i="6"/>
  <c r="R491" i="6"/>
  <c r="Q491" i="6"/>
  <c r="P491" i="6"/>
  <c r="AZ490" i="6"/>
  <c r="AY490" i="6"/>
  <c r="AX490" i="6"/>
  <c r="AW490" i="6"/>
  <c r="AV490" i="6"/>
  <c r="AM490" i="6"/>
  <c r="AL490" i="6"/>
  <c r="AI490" i="6"/>
  <c r="BA490" i="6" s="1"/>
  <c r="AG490" i="6"/>
  <c r="AF490" i="6"/>
  <c r="W490" i="6"/>
  <c r="V490" i="6"/>
  <c r="S490" i="6"/>
  <c r="R490" i="6"/>
  <c r="Q490" i="6"/>
  <c r="P490" i="6"/>
  <c r="AZ489" i="6"/>
  <c r="AY489" i="6"/>
  <c r="AX489" i="6"/>
  <c r="AW489" i="6"/>
  <c r="AV489" i="6"/>
  <c r="AM489" i="6"/>
  <c r="AL489" i="6"/>
  <c r="AI489" i="6"/>
  <c r="BA489" i="6" s="1"/>
  <c r="AG489" i="6"/>
  <c r="AF489" i="6"/>
  <c r="W489" i="6"/>
  <c r="V489" i="6"/>
  <c r="S489" i="6"/>
  <c r="R489" i="6"/>
  <c r="Q489" i="6"/>
  <c r="P489" i="6"/>
  <c r="AZ488" i="6"/>
  <c r="AY488" i="6"/>
  <c r="AX488" i="6"/>
  <c r="AW488" i="6"/>
  <c r="AV488" i="6"/>
  <c r="AM488" i="6"/>
  <c r="AL488" i="6"/>
  <c r="AI488" i="6"/>
  <c r="BA488" i="6" s="1"/>
  <c r="AG488" i="6"/>
  <c r="AF488" i="6"/>
  <c r="W488" i="6"/>
  <c r="V488" i="6"/>
  <c r="S488" i="6"/>
  <c r="R488" i="6"/>
  <c r="Q488" i="6"/>
  <c r="P488" i="6"/>
  <c r="AZ487" i="6"/>
  <c r="AY487" i="6"/>
  <c r="AX487" i="6"/>
  <c r="AW487" i="6"/>
  <c r="AV487" i="6"/>
  <c r="AM487" i="6"/>
  <c r="AL487" i="6"/>
  <c r="AI487" i="6"/>
  <c r="BA487" i="6" s="1"/>
  <c r="AG487" i="6"/>
  <c r="AF487" i="6"/>
  <c r="W487" i="6"/>
  <c r="V487" i="6"/>
  <c r="S487" i="6"/>
  <c r="R487" i="6"/>
  <c r="Q487" i="6"/>
  <c r="P487" i="6"/>
  <c r="AZ486" i="6"/>
  <c r="AY486" i="6"/>
  <c r="AX486" i="6"/>
  <c r="AW486" i="6"/>
  <c r="AV486" i="6"/>
  <c r="AM486" i="6"/>
  <c r="AL486" i="6"/>
  <c r="AI486" i="6"/>
  <c r="BA486" i="6" s="1"/>
  <c r="AG486" i="6"/>
  <c r="AF486" i="6"/>
  <c r="W486" i="6"/>
  <c r="V486" i="6"/>
  <c r="S486" i="6"/>
  <c r="R486" i="6"/>
  <c r="Q486" i="6"/>
  <c r="P486" i="6"/>
  <c r="AZ485" i="6"/>
  <c r="AY485" i="6"/>
  <c r="AX485" i="6"/>
  <c r="AW485" i="6"/>
  <c r="AV485" i="6"/>
  <c r="AM485" i="6"/>
  <c r="AL485" i="6"/>
  <c r="AI485" i="6"/>
  <c r="BA485" i="6" s="1"/>
  <c r="AG485" i="6"/>
  <c r="AF485" i="6"/>
  <c r="W485" i="6"/>
  <c r="V485" i="6"/>
  <c r="S485" i="6"/>
  <c r="R485" i="6"/>
  <c r="Q485" i="6"/>
  <c r="P485" i="6"/>
  <c r="AZ484" i="6"/>
  <c r="AY484" i="6"/>
  <c r="AX484" i="6"/>
  <c r="AW484" i="6"/>
  <c r="AV484" i="6"/>
  <c r="AM484" i="6"/>
  <c r="AL484" i="6"/>
  <c r="AI484" i="6"/>
  <c r="BA484" i="6" s="1"/>
  <c r="AG484" i="6"/>
  <c r="AF484" i="6"/>
  <c r="W484" i="6"/>
  <c r="V484" i="6"/>
  <c r="S484" i="6"/>
  <c r="R484" i="6"/>
  <c r="Q484" i="6"/>
  <c r="P484" i="6"/>
  <c r="AZ483" i="6"/>
  <c r="AY483" i="6"/>
  <c r="AX483" i="6"/>
  <c r="AW483" i="6"/>
  <c r="AV483" i="6"/>
  <c r="AM483" i="6"/>
  <c r="AL483" i="6"/>
  <c r="AI483" i="6"/>
  <c r="BA483" i="6" s="1"/>
  <c r="AG483" i="6"/>
  <c r="AF483" i="6"/>
  <c r="W483" i="6"/>
  <c r="V483" i="6"/>
  <c r="S483" i="6"/>
  <c r="R483" i="6"/>
  <c r="Q483" i="6"/>
  <c r="P483" i="6"/>
  <c r="AZ482" i="6"/>
  <c r="AY482" i="6"/>
  <c r="AX482" i="6"/>
  <c r="AW482" i="6"/>
  <c r="AV482" i="6"/>
  <c r="AM482" i="6"/>
  <c r="AL482" i="6"/>
  <c r="AI482" i="6"/>
  <c r="BA482" i="6" s="1"/>
  <c r="AG482" i="6"/>
  <c r="AF482" i="6"/>
  <c r="W482" i="6"/>
  <c r="V482" i="6"/>
  <c r="S482" i="6"/>
  <c r="R482" i="6"/>
  <c r="Q482" i="6"/>
  <c r="P482" i="6"/>
  <c r="AZ481" i="6"/>
  <c r="AY481" i="6"/>
  <c r="AX481" i="6"/>
  <c r="AW481" i="6"/>
  <c r="AV481" i="6"/>
  <c r="AM481" i="6"/>
  <c r="AL481" i="6"/>
  <c r="AI481" i="6"/>
  <c r="BA481" i="6" s="1"/>
  <c r="AG481" i="6"/>
  <c r="AF481" i="6"/>
  <c r="W481" i="6"/>
  <c r="V481" i="6"/>
  <c r="S481" i="6"/>
  <c r="R481" i="6"/>
  <c r="Q481" i="6"/>
  <c r="P481" i="6"/>
  <c r="AZ480" i="6"/>
  <c r="AY480" i="6"/>
  <c r="AX480" i="6"/>
  <c r="AW480" i="6"/>
  <c r="AV480" i="6"/>
  <c r="AM480" i="6"/>
  <c r="AL480" i="6"/>
  <c r="AI480" i="6"/>
  <c r="BA480" i="6" s="1"/>
  <c r="AG480" i="6"/>
  <c r="AF480" i="6"/>
  <c r="W480" i="6"/>
  <c r="V480" i="6"/>
  <c r="S480" i="6"/>
  <c r="R480" i="6"/>
  <c r="Q480" i="6"/>
  <c r="P480" i="6"/>
  <c r="AZ479" i="6"/>
  <c r="AY479" i="6"/>
  <c r="AX479" i="6"/>
  <c r="AW479" i="6"/>
  <c r="AV479" i="6"/>
  <c r="AM479" i="6"/>
  <c r="AL479" i="6"/>
  <c r="AI479" i="6"/>
  <c r="BA479" i="6" s="1"/>
  <c r="AG479" i="6"/>
  <c r="AF479" i="6"/>
  <c r="W479" i="6"/>
  <c r="V479" i="6"/>
  <c r="S479" i="6"/>
  <c r="R479" i="6"/>
  <c r="Q479" i="6"/>
  <c r="P479" i="6"/>
  <c r="AZ478" i="6"/>
  <c r="AY478" i="6"/>
  <c r="AX478" i="6"/>
  <c r="AW478" i="6"/>
  <c r="AV478" i="6"/>
  <c r="AM478" i="6"/>
  <c r="AL478" i="6"/>
  <c r="AI478" i="6"/>
  <c r="BA478" i="6" s="1"/>
  <c r="AG478" i="6"/>
  <c r="AF478" i="6"/>
  <c r="W478" i="6"/>
  <c r="V478" i="6"/>
  <c r="S478" i="6"/>
  <c r="R478" i="6"/>
  <c r="Q478" i="6"/>
  <c r="P478" i="6"/>
  <c r="BA477" i="6"/>
  <c r="AZ477" i="6"/>
  <c r="AY477" i="6"/>
  <c r="AX477" i="6"/>
  <c r="AW477" i="6"/>
  <c r="AV477" i="6"/>
  <c r="AM477" i="6"/>
  <c r="AL477" i="6"/>
  <c r="AI477" i="6"/>
  <c r="AH477" i="6"/>
  <c r="AG477" i="6"/>
  <c r="AF477" i="6"/>
  <c r="W477" i="6"/>
  <c r="V477" i="6"/>
  <c r="S477" i="6"/>
  <c r="R477" i="6"/>
  <c r="Q477" i="6"/>
  <c r="P477" i="6"/>
  <c r="BA476" i="6"/>
  <c r="AZ476" i="6"/>
  <c r="AY476" i="6"/>
  <c r="AX476" i="6"/>
  <c r="AW476" i="6"/>
  <c r="AV476" i="6"/>
  <c r="AM476" i="6"/>
  <c r="AL476" i="6"/>
  <c r="AI476" i="6"/>
  <c r="AH476" i="6"/>
  <c r="AG476" i="6"/>
  <c r="AF476" i="6"/>
  <c r="W476" i="6"/>
  <c r="V476" i="6"/>
  <c r="S476" i="6"/>
  <c r="R476" i="6"/>
  <c r="Q476" i="6"/>
  <c r="P476" i="6"/>
  <c r="BA475" i="6"/>
  <c r="AZ475" i="6"/>
  <c r="AY475" i="6"/>
  <c r="AX475" i="6"/>
  <c r="AW475" i="6"/>
  <c r="AV475" i="6"/>
  <c r="AM475" i="6"/>
  <c r="AL475" i="6"/>
  <c r="AI475" i="6"/>
  <c r="AH475" i="6"/>
  <c r="AG475" i="6"/>
  <c r="AF475" i="6"/>
  <c r="W475" i="6"/>
  <c r="V475" i="6"/>
  <c r="S475" i="6"/>
  <c r="R475" i="6"/>
  <c r="Q475" i="6"/>
  <c r="P475" i="6"/>
  <c r="BA474" i="6"/>
  <c r="AZ474" i="6"/>
  <c r="AY474" i="6"/>
  <c r="AX474" i="6"/>
  <c r="AW474" i="6"/>
  <c r="AV474" i="6"/>
  <c r="AM474" i="6"/>
  <c r="AL474" i="6"/>
  <c r="AI474" i="6"/>
  <c r="AH474" i="6"/>
  <c r="AG474" i="6"/>
  <c r="AF474" i="6"/>
  <c r="W474" i="6"/>
  <c r="V474" i="6"/>
  <c r="S474" i="6"/>
  <c r="R474" i="6"/>
  <c r="Q474" i="6"/>
  <c r="P474" i="6"/>
  <c r="BA473" i="6"/>
  <c r="AZ473" i="6"/>
  <c r="AY473" i="6"/>
  <c r="AX473" i="6"/>
  <c r="AW473" i="6"/>
  <c r="AV473" i="6"/>
  <c r="AM473" i="6"/>
  <c r="AL473" i="6"/>
  <c r="AI473" i="6"/>
  <c r="AH473" i="6"/>
  <c r="AG473" i="6"/>
  <c r="AF473" i="6"/>
  <c r="W473" i="6"/>
  <c r="V473" i="6"/>
  <c r="S473" i="6"/>
  <c r="R473" i="6"/>
  <c r="Q473" i="6"/>
  <c r="P473" i="6"/>
  <c r="BA472" i="6"/>
  <c r="AZ472" i="6"/>
  <c r="AY472" i="6"/>
  <c r="AX472" i="6"/>
  <c r="AW472" i="6"/>
  <c r="AV472" i="6"/>
  <c r="AM472" i="6"/>
  <c r="AL472" i="6"/>
  <c r="AI472" i="6"/>
  <c r="AH472" i="6"/>
  <c r="AG472" i="6"/>
  <c r="AF472" i="6"/>
  <c r="W472" i="6"/>
  <c r="V472" i="6"/>
  <c r="S472" i="6"/>
  <c r="R472" i="6"/>
  <c r="Q472" i="6"/>
  <c r="P472" i="6"/>
  <c r="BA471" i="6"/>
  <c r="AZ471" i="6"/>
  <c r="AY471" i="6"/>
  <c r="AX471" i="6"/>
  <c r="AW471" i="6"/>
  <c r="AV471" i="6"/>
  <c r="AM471" i="6"/>
  <c r="AL471" i="6"/>
  <c r="AI471" i="6"/>
  <c r="AH471" i="6"/>
  <c r="AG471" i="6"/>
  <c r="AF471" i="6"/>
  <c r="W471" i="6"/>
  <c r="V471" i="6"/>
  <c r="S471" i="6"/>
  <c r="R471" i="6"/>
  <c r="Q471" i="6"/>
  <c r="P471" i="6"/>
  <c r="BA470" i="6"/>
  <c r="AZ470" i="6"/>
  <c r="AY470" i="6"/>
  <c r="AX470" i="6"/>
  <c r="AW470" i="6"/>
  <c r="AV470" i="6"/>
  <c r="AM470" i="6"/>
  <c r="AL470" i="6"/>
  <c r="AI470" i="6"/>
  <c r="AH470" i="6"/>
  <c r="AG470" i="6"/>
  <c r="AF470" i="6"/>
  <c r="W470" i="6"/>
  <c r="V470" i="6"/>
  <c r="S470" i="6"/>
  <c r="R470" i="6"/>
  <c r="Q470" i="6"/>
  <c r="P470" i="6"/>
  <c r="BA469" i="6"/>
  <c r="AZ469" i="6"/>
  <c r="AY469" i="6"/>
  <c r="AX469" i="6"/>
  <c r="AW469" i="6"/>
  <c r="AV469" i="6"/>
  <c r="AM469" i="6"/>
  <c r="AL469" i="6"/>
  <c r="AI469" i="6"/>
  <c r="AH469" i="6"/>
  <c r="AG469" i="6"/>
  <c r="AF469" i="6"/>
  <c r="W469" i="6"/>
  <c r="V469" i="6"/>
  <c r="S469" i="6"/>
  <c r="R469" i="6"/>
  <c r="Q469" i="6"/>
  <c r="P469" i="6"/>
  <c r="BA468" i="6"/>
  <c r="AZ468" i="6"/>
  <c r="AY468" i="6"/>
  <c r="AX468" i="6"/>
  <c r="AW468" i="6"/>
  <c r="AV468" i="6"/>
  <c r="AM468" i="6"/>
  <c r="AL468" i="6"/>
  <c r="AI468" i="6"/>
  <c r="AH468" i="6"/>
  <c r="AG468" i="6"/>
  <c r="AF468" i="6"/>
  <c r="W468" i="6"/>
  <c r="V468" i="6"/>
  <c r="S468" i="6"/>
  <c r="R468" i="6"/>
  <c r="Q468" i="6"/>
  <c r="P468" i="6"/>
  <c r="BA467" i="6"/>
  <c r="AZ467" i="6"/>
  <c r="AY467" i="6"/>
  <c r="AX467" i="6"/>
  <c r="AW467" i="6"/>
  <c r="AV467" i="6"/>
  <c r="AM467" i="6"/>
  <c r="AL467" i="6"/>
  <c r="AI467" i="6"/>
  <c r="AH467" i="6"/>
  <c r="AG467" i="6"/>
  <c r="AF467" i="6"/>
  <c r="W467" i="6"/>
  <c r="V467" i="6"/>
  <c r="S467" i="6"/>
  <c r="R467" i="6"/>
  <c r="Q467" i="6"/>
  <c r="P467" i="6"/>
  <c r="BA466" i="6"/>
  <c r="AZ466" i="6"/>
  <c r="AY466" i="6"/>
  <c r="AX466" i="6"/>
  <c r="AW466" i="6"/>
  <c r="AV466" i="6"/>
  <c r="AM466" i="6"/>
  <c r="AL466" i="6"/>
  <c r="AI466" i="6"/>
  <c r="AH466" i="6"/>
  <c r="AG466" i="6"/>
  <c r="AF466" i="6"/>
  <c r="W466" i="6"/>
  <c r="V466" i="6"/>
  <c r="S466" i="6"/>
  <c r="R466" i="6"/>
  <c r="Q466" i="6"/>
  <c r="P466" i="6"/>
  <c r="BA465" i="6"/>
  <c r="AZ465" i="6"/>
  <c r="AY465" i="6"/>
  <c r="AX465" i="6"/>
  <c r="AW465" i="6"/>
  <c r="AV465" i="6"/>
  <c r="AM465" i="6"/>
  <c r="AL465" i="6"/>
  <c r="AI465" i="6"/>
  <c r="AH465" i="6"/>
  <c r="AG465" i="6"/>
  <c r="AF465" i="6"/>
  <c r="W465" i="6"/>
  <c r="V465" i="6"/>
  <c r="S465" i="6"/>
  <c r="R465" i="6"/>
  <c r="Q465" i="6"/>
  <c r="P465" i="6"/>
  <c r="BA464" i="6"/>
  <c r="AZ464" i="6"/>
  <c r="AY464" i="6"/>
  <c r="AX464" i="6"/>
  <c r="AW464" i="6"/>
  <c r="AV464" i="6"/>
  <c r="AM464" i="6"/>
  <c r="AL464" i="6"/>
  <c r="AI464" i="6"/>
  <c r="AH464" i="6"/>
  <c r="AG464" i="6"/>
  <c r="AF464" i="6"/>
  <c r="W464" i="6"/>
  <c r="V464" i="6"/>
  <c r="S464" i="6"/>
  <c r="R464" i="6"/>
  <c r="Q464" i="6"/>
  <c r="P464" i="6"/>
  <c r="BA463" i="6"/>
  <c r="AZ463" i="6"/>
  <c r="AY463" i="6"/>
  <c r="AX463" i="6"/>
  <c r="AW463" i="6"/>
  <c r="AV463" i="6"/>
  <c r="AM463" i="6"/>
  <c r="AL463" i="6"/>
  <c r="AI463" i="6"/>
  <c r="AH463" i="6"/>
  <c r="AG463" i="6"/>
  <c r="AF463" i="6"/>
  <c r="W463" i="6"/>
  <c r="V463" i="6"/>
  <c r="S463" i="6"/>
  <c r="R463" i="6"/>
  <c r="Q463" i="6"/>
  <c r="P463" i="6"/>
  <c r="BA462" i="6"/>
  <c r="AZ462" i="6"/>
  <c r="AY462" i="6"/>
  <c r="AX462" i="6"/>
  <c r="AW462" i="6"/>
  <c r="AV462" i="6"/>
  <c r="AM462" i="6"/>
  <c r="AL462" i="6"/>
  <c r="AI462" i="6"/>
  <c r="AH462" i="6"/>
  <c r="AG462" i="6"/>
  <c r="AF462" i="6"/>
  <c r="W462" i="6"/>
  <c r="V462" i="6"/>
  <c r="S462" i="6"/>
  <c r="R462" i="6"/>
  <c r="Q462" i="6"/>
  <c r="P462" i="6"/>
  <c r="BA461" i="6"/>
  <c r="AZ461" i="6"/>
  <c r="AY461" i="6"/>
  <c r="AX461" i="6"/>
  <c r="AW461" i="6"/>
  <c r="AV461" i="6"/>
  <c r="AM461" i="6"/>
  <c r="AL461" i="6"/>
  <c r="AI461" i="6"/>
  <c r="AH461" i="6"/>
  <c r="AG461" i="6"/>
  <c r="AF461" i="6"/>
  <c r="W461" i="6"/>
  <c r="V461" i="6"/>
  <c r="S461" i="6"/>
  <c r="R461" i="6"/>
  <c r="Q461" i="6"/>
  <c r="P461" i="6"/>
  <c r="BA460" i="6"/>
  <c r="AZ460" i="6"/>
  <c r="AY460" i="6"/>
  <c r="AX460" i="6"/>
  <c r="AW460" i="6"/>
  <c r="AV460" i="6"/>
  <c r="AM460" i="6"/>
  <c r="AL460" i="6"/>
  <c r="AI460" i="6"/>
  <c r="AH460" i="6"/>
  <c r="AG460" i="6"/>
  <c r="AF460" i="6"/>
  <c r="W460" i="6"/>
  <c r="V460" i="6"/>
  <c r="S460" i="6"/>
  <c r="R460" i="6"/>
  <c r="Q460" i="6"/>
  <c r="P460" i="6"/>
  <c r="BA459" i="6"/>
  <c r="AZ459" i="6"/>
  <c r="AY459" i="6"/>
  <c r="AX459" i="6"/>
  <c r="AW459" i="6"/>
  <c r="AV459" i="6"/>
  <c r="AM459" i="6"/>
  <c r="AL459" i="6"/>
  <c r="AI459" i="6"/>
  <c r="AH459" i="6"/>
  <c r="AG459" i="6"/>
  <c r="AF459" i="6"/>
  <c r="W459" i="6"/>
  <c r="V459" i="6"/>
  <c r="S459" i="6"/>
  <c r="R459" i="6"/>
  <c r="Q459" i="6"/>
  <c r="P459" i="6"/>
  <c r="BA458" i="6"/>
  <c r="AZ458" i="6"/>
  <c r="AY458" i="6"/>
  <c r="AX458" i="6"/>
  <c r="AW458" i="6"/>
  <c r="AV458" i="6"/>
  <c r="AM458" i="6"/>
  <c r="AL458" i="6"/>
  <c r="AI458" i="6"/>
  <c r="AH458" i="6"/>
  <c r="AG458" i="6"/>
  <c r="AF458" i="6"/>
  <c r="W458" i="6"/>
  <c r="V458" i="6"/>
  <c r="S458" i="6"/>
  <c r="R458" i="6"/>
  <c r="Q458" i="6"/>
  <c r="P458" i="6"/>
  <c r="BA457" i="6"/>
  <c r="AZ457" i="6"/>
  <c r="AY457" i="6"/>
  <c r="AX457" i="6"/>
  <c r="AW457" i="6"/>
  <c r="AV457" i="6"/>
  <c r="AM457" i="6"/>
  <c r="AL457" i="6"/>
  <c r="AI457" i="6"/>
  <c r="AH457" i="6"/>
  <c r="AG457" i="6"/>
  <c r="AF457" i="6"/>
  <c r="W457" i="6"/>
  <c r="V457" i="6"/>
  <c r="S457" i="6"/>
  <c r="R457" i="6"/>
  <c r="Q457" i="6"/>
  <c r="P457" i="6"/>
  <c r="BA456" i="6"/>
  <c r="AZ456" i="6"/>
  <c r="AY456" i="6"/>
  <c r="AX456" i="6"/>
  <c r="AW456" i="6"/>
  <c r="AV456" i="6"/>
  <c r="AM456" i="6"/>
  <c r="AL456" i="6"/>
  <c r="AI456" i="6"/>
  <c r="AH456" i="6"/>
  <c r="AG456" i="6"/>
  <c r="AF456" i="6"/>
  <c r="W456" i="6"/>
  <c r="V456" i="6"/>
  <c r="S456" i="6"/>
  <c r="R456" i="6"/>
  <c r="Q456" i="6"/>
  <c r="P456" i="6"/>
  <c r="BA455" i="6"/>
  <c r="AZ455" i="6"/>
  <c r="AY455" i="6"/>
  <c r="AX455" i="6"/>
  <c r="AW455" i="6"/>
  <c r="AV455" i="6"/>
  <c r="AM455" i="6"/>
  <c r="AL455" i="6"/>
  <c r="AI455" i="6"/>
  <c r="AH455" i="6"/>
  <c r="AG455" i="6"/>
  <c r="AF455" i="6"/>
  <c r="W455" i="6"/>
  <c r="V455" i="6"/>
  <c r="S455" i="6"/>
  <c r="R455" i="6"/>
  <c r="Q455" i="6"/>
  <c r="P455" i="6"/>
  <c r="BA454" i="6"/>
  <c r="AZ454" i="6"/>
  <c r="AY454" i="6"/>
  <c r="AX454" i="6"/>
  <c r="AW454" i="6"/>
  <c r="AV454" i="6"/>
  <c r="AM454" i="6"/>
  <c r="AL454" i="6"/>
  <c r="AI454" i="6"/>
  <c r="AH454" i="6"/>
  <c r="AG454" i="6"/>
  <c r="AF454" i="6"/>
  <c r="W454" i="6"/>
  <c r="V454" i="6"/>
  <c r="S454" i="6"/>
  <c r="R454" i="6"/>
  <c r="Q454" i="6"/>
  <c r="P454" i="6"/>
  <c r="BA453" i="6"/>
  <c r="AZ453" i="6"/>
  <c r="AY453" i="6"/>
  <c r="AX453" i="6"/>
  <c r="AW453" i="6"/>
  <c r="AV453" i="6"/>
  <c r="AM453" i="6"/>
  <c r="AL453" i="6"/>
  <c r="AI453" i="6"/>
  <c r="AH453" i="6"/>
  <c r="AG453" i="6"/>
  <c r="AF453" i="6"/>
  <c r="W453" i="6"/>
  <c r="V453" i="6"/>
  <c r="S453" i="6"/>
  <c r="R453" i="6"/>
  <c r="Q453" i="6"/>
  <c r="P453" i="6"/>
  <c r="BA452" i="6"/>
  <c r="AZ452" i="6"/>
  <c r="AY452" i="6"/>
  <c r="AX452" i="6"/>
  <c r="AW452" i="6"/>
  <c r="AV452" i="6"/>
  <c r="AM452" i="6"/>
  <c r="AL452" i="6"/>
  <c r="AI452" i="6"/>
  <c r="AH452" i="6"/>
  <c r="AG452" i="6"/>
  <c r="AF452" i="6"/>
  <c r="W452" i="6"/>
  <c r="V452" i="6"/>
  <c r="S452" i="6"/>
  <c r="R452" i="6"/>
  <c r="Q452" i="6"/>
  <c r="P452" i="6"/>
  <c r="BA451" i="6"/>
  <c r="AZ451" i="6"/>
  <c r="AY451" i="6"/>
  <c r="AX451" i="6"/>
  <c r="AW451" i="6"/>
  <c r="AV451" i="6"/>
  <c r="AM451" i="6"/>
  <c r="AL451" i="6"/>
  <c r="AI451" i="6"/>
  <c r="AH451" i="6"/>
  <c r="AG451" i="6"/>
  <c r="AF451" i="6"/>
  <c r="W451" i="6"/>
  <c r="V451" i="6"/>
  <c r="S451" i="6"/>
  <c r="R451" i="6"/>
  <c r="Q451" i="6"/>
  <c r="P451" i="6"/>
  <c r="BA450" i="6"/>
  <c r="AZ450" i="6"/>
  <c r="AY450" i="6"/>
  <c r="AX450" i="6"/>
  <c r="AW450" i="6"/>
  <c r="AV450" i="6"/>
  <c r="AM450" i="6"/>
  <c r="AL450" i="6"/>
  <c r="AI450" i="6"/>
  <c r="AH450" i="6"/>
  <c r="AG450" i="6"/>
  <c r="AF450" i="6"/>
  <c r="W450" i="6"/>
  <c r="V450" i="6"/>
  <c r="S450" i="6"/>
  <c r="R450" i="6"/>
  <c r="Q450" i="6"/>
  <c r="P450" i="6"/>
  <c r="BA449" i="6"/>
  <c r="AZ449" i="6"/>
  <c r="AY449" i="6"/>
  <c r="AX449" i="6"/>
  <c r="AW449" i="6"/>
  <c r="AV449" i="6"/>
  <c r="AM449" i="6"/>
  <c r="AL449" i="6"/>
  <c r="AI449" i="6"/>
  <c r="AH449" i="6"/>
  <c r="AG449" i="6"/>
  <c r="AF449" i="6"/>
  <c r="W449" i="6"/>
  <c r="V449" i="6"/>
  <c r="S449" i="6"/>
  <c r="R449" i="6"/>
  <c r="Q449" i="6"/>
  <c r="P449" i="6"/>
  <c r="BA448" i="6"/>
  <c r="AZ448" i="6"/>
  <c r="AY448" i="6"/>
  <c r="AX448" i="6"/>
  <c r="AW448" i="6"/>
  <c r="AV448" i="6"/>
  <c r="AM448" i="6"/>
  <c r="AL448" i="6"/>
  <c r="AI448" i="6"/>
  <c r="AH448" i="6"/>
  <c r="AG448" i="6"/>
  <c r="AF448" i="6"/>
  <c r="W448" i="6"/>
  <c r="V448" i="6"/>
  <c r="S448" i="6"/>
  <c r="R448" i="6"/>
  <c r="Q448" i="6"/>
  <c r="P448" i="6"/>
  <c r="BA447" i="6"/>
  <c r="AZ447" i="6"/>
  <c r="AY447" i="6"/>
  <c r="AX447" i="6"/>
  <c r="AW447" i="6"/>
  <c r="AV447" i="6"/>
  <c r="AM447" i="6"/>
  <c r="AL447" i="6"/>
  <c r="AI447" i="6"/>
  <c r="AH447" i="6"/>
  <c r="AG447" i="6"/>
  <c r="AF447" i="6"/>
  <c r="W447" i="6"/>
  <c r="V447" i="6"/>
  <c r="S447" i="6"/>
  <c r="R447" i="6"/>
  <c r="Q447" i="6"/>
  <c r="P447" i="6"/>
  <c r="BA446" i="6"/>
  <c r="AZ446" i="6"/>
  <c r="AY446" i="6"/>
  <c r="AX446" i="6"/>
  <c r="AW446" i="6"/>
  <c r="AV446" i="6"/>
  <c r="AM446" i="6"/>
  <c r="AL446" i="6"/>
  <c r="AI446" i="6"/>
  <c r="AH446" i="6"/>
  <c r="AG446" i="6"/>
  <c r="AF446" i="6"/>
  <c r="W446" i="6"/>
  <c r="V446" i="6"/>
  <c r="S446" i="6"/>
  <c r="R446" i="6"/>
  <c r="Q446" i="6"/>
  <c r="P446" i="6"/>
  <c r="BA445" i="6"/>
  <c r="AZ445" i="6"/>
  <c r="AY445" i="6"/>
  <c r="AX445" i="6"/>
  <c r="AW445" i="6"/>
  <c r="AV445" i="6"/>
  <c r="AM445" i="6"/>
  <c r="AL445" i="6"/>
  <c r="AI445" i="6"/>
  <c r="AH445" i="6"/>
  <c r="AG445" i="6"/>
  <c r="AF445" i="6"/>
  <c r="W445" i="6"/>
  <c r="V445" i="6"/>
  <c r="S445" i="6"/>
  <c r="R445" i="6"/>
  <c r="Q445" i="6"/>
  <c r="P445" i="6"/>
  <c r="BA444" i="6"/>
  <c r="AZ444" i="6"/>
  <c r="AY444" i="6"/>
  <c r="AX444" i="6"/>
  <c r="AW444" i="6"/>
  <c r="AV444" i="6"/>
  <c r="AM444" i="6"/>
  <c r="AL444" i="6"/>
  <c r="AI444" i="6"/>
  <c r="AH444" i="6"/>
  <c r="AG444" i="6"/>
  <c r="AF444" i="6"/>
  <c r="W444" i="6"/>
  <c r="V444" i="6"/>
  <c r="S444" i="6"/>
  <c r="R444" i="6"/>
  <c r="Q444" i="6"/>
  <c r="P444" i="6"/>
  <c r="BA443" i="6"/>
  <c r="AZ443" i="6"/>
  <c r="AY443" i="6"/>
  <c r="AX443" i="6"/>
  <c r="AW443" i="6"/>
  <c r="AV443" i="6"/>
  <c r="AM443" i="6"/>
  <c r="AL443" i="6"/>
  <c r="AI443" i="6"/>
  <c r="AH443" i="6"/>
  <c r="AG443" i="6"/>
  <c r="AF443" i="6"/>
  <c r="W443" i="6"/>
  <c r="V443" i="6"/>
  <c r="S443" i="6"/>
  <c r="R443" i="6"/>
  <c r="Q443" i="6"/>
  <c r="P443" i="6"/>
  <c r="BA442" i="6"/>
  <c r="AZ442" i="6"/>
  <c r="AY442" i="6"/>
  <c r="AX442" i="6"/>
  <c r="AW442" i="6"/>
  <c r="AV442" i="6"/>
  <c r="AM442" i="6"/>
  <c r="AL442" i="6"/>
  <c r="AI442" i="6"/>
  <c r="AH442" i="6"/>
  <c r="AG442" i="6"/>
  <c r="AF442" i="6"/>
  <c r="W442" i="6"/>
  <c r="V442" i="6"/>
  <c r="S442" i="6"/>
  <c r="R442" i="6"/>
  <c r="Q442" i="6"/>
  <c r="P442" i="6"/>
  <c r="BA441" i="6"/>
  <c r="AZ441" i="6"/>
  <c r="AY441" i="6"/>
  <c r="AX441" i="6"/>
  <c r="AW441" i="6"/>
  <c r="AV441" i="6"/>
  <c r="AM441" i="6"/>
  <c r="AL441" i="6"/>
  <c r="AI441" i="6"/>
  <c r="AH441" i="6"/>
  <c r="AG441" i="6"/>
  <c r="AF441" i="6"/>
  <c r="W441" i="6"/>
  <c r="V441" i="6"/>
  <c r="S441" i="6"/>
  <c r="R441" i="6"/>
  <c r="Q441" i="6"/>
  <c r="P441" i="6"/>
  <c r="BA440" i="6"/>
  <c r="AZ440" i="6"/>
  <c r="AY440" i="6"/>
  <c r="AX440" i="6"/>
  <c r="AW440" i="6"/>
  <c r="AV440" i="6"/>
  <c r="AM440" i="6"/>
  <c r="AL440" i="6"/>
  <c r="AI440" i="6"/>
  <c r="AH440" i="6"/>
  <c r="AG440" i="6"/>
  <c r="AF440" i="6"/>
  <c r="W440" i="6"/>
  <c r="V440" i="6"/>
  <c r="S440" i="6"/>
  <c r="R440" i="6"/>
  <c r="Q440" i="6"/>
  <c r="P440" i="6"/>
  <c r="BA439" i="6"/>
  <c r="AZ439" i="6"/>
  <c r="AY439" i="6"/>
  <c r="AX439" i="6"/>
  <c r="AW439" i="6"/>
  <c r="AV439" i="6"/>
  <c r="AM439" i="6"/>
  <c r="AL439" i="6"/>
  <c r="AI439" i="6"/>
  <c r="AH439" i="6"/>
  <c r="AG439" i="6"/>
  <c r="AF439" i="6"/>
  <c r="W439" i="6"/>
  <c r="V439" i="6"/>
  <c r="S439" i="6"/>
  <c r="R439" i="6"/>
  <c r="Q439" i="6"/>
  <c r="P439" i="6"/>
  <c r="BA438" i="6"/>
  <c r="AZ438" i="6"/>
  <c r="AY438" i="6"/>
  <c r="AX438" i="6"/>
  <c r="AW438" i="6"/>
  <c r="AV438" i="6"/>
  <c r="AM438" i="6"/>
  <c r="AL438" i="6"/>
  <c r="AI438" i="6"/>
  <c r="AH438" i="6"/>
  <c r="AG438" i="6"/>
  <c r="AF438" i="6"/>
  <c r="W438" i="6"/>
  <c r="V438" i="6"/>
  <c r="S438" i="6"/>
  <c r="R438" i="6"/>
  <c r="Q438" i="6"/>
  <c r="P438" i="6"/>
  <c r="BA437" i="6"/>
  <c r="AZ437" i="6"/>
  <c r="AY437" i="6"/>
  <c r="AX437" i="6"/>
  <c r="AW437" i="6"/>
  <c r="AV437" i="6"/>
  <c r="AM437" i="6"/>
  <c r="AL437" i="6"/>
  <c r="AI437" i="6"/>
  <c r="AH437" i="6"/>
  <c r="AG437" i="6"/>
  <c r="AF437" i="6"/>
  <c r="W437" i="6"/>
  <c r="V437" i="6"/>
  <c r="S437" i="6"/>
  <c r="R437" i="6"/>
  <c r="Q437" i="6"/>
  <c r="P437" i="6"/>
  <c r="BA436" i="6"/>
  <c r="AZ436" i="6"/>
  <c r="AY436" i="6"/>
  <c r="AX436" i="6"/>
  <c r="AW436" i="6"/>
  <c r="AV436" i="6"/>
  <c r="AM436" i="6"/>
  <c r="AL436" i="6"/>
  <c r="AI436" i="6"/>
  <c r="AH436" i="6"/>
  <c r="AG436" i="6"/>
  <c r="AF436" i="6"/>
  <c r="W436" i="6"/>
  <c r="V436" i="6"/>
  <c r="S436" i="6"/>
  <c r="R436" i="6"/>
  <c r="Q436" i="6"/>
  <c r="P436" i="6"/>
  <c r="BA435" i="6"/>
  <c r="AZ435" i="6"/>
  <c r="AY435" i="6"/>
  <c r="AX435" i="6"/>
  <c r="AW435" i="6"/>
  <c r="AV435" i="6"/>
  <c r="AM435" i="6"/>
  <c r="AL435" i="6"/>
  <c r="AI435" i="6"/>
  <c r="AH435" i="6"/>
  <c r="AG435" i="6"/>
  <c r="AF435" i="6"/>
  <c r="W435" i="6"/>
  <c r="V435" i="6"/>
  <c r="S435" i="6"/>
  <c r="R435" i="6"/>
  <c r="Q435" i="6"/>
  <c r="P435" i="6"/>
  <c r="BA434" i="6"/>
  <c r="AZ434" i="6"/>
  <c r="AY434" i="6"/>
  <c r="AX434" i="6"/>
  <c r="AW434" i="6"/>
  <c r="AV434" i="6"/>
  <c r="AM434" i="6"/>
  <c r="AL434" i="6"/>
  <c r="AI434" i="6"/>
  <c r="AH434" i="6"/>
  <c r="AG434" i="6"/>
  <c r="AF434" i="6"/>
  <c r="W434" i="6"/>
  <c r="V434" i="6"/>
  <c r="S434" i="6"/>
  <c r="R434" i="6"/>
  <c r="Q434" i="6"/>
  <c r="P434" i="6"/>
  <c r="BA433" i="6"/>
  <c r="AZ433" i="6"/>
  <c r="AY433" i="6"/>
  <c r="AX433" i="6"/>
  <c r="AW433" i="6"/>
  <c r="AV433" i="6"/>
  <c r="AM433" i="6"/>
  <c r="AL433" i="6"/>
  <c r="AI433" i="6"/>
  <c r="AH433" i="6"/>
  <c r="AG433" i="6"/>
  <c r="AF433" i="6"/>
  <c r="W433" i="6"/>
  <c r="V433" i="6"/>
  <c r="S433" i="6"/>
  <c r="R433" i="6"/>
  <c r="Q433" i="6"/>
  <c r="P433" i="6"/>
  <c r="BA432" i="6"/>
  <c r="AZ432" i="6"/>
  <c r="AY432" i="6"/>
  <c r="AX432" i="6"/>
  <c r="AW432" i="6"/>
  <c r="AV432" i="6"/>
  <c r="AM432" i="6"/>
  <c r="AL432" i="6"/>
  <c r="AI432" i="6"/>
  <c r="AH432" i="6"/>
  <c r="AG432" i="6"/>
  <c r="AF432" i="6"/>
  <c r="W432" i="6"/>
  <c r="V432" i="6"/>
  <c r="S432" i="6"/>
  <c r="R432" i="6"/>
  <c r="Q432" i="6"/>
  <c r="P432" i="6"/>
  <c r="BA431" i="6"/>
  <c r="AZ431" i="6"/>
  <c r="AY431" i="6"/>
  <c r="AX431" i="6"/>
  <c r="AW431" i="6"/>
  <c r="AV431" i="6"/>
  <c r="AM431" i="6"/>
  <c r="AL431" i="6"/>
  <c r="AI431" i="6"/>
  <c r="AH431" i="6"/>
  <c r="AG431" i="6"/>
  <c r="AF431" i="6"/>
  <c r="W431" i="6"/>
  <c r="V431" i="6"/>
  <c r="S431" i="6"/>
  <c r="R431" i="6"/>
  <c r="Q431" i="6"/>
  <c r="P431" i="6"/>
  <c r="BA430" i="6"/>
  <c r="AZ430" i="6"/>
  <c r="AY430" i="6"/>
  <c r="AX430" i="6"/>
  <c r="AW430" i="6"/>
  <c r="AV430" i="6"/>
  <c r="AM430" i="6"/>
  <c r="AL430" i="6"/>
  <c r="AI430" i="6"/>
  <c r="AH430" i="6"/>
  <c r="AG430" i="6"/>
  <c r="AF430" i="6"/>
  <c r="W430" i="6"/>
  <c r="V430" i="6"/>
  <c r="S430" i="6"/>
  <c r="R430" i="6"/>
  <c r="Q430" i="6"/>
  <c r="P430" i="6"/>
  <c r="BA429" i="6"/>
  <c r="AZ429" i="6"/>
  <c r="AY429" i="6"/>
  <c r="AX429" i="6"/>
  <c r="AW429" i="6"/>
  <c r="AV429" i="6"/>
  <c r="AM429" i="6"/>
  <c r="AL429" i="6"/>
  <c r="AI429" i="6"/>
  <c r="AH429" i="6"/>
  <c r="AG429" i="6"/>
  <c r="AF429" i="6"/>
  <c r="W429" i="6"/>
  <c r="V429" i="6"/>
  <c r="S429" i="6"/>
  <c r="R429" i="6"/>
  <c r="Q429" i="6"/>
  <c r="P429" i="6"/>
  <c r="BA428" i="6"/>
  <c r="AZ428" i="6"/>
  <c r="AY428" i="6"/>
  <c r="AX428" i="6"/>
  <c r="AW428" i="6"/>
  <c r="AV428" i="6"/>
  <c r="AM428" i="6"/>
  <c r="AL428" i="6"/>
  <c r="AI428" i="6"/>
  <c r="AH428" i="6"/>
  <c r="AG428" i="6"/>
  <c r="AF428" i="6"/>
  <c r="W428" i="6"/>
  <c r="V428" i="6"/>
  <c r="S428" i="6"/>
  <c r="R428" i="6"/>
  <c r="Q428" i="6"/>
  <c r="P428" i="6"/>
  <c r="BA427" i="6"/>
  <c r="AZ427" i="6"/>
  <c r="AY427" i="6"/>
  <c r="AX427" i="6"/>
  <c r="AW427" i="6"/>
  <c r="AV427" i="6"/>
  <c r="AM427" i="6"/>
  <c r="AL427" i="6"/>
  <c r="AI427" i="6"/>
  <c r="AH427" i="6"/>
  <c r="AG427" i="6"/>
  <c r="AF427" i="6"/>
  <c r="W427" i="6"/>
  <c r="V427" i="6"/>
  <c r="S427" i="6"/>
  <c r="R427" i="6"/>
  <c r="Q427" i="6"/>
  <c r="P427" i="6"/>
  <c r="BA426" i="6"/>
  <c r="AZ426" i="6"/>
  <c r="AY426" i="6"/>
  <c r="AX426" i="6"/>
  <c r="AW426" i="6"/>
  <c r="AV426" i="6"/>
  <c r="AM426" i="6"/>
  <c r="AL426" i="6"/>
  <c r="AI426" i="6"/>
  <c r="AH426" i="6"/>
  <c r="AG426" i="6"/>
  <c r="AF426" i="6"/>
  <c r="W426" i="6"/>
  <c r="V426" i="6"/>
  <c r="S426" i="6"/>
  <c r="R426" i="6"/>
  <c r="Q426" i="6"/>
  <c r="P426" i="6"/>
  <c r="BA425" i="6"/>
  <c r="AZ425" i="6"/>
  <c r="AY425" i="6"/>
  <c r="AX425" i="6"/>
  <c r="AW425" i="6"/>
  <c r="AV425" i="6"/>
  <c r="AM425" i="6"/>
  <c r="AL425" i="6"/>
  <c r="AI425" i="6"/>
  <c r="AH425" i="6"/>
  <c r="AG425" i="6"/>
  <c r="AF425" i="6"/>
  <c r="W425" i="6"/>
  <c r="V425" i="6"/>
  <c r="S425" i="6"/>
  <c r="R425" i="6"/>
  <c r="Q425" i="6"/>
  <c r="P425" i="6"/>
  <c r="BA424" i="6"/>
  <c r="AZ424" i="6"/>
  <c r="AY424" i="6"/>
  <c r="AX424" i="6"/>
  <c r="AW424" i="6"/>
  <c r="AV424" i="6"/>
  <c r="AM424" i="6"/>
  <c r="AL424" i="6"/>
  <c r="AI424" i="6"/>
  <c r="AH424" i="6"/>
  <c r="AG424" i="6"/>
  <c r="AF424" i="6"/>
  <c r="W424" i="6"/>
  <c r="V424" i="6"/>
  <c r="S424" i="6"/>
  <c r="R424" i="6"/>
  <c r="Q424" i="6"/>
  <c r="P424" i="6"/>
  <c r="BA423" i="6"/>
  <c r="AZ423" i="6"/>
  <c r="AY423" i="6"/>
  <c r="AX423" i="6"/>
  <c r="AW423" i="6"/>
  <c r="AV423" i="6"/>
  <c r="AM423" i="6"/>
  <c r="AL423" i="6"/>
  <c r="AI423" i="6"/>
  <c r="AH423" i="6"/>
  <c r="AG423" i="6"/>
  <c r="AF423" i="6"/>
  <c r="W423" i="6"/>
  <c r="V423" i="6"/>
  <c r="S423" i="6"/>
  <c r="R423" i="6"/>
  <c r="Q423" i="6"/>
  <c r="P423" i="6"/>
  <c r="BA422" i="6"/>
  <c r="AZ422" i="6"/>
  <c r="AY422" i="6"/>
  <c r="AX422" i="6"/>
  <c r="AW422" i="6"/>
  <c r="AV422" i="6"/>
  <c r="AM422" i="6"/>
  <c r="AL422" i="6"/>
  <c r="AI422" i="6"/>
  <c r="AH422" i="6"/>
  <c r="AG422" i="6"/>
  <c r="AF422" i="6"/>
  <c r="W422" i="6"/>
  <c r="V422" i="6"/>
  <c r="S422" i="6"/>
  <c r="R422" i="6"/>
  <c r="Q422" i="6"/>
  <c r="P422" i="6"/>
  <c r="BA421" i="6"/>
  <c r="AZ421" i="6"/>
  <c r="AY421" i="6"/>
  <c r="AX421" i="6"/>
  <c r="AW421" i="6"/>
  <c r="AV421" i="6"/>
  <c r="AM421" i="6"/>
  <c r="AL421" i="6"/>
  <c r="AI421" i="6"/>
  <c r="AH421" i="6"/>
  <c r="AG421" i="6"/>
  <c r="AF421" i="6"/>
  <c r="W421" i="6"/>
  <c r="V421" i="6"/>
  <c r="S421" i="6"/>
  <c r="R421" i="6"/>
  <c r="Q421" i="6"/>
  <c r="P421" i="6"/>
  <c r="BA420" i="6"/>
  <c r="AZ420" i="6"/>
  <c r="AY420" i="6"/>
  <c r="AX420" i="6"/>
  <c r="AW420" i="6"/>
  <c r="AV420" i="6"/>
  <c r="AM420" i="6"/>
  <c r="AL420" i="6"/>
  <c r="AI420" i="6"/>
  <c r="AH420" i="6"/>
  <c r="AG420" i="6"/>
  <c r="AF420" i="6"/>
  <c r="W420" i="6"/>
  <c r="V420" i="6"/>
  <c r="S420" i="6"/>
  <c r="R420" i="6"/>
  <c r="Q420" i="6"/>
  <c r="P420" i="6"/>
  <c r="BA419" i="6"/>
  <c r="AZ419" i="6"/>
  <c r="AY419" i="6"/>
  <c r="AX419" i="6"/>
  <c r="AW419" i="6"/>
  <c r="AV419" i="6"/>
  <c r="AM419" i="6"/>
  <c r="AL419" i="6"/>
  <c r="AI419" i="6"/>
  <c r="AH419" i="6"/>
  <c r="AG419" i="6"/>
  <c r="AF419" i="6"/>
  <c r="W419" i="6"/>
  <c r="V419" i="6"/>
  <c r="S419" i="6"/>
  <c r="R419" i="6"/>
  <c r="Q419" i="6"/>
  <c r="P419" i="6"/>
  <c r="BA418" i="6"/>
  <c r="AZ418" i="6"/>
  <c r="AY418" i="6"/>
  <c r="AX418" i="6"/>
  <c r="AW418" i="6"/>
  <c r="AV418" i="6"/>
  <c r="AM418" i="6"/>
  <c r="AL418" i="6"/>
  <c r="AI418" i="6"/>
  <c r="AH418" i="6"/>
  <c r="AG418" i="6"/>
  <c r="AF418" i="6"/>
  <c r="W418" i="6"/>
  <c r="V418" i="6"/>
  <c r="S418" i="6"/>
  <c r="R418" i="6"/>
  <c r="Q418" i="6"/>
  <c r="P418" i="6"/>
  <c r="BA417" i="6"/>
  <c r="AZ417" i="6"/>
  <c r="AY417" i="6"/>
  <c r="AX417" i="6"/>
  <c r="AW417" i="6"/>
  <c r="AV417" i="6"/>
  <c r="AM417" i="6"/>
  <c r="AL417" i="6"/>
  <c r="AI417" i="6"/>
  <c r="AH417" i="6"/>
  <c r="AG417" i="6"/>
  <c r="AF417" i="6"/>
  <c r="W417" i="6"/>
  <c r="V417" i="6"/>
  <c r="S417" i="6"/>
  <c r="R417" i="6"/>
  <c r="Q417" i="6"/>
  <c r="P417" i="6"/>
  <c r="BA416" i="6"/>
  <c r="AZ416" i="6"/>
  <c r="AY416" i="6"/>
  <c r="AX416" i="6"/>
  <c r="AW416" i="6"/>
  <c r="AV416" i="6"/>
  <c r="AM416" i="6"/>
  <c r="AL416" i="6"/>
  <c r="AI416" i="6"/>
  <c r="AH416" i="6"/>
  <c r="AG416" i="6"/>
  <c r="AF416" i="6"/>
  <c r="W416" i="6"/>
  <c r="V416" i="6"/>
  <c r="S416" i="6"/>
  <c r="R416" i="6"/>
  <c r="Q416" i="6"/>
  <c r="P416" i="6"/>
  <c r="BA415" i="6"/>
  <c r="AZ415" i="6"/>
  <c r="AY415" i="6"/>
  <c r="AX415" i="6"/>
  <c r="AW415" i="6"/>
  <c r="AV415" i="6"/>
  <c r="AM415" i="6"/>
  <c r="AL415" i="6"/>
  <c r="AI415" i="6"/>
  <c r="AH415" i="6"/>
  <c r="AG415" i="6"/>
  <c r="AF415" i="6"/>
  <c r="W415" i="6"/>
  <c r="V415" i="6"/>
  <c r="S415" i="6"/>
  <c r="R415" i="6"/>
  <c r="Q415" i="6"/>
  <c r="P415" i="6"/>
  <c r="BA414" i="6"/>
  <c r="AZ414" i="6"/>
  <c r="AY414" i="6"/>
  <c r="AX414" i="6"/>
  <c r="AW414" i="6"/>
  <c r="AV414" i="6"/>
  <c r="AM414" i="6"/>
  <c r="AL414" i="6"/>
  <c r="AI414" i="6"/>
  <c r="AH414" i="6"/>
  <c r="AG414" i="6"/>
  <c r="AF414" i="6"/>
  <c r="W414" i="6"/>
  <c r="V414" i="6"/>
  <c r="S414" i="6"/>
  <c r="R414" i="6"/>
  <c r="Q414" i="6"/>
  <c r="P414" i="6"/>
  <c r="BA413" i="6"/>
  <c r="AZ413" i="6"/>
  <c r="AY413" i="6"/>
  <c r="AX413" i="6"/>
  <c r="AW413" i="6"/>
  <c r="AV413" i="6"/>
  <c r="AM413" i="6"/>
  <c r="AL413" i="6"/>
  <c r="AI413" i="6"/>
  <c r="AH413" i="6"/>
  <c r="AG413" i="6"/>
  <c r="AF413" i="6"/>
  <c r="W413" i="6"/>
  <c r="V413" i="6"/>
  <c r="S413" i="6"/>
  <c r="R413" i="6"/>
  <c r="Q413" i="6"/>
  <c r="P413" i="6"/>
  <c r="BA412" i="6"/>
  <c r="AZ412" i="6"/>
  <c r="AY412" i="6"/>
  <c r="AX412" i="6"/>
  <c r="AW412" i="6"/>
  <c r="AV412" i="6"/>
  <c r="AM412" i="6"/>
  <c r="AL412" i="6"/>
  <c r="AI412" i="6"/>
  <c r="AH412" i="6"/>
  <c r="AG412" i="6"/>
  <c r="AF412" i="6"/>
  <c r="W412" i="6"/>
  <c r="V412" i="6"/>
  <c r="S412" i="6"/>
  <c r="R412" i="6"/>
  <c r="Q412" i="6"/>
  <c r="P412" i="6"/>
  <c r="BA411" i="6"/>
  <c r="AZ411" i="6"/>
  <c r="AY411" i="6"/>
  <c r="AX411" i="6"/>
  <c r="AW411" i="6"/>
  <c r="AV411" i="6"/>
  <c r="AM411" i="6"/>
  <c r="AL411" i="6"/>
  <c r="AI411" i="6"/>
  <c r="AH411" i="6"/>
  <c r="AG411" i="6"/>
  <c r="AF411" i="6"/>
  <c r="W411" i="6"/>
  <c r="V411" i="6"/>
  <c r="S411" i="6"/>
  <c r="R411" i="6"/>
  <c r="Q411" i="6"/>
  <c r="P411" i="6"/>
  <c r="BA410" i="6"/>
  <c r="AZ410" i="6"/>
  <c r="AY410" i="6"/>
  <c r="AX410" i="6"/>
  <c r="AW410" i="6"/>
  <c r="AV410" i="6"/>
  <c r="AM410" i="6"/>
  <c r="AL410" i="6"/>
  <c r="AI410" i="6"/>
  <c r="AH410" i="6"/>
  <c r="AG410" i="6"/>
  <c r="AF410" i="6"/>
  <c r="W410" i="6"/>
  <c r="V410" i="6"/>
  <c r="S410" i="6"/>
  <c r="R410" i="6"/>
  <c r="Q410" i="6"/>
  <c r="P410" i="6"/>
  <c r="BA409" i="6"/>
  <c r="AZ409" i="6"/>
  <c r="AY409" i="6"/>
  <c r="AX409" i="6"/>
  <c r="AW409" i="6"/>
  <c r="AV409" i="6"/>
  <c r="AM409" i="6"/>
  <c r="AL409" i="6"/>
  <c r="AI409" i="6"/>
  <c r="AH409" i="6"/>
  <c r="AG409" i="6"/>
  <c r="AF409" i="6"/>
  <c r="W409" i="6"/>
  <c r="V409" i="6"/>
  <c r="S409" i="6"/>
  <c r="R409" i="6"/>
  <c r="Q409" i="6"/>
  <c r="P409" i="6"/>
  <c r="BA408" i="6"/>
  <c r="AZ408" i="6"/>
  <c r="AY408" i="6"/>
  <c r="AX408" i="6"/>
  <c r="AW408" i="6"/>
  <c r="AV408" i="6"/>
  <c r="AM408" i="6"/>
  <c r="AL408" i="6"/>
  <c r="AI408" i="6"/>
  <c r="AH408" i="6"/>
  <c r="AG408" i="6"/>
  <c r="AF408" i="6"/>
  <c r="W408" i="6"/>
  <c r="V408" i="6"/>
  <c r="S408" i="6"/>
  <c r="R408" i="6"/>
  <c r="Q408" i="6"/>
  <c r="P408" i="6"/>
  <c r="BA407" i="6"/>
  <c r="AZ407" i="6"/>
  <c r="AY407" i="6"/>
  <c r="AX407" i="6"/>
  <c r="AW407" i="6"/>
  <c r="AV407" i="6"/>
  <c r="AM407" i="6"/>
  <c r="AL407" i="6"/>
  <c r="AI407" i="6"/>
  <c r="AH407" i="6"/>
  <c r="AG407" i="6"/>
  <c r="AF407" i="6"/>
  <c r="W407" i="6"/>
  <c r="V407" i="6"/>
  <c r="S407" i="6"/>
  <c r="R407" i="6"/>
  <c r="Q407" i="6"/>
  <c r="P407" i="6"/>
  <c r="BA406" i="6"/>
  <c r="AZ406" i="6"/>
  <c r="AY406" i="6"/>
  <c r="AX406" i="6"/>
  <c r="AW406" i="6"/>
  <c r="AV406" i="6"/>
  <c r="AM406" i="6"/>
  <c r="AL406" i="6"/>
  <c r="AI406" i="6"/>
  <c r="AH406" i="6"/>
  <c r="AG406" i="6"/>
  <c r="AF406" i="6"/>
  <c r="W406" i="6"/>
  <c r="V406" i="6"/>
  <c r="S406" i="6"/>
  <c r="R406" i="6"/>
  <c r="Q406" i="6"/>
  <c r="P406" i="6"/>
  <c r="BA405" i="6"/>
  <c r="AZ405" i="6"/>
  <c r="AY405" i="6"/>
  <c r="AX405" i="6"/>
  <c r="AW405" i="6"/>
  <c r="AV405" i="6"/>
  <c r="AM405" i="6"/>
  <c r="AL405" i="6"/>
  <c r="AI405" i="6"/>
  <c r="AH405" i="6"/>
  <c r="AG405" i="6"/>
  <c r="AF405" i="6"/>
  <c r="W405" i="6"/>
  <c r="V405" i="6"/>
  <c r="S405" i="6"/>
  <c r="R405" i="6"/>
  <c r="Q405" i="6"/>
  <c r="P405" i="6"/>
  <c r="BA404" i="6"/>
  <c r="AZ404" i="6"/>
  <c r="AY404" i="6"/>
  <c r="AX404" i="6"/>
  <c r="AW404" i="6"/>
  <c r="AV404" i="6"/>
  <c r="AM404" i="6"/>
  <c r="AL404" i="6"/>
  <c r="AI404" i="6"/>
  <c r="AH404" i="6"/>
  <c r="AG404" i="6"/>
  <c r="AF404" i="6"/>
  <c r="W404" i="6"/>
  <c r="V404" i="6"/>
  <c r="S404" i="6"/>
  <c r="R404" i="6"/>
  <c r="Q404" i="6"/>
  <c r="P404" i="6"/>
  <c r="BA403" i="6"/>
  <c r="AZ403" i="6"/>
  <c r="AY403" i="6"/>
  <c r="AX403" i="6"/>
  <c r="AW403" i="6"/>
  <c r="AV403" i="6"/>
  <c r="AM403" i="6"/>
  <c r="AL403" i="6"/>
  <c r="AI403" i="6"/>
  <c r="AH403" i="6"/>
  <c r="AG403" i="6"/>
  <c r="AF403" i="6"/>
  <c r="W403" i="6"/>
  <c r="V403" i="6"/>
  <c r="S403" i="6"/>
  <c r="R403" i="6"/>
  <c r="Q403" i="6"/>
  <c r="P403" i="6"/>
  <c r="BA402" i="6"/>
  <c r="AZ402" i="6"/>
  <c r="AY402" i="6"/>
  <c r="AX402" i="6"/>
  <c r="AW402" i="6"/>
  <c r="AV402" i="6"/>
  <c r="AM402" i="6"/>
  <c r="AL402" i="6"/>
  <c r="AI402" i="6"/>
  <c r="AH402" i="6"/>
  <c r="AG402" i="6"/>
  <c r="AF402" i="6"/>
  <c r="W402" i="6"/>
  <c r="V402" i="6"/>
  <c r="S402" i="6"/>
  <c r="R402" i="6"/>
  <c r="Q402" i="6"/>
  <c r="P402" i="6"/>
  <c r="BA401" i="6"/>
  <c r="AZ401" i="6"/>
  <c r="AY401" i="6"/>
  <c r="AX401" i="6"/>
  <c r="AW401" i="6"/>
  <c r="AV401" i="6"/>
  <c r="AM401" i="6"/>
  <c r="AL401" i="6"/>
  <c r="AI401" i="6"/>
  <c r="AH401" i="6"/>
  <c r="AG401" i="6"/>
  <c r="AF401" i="6"/>
  <c r="W401" i="6"/>
  <c r="V401" i="6"/>
  <c r="S401" i="6"/>
  <c r="R401" i="6"/>
  <c r="Q401" i="6"/>
  <c r="P401" i="6"/>
  <c r="BA400" i="6"/>
  <c r="AZ400" i="6"/>
  <c r="AY400" i="6"/>
  <c r="AX400" i="6"/>
  <c r="AW400" i="6"/>
  <c r="AV400" i="6"/>
  <c r="AM400" i="6"/>
  <c r="AL400" i="6"/>
  <c r="AI400" i="6"/>
  <c r="AH400" i="6"/>
  <c r="AG400" i="6"/>
  <c r="AF400" i="6"/>
  <c r="W400" i="6"/>
  <c r="V400" i="6"/>
  <c r="S400" i="6"/>
  <c r="R400" i="6"/>
  <c r="Q400" i="6"/>
  <c r="P400" i="6"/>
  <c r="BA399" i="6"/>
  <c r="AZ399" i="6"/>
  <c r="AY399" i="6"/>
  <c r="AX399" i="6"/>
  <c r="AW399" i="6"/>
  <c r="AV399" i="6"/>
  <c r="AM399" i="6"/>
  <c r="AL399" i="6"/>
  <c r="AI399" i="6"/>
  <c r="AH399" i="6"/>
  <c r="AG399" i="6"/>
  <c r="AF399" i="6"/>
  <c r="W399" i="6"/>
  <c r="V399" i="6"/>
  <c r="S399" i="6"/>
  <c r="R399" i="6"/>
  <c r="Q399" i="6"/>
  <c r="P399" i="6"/>
  <c r="BA398" i="6"/>
  <c r="AZ398" i="6"/>
  <c r="AY398" i="6"/>
  <c r="AX398" i="6"/>
  <c r="AW398" i="6"/>
  <c r="AV398" i="6"/>
  <c r="AM398" i="6"/>
  <c r="AL398" i="6"/>
  <c r="AI398" i="6"/>
  <c r="AH398" i="6"/>
  <c r="AG398" i="6"/>
  <c r="AF398" i="6"/>
  <c r="W398" i="6"/>
  <c r="V398" i="6"/>
  <c r="S398" i="6"/>
  <c r="R398" i="6"/>
  <c r="Q398" i="6"/>
  <c r="P398" i="6"/>
  <c r="BA397" i="6"/>
  <c r="AZ397" i="6"/>
  <c r="AY397" i="6"/>
  <c r="AX397" i="6"/>
  <c r="AW397" i="6"/>
  <c r="AV397" i="6"/>
  <c r="AM397" i="6"/>
  <c r="AL397" i="6"/>
  <c r="AI397" i="6"/>
  <c r="AH397" i="6"/>
  <c r="AG397" i="6"/>
  <c r="AF397" i="6"/>
  <c r="W397" i="6"/>
  <c r="V397" i="6"/>
  <c r="S397" i="6"/>
  <c r="R397" i="6"/>
  <c r="Q397" i="6"/>
  <c r="P397" i="6"/>
  <c r="BA396" i="6"/>
  <c r="AZ396" i="6"/>
  <c r="AY396" i="6"/>
  <c r="AX396" i="6"/>
  <c r="AW396" i="6"/>
  <c r="AV396" i="6"/>
  <c r="AM396" i="6"/>
  <c r="AL396" i="6"/>
  <c r="AI396" i="6"/>
  <c r="AH396" i="6"/>
  <c r="AG396" i="6"/>
  <c r="AF396" i="6"/>
  <c r="W396" i="6"/>
  <c r="V396" i="6"/>
  <c r="S396" i="6"/>
  <c r="R396" i="6"/>
  <c r="Q396" i="6"/>
  <c r="P396" i="6"/>
  <c r="BA395" i="6"/>
  <c r="AZ395" i="6"/>
  <c r="AY395" i="6"/>
  <c r="AX395" i="6"/>
  <c r="AW395" i="6"/>
  <c r="AV395" i="6"/>
  <c r="AM395" i="6"/>
  <c r="AL395" i="6"/>
  <c r="AI395" i="6"/>
  <c r="AH395" i="6"/>
  <c r="AG395" i="6"/>
  <c r="AF395" i="6"/>
  <c r="W395" i="6"/>
  <c r="V395" i="6"/>
  <c r="S395" i="6"/>
  <c r="R395" i="6"/>
  <c r="Q395" i="6"/>
  <c r="P395" i="6"/>
  <c r="BA394" i="6"/>
  <c r="AZ394" i="6"/>
  <c r="AY394" i="6"/>
  <c r="AX394" i="6"/>
  <c r="AW394" i="6"/>
  <c r="AV394" i="6"/>
  <c r="AM394" i="6"/>
  <c r="AL394" i="6"/>
  <c r="AI394" i="6"/>
  <c r="AH394" i="6"/>
  <c r="AG394" i="6"/>
  <c r="AF394" i="6"/>
  <c r="W394" i="6"/>
  <c r="V394" i="6"/>
  <c r="S394" i="6"/>
  <c r="R394" i="6"/>
  <c r="Q394" i="6"/>
  <c r="P394" i="6"/>
  <c r="BA393" i="6"/>
  <c r="AZ393" i="6"/>
  <c r="AY393" i="6"/>
  <c r="AX393" i="6"/>
  <c r="AW393" i="6"/>
  <c r="AV393" i="6"/>
  <c r="AM393" i="6"/>
  <c r="AL393" i="6"/>
  <c r="AI393" i="6"/>
  <c r="AH393" i="6"/>
  <c r="AG393" i="6"/>
  <c r="AF393" i="6"/>
  <c r="W393" i="6"/>
  <c r="V393" i="6"/>
  <c r="S393" i="6"/>
  <c r="R393" i="6"/>
  <c r="Q393" i="6"/>
  <c r="P393" i="6"/>
  <c r="BA392" i="6"/>
  <c r="AZ392" i="6"/>
  <c r="AY392" i="6"/>
  <c r="AX392" i="6"/>
  <c r="AW392" i="6"/>
  <c r="AV392" i="6"/>
  <c r="AM392" i="6"/>
  <c r="AL392" i="6"/>
  <c r="AI392" i="6"/>
  <c r="AH392" i="6"/>
  <c r="AG392" i="6"/>
  <c r="AF392" i="6"/>
  <c r="W392" i="6"/>
  <c r="V392" i="6"/>
  <c r="S392" i="6"/>
  <c r="R392" i="6"/>
  <c r="Q392" i="6"/>
  <c r="P392" i="6"/>
  <c r="BA391" i="6"/>
  <c r="AZ391" i="6"/>
  <c r="AY391" i="6"/>
  <c r="AX391" i="6"/>
  <c r="AW391" i="6"/>
  <c r="AV391" i="6"/>
  <c r="AM391" i="6"/>
  <c r="AL391" i="6"/>
  <c r="AI391" i="6"/>
  <c r="AH391" i="6"/>
  <c r="AG391" i="6"/>
  <c r="AF391" i="6"/>
  <c r="W391" i="6"/>
  <c r="V391" i="6"/>
  <c r="S391" i="6"/>
  <c r="R391" i="6"/>
  <c r="Q391" i="6"/>
  <c r="P391" i="6"/>
  <c r="BA390" i="6"/>
  <c r="AZ390" i="6"/>
  <c r="AY390" i="6"/>
  <c r="AX390" i="6"/>
  <c r="AW390" i="6"/>
  <c r="AV390" i="6"/>
  <c r="AM390" i="6"/>
  <c r="AL390" i="6"/>
  <c r="AI390" i="6"/>
  <c r="AH390" i="6"/>
  <c r="AG390" i="6"/>
  <c r="AF390" i="6"/>
  <c r="W390" i="6"/>
  <c r="V390" i="6"/>
  <c r="S390" i="6"/>
  <c r="R390" i="6"/>
  <c r="Q390" i="6"/>
  <c r="P390" i="6"/>
  <c r="BA389" i="6"/>
  <c r="AZ389" i="6"/>
  <c r="AY389" i="6"/>
  <c r="AX389" i="6"/>
  <c r="AW389" i="6"/>
  <c r="AV389" i="6"/>
  <c r="AM389" i="6"/>
  <c r="AL389" i="6"/>
  <c r="AI389" i="6"/>
  <c r="AH389" i="6"/>
  <c r="AG389" i="6"/>
  <c r="AF389" i="6"/>
  <c r="W389" i="6"/>
  <c r="V389" i="6"/>
  <c r="S389" i="6"/>
  <c r="R389" i="6"/>
  <c r="Q389" i="6"/>
  <c r="P389" i="6"/>
  <c r="BA388" i="6"/>
  <c r="AZ388" i="6"/>
  <c r="AY388" i="6"/>
  <c r="AX388" i="6"/>
  <c r="AW388" i="6"/>
  <c r="AV388" i="6"/>
  <c r="AM388" i="6"/>
  <c r="AL388" i="6"/>
  <c r="AI388" i="6"/>
  <c r="AH388" i="6"/>
  <c r="AG388" i="6"/>
  <c r="AF388" i="6"/>
  <c r="W388" i="6"/>
  <c r="V388" i="6"/>
  <c r="S388" i="6"/>
  <c r="R388" i="6"/>
  <c r="Q388" i="6"/>
  <c r="P388" i="6"/>
  <c r="BA387" i="6"/>
  <c r="AZ387" i="6"/>
  <c r="AY387" i="6"/>
  <c r="AX387" i="6"/>
  <c r="AW387" i="6"/>
  <c r="AV387" i="6"/>
  <c r="AM387" i="6"/>
  <c r="AL387" i="6"/>
  <c r="AI387" i="6"/>
  <c r="AH387" i="6"/>
  <c r="AG387" i="6"/>
  <c r="AF387" i="6"/>
  <c r="W387" i="6"/>
  <c r="V387" i="6"/>
  <c r="S387" i="6"/>
  <c r="R387" i="6"/>
  <c r="Q387" i="6"/>
  <c r="P387" i="6"/>
  <c r="BA386" i="6"/>
  <c r="AZ386" i="6"/>
  <c r="AY386" i="6"/>
  <c r="AX386" i="6"/>
  <c r="AW386" i="6"/>
  <c r="AV386" i="6"/>
  <c r="AM386" i="6"/>
  <c r="AL386" i="6"/>
  <c r="AI386" i="6"/>
  <c r="AH386" i="6"/>
  <c r="AG386" i="6"/>
  <c r="AF386" i="6"/>
  <c r="W386" i="6"/>
  <c r="V386" i="6"/>
  <c r="S386" i="6"/>
  <c r="R386" i="6"/>
  <c r="Q386" i="6"/>
  <c r="P386" i="6"/>
  <c r="BA385" i="6"/>
  <c r="AZ385" i="6"/>
  <c r="AY385" i="6"/>
  <c r="AX385" i="6"/>
  <c r="AW385" i="6"/>
  <c r="AV385" i="6"/>
  <c r="AM385" i="6"/>
  <c r="AL385" i="6"/>
  <c r="AI385" i="6"/>
  <c r="AH385" i="6"/>
  <c r="AG385" i="6"/>
  <c r="AF385" i="6"/>
  <c r="W385" i="6"/>
  <c r="V385" i="6"/>
  <c r="S385" i="6"/>
  <c r="R385" i="6"/>
  <c r="Q385" i="6"/>
  <c r="P385" i="6"/>
  <c r="BA384" i="6"/>
  <c r="AZ384" i="6"/>
  <c r="AY384" i="6"/>
  <c r="AX384" i="6"/>
  <c r="AW384" i="6"/>
  <c r="AV384" i="6"/>
  <c r="AM384" i="6"/>
  <c r="AL384" i="6"/>
  <c r="AI384" i="6"/>
  <c r="AH384" i="6"/>
  <c r="AG384" i="6"/>
  <c r="AF384" i="6"/>
  <c r="W384" i="6"/>
  <c r="V384" i="6"/>
  <c r="S384" i="6"/>
  <c r="R384" i="6"/>
  <c r="Q384" i="6"/>
  <c r="P384" i="6"/>
  <c r="BA383" i="6"/>
  <c r="AZ383" i="6"/>
  <c r="AY383" i="6"/>
  <c r="AX383" i="6"/>
  <c r="AW383" i="6"/>
  <c r="AV383" i="6"/>
  <c r="AM383" i="6"/>
  <c r="AL383" i="6"/>
  <c r="AI383" i="6"/>
  <c r="AH383" i="6"/>
  <c r="AG383" i="6"/>
  <c r="AF383" i="6"/>
  <c r="W383" i="6"/>
  <c r="V383" i="6"/>
  <c r="S383" i="6"/>
  <c r="R383" i="6"/>
  <c r="Q383" i="6"/>
  <c r="P383" i="6"/>
  <c r="BA382" i="6"/>
  <c r="AZ382" i="6"/>
  <c r="AY382" i="6"/>
  <c r="AX382" i="6"/>
  <c r="AW382" i="6"/>
  <c r="AV382" i="6"/>
  <c r="AM382" i="6"/>
  <c r="AL382" i="6"/>
  <c r="AI382" i="6"/>
  <c r="AH382" i="6"/>
  <c r="AG382" i="6"/>
  <c r="AF382" i="6"/>
  <c r="W382" i="6"/>
  <c r="V382" i="6"/>
  <c r="S382" i="6"/>
  <c r="R382" i="6"/>
  <c r="Q382" i="6"/>
  <c r="P382" i="6"/>
  <c r="BA381" i="6"/>
  <c r="AZ381" i="6"/>
  <c r="AY381" i="6"/>
  <c r="AX381" i="6"/>
  <c r="AW381" i="6"/>
  <c r="AV381" i="6"/>
  <c r="AM381" i="6"/>
  <c r="AL381" i="6"/>
  <c r="AI381" i="6"/>
  <c r="AH381" i="6"/>
  <c r="AG381" i="6"/>
  <c r="AF381" i="6"/>
  <c r="W381" i="6"/>
  <c r="V381" i="6"/>
  <c r="S381" i="6"/>
  <c r="R381" i="6"/>
  <c r="Q381" i="6"/>
  <c r="P381" i="6"/>
  <c r="BA380" i="6"/>
  <c r="AZ380" i="6"/>
  <c r="AY380" i="6"/>
  <c r="AX380" i="6"/>
  <c r="AW380" i="6"/>
  <c r="AV380" i="6"/>
  <c r="AM380" i="6"/>
  <c r="AL380" i="6"/>
  <c r="AI380" i="6"/>
  <c r="AH380" i="6"/>
  <c r="AG380" i="6"/>
  <c r="AF380" i="6"/>
  <c r="W380" i="6"/>
  <c r="V380" i="6"/>
  <c r="S380" i="6"/>
  <c r="R380" i="6"/>
  <c r="Q380" i="6"/>
  <c r="P380" i="6"/>
  <c r="BA379" i="6"/>
  <c r="AZ379" i="6"/>
  <c r="AY379" i="6"/>
  <c r="AX379" i="6"/>
  <c r="AW379" i="6"/>
  <c r="AV379" i="6"/>
  <c r="AM379" i="6"/>
  <c r="AL379" i="6"/>
  <c r="AI379" i="6"/>
  <c r="AH379" i="6"/>
  <c r="AG379" i="6"/>
  <c r="AF379" i="6"/>
  <c r="W379" i="6"/>
  <c r="V379" i="6"/>
  <c r="S379" i="6"/>
  <c r="R379" i="6"/>
  <c r="Q379" i="6"/>
  <c r="P379" i="6"/>
  <c r="BA378" i="6"/>
  <c r="AZ378" i="6"/>
  <c r="AY378" i="6"/>
  <c r="AX378" i="6"/>
  <c r="AW378" i="6"/>
  <c r="AV378" i="6"/>
  <c r="AM378" i="6"/>
  <c r="AL378" i="6"/>
  <c r="AI378" i="6"/>
  <c r="AH378" i="6"/>
  <c r="AG378" i="6"/>
  <c r="AF378" i="6"/>
  <c r="W378" i="6"/>
  <c r="V378" i="6"/>
  <c r="S378" i="6"/>
  <c r="R378" i="6"/>
  <c r="Q378" i="6"/>
  <c r="P378" i="6"/>
  <c r="BA377" i="6"/>
  <c r="AZ377" i="6"/>
  <c r="AY377" i="6"/>
  <c r="AX377" i="6"/>
  <c r="AW377" i="6"/>
  <c r="AV377" i="6"/>
  <c r="AM377" i="6"/>
  <c r="AL377" i="6"/>
  <c r="AI377" i="6"/>
  <c r="AH377" i="6"/>
  <c r="AG377" i="6"/>
  <c r="AF377" i="6"/>
  <c r="W377" i="6"/>
  <c r="V377" i="6"/>
  <c r="S377" i="6"/>
  <c r="R377" i="6"/>
  <c r="Q377" i="6"/>
  <c r="P377" i="6"/>
  <c r="BA376" i="6"/>
  <c r="AZ376" i="6"/>
  <c r="AY376" i="6"/>
  <c r="AX376" i="6"/>
  <c r="AW376" i="6"/>
  <c r="AV376" i="6"/>
  <c r="AM376" i="6"/>
  <c r="AL376" i="6"/>
  <c r="AI376" i="6"/>
  <c r="AH376" i="6"/>
  <c r="AG376" i="6"/>
  <c r="AF376" i="6"/>
  <c r="W376" i="6"/>
  <c r="V376" i="6"/>
  <c r="S376" i="6"/>
  <c r="R376" i="6"/>
  <c r="Q376" i="6"/>
  <c r="P376" i="6"/>
  <c r="BA375" i="6"/>
  <c r="AZ375" i="6"/>
  <c r="AY375" i="6"/>
  <c r="AX375" i="6"/>
  <c r="AW375" i="6"/>
  <c r="AV375" i="6"/>
  <c r="AM375" i="6"/>
  <c r="AL375" i="6"/>
  <c r="AI375" i="6"/>
  <c r="AH375" i="6"/>
  <c r="AG375" i="6"/>
  <c r="AF375" i="6"/>
  <c r="W375" i="6"/>
  <c r="V375" i="6"/>
  <c r="S375" i="6"/>
  <c r="R375" i="6"/>
  <c r="Q375" i="6"/>
  <c r="P375" i="6"/>
  <c r="BA374" i="6"/>
  <c r="AZ374" i="6"/>
  <c r="AY374" i="6"/>
  <c r="AX374" i="6"/>
  <c r="AW374" i="6"/>
  <c r="AV374" i="6"/>
  <c r="AM374" i="6"/>
  <c r="AL374" i="6"/>
  <c r="AI374" i="6"/>
  <c r="AH374" i="6"/>
  <c r="AG374" i="6"/>
  <c r="AF374" i="6"/>
  <c r="W374" i="6"/>
  <c r="V374" i="6"/>
  <c r="S374" i="6"/>
  <c r="R374" i="6"/>
  <c r="Q374" i="6"/>
  <c r="P374" i="6"/>
  <c r="BA373" i="6"/>
  <c r="AZ373" i="6"/>
  <c r="AY373" i="6"/>
  <c r="AX373" i="6"/>
  <c r="AW373" i="6"/>
  <c r="AV373" i="6"/>
  <c r="AM373" i="6"/>
  <c r="AL373" i="6"/>
  <c r="AI373" i="6"/>
  <c r="AH373" i="6"/>
  <c r="AG373" i="6"/>
  <c r="AF373" i="6"/>
  <c r="W373" i="6"/>
  <c r="V373" i="6"/>
  <c r="S373" i="6"/>
  <c r="R373" i="6"/>
  <c r="Q373" i="6"/>
  <c r="P373" i="6"/>
  <c r="BA372" i="6"/>
  <c r="AZ372" i="6"/>
  <c r="AY372" i="6"/>
  <c r="AX372" i="6"/>
  <c r="AW372" i="6"/>
  <c r="AV372" i="6"/>
  <c r="AM372" i="6"/>
  <c r="AL372" i="6"/>
  <c r="AI372" i="6"/>
  <c r="AH372" i="6"/>
  <c r="AG372" i="6"/>
  <c r="AF372" i="6"/>
  <c r="W372" i="6"/>
  <c r="V372" i="6"/>
  <c r="S372" i="6"/>
  <c r="R372" i="6"/>
  <c r="Q372" i="6"/>
  <c r="P372" i="6"/>
  <c r="BA371" i="6"/>
  <c r="AZ371" i="6"/>
  <c r="AY371" i="6"/>
  <c r="AX371" i="6"/>
  <c r="AW371" i="6"/>
  <c r="AV371" i="6"/>
  <c r="AM371" i="6"/>
  <c r="AL371" i="6"/>
  <c r="AI371" i="6"/>
  <c r="AH371" i="6"/>
  <c r="AG371" i="6"/>
  <c r="AF371" i="6"/>
  <c r="W371" i="6"/>
  <c r="V371" i="6"/>
  <c r="S371" i="6"/>
  <c r="R371" i="6"/>
  <c r="Q371" i="6"/>
  <c r="P371" i="6"/>
  <c r="BA370" i="6"/>
  <c r="AZ370" i="6"/>
  <c r="AY370" i="6"/>
  <c r="AX370" i="6"/>
  <c r="AW370" i="6"/>
  <c r="AV370" i="6"/>
  <c r="AM370" i="6"/>
  <c r="AL370" i="6"/>
  <c r="AI370" i="6"/>
  <c r="AH370" i="6"/>
  <c r="AG370" i="6"/>
  <c r="AF370" i="6"/>
  <c r="W370" i="6"/>
  <c r="V370" i="6"/>
  <c r="S370" i="6"/>
  <c r="R370" i="6"/>
  <c r="Q370" i="6"/>
  <c r="P370" i="6"/>
  <c r="BA369" i="6"/>
  <c r="AZ369" i="6"/>
  <c r="AY369" i="6"/>
  <c r="AX369" i="6"/>
  <c r="AW369" i="6"/>
  <c r="AV369" i="6"/>
  <c r="AM369" i="6"/>
  <c r="AL369" i="6"/>
  <c r="AI369" i="6"/>
  <c r="AH369" i="6"/>
  <c r="AG369" i="6"/>
  <c r="AF369" i="6"/>
  <c r="W369" i="6"/>
  <c r="V369" i="6"/>
  <c r="S369" i="6"/>
  <c r="R369" i="6"/>
  <c r="Q369" i="6"/>
  <c r="P369" i="6"/>
  <c r="BA368" i="6"/>
  <c r="AZ368" i="6"/>
  <c r="AY368" i="6"/>
  <c r="AX368" i="6"/>
  <c r="AW368" i="6"/>
  <c r="AV368" i="6"/>
  <c r="AM368" i="6"/>
  <c r="AL368" i="6"/>
  <c r="AI368" i="6"/>
  <c r="AH368" i="6"/>
  <c r="AG368" i="6"/>
  <c r="AF368" i="6"/>
  <c r="W368" i="6"/>
  <c r="V368" i="6"/>
  <c r="S368" i="6"/>
  <c r="R368" i="6"/>
  <c r="Q368" i="6"/>
  <c r="P368" i="6"/>
  <c r="BA367" i="6"/>
  <c r="AZ367" i="6"/>
  <c r="AY367" i="6"/>
  <c r="AX367" i="6"/>
  <c r="AW367" i="6"/>
  <c r="AV367" i="6"/>
  <c r="AM367" i="6"/>
  <c r="AL367" i="6"/>
  <c r="AI367" i="6"/>
  <c r="AH367" i="6"/>
  <c r="AG367" i="6"/>
  <c r="AF367" i="6"/>
  <c r="W367" i="6"/>
  <c r="V367" i="6"/>
  <c r="S367" i="6"/>
  <c r="R367" i="6"/>
  <c r="Q367" i="6"/>
  <c r="P367" i="6"/>
  <c r="BA366" i="6"/>
  <c r="AZ366" i="6"/>
  <c r="AY366" i="6"/>
  <c r="AX366" i="6"/>
  <c r="AW366" i="6"/>
  <c r="AV366" i="6"/>
  <c r="AM366" i="6"/>
  <c r="AL366" i="6"/>
  <c r="AI366" i="6"/>
  <c r="AH366" i="6"/>
  <c r="AG366" i="6"/>
  <c r="AF366" i="6"/>
  <c r="W366" i="6"/>
  <c r="V366" i="6"/>
  <c r="S366" i="6"/>
  <c r="R366" i="6"/>
  <c r="Q366" i="6"/>
  <c r="P366" i="6"/>
  <c r="BA365" i="6"/>
  <c r="AZ365" i="6"/>
  <c r="AY365" i="6"/>
  <c r="AX365" i="6"/>
  <c r="AW365" i="6"/>
  <c r="AV365" i="6"/>
  <c r="AM365" i="6"/>
  <c r="AL365" i="6"/>
  <c r="AI365" i="6"/>
  <c r="AH365" i="6"/>
  <c r="AG365" i="6"/>
  <c r="AF365" i="6"/>
  <c r="W365" i="6"/>
  <c r="V365" i="6"/>
  <c r="S365" i="6"/>
  <c r="R365" i="6"/>
  <c r="Q365" i="6"/>
  <c r="P365" i="6"/>
  <c r="BA364" i="6"/>
  <c r="AZ364" i="6"/>
  <c r="AY364" i="6"/>
  <c r="AX364" i="6"/>
  <c r="AW364" i="6"/>
  <c r="AV364" i="6"/>
  <c r="AM364" i="6"/>
  <c r="AL364" i="6"/>
  <c r="AI364" i="6"/>
  <c r="AH364" i="6"/>
  <c r="AG364" i="6"/>
  <c r="AF364" i="6"/>
  <c r="W364" i="6"/>
  <c r="V364" i="6"/>
  <c r="S364" i="6"/>
  <c r="R364" i="6"/>
  <c r="Q364" i="6"/>
  <c r="P364" i="6"/>
  <c r="BA363" i="6"/>
  <c r="AZ363" i="6"/>
  <c r="AY363" i="6"/>
  <c r="AX363" i="6"/>
  <c r="AW363" i="6"/>
  <c r="AV363" i="6"/>
  <c r="AM363" i="6"/>
  <c r="AL363" i="6"/>
  <c r="AI363" i="6"/>
  <c r="AH363" i="6"/>
  <c r="AG363" i="6"/>
  <c r="AF363" i="6"/>
  <c r="W363" i="6"/>
  <c r="V363" i="6"/>
  <c r="S363" i="6"/>
  <c r="R363" i="6"/>
  <c r="Q363" i="6"/>
  <c r="P363" i="6"/>
  <c r="BA362" i="6"/>
  <c r="AZ362" i="6"/>
  <c r="AY362" i="6"/>
  <c r="AX362" i="6"/>
  <c r="AW362" i="6"/>
  <c r="AV362" i="6"/>
  <c r="AM362" i="6"/>
  <c r="AL362" i="6"/>
  <c r="AI362" i="6"/>
  <c r="AH362" i="6"/>
  <c r="AG362" i="6"/>
  <c r="AF362" i="6"/>
  <c r="W362" i="6"/>
  <c r="V362" i="6"/>
  <c r="S362" i="6"/>
  <c r="R362" i="6"/>
  <c r="Q362" i="6"/>
  <c r="P362" i="6"/>
  <c r="BA361" i="6"/>
  <c r="AZ361" i="6"/>
  <c r="AY361" i="6"/>
  <c r="AX361" i="6"/>
  <c r="AW361" i="6"/>
  <c r="AV361" i="6"/>
  <c r="AM361" i="6"/>
  <c r="AL361" i="6"/>
  <c r="AI361" i="6"/>
  <c r="AH361" i="6"/>
  <c r="AG361" i="6"/>
  <c r="AF361" i="6"/>
  <c r="W361" i="6"/>
  <c r="V361" i="6"/>
  <c r="S361" i="6"/>
  <c r="R361" i="6"/>
  <c r="Q361" i="6"/>
  <c r="P361" i="6"/>
  <c r="BA360" i="6"/>
  <c r="AZ360" i="6"/>
  <c r="AY360" i="6"/>
  <c r="AX360" i="6"/>
  <c r="AW360" i="6"/>
  <c r="AV360" i="6"/>
  <c r="AM360" i="6"/>
  <c r="AL360" i="6"/>
  <c r="AI360" i="6"/>
  <c r="AH360" i="6"/>
  <c r="AG360" i="6"/>
  <c r="AF360" i="6"/>
  <c r="W360" i="6"/>
  <c r="V360" i="6"/>
  <c r="S360" i="6"/>
  <c r="R360" i="6"/>
  <c r="Q360" i="6"/>
  <c r="P360" i="6"/>
  <c r="BA359" i="6"/>
  <c r="AZ359" i="6"/>
  <c r="AY359" i="6"/>
  <c r="AX359" i="6"/>
  <c r="AW359" i="6"/>
  <c r="AV359" i="6"/>
  <c r="AM359" i="6"/>
  <c r="AL359" i="6"/>
  <c r="AI359" i="6"/>
  <c r="AH359" i="6"/>
  <c r="AG359" i="6"/>
  <c r="AF359" i="6"/>
  <c r="W359" i="6"/>
  <c r="V359" i="6"/>
  <c r="S359" i="6"/>
  <c r="R359" i="6"/>
  <c r="Q359" i="6"/>
  <c r="P359" i="6"/>
  <c r="BA358" i="6"/>
  <c r="AZ358" i="6"/>
  <c r="AY358" i="6"/>
  <c r="AX358" i="6"/>
  <c r="AW358" i="6"/>
  <c r="AV358" i="6"/>
  <c r="AM358" i="6"/>
  <c r="AL358" i="6"/>
  <c r="AI358" i="6"/>
  <c r="AH358" i="6"/>
  <c r="AG358" i="6"/>
  <c r="AF358" i="6"/>
  <c r="W358" i="6"/>
  <c r="V358" i="6"/>
  <c r="S358" i="6"/>
  <c r="R358" i="6"/>
  <c r="Q358" i="6"/>
  <c r="P358" i="6"/>
  <c r="BA357" i="6"/>
  <c r="AZ357" i="6"/>
  <c r="AY357" i="6"/>
  <c r="AX357" i="6"/>
  <c r="AW357" i="6"/>
  <c r="AV357" i="6"/>
  <c r="AM357" i="6"/>
  <c r="AL357" i="6"/>
  <c r="AI357" i="6"/>
  <c r="AH357" i="6"/>
  <c r="AG357" i="6"/>
  <c r="AF357" i="6"/>
  <c r="W357" i="6"/>
  <c r="V357" i="6"/>
  <c r="S357" i="6"/>
  <c r="R357" i="6"/>
  <c r="Q357" i="6"/>
  <c r="P357" i="6"/>
  <c r="BA356" i="6"/>
  <c r="AZ356" i="6"/>
  <c r="AY356" i="6"/>
  <c r="AX356" i="6"/>
  <c r="AW356" i="6"/>
  <c r="AV356" i="6"/>
  <c r="AM356" i="6"/>
  <c r="AL356" i="6"/>
  <c r="AI356" i="6"/>
  <c r="AH356" i="6"/>
  <c r="AG356" i="6"/>
  <c r="AF356" i="6"/>
  <c r="W356" i="6"/>
  <c r="V356" i="6"/>
  <c r="S356" i="6"/>
  <c r="R356" i="6"/>
  <c r="Q356" i="6"/>
  <c r="P356" i="6"/>
  <c r="BA355" i="6"/>
  <c r="AZ355" i="6"/>
  <c r="AY355" i="6"/>
  <c r="AX355" i="6"/>
  <c r="AW355" i="6"/>
  <c r="AV355" i="6"/>
  <c r="AM355" i="6"/>
  <c r="AL355" i="6"/>
  <c r="AI355" i="6"/>
  <c r="AH355" i="6"/>
  <c r="AG355" i="6"/>
  <c r="AF355" i="6"/>
  <c r="W355" i="6"/>
  <c r="V355" i="6"/>
  <c r="S355" i="6"/>
  <c r="R355" i="6"/>
  <c r="Q355" i="6"/>
  <c r="P355" i="6"/>
  <c r="BA354" i="6"/>
  <c r="AZ354" i="6"/>
  <c r="AY354" i="6"/>
  <c r="AX354" i="6"/>
  <c r="AW354" i="6"/>
  <c r="AV354" i="6"/>
  <c r="AM354" i="6"/>
  <c r="AL354" i="6"/>
  <c r="AI354" i="6"/>
  <c r="AH354" i="6"/>
  <c r="AG354" i="6"/>
  <c r="AF354" i="6"/>
  <c r="W354" i="6"/>
  <c r="V354" i="6"/>
  <c r="S354" i="6"/>
  <c r="R354" i="6"/>
  <c r="Q354" i="6"/>
  <c r="P354" i="6"/>
  <c r="BA353" i="6"/>
  <c r="AZ353" i="6"/>
  <c r="AY353" i="6"/>
  <c r="AX353" i="6"/>
  <c r="AW353" i="6"/>
  <c r="AV353" i="6"/>
  <c r="AM353" i="6"/>
  <c r="AL353" i="6"/>
  <c r="AI353" i="6"/>
  <c r="AH353" i="6"/>
  <c r="AG353" i="6"/>
  <c r="AF353" i="6"/>
  <c r="W353" i="6"/>
  <c r="V353" i="6"/>
  <c r="S353" i="6"/>
  <c r="R353" i="6"/>
  <c r="Q353" i="6"/>
  <c r="P353" i="6"/>
  <c r="BA352" i="6"/>
  <c r="AZ352" i="6"/>
  <c r="AY352" i="6"/>
  <c r="AX352" i="6"/>
  <c r="AW352" i="6"/>
  <c r="AV352" i="6"/>
  <c r="AM352" i="6"/>
  <c r="AL352" i="6"/>
  <c r="AI352" i="6"/>
  <c r="AH352" i="6"/>
  <c r="AG352" i="6"/>
  <c r="AF352" i="6"/>
  <c r="W352" i="6"/>
  <c r="V352" i="6"/>
  <c r="S352" i="6"/>
  <c r="R352" i="6"/>
  <c r="Q352" i="6"/>
  <c r="P352" i="6"/>
  <c r="BA351" i="6"/>
  <c r="AZ351" i="6"/>
  <c r="AY351" i="6"/>
  <c r="AX351" i="6"/>
  <c r="AW351" i="6"/>
  <c r="AV351" i="6"/>
  <c r="AM351" i="6"/>
  <c r="AL351" i="6"/>
  <c r="AI351" i="6"/>
  <c r="AH351" i="6"/>
  <c r="AG351" i="6"/>
  <c r="AF351" i="6"/>
  <c r="W351" i="6"/>
  <c r="V351" i="6"/>
  <c r="S351" i="6"/>
  <c r="R351" i="6"/>
  <c r="Q351" i="6"/>
  <c r="P351" i="6"/>
  <c r="BA350" i="6"/>
  <c r="AZ350" i="6"/>
  <c r="AY350" i="6"/>
  <c r="AX350" i="6"/>
  <c r="AW350" i="6"/>
  <c r="AV350" i="6"/>
  <c r="AM350" i="6"/>
  <c r="AL350" i="6"/>
  <c r="AI350" i="6"/>
  <c r="AH350" i="6"/>
  <c r="AG350" i="6"/>
  <c r="AF350" i="6"/>
  <c r="W350" i="6"/>
  <c r="V350" i="6"/>
  <c r="S350" i="6"/>
  <c r="R350" i="6"/>
  <c r="Q350" i="6"/>
  <c r="P350" i="6"/>
  <c r="BA349" i="6"/>
  <c r="AZ349" i="6"/>
  <c r="AY349" i="6"/>
  <c r="AX349" i="6"/>
  <c r="AW349" i="6"/>
  <c r="AV349" i="6"/>
  <c r="AM349" i="6"/>
  <c r="AL349" i="6"/>
  <c r="AI349" i="6"/>
  <c r="AH349" i="6"/>
  <c r="AG349" i="6"/>
  <c r="AF349" i="6"/>
  <c r="W349" i="6"/>
  <c r="V349" i="6"/>
  <c r="S349" i="6"/>
  <c r="R349" i="6"/>
  <c r="Q349" i="6"/>
  <c r="P349" i="6"/>
  <c r="BA348" i="6"/>
  <c r="AZ348" i="6"/>
  <c r="AY348" i="6"/>
  <c r="AX348" i="6"/>
  <c r="AW348" i="6"/>
  <c r="AV348" i="6"/>
  <c r="AM348" i="6"/>
  <c r="AL348" i="6"/>
  <c r="AI348" i="6"/>
  <c r="AH348" i="6"/>
  <c r="AG348" i="6"/>
  <c r="AF348" i="6"/>
  <c r="W348" i="6"/>
  <c r="V348" i="6"/>
  <c r="S348" i="6"/>
  <c r="R348" i="6"/>
  <c r="Q348" i="6"/>
  <c r="P348" i="6"/>
  <c r="BA347" i="6"/>
  <c r="AZ347" i="6"/>
  <c r="AY347" i="6"/>
  <c r="AX347" i="6"/>
  <c r="AW347" i="6"/>
  <c r="AV347" i="6"/>
  <c r="AM347" i="6"/>
  <c r="AL347" i="6"/>
  <c r="AI347" i="6"/>
  <c r="AH347" i="6"/>
  <c r="AG347" i="6"/>
  <c r="AF347" i="6"/>
  <c r="W347" i="6"/>
  <c r="V347" i="6"/>
  <c r="S347" i="6"/>
  <c r="R347" i="6"/>
  <c r="Q347" i="6"/>
  <c r="P347" i="6"/>
  <c r="BA346" i="6"/>
  <c r="AZ346" i="6"/>
  <c r="AY346" i="6"/>
  <c r="AX346" i="6"/>
  <c r="AW346" i="6"/>
  <c r="AV346" i="6"/>
  <c r="AM346" i="6"/>
  <c r="AL346" i="6"/>
  <c r="AI346" i="6"/>
  <c r="AH346" i="6"/>
  <c r="AG346" i="6"/>
  <c r="AF346" i="6"/>
  <c r="W346" i="6"/>
  <c r="V346" i="6"/>
  <c r="S346" i="6"/>
  <c r="R346" i="6"/>
  <c r="Q346" i="6"/>
  <c r="P346" i="6"/>
  <c r="BA345" i="6"/>
  <c r="AZ345" i="6"/>
  <c r="AY345" i="6"/>
  <c r="AX345" i="6"/>
  <c r="AW345" i="6"/>
  <c r="AV345" i="6"/>
  <c r="AM345" i="6"/>
  <c r="AL345" i="6"/>
  <c r="AI345" i="6"/>
  <c r="AH345" i="6"/>
  <c r="AG345" i="6"/>
  <c r="AF345" i="6"/>
  <c r="W345" i="6"/>
  <c r="V345" i="6"/>
  <c r="S345" i="6"/>
  <c r="R345" i="6"/>
  <c r="Q345" i="6"/>
  <c r="P345" i="6"/>
  <c r="BA344" i="6"/>
  <c r="AZ344" i="6"/>
  <c r="AY344" i="6"/>
  <c r="AX344" i="6"/>
  <c r="AW344" i="6"/>
  <c r="AV344" i="6"/>
  <c r="AM344" i="6"/>
  <c r="AL344" i="6"/>
  <c r="AI344" i="6"/>
  <c r="AH344" i="6"/>
  <c r="AG344" i="6"/>
  <c r="AF344" i="6"/>
  <c r="W344" i="6"/>
  <c r="V344" i="6"/>
  <c r="S344" i="6"/>
  <c r="R344" i="6"/>
  <c r="Q344" i="6"/>
  <c r="P344" i="6"/>
  <c r="BA343" i="6"/>
  <c r="AZ343" i="6"/>
  <c r="AY343" i="6"/>
  <c r="AX343" i="6"/>
  <c r="AW343" i="6"/>
  <c r="AV343" i="6"/>
  <c r="AM343" i="6"/>
  <c r="AL343" i="6"/>
  <c r="AI343" i="6"/>
  <c r="AH343" i="6"/>
  <c r="AG343" i="6"/>
  <c r="AF343" i="6"/>
  <c r="W343" i="6"/>
  <c r="V343" i="6"/>
  <c r="S343" i="6"/>
  <c r="R343" i="6"/>
  <c r="Q343" i="6"/>
  <c r="P343" i="6"/>
  <c r="BA342" i="6"/>
  <c r="AZ342" i="6"/>
  <c r="AY342" i="6"/>
  <c r="AX342" i="6"/>
  <c r="AW342" i="6"/>
  <c r="AV342" i="6"/>
  <c r="AM342" i="6"/>
  <c r="AL342" i="6"/>
  <c r="AI342" i="6"/>
  <c r="AH342" i="6"/>
  <c r="AG342" i="6"/>
  <c r="AF342" i="6"/>
  <c r="W342" i="6"/>
  <c r="V342" i="6"/>
  <c r="S342" i="6"/>
  <c r="R342" i="6"/>
  <c r="Q342" i="6"/>
  <c r="P342" i="6"/>
  <c r="BA341" i="6"/>
  <c r="AZ341" i="6"/>
  <c r="AY341" i="6"/>
  <c r="AX341" i="6"/>
  <c r="AW341" i="6"/>
  <c r="AV341" i="6"/>
  <c r="AM341" i="6"/>
  <c r="AL341" i="6"/>
  <c r="AI341" i="6"/>
  <c r="AH341" i="6"/>
  <c r="AG341" i="6"/>
  <c r="AF341" i="6"/>
  <c r="W341" i="6"/>
  <c r="V341" i="6"/>
  <c r="S341" i="6"/>
  <c r="R341" i="6"/>
  <c r="Q341" i="6"/>
  <c r="P341" i="6"/>
  <c r="BA340" i="6"/>
  <c r="AZ340" i="6"/>
  <c r="AY340" i="6"/>
  <c r="AX340" i="6"/>
  <c r="AW340" i="6"/>
  <c r="AV340" i="6"/>
  <c r="AM340" i="6"/>
  <c r="AL340" i="6"/>
  <c r="AI340" i="6"/>
  <c r="AH340" i="6"/>
  <c r="AG340" i="6"/>
  <c r="AF340" i="6"/>
  <c r="W340" i="6"/>
  <c r="V340" i="6"/>
  <c r="S340" i="6"/>
  <c r="R340" i="6"/>
  <c r="Q340" i="6"/>
  <c r="P340" i="6"/>
  <c r="BA339" i="6"/>
  <c r="AZ339" i="6"/>
  <c r="AY339" i="6"/>
  <c r="AX339" i="6"/>
  <c r="AW339" i="6"/>
  <c r="AV339" i="6"/>
  <c r="AM339" i="6"/>
  <c r="AL339" i="6"/>
  <c r="AI339" i="6"/>
  <c r="AH339" i="6"/>
  <c r="AG339" i="6"/>
  <c r="AF339" i="6"/>
  <c r="W339" i="6"/>
  <c r="V339" i="6"/>
  <c r="S339" i="6"/>
  <c r="R339" i="6"/>
  <c r="Q339" i="6"/>
  <c r="P339" i="6"/>
  <c r="BA338" i="6"/>
  <c r="AZ338" i="6"/>
  <c r="AY338" i="6"/>
  <c r="AX338" i="6"/>
  <c r="AW338" i="6"/>
  <c r="AV338" i="6"/>
  <c r="AM338" i="6"/>
  <c r="AL338" i="6"/>
  <c r="AI338" i="6"/>
  <c r="AH338" i="6"/>
  <c r="AG338" i="6"/>
  <c r="AF338" i="6"/>
  <c r="W338" i="6"/>
  <c r="V338" i="6"/>
  <c r="S338" i="6"/>
  <c r="R338" i="6"/>
  <c r="Q338" i="6"/>
  <c r="P338" i="6"/>
  <c r="BA337" i="6"/>
  <c r="AZ337" i="6"/>
  <c r="AY337" i="6"/>
  <c r="AX337" i="6"/>
  <c r="AW337" i="6"/>
  <c r="AV337" i="6"/>
  <c r="AM337" i="6"/>
  <c r="AL337" i="6"/>
  <c r="AI337" i="6"/>
  <c r="AH337" i="6"/>
  <c r="AG337" i="6"/>
  <c r="AF337" i="6"/>
  <c r="W337" i="6"/>
  <c r="V337" i="6"/>
  <c r="S337" i="6"/>
  <c r="R337" i="6"/>
  <c r="Q337" i="6"/>
  <c r="P337" i="6"/>
  <c r="BA336" i="6"/>
  <c r="AZ336" i="6"/>
  <c r="AY336" i="6"/>
  <c r="AX336" i="6"/>
  <c r="AW336" i="6"/>
  <c r="AV336" i="6"/>
  <c r="AM336" i="6"/>
  <c r="AL336" i="6"/>
  <c r="AI336" i="6"/>
  <c r="AH336" i="6"/>
  <c r="AG336" i="6"/>
  <c r="AF336" i="6"/>
  <c r="W336" i="6"/>
  <c r="V336" i="6"/>
  <c r="S336" i="6"/>
  <c r="R336" i="6"/>
  <c r="Q336" i="6"/>
  <c r="P336" i="6"/>
  <c r="BA335" i="6"/>
  <c r="AZ335" i="6"/>
  <c r="AY335" i="6"/>
  <c r="AX335" i="6"/>
  <c r="AW335" i="6"/>
  <c r="AV335" i="6"/>
  <c r="AM335" i="6"/>
  <c r="AL335" i="6"/>
  <c r="AI335" i="6"/>
  <c r="AH335" i="6"/>
  <c r="AG335" i="6"/>
  <c r="AF335" i="6"/>
  <c r="W335" i="6"/>
  <c r="V335" i="6"/>
  <c r="S335" i="6"/>
  <c r="R335" i="6"/>
  <c r="Q335" i="6"/>
  <c r="P335" i="6"/>
  <c r="BA334" i="6"/>
  <c r="AZ334" i="6"/>
  <c r="AY334" i="6"/>
  <c r="AX334" i="6"/>
  <c r="AW334" i="6"/>
  <c r="AV334" i="6"/>
  <c r="AM334" i="6"/>
  <c r="AL334" i="6"/>
  <c r="AI334" i="6"/>
  <c r="AH334" i="6"/>
  <c r="AG334" i="6"/>
  <c r="AF334" i="6"/>
  <c r="W334" i="6"/>
  <c r="V334" i="6"/>
  <c r="S334" i="6"/>
  <c r="R334" i="6"/>
  <c r="Q334" i="6"/>
  <c r="P334" i="6"/>
  <c r="BA333" i="6"/>
  <c r="AZ333" i="6"/>
  <c r="AY333" i="6"/>
  <c r="AX333" i="6"/>
  <c r="AW333" i="6"/>
  <c r="AV333" i="6"/>
  <c r="AM333" i="6"/>
  <c r="AL333" i="6"/>
  <c r="AI333" i="6"/>
  <c r="AH333" i="6"/>
  <c r="AG333" i="6"/>
  <c r="AF333" i="6"/>
  <c r="W333" i="6"/>
  <c r="V333" i="6"/>
  <c r="S333" i="6"/>
  <c r="R333" i="6"/>
  <c r="Q333" i="6"/>
  <c r="P333" i="6"/>
  <c r="BA332" i="6"/>
  <c r="AZ332" i="6"/>
  <c r="AY332" i="6"/>
  <c r="AX332" i="6"/>
  <c r="AW332" i="6"/>
  <c r="AV332" i="6"/>
  <c r="AM332" i="6"/>
  <c r="AL332" i="6"/>
  <c r="AI332" i="6"/>
  <c r="AH332" i="6"/>
  <c r="AG332" i="6"/>
  <c r="AF332" i="6"/>
  <c r="W332" i="6"/>
  <c r="V332" i="6"/>
  <c r="S332" i="6"/>
  <c r="R332" i="6"/>
  <c r="Q332" i="6"/>
  <c r="P332" i="6"/>
  <c r="BA331" i="6"/>
  <c r="AZ331" i="6"/>
  <c r="AY331" i="6"/>
  <c r="AX331" i="6"/>
  <c r="AW331" i="6"/>
  <c r="AV331" i="6"/>
  <c r="AM331" i="6"/>
  <c r="AL331" i="6"/>
  <c r="AI331" i="6"/>
  <c r="AH331" i="6"/>
  <c r="AG331" i="6"/>
  <c r="AF331" i="6"/>
  <c r="W331" i="6"/>
  <c r="V331" i="6"/>
  <c r="S331" i="6"/>
  <c r="R331" i="6"/>
  <c r="Q331" i="6"/>
  <c r="P331" i="6"/>
  <c r="BA330" i="6"/>
  <c r="AZ330" i="6"/>
  <c r="AY330" i="6"/>
  <c r="AX330" i="6"/>
  <c r="AW330" i="6"/>
  <c r="AV330" i="6"/>
  <c r="AM330" i="6"/>
  <c r="AL330" i="6"/>
  <c r="AI330" i="6"/>
  <c r="AH330" i="6"/>
  <c r="AG330" i="6"/>
  <c r="AF330" i="6"/>
  <c r="W330" i="6"/>
  <c r="V330" i="6"/>
  <c r="S330" i="6"/>
  <c r="R330" i="6"/>
  <c r="Q330" i="6"/>
  <c r="P330" i="6"/>
  <c r="BA329" i="6"/>
  <c r="AZ329" i="6"/>
  <c r="AY329" i="6"/>
  <c r="AX329" i="6"/>
  <c r="AW329" i="6"/>
  <c r="AV329" i="6"/>
  <c r="AM329" i="6"/>
  <c r="AL329" i="6"/>
  <c r="AI329" i="6"/>
  <c r="AH329" i="6"/>
  <c r="AG329" i="6"/>
  <c r="AF329" i="6"/>
  <c r="W329" i="6"/>
  <c r="V329" i="6"/>
  <c r="S329" i="6"/>
  <c r="R329" i="6"/>
  <c r="Q329" i="6"/>
  <c r="P329" i="6"/>
  <c r="BA328" i="6"/>
  <c r="AZ328" i="6"/>
  <c r="AY328" i="6"/>
  <c r="AX328" i="6"/>
  <c r="AW328" i="6"/>
  <c r="AV328" i="6"/>
  <c r="AM328" i="6"/>
  <c r="AL328" i="6"/>
  <c r="AI328" i="6"/>
  <c r="AH328" i="6"/>
  <c r="AG328" i="6"/>
  <c r="AF328" i="6"/>
  <c r="W328" i="6"/>
  <c r="V328" i="6"/>
  <c r="S328" i="6"/>
  <c r="R328" i="6"/>
  <c r="Q328" i="6"/>
  <c r="P328" i="6"/>
  <c r="BA327" i="6"/>
  <c r="AZ327" i="6"/>
  <c r="AY327" i="6"/>
  <c r="AX327" i="6"/>
  <c r="AW327" i="6"/>
  <c r="AV327" i="6"/>
  <c r="AM327" i="6"/>
  <c r="AL327" i="6"/>
  <c r="AI327" i="6"/>
  <c r="AH327" i="6"/>
  <c r="AG327" i="6"/>
  <c r="AF327" i="6"/>
  <c r="W327" i="6"/>
  <c r="V327" i="6"/>
  <c r="S327" i="6"/>
  <c r="R327" i="6"/>
  <c r="Q327" i="6"/>
  <c r="P327" i="6"/>
  <c r="BA326" i="6"/>
  <c r="AZ326" i="6"/>
  <c r="AY326" i="6"/>
  <c r="AX326" i="6"/>
  <c r="AW326" i="6"/>
  <c r="AV326" i="6"/>
  <c r="AM326" i="6"/>
  <c r="AL326" i="6"/>
  <c r="AI326" i="6"/>
  <c r="AH326" i="6"/>
  <c r="AG326" i="6"/>
  <c r="AF326" i="6"/>
  <c r="W326" i="6"/>
  <c r="V326" i="6"/>
  <c r="S326" i="6"/>
  <c r="R326" i="6"/>
  <c r="Q326" i="6"/>
  <c r="P326" i="6"/>
  <c r="BA325" i="6"/>
  <c r="AZ325" i="6"/>
  <c r="AY325" i="6"/>
  <c r="AX325" i="6"/>
  <c r="AW325" i="6"/>
  <c r="AV325" i="6"/>
  <c r="AM325" i="6"/>
  <c r="AL325" i="6"/>
  <c r="AI325" i="6"/>
  <c r="AH325" i="6"/>
  <c r="AG325" i="6"/>
  <c r="AF325" i="6"/>
  <c r="W325" i="6"/>
  <c r="V325" i="6"/>
  <c r="S325" i="6"/>
  <c r="R325" i="6"/>
  <c r="Q325" i="6"/>
  <c r="P325" i="6"/>
  <c r="BA324" i="6"/>
  <c r="AZ324" i="6"/>
  <c r="AY324" i="6"/>
  <c r="AX324" i="6"/>
  <c r="AW324" i="6"/>
  <c r="AV324" i="6"/>
  <c r="AM324" i="6"/>
  <c r="AL324" i="6"/>
  <c r="AI324" i="6"/>
  <c r="AH324" i="6"/>
  <c r="AG324" i="6"/>
  <c r="AF324" i="6"/>
  <c r="W324" i="6"/>
  <c r="V324" i="6"/>
  <c r="S324" i="6"/>
  <c r="R324" i="6"/>
  <c r="Q324" i="6"/>
  <c r="P324" i="6"/>
  <c r="BA323" i="6"/>
  <c r="AZ323" i="6"/>
  <c r="AY323" i="6"/>
  <c r="AX323" i="6"/>
  <c r="AW323" i="6"/>
  <c r="AV323" i="6"/>
  <c r="AM323" i="6"/>
  <c r="AL323" i="6"/>
  <c r="AI323" i="6"/>
  <c r="AH323" i="6"/>
  <c r="AG323" i="6"/>
  <c r="AF323" i="6"/>
  <c r="W323" i="6"/>
  <c r="V323" i="6"/>
  <c r="S323" i="6"/>
  <c r="R323" i="6"/>
  <c r="Q323" i="6"/>
  <c r="P323" i="6"/>
  <c r="BA322" i="6"/>
  <c r="AZ322" i="6"/>
  <c r="AY322" i="6"/>
  <c r="AX322" i="6"/>
  <c r="AW322" i="6"/>
  <c r="AV322" i="6"/>
  <c r="AM322" i="6"/>
  <c r="AL322" i="6"/>
  <c r="AI322" i="6"/>
  <c r="AH322" i="6"/>
  <c r="AG322" i="6"/>
  <c r="AF322" i="6"/>
  <c r="W322" i="6"/>
  <c r="V322" i="6"/>
  <c r="S322" i="6"/>
  <c r="R322" i="6"/>
  <c r="Q322" i="6"/>
  <c r="P322" i="6"/>
  <c r="BA321" i="6"/>
  <c r="AZ321" i="6"/>
  <c r="AY321" i="6"/>
  <c r="AX321" i="6"/>
  <c r="AW321" i="6"/>
  <c r="AV321" i="6"/>
  <c r="AM321" i="6"/>
  <c r="AL321" i="6"/>
  <c r="AI321" i="6"/>
  <c r="AH321" i="6"/>
  <c r="AG321" i="6"/>
  <c r="AF321" i="6"/>
  <c r="W321" i="6"/>
  <c r="V321" i="6"/>
  <c r="S321" i="6"/>
  <c r="R321" i="6"/>
  <c r="Q321" i="6"/>
  <c r="P321" i="6"/>
  <c r="BA320" i="6"/>
  <c r="AZ320" i="6"/>
  <c r="AY320" i="6"/>
  <c r="AX320" i="6"/>
  <c r="AW320" i="6"/>
  <c r="AV320" i="6"/>
  <c r="AM320" i="6"/>
  <c r="AL320" i="6"/>
  <c r="AI320" i="6"/>
  <c r="AH320" i="6"/>
  <c r="AG320" i="6"/>
  <c r="AF320" i="6"/>
  <c r="W320" i="6"/>
  <c r="V320" i="6"/>
  <c r="S320" i="6"/>
  <c r="R320" i="6"/>
  <c r="Q320" i="6"/>
  <c r="P320" i="6"/>
  <c r="BA319" i="6"/>
  <c r="AZ319" i="6"/>
  <c r="AY319" i="6"/>
  <c r="AX319" i="6"/>
  <c r="AW319" i="6"/>
  <c r="AV319" i="6"/>
  <c r="AM319" i="6"/>
  <c r="AL319" i="6"/>
  <c r="AI319" i="6"/>
  <c r="AH319" i="6"/>
  <c r="AG319" i="6"/>
  <c r="AF319" i="6"/>
  <c r="W319" i="6"/>
  <c r="V319" i="6"/>
  <c r="S319" i="6"/>
  <c r="R319" i="6"/>
  <c r="Q319" i="6"/>
  <c r="P319" i="6"/>
  <c r="BA318" i="6"/>
  <c r="AZ318" i="6"/>
  <c r="AY318" i="6"/>
  <c r="AX318" i="6"/>
  <c r="AW318" i="6"/>
  <c r="AV318" i="6"/>
  <c r="AM318" i="6"/>
  <c r="AL318" i="6"/>
  <c r="AI318" i="6"/>
  <c r="AH318" i="6"/>
  <c r="AG318" i="6"/>
  <c r="AF318" i="6"/>
  <c r="W318" i="6"/>
  <c r="V318" i="6"/>
  <c r="S318" i="6"/>
  <c r="R318" i="6"/>
  <c r="Q318" i="6"/>
  <c r="P318" i="6"/>
  <c r="BA317" i="6"/>
  <c r="AZ317" i="6"/>
  <c r="AY317" i="6"/>
  <c r="AX317" i="6"/>
  <c r="AW317" i="6"/>
  <c r="AV317" i="6"/>
  <c r="AM317" i="6"/>
  <c r="AL317" i="6"/>
  <c r="AI317" i="6"/>
  <c r="AH317" i="6"/>
  <c r="AG317" i="6"/>
  <c r="AF317" i="6"/>
  <c r="W317" i="6"/>
  <c r="V317" i="6"/>
  <c r="S317" i="6"/>
  <c r="R317" i="6"/>
  <c r="Q317" i="6"/>
  <c r="P317" i="6"/>
  <c r="BA316" i="6"/>
  <c r="AZ316" i="6"/>
  <c r="AY316" i="6"/>
  <c r="AX316" i="6"/>
  <c r="AW316" i="6"/>
  <c r="AV316" i="6"/>
  <c r="AM316" i="6"/>
  <c r="AL316" i="6"/>
  <c r="AI316" i="6"/>
  <c r="AH316" i="6"/>
  <c r="AG316" i="6"/>
  <c r="AF316" i="6"/>
  <c r="W316" i="6"/>
  <c r="V316" i="6"/>
  <c r="S316" i="6"/>
  <c r="R316" i="6"/>
  <c r="Q316" i="6"/>
  <c r="P316" i="6"/>
  <c r="BA315" i="6"/>
  <c r="AZ315" i="6"/>
  <c r="AY315" i="6"/>
  <c r="AX315" i="6"/>
  <c r="AW315" i="6"/>
  <c r="AV315" i="6"/>
  <c r="AM315" i="6"/>
  <c r="AL315" i="6"/>
  <c r="AI315" i="6"/>
  <c r="AH315" i="6"/>
  <c r="AG315" i="6"/>
  <c r="AF315" i="6"/>
  <c r="W315" i="6"/>
  <c r="V315" i="6"/>
  <c r="S315" i="6"/>
  <c r="R315" i="6"/>
  <c r="Q315" i="6"/>
  <c r="P315" i="6"/>
  <c r="BA314" i="6"/>
  <c r="AZ314" i="6"/>
  <c r="AY314" i="6"/>
  <c r="AX314" i="6"/>
  <c r="AW314" i="6"/>
  <c r="AV314" i="6"/>
  <c r="AM314" i="6"/>
  <c r="AL314" i="6"/>
  <c r="AI314" i="6"/>
  <c r="AH314" i="6"/>
  <c r="AG314" i="6"/>
  <c r="AF314" i="6"/>
  <c r="W314" i="6"/>
  <c r="V314" i="6"/>
  <c r="S314" i="6"/>
  <c r="R314" i="6"/>
  <c r="Q314" i="6"/>
  <c r="P314" i="6"/>
  <c r="BA313" i="6"/>
  <c r="AZ313" i="6"/>
  <c r="AY313" i="6"/>
  <c r="AX313" i="6"/>
  <c r="AW313" i="6"/>
  <c r="AV313" i="6"/>
  <c r="AM313" i="6"/>
  <c r="AL313" i="6"/>
  <c r="AI313" i="6"/>
  <c r="AH313" i="6"/>
  <c r="AG313" i="6"/>
  <c r="AF313" i="6"/>
  <c r="W313" i="6"/>
  <c r="V313" i="6"/>
  <c r="S313" i="6"/>
  <c r="R313" i="6"/>
  <c r="Q313" i="6"/>
  <c r="P313" i="6"/>
  <c r="BA312" i="6"/>
  <c r="AZ312" i="6"/>
  <c r="AY312" i="6"/>
  <c r="AX312" i="6"/>
  <c r="AW312" i="6"/>
  <c r="AV312" i="6"/>
  <c r="AM312" i="6"/>
  <c r="AL312" i="6"/>
  <c r="AI312" i="6"/>
  <c r="AH312" i="6"/>
  <c r="AG312" i="6"/>
  <c r="AF312" i="6"/>
  <c r="W312" i="6"/>
  <c r="V312" i="6"/>
  <c r="S312" i="6"/>
  <c r="R312" i="6"/>
  <c r="Q312" i="6"/>
  <c r="P312" i="6"/>
  <c r="BA311" i="6"/>
  <c r="AZ311" i="6"/>
  <c r="AY311" i="6"/>
  <c r="AX311" i="6"/>
  <c r="AW311" i="6"/>
  <c r="AV311" i="6"/>
  <c r="AM311" i="6"/>
  <c r="AL311" i="6"/>
  <c r="AI311" i="6"/>
  <c r="AH311" i="6"/>
  <c r="AG311" i="6"/>
  <c r="AF311" i="6"/>
  <c r="W311" i="6"/>
  <c r="V311" i="6"/>
  <c r="S311" i="6"/>
  <c r="R311" i="6"/>
  <c r="Q311" i="6"/>
  <c r="P311" i="6"/>
  <c r="BA310" i="6"/>
  <c r="AZ310" i="6"/>
  <c r="AY310" i="6"/>
  <c r="AX310" i="6"/>
  <c r="AW310" i="6"/>
  <c r="AV310" i="6"/>
  <c r="AM310" i="6"/>
  <c r="AL310" i="6"/>
  <c r="AI310" i="6"/>
  <c r="AH310" i="6"/>
  <c r="AG310" i="6"/>
  <c r="AF310" i="6"/>
  <c r="W310" i="6"/>
  <c r="V310" i="6"/>
  <c r="S310" i="6"/>
  <c r="R310" i="6"/>
  <c r="Q310" i="6"/>
  <c r="P310" i="6"/>
  <c r="BA309" i="6"/>
  <c r="AZ309" i="6"/>
  <c r="AY309" i="6"/>
  <c r="AX309" i="6"/>
  <c r="AW309" i="6"/>
  <c r="AV309" i="6"/>
  <c r="AM309" i="6"/>
  <c r="AL309" i="6"/>
  <c r="AI309" i="6"/>
  <c r="AH309" i="6"/>
  <c r="AG309" i="6"/>
  <c r="AF309" i="6"/>
  <c r="W309" i="6"/>
  <c r="V309" i="6"/>
  <c r="S309" i="6"/>
  <c r="R309" i="6"/>
  <c r="Q309" i="6"/>
  <c r="P309" i="6"/>
  <c r="BA308" i="6"/>
  <c r="AZ308" i="6"/>
  <c r="AY308" i="6"/>
  <c r="AX308" i="6"/>
  <c r="AW308" i="6"/>
  <c r="AV308" i="6"/>
  <c r="AM308" i="6"/>
  <c r="AL308" i="6"/>
  <c r="AI308" i="6"/>
  <c r="AH308" i="6"/>
  <c r="AG308" i="6"/>
  <c r="AF308" i="6"/>
  <c r="W308" i="6"/>
  <c r="V308" i="6"/>
  <c r="S308" i="6"/>
  <c r="R308" i="6"/>
  <c r="Q308" i="6"/>
  <c r="P308" i="6"/>
  <c r="BA307" i="6"/>
  <c r="AZ307" i="6"/>
  <c r="AY307" i="6"/>
  <c r="AX307" i="6"/>
  <c r="AW307" i="6"/>
  <c r="AV307" i="6"/>
  <c r="AM307" i="6"/>
  <c r="AL307" i="6"/>
  <c r="AI307" i="6"/>
  <c r="AH307" i="6"/>
  <c r="AG307" i="6"/>
  <c r="AF307" i="6"/>
  <c r="W307" i="6"/>
  <c r="V307" i="6"/>
  <c r="S307" i="6"/>
  <c r="R307" i="6"/>
  <c r="Q307" i="6"/>
  <c r="P307" i="6"/>
  <c r="BA306" i="6"/>
  <c r="AZ306" i="6"/>
  <c r="AY306" i="6"/>
  <c r="AX306" i="6"/>
  <c r="AW306" i="6"/>
  <c r="AV306" i="6"/>
  <c r="AM306" i="6"/>
  <c r="AL306" i="6"/>
  <c r="AI306" i="6"/>
  <c r="AH306" i="6"/>
  <c r="AG306" i="6"/>
  <c r="AF306" i="6"/>
  <c r="W306" i="6"/>
  <c r="V306" i="6"/>
  <c r="S306" i="6"/>
  <c r="R306" i="6"/>
  <c r="Q306" i="6"/>
  <c r="P306" i="6"/>
  <c r="BA305" i="6"/>
  <c r="AZ305" i="6"/>
  <c r="AY305" i="6"/>
  <c r="AX305" i="6"/>
  <c r="AW305" i="6"/>
  <c r="AV305" i="6"/>
  <c r="AM305" i="6"/>
  <c r="AL305" i="6"/>
  <c r="AI305" i="6"/>
  <c r="AH305" i="6"/>
  <c r="AG305" i="6"/>
  <c r="AF305" i="6"/>
  <c r="W305" i="6"/>
  <c r="V305" i="6"/>
  <c r="S305" i="6"/>
  <c r="R305" i="6"/>
  <c r="Q305" i="6"/>
  <c r="P305" i="6"/>
  <c r="BA304" i="6"/>
  <c r="AZ304" i="6"/>
  <c r="AY304" i="6"/>
  <c r="AX304" i="6"/>
  <c r="AW304" i="6"/>
  <c r="AV304" i="6"/>
  <c r="AM304" i="6"/>
  <c r="AL304" i="6"/>
  <c r="AI304" i="6"/>
  <c r="AH304" i="6"/>
  <c r="AG304" i="6"/>
  <c r="AF304" i="6"/>
  <c r="W304" i="6"/>
  <c r="V304" i="6"/>
  <c r="S304" i="6"/>
  <c r="R304" i="6"/>
  <c r="Q304" i="6"/>
  <c r="P304" i="6"/>
  <c r="BA303" i="6"/>
  <c r="AZ303" i="6"/>
  <c r="AY303" i="6"/>
  <c r="AX303" i="6"/>
  <c r="AW303" i="6"/>
  <c r="AV303" i="6"/>
  <c r="AM303" i="6"/>
  <c r="AL303" i="6"/>
  <c r="AI303" i="6"/>
  <c r="AH303" i="6"/>
  <c r="AG303" i="6"/>
  <c r="AF303" i="6"/>
  <c r="W303" i="6"/>
  <c r="V303" i="6"/>
  <c r="S303" i="6"/>
  <c r="R303" i="6"/>
  <c r="Q303" i="6"/>
  <c r="P303" i="6"/>
  <c r="BA302" i="6"/>
  <c r="AZ302" i="6"/>
  <c r="AY302" i="6"/>
  <c r="AX302" i="6"/>
  <c r="AW302" i="6"/>
  <c r="AV302" i="6"/>
  <c r="AM302" i="6"/>
  <c r="AL302" i="6"/>
  <c r="AI302" i="6"/>
  <c r="AH302" i="6"/>
  <c r="AG302" i="6"/>
  <c r="AF302" i="6"/>
  <c r="W302" i="6"/>
  <c r="V302" i="6"/>
  <c r="S302" i="6"/>
  <c r="R302" i="6"/>
  <c r="Q302" i="6"/>
  <c r="P302" i="6"/>
  <c r="BA301" i="6"/>
  <c r="AZ301" i="6"/>
  <c r="AY301" i="6"/>
  <c r="AX301" i="6"/>
  <c r="AW301" i="6"/>
  <c r="AV301" i="6"/>
  <c r="AM301" i="6"/>
  <c r="AL301" i="6"/>
  <c r="AI301" i="6"/>
  <c r="AH301" i="6"/>
  <c r="AG301" i="6"/>
  <c r="AF301" i="6"/>
  <c r="W301" i="6"/>
  <c r="V301" i="6"/>
  <c r="S301" i="6"/>
  <c r="R301" i="6"/>
  <c r="Q301" i="6"/>
  <c r="P301" i="6"/>
  <c r="BA300" i="6"/>
  <c r="AZ300" i="6"/>
  <c r="AY300" i="6"/>
  <c r="AX300" i="6"/>
  <c r="AW300" i="6"/>
  <c r="AV300" i="6"/>
  <c r="AM300" i="6"/>
  <c r="AL300" i="6"/>
  <c r="AI300" i="6"/>
  <c r="AH300" i="6"/>
  <c r="AG300" i="6"/>
  <c r="AF300" i="6"/>
  <c r="W300" i="6"/>
  <c r="V300" i="6"/>
  <c r="S300" i="6"/>
  <c r="R300" i="6"/>
  <c r="Q300" i="6"/>
  <c r="P300" i="6"/>
  <c r="BA299" i="6"/>
  <c r="AZ299" i="6"/>
  <c r="AY299" i="6"/>
  <c r="AX299" i="6"/>
  <c r="AW299" i="6"/>
  <c r="AV299" i="6"/>
  <c r="AM299" i="6"/>
  <c r="AL299" i="6"/>
  <c r="AI299" i="6"/>
  <c r="AH299" i="6"/>
  <c r="AG299" i="6"/>
  <c r="AF299" i="6"/>
  <c r="W299" i="6"/>
  <c r="V299" i="6"/>
  <c r="S299" i="6"/>
  <c r="R299" i="6"/>
  <c r="Q299" i="6"/>
  <c r="P299" i="6"/>
  <c r="BA298" i="6"/>
  <c r="AZ298" i="6"/>
  <c r="AY298" i="6"/>
  <c r="AX298" i="6"/>
  <c r="AW298" i="6"/>
  <c r="AV298" i="6"/>
  <c r="AM298" i="6"/>
  <c r="AL298" i="6"/>
  <c r="AI298" i="6"/>
  <c r="AH298" i="6"/>
  <c r="AG298" i="6"/>
  <c r="AF298" i="6"/>
  <c r="W298" i="6"/>
  <c r="V298" i="6"/>
  <c r="S298" i="6"/>
  <c r="R298" i="6"/>
  <c r="Q298" i="6"/>
  <c r="P298" i="6"/>
  <c r="BA297" i="6"/>
  <c r="AZ297" i="6"/>
  <c r="AY297" i="6"/>
  <c r="AX297" i="6"/>
  <c r="AW297" i="6"/>
  <c r="AV297" i="6"/>
  <c r="AM297" i="6"/>
  <c r="AL297" i="6"/>
  <c r="AI297" i="6"/>
  <c r="AH297" i="6"/>
  <c r="AG297" i="6"/>
  <c r="AF297" i="6"/>
  <c r="W297" i="6"/>
  <c r="V297" i="6"/>
  <c r="S297" i="6"/>
  <c r="R297" i="6"/>
  <c r="Q297" i="6"/>
  <c r="P297" i="6"/>
  <c r="BA296" i="6"/>
  <c r="AZ296" i="6"/>
  <c r="AY296" i="6"/>
  <c r="AX296" i="6"/>
  <c r="AW296" i="6"/>
  <c r="AV296" i="6"/>
  <c r="AM296" i="6"/>
  <c r="AL296" i="6"/>
  <c r="AI296" i="6"/>
  <c r="AH296" i="6"/>
  <c r="AG296" i="6"/>
  <c r="AF296" i="6"/>
  <c r="W296" i="6"/>
  <c r="V296" i="6"/>
  <c r="S296" i="6"/>
  <c r="R296" i="6"/>
  <c r="Q296" i="6"/>
  <c r="P296" i="6"/>
  <c r="BA295" i="6"/>
  <c r="AZ295" i="6"/>
  <c r="AY295" i="6"/>
  <c r="AX295" i="6"/>
  <c r="AW295" i="6"/>
  <c r="AV295" i="6"/>
  <c r="AM295" i="6"/>
  <c r="AL295" i="6"/>
  <c r="AI295" i="6"/>
  <c r="AH295" i="6"/>
  <c r="AG295" i="6"/>
  <c r="AF295" i="6"/>
  <c r="W295" i="6"/>
  <c r="V295" i="6"/>
  <c r="S295" i="6"/>
  <c r="R295" i="6"/>
  <c r="Q295" i="6"/>
  <c r="P295" i="6"/>
  <c r="BA294" i="6"/>
  <c r="AZ294" i="6"/>
  <c r="AY294" i="6"/>
  <c r="AX294" i="6"/>
  <c r="AW294" i="6"/>
  <c r="AV294" i="6"/>
  <c r="AM294" i="6"/>
  <c r="AL294" i="6"/>
  <c r="AI294" i="6"/>
  <c r="AH294" i="6"/>
  <c r="AG294" i="6"/>
  <c r="AF294" i="6"/>
  <c r="W294" i="6"/>
  <c r="V294" i="6"/>
  <c r="S294" i="6"/>
  <c r="R294" i="6"/>
  <c r="Q294" i="6"/>
  <c r="P294" i="6"/>
  <c r="BA293" i="6"/>
  <c r="AZ293" i="6"/>
  <c r="AY293" i="6"/>
  <c r="AX293" i="6"/>
  <c r="AW293" i="6"/>
  <c r="AV293" i="6"/>
  <c r="AM293" i="6"/>
  <c r="AL293" i="6"/>
  <c r="AI293" i="6"/>
  <c r="AH293" i="6"/>
  <c r="AG293" i="6"/>
  <c r="AF293" i="6"/>
  <c r="W293" i="6"/>
  <c r="V293" i="6"/>
  <c r="S293" i="6"/>
  <c r="R293" i="6"/>
  <c r="Q293" i="6"/>
  <c r="P293" i="6"/>
  <c r="BA292" i="6"/>
  <c r="AZ292" i="6"/>
  <c r="AY292" i="6"/>
  <c r="AX292" i="6"/>
  <c r="AW292" i="6"/>
  <c r="AV292" i="6"/>
  <c r="AM292" i="6"/>
  <c r="AL292" i="6"/>
  <c r="AI292" i="6"/>
  <c r="AH292" i="6"/>
  <c r="AG292" i="6"/>
  <c r="AF292" i="6"/>
  <c r="W292" i="6"/>
  <c r="V292" i="6"/>
  <c r="S292" i="6"/>
  <c r="R292" i="6"/>
  <c r="Q292" i="6"/>
  <c r="P292" i="6"/>
  <c r="BA291" i="6"/>
  <c r="AZ291" i="6"/>
  <c r="AY291" i="6"/>
  <c r="AX291" i="6"/>
  <c r="AW291" i="6"/>
  <c r="AV291" i="6"/>
  <c r="AM291" i="6"/>
  <c r="AL291" i="6"/>
  <c r="AI291" i="6"/>
  <c r="AH291" i="6"/>
  <c r="AG291" i="6"/>
  <c r="AF291" i="6"/>
  <c r="W291" i="6"/>
  <c r="V291" i="6"/>
  <c r="S291" i="6"/>
  <c r="R291" i="6"/>
  <c r="Q291" i="6"/>
  <c r="P291" i="6"/>
  <c r="BA290" i="6"/>
  <c r="AZ290" i="6"/>
  <c r="AY290" i="6"/>
  <c r="AX290" i="6"/>
  <c r="AW290" i="6"/>
  <c r="AV290" i="6"/>
  <c r="AM290" i="6"/>
  <c r="AL290" i="6"/>
  <c r="AI290" i="6"/>
  <c r="AH290" i="6"/>
  <c r="AG290" i="6"/>
  <c r="AF290" i="6"/>
  <c r="W290" i="6"/>
  <c r="V290" i="6"/>
  <c r="S290" i="6"/>
  <c r="R290" i="6"/>
  <c r="Q290" i="6"/>
  <c r="P290" i="6"/>
  <c r="BA289" i="6"/>
  <c r="AZ289" i="6"/>
  <c r="AY289" i="6"/>
  <c r="AX289" i="6"/>
  <c r="AW289" i="6"/>
  <c r="AV289" i="6"/>
  <c r="AM289" i="6"/>
  <c r="AL289" i="6"/>
  <c r="AI289" i="6"/>
  <c r="AH289" i="6"/>
  <c r="AG289" i="6"/>
  <c r="AF289" i="6"/>
  <c r="W289" i="6"/>
  <c r="V289" i="6"/>
  <c r="S289" i="6"/>
  <c r="R289" i="6"/>
  <c r="Q289" i="6"/>
  <c r="P289" i="6"/>
  <c r="BA288" i="6"/>
  <c r="AZ288" i="6"/>
  <c r="AY288" i="6"/>
  <c r="AX288" i="6"/>
  <c r="AW288" i="6"/>
  <c r="AV288" i="6"/>
  <c r="AM288" i="6"/>
  <c r="AL288" i="6"/>
  <c r="AI288" i="6"/>
  <c r="AH288" i="6"/>
  <c r="AG288" i="6"/>
  <c r="AF288" i="6"/>
  <c r="W288" i="6"/>
  <c r="V288" i="6"/>
  <c r="S288" i="6"/>
  <c r="R288" i="6"/>
  <c r="Q288" i="6"/>
  <c r="P288" i="6"/>
  <c r="BA287" i="6"/>
  <c r="AZ287" i="6"/>
  <c r="AY287" i="6"/>
  <c r="AX287" i="6"/>
  <c r="AW287" i="6"/>
  <c r="AV287" i="6"/>
  <c r="AM287" i="6"/>
  <c r="AL287" i="6"/>
  <c r="AI287" i="6"/>
  <c r="AH287" i="6"/>
  <c r="AG287" i="6"/>
  <c r="AF287" i="6"/>
  <c r="W287" i="6"/>
  <c r="V287" i="6"/>
  <c r="S287" i="6"/>
  <c r="R287" i="6"/>
  <c r="Q287" i="6"/>
  <c r="P287" i="6"/>
  <c r="BA286" i="6"/>
  <c r="AZ286" i="6"/>
  <c r="AY286" i="6"/>
  <c r="AX286" i="6"/>
  <c r="AW286" i="6"/>
  <c r="AV286" i="6"/>
  <c r="AM286" i="6"/>
  <c r="AL286" i="6"/>
  <c r="AI286" i="6"/>
  <c r="AH286" i="6"/>
  <c r="AG286" i="6"/>
  <c r="AF286" i="6"/>
  <c r="W286" i="6"/>
  <c r="V286" i="6"/>
  <c r="S286" i="6"/>
  <c r="R286" i="6"/>
  <c r="Q286" i="6"/>
  <c r="P286" i="6"/>
  <c r="BA285" i="6"/>
  <c r="AZ285" i="6"/>
  <c r="AY285" i="6"/>
  <c r="AX285" i="6"/>
  <c r="AW285" i="6"/>
  <c r="AV285" i="6"/>
  <c r="AM285" i="6"/>
  <c r="AL285" i="6"/>
  <c r="AI285" i="6"/>
  <c r="AH285" i="6"/>
  <c r="AG285" i="6"/>
  <c r="AF285" i="6"/>
  <c r="W285" i="6"/>
  <c r="V285" i="6"/>
  <c r="S285" i="6"/>
  <c r="R285" i="6"/>
  <c r="Q285" i="6"/>
  <c r="P285" i="6"/>
  <c r="BA284" i="6"/>
  <c r="AZ284" i="6"/>
  <c r="AY284" i="6"/>
  <c r="AX284" i="6"/>
  <c r="AW284" i="6"/>
  <c r="AV284" i="6"/>
  <c r="AM284" i="6"/>
  <c r="AL284" i="6"/>
  <c r="AI284" i="6"/>
  <c r="AH284" i="6"/>
  <c r="AG284" i="6"/>
  <c r="AF284" i="6"/>
  <c r="W284" i="6"/>
  <c r="V284" i="6"/>
  <c r="S284" i="6"/>
  <c r="R284" i="6"/>
  <c r="Q284" i="6"/>
  <c r="P284" i="6"/>
  <c r="BA283" i="6"/>
  <c r="AZ283" i="6"/>
  <c r="AY283" i="6"/>
  <c r="AX283" i="6"/>
  <c r="AW283" i="6"/>
  <c r="AV283" i="6"/>
  <c r="AM283" i="6"/>
  <c r="AL283" i="6"/>
  <c r="AI283" i="6"/>
  <c r="AH283" i="6"/>
  <c r="AG283" i="6"/>
  <c r="AF283" i="6"/>
  <c r="W283" i="6"/>
  <c r="V283" i="6"/>
  <c r="S283" i="6"/>
  <c r="R283" i="6"/>
  <c r="Q283" i="6"/>
  <c r="P283" i="6"/>
  <c r="BA282" i="6"/>
  <c r="AZ282" i="6"/>
  <c r="AY282" i="6"/>
  <c r="AX282" i="6"/>
  <c r="AW282" i="6"/>
  <c r="AV282" i="6"/>
  <c r="AM282" i="6"/>
  <c r="AL282" i="6"/>
  <c r="AI282" i="6"/>
  <c r="AH282" i="6"/>
  <c r="AG282" i="6"/>
  <c r="AF282" i="6"/>
  <c r="W282" i="6"/>
  <c r="V282" i="6"/>
  <c r="S282" i="6"/>
  <c r="R282" i="6"/>
  <c r="Q282" i="6"/>
  <c r="P282" i="6"/>
  <c r="BA281" i="6"/>
  <c r="AZ281" i="6"/>
  <c r="AY281" i="6"/>
  <c r="AX281" i="6"/>
  <c r="AW281" i="6"/>
  <c r="AV281" i="6"/>
  <c r="AM281" i="6"/>
  <c r="AL281" i="6"/>
  <c r="AI281" i="6"/>
  <c r="AH281" i="6"/>
  <c r="AG281" i="6"/>
  <c r="AF281" i="6"/>
  <c r="W281" i="6"/>
  <c r="V281" i="6"/>
  <c r="S281" i="6"/>
  <c r="R281" i="6"/>
  <c r="Q281" i="6"/>
  <c r="P281" i="6"/>
  <c r="BA280" i="6"/>
  <c r="AZ280" i="6"/>
  <c r="AY280" i="6"/>
  <c r="AX280" i="6"/>
  <c r="AW280" i="6"/>
  <c r="AV280" i="6"/>
  <c r="AM280" i="6"/>
  <c r="AL280" i="6"/>
  <c r="AI280" i="6"/>
  <c r="AH280" i="6"/>
  <c r="AG280" i="6"/>
  <c r="AF280" i="6"/>
  <c r="W280" i="6"/>
  <c r="V280" i="6"/>
  <c r="S280" i="6"/>
  <c r="R280" i="6"/>
  <c r="Q280" i="6"/>
  <c r="P280" i="6"/>
  <c r="BA279" i="6"/>
  <c r="AZ279" i="6"/>
  <c r="AY279" i="6"/>
  <c r="AX279" i="6"/>
  <c r="AW279" i="6"/>
  <c r="AV279" i="6"/>
  <c r="AM279" i="6"/>
  <c r="AL279" i="6"/>
  <c r="AI279" i="6"/>
  <c r="AH279" i="6"/>
  <c r="AG279" i="6"/>
  <c r="AF279" i="6"/>
  <c r="W279" i="6"/>
  <c r="V279" i="6"/>
  <c r="S279" i="6"/>
  <c r="R279" i="6"/>
  <c r="Q279" i="6"/>
  <c r="P279" i="6"/>
  <c r="BA278" i="6"/>
  <c r="AZ278" i="6"/>
  <c r="AY278" i="6"/>
  <c r="AX278" i="6"/>
  <c r="AW278" i="6"/>
  <c r="AV278" i="6"/>
  <c r="AM278" i="6"/>
  <c r="AL278" i="6"/>
  <c r="AI278" i="6"/>
  <c r="AH278" i="6"/>
  <c r="AG278" i="6"/>
  <c r="AF278" i="6"/>
  <c r="W278" i="6"/>
  <c r="V278" i="6"/>
  <c r="S278" i="6"/>
  <c r="R278" i="6"/>
  <c r="Q278" i="6"/>
  <c r="P278" i="6"/>
  <c r="BA277" i="6"/>
  <c r="AZ277" i="6"/>
  <c r="AY277" i="6"/>
  <c r="AX277" i="6"/>
  <c r="AW277" i="6"/>
  <c r="AV277" i="6"/>
  <c r="AM277" i="6"/>
  <c r="AL277" i="6"/>
  <c r="AI277" i="6"/>
  <c r="AH277" i="6"/>
  <c r="AG277" i="6"/>
  <c r="AF277" i="6"/>
  <c r="W277" i="6"/>
  <c r="V277" i="6"/>
  <c r="S277" i="6"/>
  <c r="R277" i="6"/>
  <c r="Q277" i="6"/>
  <c r="P277" i="6"/>
  <c r="BA276" i="6"/>
  <c r="AZ276" i="6"/>
  <c r="AY276" i="6"/>
  <c r="AX276" i="6"/>
  <c r="AW276" i="6"/>
  <c r="AV276" i="6"/>
  <c r="AM276" i="6"/>
  <c r="AL276" i="6"/>
  <c r="AI276" i="6"/>
  <c r="AH276" i="6"/>
  <c r="AG276" i="6"/>
  <c r="AF276" i="6"/>
  <c r="W276" i="6"/>
  <c r="V276" i="6"/>
  <c r="S276" i="6"/>
  <c r="R276" i="6"/>
  <c r="Q276" i="6"/>
  <c r="P276" i="6"/>
  <c r="BA275" i="6"/>
  <c r="AZ275" i="6"/>
  <c r="AY275" i="6"/>
  <c r="AX275" i="6"/>
  <c r="AW275" i="6"/>
  <c r="AV275" i="6"/>
  <c r="AM275" i="6"/>
  <c r="AL275" i="6"/>
  <c r="AI275" i="6"/>
  <c r="AH275" i="6"/>
  <c r="AG275" i="6"/>
  <c r="AF275" i="6"/>
  <c r="W275" i="6"/>
  <c r="V275" i="6"/>
  <c r="S275" i="6"/>
  <c r="R275" i="6"/>
  <c r="Q275" i="6"/>
  <c r="P275" i="6"/>
  <c r="BA274" i="6"/>
  <c r="AZ274" i="6"/>
  <c r="AY274" i="6"/>
  <c r="AX274" i="6"/>
  <c r="AW274" i="6"/>
  <c r="AV274" i="6"/>
  <c r="AM274" i="6"/>
  <c r="AL274" i="6"/>
  <c r="AI274" i="6"/>
  <c r="AH274" i="6"/>
  <c r="AG274" i="6"/>
  <c r="AF274" i="6"/>
  <c r="W274" i="6"/>
  <c r="V274" i="6"/>
  <c r="S274" i="6"/>
  <c r="R274" i="6"/>
  <c r="Q274" i="6"/>
  <c r="P274" i="6"/>
  <c r="BA273" i="6"/>
  <c r="AZ273" i="6"/>
  <c r="AY273" i="6"/>
  <c r="AX273" i="6"/>
  <c r="AW273" i="6"/>
  <c r="AV273" i="6"/>
  <c r="AM273" i="6"/>
  <c r="AL273" i="6"/>
  <c r="AI273" i="6"/>
  <c r="AH273" i="6"/>
  <c r="AG273" i="6"/>
  <c r="AF273" i="6"/>
  <c r="W273" i="6"/>
  <c r="V273" i="6"/>
  <c r="S273" i="6"/>
  <c r="R273" i="6"/>
  <c r="Q273" i="6"/>
  <c r="P273" i="6"/>
  <c r="BA272" i="6"/>
  <c r="AZ272" i="6"/>
  <c r="AY272" i="6"/>
  <c r="AX272" i="6"/>
  <c r="AW272" i="6"/>
  <c r="AV272" i="6"/>
  <c r="AM272" i="6"/>
  <c r="AL272" i="6"/>
  <c r="AI272" i="6"/>
  <c r="AH272" i="6"/>
  <c r="AG272" i="6"/>
  <c r="AF272" i="6"/>
  <c r="W272" i="6"/>
  <c r="V272" i="6"/>
  <c r="S272" i="6"/>
  <c r="R272" i="6"/>
  <c r="Q272" i="6"/>
  <c r="P272" i="6"/>
  <c r="BA271" i="6"/>
  <c r="AZ271" i="6"/>
  <c r="AY271" i="6"/>
  <c r="AX271" i="6"/>
  <c r="AW271" i="6"/>
  <c r="AV271" i="6"/>
  <c r="AM271" i="6"/>
  <c r="AL271" i="6"/>
  <c r="AI271" i="6"/>
  <c r="AH271" i="6"/>
  <c r="AG271" i="6"/>
  <c r="AF271" i="6"/>
  <c r="W271" i="6"/>
  <c r="V271" i="6"/>
  <c r="S271" i="6"/>
  <c r="R271" i="6"/>
  <c r="Q271" i="6"/>
  <c r="P271" i="6"/>
  <c r="BA270" i="6"/>
  <c r="AZ270" i="6"/>
  <c r="AY270" i="6"/>
  <c r="AX270" i="6"/>
  <c r="AW270" i="6"/>
  <c r="AV270" i="6"/>
  <c r="AM270" i="6"/>
  <c r="AL270" i="6"/>
  <c r="AI270" i="6"/>
  <c r="AH270" i="6"/>
  <c r="AG270" i="6"/>
  <c r="AF270" i="6"/>
  <c r="W270" i="6"/>
  <c r="V270" i="6"/>
  <c r="S270" i="6"/>
  <c r="R270" i="6"/>
  <c r="Q270" i="6"/>
  <c r="P270" i="6"/>
  <c r="BA269" i="6"/>
  <c r="AZ269" i="6"/>
  <c r="AY269" i="6"/>
  <c r="AX269" i="6"/>
  <c r="AW269" i="6"/>
  <c r="AV269" i="6"/>
  <c r="AM269" i="6"/>
  <c r="AL269" i="6"/>
  <c r="AI269" i="6"/>
  <c r="AH269" i="6"/>
  <c r="AG269" i="6"/>
  <c r="AF269" i="6"/>
  <c r="W269" i="6"/>
  <c r="V269" i="6"/>
  <c r="S269" i="6"/>
  <c r="R269" i="6"/>
  <c r="Q269" i="6"/>
  <c r="P269" i="6"/>
  <c r="BA268" i="6"/>
  <c r="AZ268" i="6"/>
  <c r="AY268" i="6"/>
  <c r="AX268" i="6"/>
  <c r="AW268" i="6"/>
  <c r="AV268" i="6"/>
  <c r="AM268" i="6"/>
  <c r="AL268" i="6"/>
  <c r="AI268" i="6"/>
  <c r="AH268" i="6"/>
  <c r="AG268" i="6"/>
  <c r="AF268" i="6"/>
  <c r="W268" i="6"/>
  <c r="V268" i="6"/>
  <c r="S268" i="6"/>
  <c r="R268" i="6"/>
  <c r="Q268" i="6"/>
  <c r="P268" i="6"/>
  <c r="BA267" i="6"/>
  <c r="AZ267" i="6"/>
  <c r="AY267" i="6"/>
  <c r="AX267" i="6"/>
  <c r="AW267" i="6"/>
  <c r="AV267" i="6"/>
  <c r="AM267" i="6"/>
  <c r="AL267" i="6"/>
  <c r="AI267" i="6"/>
  <c r="AH267" i="6"/>
  <c r="AG267" i="6"/>
  <c r="AF267" i="6"/>
  <c r="W267" i="6"/>
  <c r="V267" i="6"/>
  <c r="S267" i="6"/>
  <c r="R267" i="6"/>
  <c r="Q267" i="6"/>
  <c r="P267" i="6"/>
  <c r="BA266" i="6"/>
  <c r="AZ266" i="6"/>
  <c r="AY266" i="6"/>
  <c r="AX266" i="6"/>
  <c r="AW266" i="6"/>
  <c r="AV266" i="6"/>
  <c r="AM266" i="6"/>
  <c r="AL266" i="6"/>
  <c r="AI266" i="6"/>
  <c r="AH266" i="6"/>
  <c r="AG266" i="6"/>
  <c r="AF266" i="6"/>
  <c r="W266" i="6"/>
  <c r="V266" i="6"/>
  <c r="S266" i="6"/>
  <c r="R266" i="6"/>
  <c r="Q266" i="6"/>
  <c r="P266" i="6"/>
  <c r="BA265" i="6"/>
  <c r="AZ265" i="6"/>
  <c r="AY265" i="6"/>
  <c r="AX265" i="6"/>
  <c r="AW265" i="6"/>
  <c r="AV265" i="6"/>
  <c r="AM265" i="6"/>
  <c r="AL265" i="6"/>
  <c r="AI265" i="6"/>
  <c r="AH265" i="6"/>
  <c r="AG265" i="6"/>
  <c r="AF265" i="6"/>
  <c r="W265" i="6"/>
  <c r="V265" i="6"/>
  <c r="S265" i="6"/>
  <c r="R265" i="6"/>
  <c r="Q265" i="6"/>
  <c r="P265" i="6"/>
  <c r="BA264" i="6"/>
  <c r="AZ264" i="6"/>
  <c r="AY264" i="6"/>
  <c r="AX264" i="6"/>
  <c r="AW264" i="6"/>
  <c r="AV264" i="6"/>
  <c r="AM264" i="6"/>
  <c r="AL264" i="6"/>
  <c r="AI264" i="6"/>
  <c r="AH264" i="6"/>
  <c r="AG264" i="6"/>
  <c r="AF264" i="6"/>
  <c r="W264" i="6"/>
  <c r="V264" i="6"/>
  <c r="S264" i="6"/>
  <c r="R264" i="6"/>
  <c r="Q264" i="6"/>
  <c r="P264" i="6"/>
  <c r="BA263" i="6"/>
  <c r="AZ263" i="6"/>
  <c r="AY263" i="6"/>
  <c r="AX263" i="6"/>
  <c r="AW263" i="6"/>
  <c r="AV263" i="6"/>
  <c r="AM263" i="6"/>
  <c r="AL263" i="6"/>
  <c r="AI263" i="6"/>
  <c r="AH263" i="6"/>
  <c r="AG263" i="6"/>
  <c r="AF263" i="6"/>
  <c r="W263" i="6"/>
  <c r="V263" i="6"/>
  <c r="S263" i="6"/>
  <c r="R263" i="6"/>
  <c r="Q263" i="6"/>
  <c r="P263" i="6"/>
  <c r="BA262" i="6"/>
  <c r="AZ262" i="6"/>
  <c r="AY262" i="6"/>
  <c r="AX262" i="6"/>
  <c r="AW262" i="6"/>
  <c r="AV262" i="6"/>
  <c r="AM262" i="6"/>
  <c r="AL262" i="6"/>
  <c r="AI262" i="6"/>
  <c r="AH262" i="6"/>
  <c r="AG262" i="6"/>
  <c r="AF262" i="6"/>
  <c r="W262" i="6"/>
  <c r="V262" i="6"/>
  <c r="S262" i="6"/>
  <c r="R262" i="6"/>
  <c r="Q262" i="6"/>
  <c r="P262" i="6"/>
  <c r="BA261" i="6"/>
  <c r="AZ261" i="6"/>
  <c r="AY261" i="6"/>
  <c r="AX261" i="6"/>
  <c r="AW261" i="6"/>
  <c r="AV261" i="6"/>
  <c r="AM261" i="6"/>
  <c r="AL261" i="6"/>
  <c r="AI261" i="6"/>
  <c r="AH261" i="6"/>
  <c r="AG261" i="6"/>
  <c r="AF261" i="6"/>
  <c r="W261" i="6"/>
  <c r="V261" i="6"/>
  <c r="S261" i="6"/>
  <c r="R261" i="6"/>
  <c r="Q261" i="6"/>
  <c r="P261" i="6"/>
  <c r="BA260" i="6"/>
  <c r="AZ260" i="6"/>
  <c r="AY260" i="6"/>
  <c r="AX260" i="6"/>
  <c r="AW260" i="6"/>
  <c r="AV260" i="6"/>
  <c r="AM260" i="6"/>
  <c r="AL260" i="6"/>
  <c r="AI260" i="6"/>
  <c r="AH260" i="6"/>
  <c r="AG260" i="6"/>
  <c r="AF260" i="6"/>
  <c r="W260" i="6"/>
  <c r="V260" i="6"/>
  <c r="S260" i="6"/>
  <c r="R260" i="6"/>
  <c r="Q260" i="6"/>
  <c r="P260" i="6"/>
  <c r="BA259" i="6"/>
  <c r="AZ259" i="6"/>
  <c r="AY259" i="6"/>
  <c r="AX259" i="6"/>
  <c r="AW259" i="6"/>
  <c r="AV259" i="6"/>
  <c r="AM259" i="6"/>
  <c r="AL259" i="6"/>
  <c r="AI259" i="6"/>
  <c r="AH259" i="6"/>
  <c r="AG259" i="6"/>
  <c r="AF259" i="6"/>
  <c r="W259" i="6"/>
  <c r="V259" i="6"/>
  <c r="S259" i="6"/>
  <c r="R259" i="6"/>
  <c r="Q259" i="6"/>
  <c r="P259" i="6"/>
  <c r="BA258" i="6"/>
  <c r="AZ258" i="6"/>
  <c r="AY258" i="6"/>
  <c r="AX258" i="6"/>
  <c r="AW258" i="6"/>
  <c r="AV258" i="6"/>
  <c r="AM258" i="6"/>
  <c r="AL258" i="6"/>
  <c r="AI258" i="6"/>
  <c r="AH258" i="6"/>
  <c r="AG258" i="6"/>
  <c r="AF258" i="6"/>
  <c r="W258" i="6"/>
  <c r="V258" i="6"/>
  <c r="S258" i="6"/>
  <c r="R258" i="6"/>
  <c r="Q258" i="6"/>
  <c r="P258" i="6"/>
  <c r="BA257" i="6"/>
  <c r="AZ257" i="6"/>
  <c r="AY257" i="6"/>
  <c r="AX257" i="6"/>
  <c r="AW257" i="6"/>
  <c r="AV257" i="6"/>
  <c r="AM257" i="6"/>
  <c r="AL257" i="6"/>
  <c r="AI257" i="6"/>
  <c r="AH257" i="6"/>
  <c r="AG257" i="6"/>
  <c r="AF257" i="6"/>
  <c r="W257" i="6"/>
  <c r="V257" i="6"/>
  <c r="S257" i="6"/>
  <c r="R257" i="6"/>
  <c r="Q257" i="6"/>
  <c r="P257" i="6"/>
  <c r="BA256" i="6"/>
  <c r="AZ256" i="6"/>
  <c r="AY256" i="6"/>
  <c r="AX256" i="6"/>
  <c r="AW256" i="6"/>
  <c r="AV256" i="6"/>
  <c r="AM256" i="6"/>
  <c r="AL256" i="6"/>
  <c r="AI256" i="6"/>
  <c r="AH256" i="6"/>
  <c r="AG256" i="6"/>
  <c r="AF256" i="6"/>
  <c r="W256" i="6"/>
  <c r="V256" i="6"/>
  <c r="S256" i="6"/>
  <c r="R256" i="6"/>
  <c r="Q256" i="6"/>
  <c r="P256" i="6"/>
  <c r="BA255" i="6"/>
  <c r="AZ255" i="6"/>
  <c r="AY255" i="6"/>
  <c r="AX255" i="6"/>
  <c r="AW255" i="6"/>
  <c r="AV255" i="6"/>
  <c r="AM255" i="6"/>
  <c r="AL255" i="6"/>
  <c r="AI255" i="6"/>
  <c r="AH255" i="6"/>
  <c r="AG255" i="6"/>
  <c r="AF255" i="6"/>
  <c r="W255" i="6"/>
  <c r="V255" i="6"/>
  <c r="S255" i="6"/>
  <c r="R255" i="6"/>
  <c r="Q255" i="6"/>
  <c r="P255" i="6"/>
  <c r="BA254" i="6"/>
  <c r="AZ254" i="6"/>
  <c r="AY254" i="6"/>
  <c r="AX254" i="6"/>
  <c r="AW254" i="6"/>
  <c r="AV254" i="6"/>
  <c r="AM254" i="6"/>
  <c r="AL254" i="6"/>
  <c r="AI254" i="6"/>
  <c r="AH254" i="6"/>
  <c r="AG254" i="6"/>
  <c r="AF254" i="6"/>
  <c r="W254" i="6"/>
  <c r="V254" i="6"/>
  <c r="S254" i="6"/>
  <c r="R254" i="6"/>
  <c r="Q254" i="6"/>
  <c r="P254" i="6"/>
  <c r="BA253" i="6"/>
  <c r="AZ253" i="6"/>
  <c r="AY253" i="6"/>
  <c r="AX253" i="6"/>
  <c r="AW253" i="6"/>
  <c r="AV253" i="6"/>
  <c r="AM253" i="6"/>
  <c r="AL253" i="6"/>
  <c r="AI253" i="6"/>
  <c r="AH253" i="6"/>
  <c r="AG253" i="6"/>
  <c r="AF253" i="6"/>
  <c r="W253" i="6"/>
  <c r="V253" i="6"/>
  <c r="S253" i="6"/>
  <c r="R253" i="6"/>
  <c r="Q253" i="6"/>
  <c r="P253" i="6"/>
  <c r="BA252" i="6"/>
  <c r="AZ252" i="6"/>
  <c r="AY252" i="6"/>
  <c r="AX252" i="6"/>
  <c r="AW252" i="6"/>
  <c r="AV252" i="6"/>
  <c r="AM252" i="6"/>
  <c r="AL252" i="6"/>
  <c r="AI252" i="6"/>
  <c r="AH252" i="6"/>
  <c r="AG252" i="6"/>
  <c r="AF252" i="6"/>
  <c r="W252" i="6"/>
  <c r="V252" i="6"/>
  <c r="S252" i="6"/>
  <c r="R252" i="6"/>
  <c r="Q252" i="6"/>
  <c r="P252" i="6"/>
  <c r="BA251" i="6"/>
  <c r="AZ251" i="6"/>
  <c r="AY251" i="6"/>
  <c r="AX251" i="6"/>
  <c r="AW251" i="6"/>
  <c r="AV251" i="6"/>
  <c r="AM251" i="6"/>
  <c r="AL251" i="6"/>
  <c r="AI251" i="6"/>
  <c r="AH251" i="6"/>
  <c r="AG251" i="6"/>
  <c r="AF251" i="6"/>
  <c r="W251" i="6"/>
  <c r="V251" i="6"/>
  <c r="S251" i="6"/>
  <c r="R251" i="6"/>
  <c r="Q251" i="6"/>
  <c r="P251" i="6"/>
  <c r="BA250" i="6"/>
  <c r="AZ250" i="6"/>
  <c r="AY250" i="6"/>
  <c r="AX250" i="6"/>
  <c r="AW250" i="6"/>
  <c r="AV250" i="6"/>
  <c r="AM250" i="6"/>
  <c r="AL250" i="6"/>
  <c r="AI250" i="6"/>
  <c r="AH250" i="6"/>
  <c r="AG250" i="6"/>
  <c r="AF250" i="6"/>
  <c r="W250" i="6"/>
  <c r="V250" i="6"/>
  <c r="S250" i="6"/>
  <c r="R250" i="6"/>
  <c r="Q250" i="6"/>
  <c r="P250" i="6"/>
  <c r="BA249" i="6"/>
  <c r="AZ249" i="6"/>
  <c r="AY249" i="6"/>
  <c r="AX249" i="6"/>
  <c r="AW249" i="6"/>
  <c r="AV249" i="6"/>
  <c r="AM249" i="6"/>
  <c r="AL249" i="6"/>
  <c r="AI249" i="6"/>
  <c r="AH249" i="6"/>
  <c r="AG249" i="6"/>
  <c r="AF249" i="6"/>
  <c r="W249" i="6"/>
  <c r="V249" i="6"/>
  <c r="S249" i="6"/>
  <c r="R249" i="6"/>
  <c r="Q249" i="6"/>
  <c r="P249" i="6"/>
  <c r="BA248" i="6"/>
  <c r="AZ248" i="6"/>
  <c r="AY248" i="6"/>
  <c r="AX248" i="6"/>
  <c r="AW248" i="6"/>
  <c r="AV248" i="6"/>
  <c r="AM248" i="6"/>
  <c r="AL248" i="6"/>
  <c r="AI248" i="6"/>
  <c r="AH248" i="6"/>
  <c r="AG248" i="6"/>
  <c r="AF248" i="6"/>
  <c r="W248" i="6"/>
  <c r="V248" i="6"/>
  <c r="S248" i="6"/>
  <c r="R248" i="6"/>
  <c r="Q248" i="6"/>
  <c r="P248" i="6"/>
  <c r="BA247" i="6"/>
  <c r="AZ247" i="6"/>
  <c r="AY247" i="6"/>
  <c r="AX247" i="6"/>
  <c r="AW247" i="6"/>
  <c r="AV247" i="6"/>
  <c r="AM247" i="6"/>
  <c r="AL247" i="6"/>
  <c r="AI247" i="6"/>
  <c r="AH247" i="6"/>
  <c r="AG247" i="6"/>
  <c r="AF247" i="6"/>
  <c r="W247" i="6"/>
  <c r="V247" i="6"/>
  <c r="S247" i="6"/>
  <c r="R247" i="6"/>
  <c r="Q247" i="6"/>
  <c r="P247" i="6"/>
  <c r="BA246" i="6"/>
  <c r="AZ246" i="6"/>
  <c r="AY246" i="6"/>
  <c r="AX246" i="6"/>
  <c r="AW246" i="6"/>
  <c r="AV246" i="6"/>
  <c r="AM246" i="6"/>
  <c r="AL246" i="6"/>
  <c r="AI246" i="6"/>
  <c r="AH246" i="6"/>
  <c r="AG246" i="6"/>
  <c r="AF246" i="6"/>
  <c r="W246" i="6"/>
  <c r="V246" i="6"/>
  <c r="S246" i="6"/>
  <c r="R246" i="6"/>
  <c r="Q246" i="6"/>
  <c r="P246" i="6"/>
  <c r="BA245" i="6"/>
  <c r="AZ245" i="6"/>
  <c r="AY245" i="6"/>
  <c r="AX245" i="6"/>
  <c r="AW245" i="6"/>
  <c r="AV245" i="6"/>
  <c r="AM245" i="6"/>
  <c r="AL245" i="6"/>
  <c r="AI245" i="6"/>
  <c r="AH245" i="6"/>
  <c r="AG245" i="6"/>
  <c r="AF245" i="6"/>
  <c r="W245" i="6"/>
  <c r="V245" i="6"/>
  <c r="S245" i="6"/>
  <c r="R245" i="6"/>
  <c r="Q245" i="6"/>
  <c r="P245" i="6"/>
  <c r="BA244" i="6"/>
  <c r="AZ244" i="6"/>
  <c r="AY244" i="6"/>
  <c r="AX244" i="6"/>
  <c r="AW244" i="6"/>
  <c r="AV244" i="6"/>
  <c r="AM244" i="6"/>
  <c r="AL244" i="6"/>
  <c r="AI244" i="6"/>
  <c r="AH244" i="6"/>
  <c r="AG244" i="6"/>
  <c r="AF244" i="6"/>
  <c r="W244" i="6"/>
  <c r="V244" i="6"/>
  <c r="S244" i="6"/>
  <c r="R244" i="6"/>
  <c r="Q244" i="6"/>
  <c r="P244" i="6"/>
  <c r="BA243" i="6"/>
  <c r="AZ243" i="6"/>
  <c r="AY243" i="6"/>
  <c r="AX243" i="6"/>
  <c r="AW243" i="6"/>
  <c r="AV243" i="6"/>
  <c r="AM243" i="6"/>
  <c r="AL243" i="6"/>
  <c r="AI243" i="6"/>
  <c r="AH243" i="6"/>
  <c r="AG243" i="6"/>
  <c r="AF243" i="6"/>
  <c r="W243" i="6"/>
  <c r="V243" i="6"/>
  <c r="S243" i="6"/>
  <c r="R243" i="6"/>
  <c r="Q243" i="6"/>
  <c r="P243" i="6"/>
  <c r="BA242" i="6"/>
  <c r="AZ242" i="6"/>
  <c r="AY242" i="6"/>
  <c r="AX242" i="6"/>
  <c r="AW242" i="6"/>
  <c r="AV242" i="6"/>
  <c r="AM242" i="6"/>
  <c r="AL242" i="6"/>
  <c r="AI242" i="6"/>
  <c r="AH242" i="6"/>
  <c r="AG242" i="6"/>
  <c r="AF242" i="6"/>
  <c r="W242" i="6"/>
  <c r="V242" i="6"/>
  <c r="S242" i="6"/>
  <c r="R242" i="6"/>
  <c r="Q242" i="6"/>
  <c r="P242" i="6"/>
  <c r="BA241" i="6"/>
  <c r="AZ241" i="6"/>
  <c r="AY241" i="6"/>
  <c r="AX241" i="6"/>
  <c r="AW241" i="6"/>
  <c r="AV241" i="6"/>
  <c r="AM241" i="6"/>
  <c r="AL241" i="6"/>
  <c r="AI241" i="6"/>
  <c r="AH241" i="6"/>
  <c r="AG241" i="6"/>
  <c r="AF241" i="6"/>
  <c r="W241" i="6"/>
  <c r="V241" i="6"/>
  <c r="S241" i="6"/>
  <c r="R241" i="6"/>
  <c r="Q241" i="6"/>
  <c r="P241" i="6"/>
  <c r="BA240" i="6"/>
  <c r="AZ240" i="6"/>
  <c r="AY240" i="6"/>
  <c r="AX240" i="6"/>
  <c r="AW240" i="6"/>
  <c r="AV240" i="6"/>
  <c r="AM240" i="6"/>
  <c r="AL240" i="6"/>
  <c r="AI240" i="6"/>
  <c r="AH240" i="6"/>
  <c r="AG240" i="6"/>
  <c r="AF240" i="6"/>
  <c r="W240" i="6"/>
  <c r="V240" i="6"/>
  <c r="S240" i="6"/>
  <c r="R240" i="6"/>
  <c r="Q240" i="6"/>
  <c r="P240" i="6"/>
  <c r="BA239" i="6"/>
  <c r="AZ239" i="6"/>
  <c r="AY239" i="6"/>
  <c r="AX239" i="6"/>
  <c r="AW239" i="6"/>
  <c r="AV239" i="6"/>
  <c r="AM239" i="6"/>
  <c r="AL239" i="6"/>
  <c r="AI239" i="6"/>
  <c r="AH239" i="6"/>
  <c r="AG239" i="6"/>
  <c r="AF239" i="6"/>
  <c r="W239" i="6"/>
  <c r="V239" i="6"/>
  <c r="S239" i="6"/>
  <c r="R239" i="6"/>
  <c r="Q239" i="6"/>
  <c r="P239" i="6"/>
  <c r="BA238" i="6"/>
  <c r="AZ238" i="6"/>
  <c r="AY238" i="6"/>
  <c r="AX238" i="6"/>
  <c r="AW238" i="6"/>
  <c r="AV238" i="6"/>
  <c r="AM238" i="6"/>
  <c r="AL238" i="6"/>
  <c r="AI238" i="6"/>
  <c r="AH238" i="6"/>
  <c r="AG238" i="6"/>
  <c r="AF238" i="6"/>
  <c r="W238" i="6"/>
  <c r="V238" i="6"/>
  <c r="S238" i="6"/>
  <c r="R238" i="6"/>
  <c r="Q238" i="6"/>
  <c r="P238" i="6"/>
  <c r="BA237" i="6"/>
  <c r="AZ237" i="6"/>
  <c r="AY237" i="6"/>
  <c r="AX237" i="6"/>
  <c r="AW237" i="6"/>
  <c r="AV237" i="6"/>
  <c r="AM237" i="6"/>
  <c r="AL237" i="6"/>
  <c r="AI237" i="6"/>
  <c r="AH237" i="6"/>
  <c r="AG237" i="6"/>
  <c r="AF237" i="6"/>
  <c r="W237" i="6"/>
  <c r="V237" i="6"/>
  <c r="S237" i="6"/>
  <c r="R237" i="6"/>
  <c r="Q237" i="6"/>
  <c r="P237" i="6"/>
  <c r="BA236" i="6"/>
  <c r="AZ236" i="6"/>
  <c r="AY236" i="6"/>
  <c r="AX236" i="6"/>
  <c r="AW236" i="6"/>
  <c r="AV236" i="6"/>
  <c r="AM236" i="6"/>
  <c r="AL236" i="6"/>
  <c r="AI236" i="6"/>
  <c r="AH236" i="6"/>
  <c r="AG236" i="6"/>
  <c r="AF236" i="6"/>
  <c r="W236" i="6"/>
  <c r="V236" i="6"/>
  <c r="S236" i="6"/>
  <c r="R236" i="6"/>
  <c r="Q236" i="6"/>
  <c r="P236" i="6"/>
  <c r="BA235" i="6"/>
  <c r="AZ235" i="6"/>
  <c r="AY235" i="6"/>
  <c r="AX235" i="6"/>
  <c r="AW235" i="6"/>
  <c r="AV235" i="6"/>
  <c r="AM235" i="6"/>
  <c r="AL235" i="6"/>
  <c r="AI235" i="6"/>
  <c r="AH235" i="6"/>
  <c r="AG235" i="6"/>
  <c r="AF235" i="6"/>
  <c r="W235" i="6"/>
  <c r="V235" i="6"/>
  <c r="S235" i="6"/>
  <c r="R235" i="6"/>
  <c r="Q235" i="6"/>
  <c r="P235" i="6"/>
  <c r="BA234" i="6"/>
  <c r="AZ234" i="6"/>
  <c r="AY234" i="6"/>
  <c r="AX234" i="6"/>
  <c r="AW234" i="6"/>
  <c r="AV234" i="6"/>
  <c r="AM234" i="6"/>
  <c r="AL234" i="6"/>
  <c r="AI234" i="6"/>
  <c r="AH234" i="6"/>
  <c r="AG234" i="6"/>
  <c r="AF234" i="6"/>
  <c r="W234" i="6"/>
  <c r="V234" i="6"/>
  <c r="S234" i="6"/>
  <c r="R234" i="6"/>
  <c r="Q234" i="6"/>
  <c r="P234" i="6"/>
  <c r="BA233" i="6"/>
  <c r="AZ233" i="6"/>
  <c r="AY233" i="6"/>
  <c r="AX233" i="6"/>
  <c r="AW233" i="6"/>
  <c r="AV233" i="6"/>
  <c r="AM233" i="6"/>
  <c r="AL233" i="6"/>
  <c r="AI233" i="6"/>
  <c r="AH233" i="6"/>
  <c r="AG233" i="6"/>
  <c r="AF233" i="6"/>
  <c r="W233" i="6"/>
  <c r="V233" i="6"/>
  <c r="S233" i="6"/>
  <c r="R233" i="6"/>
  <c r="Q233" i="6"/>
  <c r="P233" i="6"/>
  <c r="BA232" i="6"/>
  <c r="AZ232" i="6"/>
  <c r="AY232" i="6"/>
  <c r="AX232" i="6"/>
  <c r="AW232" i="6"/>
  <c r="AV232" i="6"/>
  <c r="AM232" i="6"/>
  <c r="AL232" i="6"/>
  <c r="AI232" i="6"/>
  <c r="AH232" i="6"/>
  <c r="AG232" i="6"/>
  <c r="AF232" i="6"/>
  <c r="W232" i="6"/>
  <c r="V232" i="6"/>
  <c r="S232" i="6"/>
  <c r="R232" i="6"/>
  <c r="Q232" i="6"/>
  <c r="P232" i="6"/>
  <c r="BA231" i="6"/>
  <c r="AZ231" i="6"/>
  <c r="AY231" i="6"/>
  <c r="AX231" i="6"/>
  <c r="AW231" i="6"/>
  <c r="AV231" i="6"/>
  <c r="AM231" i="6"/>
  <c r="AL231" i="6"/>
  <c r="AI231" i="6"/>
  <c r="AH231" i="6"/>
  <c r="AG231" i="6"/>
  <c r="AF231" i="6"/>
  <c r="W231" i="6"/>
  <c r="V231" i="6"/>
  <c r="S231" i="6"/>
  <c r="R231" i="6"/>
  <c r="Q231" i="6"/>
  <c r="P231" i="6"/>
  <c r="BA230" i="6"/>
  <c r="AZ230" i="6"/>
  <c r="AY230" i="6"/>
  <c r="AX230" i="6"/>
  <c r="AW230" i="6"/>
  <c r="AV230" i="6"/>
  <c r="AM230" i="6"/>
  <c r="AL230" i="6"/>
  <c r="AI230" i="6"/>
  <c r="AH230" i="6"/>
  <c r="AG230" i="6"/>
  <c r="AF230" i="6"/>
  <c r="W230" i="6"/>
  <c r="V230" i="6"/>
  <c r="S230" i="6"/>
  <c r="R230" i="6"/>
  <c r="Q230" i="6"/>
  <c r="P230" i="6"/>
  <c r="BA229" i="6"/>
  <c r="AZ229" i="6"/>
  <c r="AY229" i="6"/>
  <c r="AX229" i="6"/>
  <c r="AW229" i="6"/>
  <c r="AV229" i="6"/>
  <c r="AM229" i="6"/>
  <c r="AL229" i="6"/>
  <c r="AI229" i="6"/>
  <c r="AH229" i="6"/>
  <c r="AG229" i="6"/>
  <c r="AF229" i="6"/>
  <c r="W229" i="6"/>
  <c r="V229" i="6"/>
  <c r="S229" i="6"/>
  <c r="R229" i="6"/>
  <c r="Q229" i="6"/>
  <c r="P229" i="6"/>
  <c r="BA228" i="6"/>
  <c r="AZ228" i="6"/>
  <c r="AY228" i="6"/>
  <c r="AX228" i="6"/>
  <c r="AW228" i="6"/>
  <c r="AV228" i="6"/>
  <c r="AM228" i="6"/>
  <c r="AL228" i="6"/>
  <c r="AI228" i="6"/>
  <c r="AH228" i="6"/>
  <c r="AG228" i="6"/>
  <c r="AF228" i="6"/>
  <c r="W228" i="6"/>
  <c r="V228" i="6"/>
  <c r="S228" i="6"/>
  <c r="R228" i="6"/>
  <c r="Q228" i="6"/>
  <c r="P228" i="6"/>
  <c r="BA227" i="6"/>
  <c r="AZ227" i="6"/>
  <c r="AY227" i="6"/>
  <c r="AX227" i="6"/>
  <c r="AW227" i="6"/>
  <c r="AV227" i="6"/>
  <c r="AM227" i="6"/>
  <c r="AL227" i="6"/>
  <c r="AI227" i="6"/>
  <c r="AH227" i="6"/>
  <c r="AG227" i="6"/>
  <c r="AF227" i="6"/>
  <c r="W227" i="6"/>
  <c r="V227" i="6"/>
  <c r="S227" i="6"/>
  <c r="R227" i="6"/>
  <c r="Q227" i="6"/>
  <c r="P227" i="6"/>
  <c r="BA226" i="6"/>
  <c r="AZ226" i="6"/>
  <c r="AY226" i="6"/>
  <c r="AX226" i="6"/>
  <c r="AW226" i="6"/>
  <c r="AV226" i="6"/>
  <c r="AM226" i="6"/>
  <c r="AL226" i="6"/>
  <c r="AI226" i="6"/>
  <c r="AH226" i="6"/>
  <c r="AG226" i="6"/>
  <c r="AF226" i="6"/>
  <c r="W226" i="6"/>
  <c r="V226" i="6"/>
  <c r="S226" i="6"/>
  <c r="R226" i="6"/>
  <c r="Q226" i="6"/>
  <c r="P226" i="6"/>
  <c r="BA225" i="6"/>
  <c r="AZ225" i="6"/>
  <c r="AY225" i="6"/>
  <c r="AX225" i="6"/>
  <c r="AW225" i="6"/>
  <c r="AV225" i="6"/>
  <c r="AM225" i="6"/>
  <c r="AL225" i="6"/>
  <c r="AI225" i="6"/>
  <c r="AH225" i="6"/>
  <c r="AG225" i="6"/>
  <c r="AF225" i="6"/>
  <c r="W225" i="6"/>
  <c r="V225" i="6"/>
  <c r="S225" i="6"/>
  <c r="R225" i="6"/>
  <c r="Q225" i="6"/>
  <c r="P225" i="6"/>
  <c r="BA224" i="6"/>
  <c r="AZ224" i="6"/>
  <c r="AY224" i="6"/>
  <c r="AX224" i="6"/>
  <c r="AW224" i="6"/>
  <c r="AV224" i="6"/>
  <c r="AM224" i="6"/>
  <c r="AL224" i="6"/>
  <c r="AI224" i="6"/>
  <c r="AH224" i="6"/>
  <c r="AG224" i="6"/>
  <c r="AF224" i="6"/>
  <c r="W224" i="6"/>
  <c r="V224" i="6"/>
  <c r="S224" i="6"/>
  <c r="R224" i="6"/>
  <c r="Q224" i="6"/>
  <c r="P224" i="6"/>
  <c r="BA223" i="6"/>
  <c r="AZ223" i="6"/>
  <c r="AY223" i="6"/>
  <c r="AX223" i="6"/>
  <c r="AW223" i="6"/>
  <c r="AV223" i="6"/>
  <c r="AM223" i="6"/>
  <c r="AL223" i="6"/>
  <c r="AI223" i="6"/>
  <c r="AH223" i="6"/>
  <c r="AG223" i="6"/>
  <c r="AF223" i="6"/>
  <c r="W223" i="6"/>
  <c r="V223" i="6"/>
  <c r="S223" i="6"/>
  <c r="R223" i="6"/>
  <c r="Q223" i="6"/>
  <c r="P223" i="6"/>
  <c r="BA222" i="6"/>
  <c r="AZ222" i="6"/>
  <c r="AY222" i="6"/>
  <c r="AX222" i="6"/>
  <c r="AW222" i="6"/>
  <c r="AV222" i="6"/>
  <c r="AM222" i="6"/>
  <c r="AL222" i="6"/>
  <c r="AI222" i="6"/>
  <c r="AH222" i="6"/>
  <c r="AG222" i="6"/>
  <c r="AF222" i="6"/>
  <c r="W222" i="6"/>
  <c r="V222" i="6"/>
  <c r="S222" i="6"/>
  <c r="R222" i="6"/>
  <c r="Q222" i="6"/>
  <c r="P222" i="6"/>
  <c r="BA221" i="6"/>
  <c r="AZ221" i="6"/>
  <c r="AY221" i="6"/>
  <c r="AX221" i="6"/>
  <c r="AW221" i="6"/>
  <c r="AV221" i="6"/>
  <c r="AM221" i="6"/>
  <c r="AL221" i="6"/>
  <c r="AI221" i="6"/>
  <c r="AH221" i="6"/>
  <c r="AG221" i="6"/>
  <c r="AF221" i="6"/>
  <c r="W221" i="6"/>
  <c r="V221" i="6"/>
  <c r="S221" i="6"/>
  <c r="R221" i="6"/>
  <c r="Q221" i="6"/>
  <c r="P221" i="6"/>
  <c r="BA220" i="6"/>
  <c r="AZ220" i="6"/>
  <c r="AY220" i="6"/>
  <c r="AX220" i="6"/>
  <c r="AW220" i="6"/>
  <c r="AV220" i="6"/>
  <c r="AM220" i="6"/>
  <c r="AL220" i="6"/>
  <c r="AI220" i="6"/>
  <c r="AH220" i="6"/>
  <c r="AG220" i="6"/>
  <c r="AF220" i="6"/>
  <c r="W220" i="6"/>
  <c r="V220" i="6"/>
  <c r="S220" i="6"/>
  <c r="R220" i="6"/>
  <c r="Q220" i="6"/>
  <c r="P220" i="6"/>
  <c r="BA219" i="6"/>
  <c r="AZ219" i="6"/>
  <c r="AY219" i="6"/>
  <c r="AX219" i="6"/>
  <c r="AW219" i="6"/>
  <c r="AV219" i="6"/>
  <c r="AM219" i="6"/>
  <c r="AL219" i="6"/>
  <c r="AI219" i="6"/>
  <c r="AH219" i="6"/>
  <c r="AG219" i="6"/>
  <c r="AF219" i="6"/>
  <c r="W219" i="6"/>
  <c r="V219" i="6"/>
  <c r="S219" i="6"/>
  <c r="R219" i="6"/>
  <c r="Q219" i="6"/>
  <c r="P219" i="6"/>
  <c r="BA218" i="6"/>
  <c r="AZ218" i="6"/>
  <c r="AY218" i="6"/>
  <c r="AX218" i="6"/>
  <c r="AW218" i="6"/>
  <c r="AV218" i="6"/>
  <c r="AM218" i="6"/>
  <c r="AL218" i="6"/>
  <c r="AI218" i="6"/>
  <c r="AH218" i="6"/>
  <c r="AG218" i="6"/>
  <c r="AF218" i="6"/>
  <c r="W218" i="6"/>
  <c r="V218" i="6"/>
  <c r="S218" i="6"/>
  <c r="R218" i="6"/>
  <c r="Q218" i="6"/>
  <c r="P218" i="6"/>
  <c r="BA217" i="6"/>
  <c r="AZ217" i="6"/>
  <c r="AY217" i="6"/>
  <c r="AX217" i="6"/>
  <c r="AW217" i="6"/>
  <c r="AV217" i="6"/>
  <c r="AM217" i="6"/>
  <c r="AL217" i="6"/>
  <c r="AI217" i="6"/>
  <c r="AH217" i="6"/>
  <c r="AG217" i="6"/>
  <c r="AF217" i="6"/>
  <c r="W217" i="6"/>
  <c r="V217" i="6"/>
  <c r="S217" i="6"/>
  <c r="R217" i="6"/>
  <c r="Q217" i="6"/>
  <c r="P217" i="6"/>
  <c r="BA216" i="6"/>
  <c r="AZ216" i="6"/>
  <c r="AY216" i="6"/>
  <c r="AX216" i="6"/>
  <c r="AW216" i="6"/>
  <c r="AV216" i="6"/>
  <c r="AM216" i="6"/>
  <c r="AL216" i="6"/>
  <c r="AI216" i="6"/>
  <c r="AH216" i="6"/>
  <c r="AG216" i="6"/>
  <c r="AF216" i="6"/>
  <c r="W216" i="6"/>
  <c r="V216" i="6"/>
  <c r="S216" i="6"/>
  <c r="R216" i="6"/>
  <c r="Q216" i="6"/>
  <c r="P216" i="6"/>
  <c r="BA215" i="6"/>
  <c r="AZ215" i="6"/>
  <c r="AY215" i="6"/>
  <c r="AX215" i="6"/>
  <c r="AW215" i="6"/>
  <c r="AV215" i="6"/>
  <c r="AM215" i="6"/>
  <c r="AL215" i="6"/>
  <c r="AI215" i="6"/>
  <c r="AH215" i="6"/>
  <c r="AG215" i="6"/>
  <c r="AF215" i="6"/>
  <c r="W215" i="6"/>
  <c r="V215" i="6"/>
  <c r="S215" i="6"/>
  <c r="R215" i="6"/>
  <c r="Q215" i="6"/>
  <c r="P215" i="6"/>
  <c r="BA214" i="6"/>
  <c r="AZ214" i="6"/>
  <c r="AY214" i="6"/>
  <c r="AX214" i="6"/>
  <c r="AW214" i="6"/>
  <c r="AV214" i="6"/>
  <c r="AM214" i="6"/>
  <c r="AL214" i="6"/>
  <c r="AI214" i="6"/>
  <c r="AH214" i="6"/>
  <c r="AG214" i="6"/>
  <c r="AF214" i="6"/>
  <c r="W214" i="6"/>
  <c r="V214" i="6"/>
  <c r="S214" i="6"/>
  <c r="R214" i="6"/>
  <c r="Q214" i="6"/>
  <c r="P214" i="6"/>
  <c r="BA213" i="6"/>
  <c r="AZ213" i="6"/>
  <c r="AY213" i="6"/>
  <c r="AX213" i="6"/>
  <c r="AW213" i="6"/>
  <c r="AV213" i="6"/>
  <c r="AM213" i="6"/>
  <c r="AL213" i="6"/>
  <c r="AI213" i="6"/>
  <c r="AH213" i="6"/>
  <c r="AG213" i="6"/>
  <c r="AF213" i="6"/>
  <c r="W213" i="6"/>
  <c r="V213" i="6"/>
  <c r="S213" i="6"/>
  <c r="R213" i="6"/>
  <c r="Q213" i="6"/>
  <c r="P213" i="6"/>
  <c r="BA212" i="6"/>
  <c r="AZ212" i="6"/>
  <c r="AY212" i="6"/>
  <c r="AX212" i="6"/>
  <c r="AW212" i="6"/>
  <c r="AV212" i="6"/>
  <c r="AM212" i="6"/>
  <c r="AL212" i="6"/>
  <c r="AI212" i="6"/>
  <c r="AH212" i="6"/>
  <c r="AG212" i="6"/>
  <c r="AF212" i="6"/>
  <c r="W212" i="6"/>
  <c r="V212" i="6"/>
  <c r="S212" i="6"/>
  <c r="R212" i="6"/>
  <c r="Q212" i="6"/>
  <c r="P212" i="6"/>
  <c r="BA211" i="6"/>
  <c r="AZ211" i="6"/>
  <c r="AY211" i="6"/>
  <c r="AX211" i="6"/>
  <c r="AW211" i="6"/>
  <c r="AV211" i="6"/>
  <c r="AM211" i="6"/>
  <c r="AL211" i="6"/>
  <c r="AI211" i="6"/>
  <c r="AH211" i="6"/>
  <c r="AG211" i="6"/>
  <c r="AF211" i="6"/>
  <c r="W211" i="6"/>
  <c r="V211" i="6"/>
  <c r="S211" i="6"/>
  <c r="R211" i="6"/>
  <c r="Q211" i="6"/>
  <c r="P211" i="6"/>
  <c r="BA210" i="6"/>
  <c r="AZ210" i="6"/>
  <c r="AY210" i="6"/>
  <c r="AX210" i="6"/>
  <c r="AW210" i="6"/>
  <c r="AV210" i="6"/>
  <c r="AM210" i="6"/>
  <c r="AL210" i="6"/>
  <c r="AI210" i="6"/>
  <c r="AH210" i="6"/>
  <c r="AG210" i="6"/>
  <c r="AF210" i="6"/>
  <c r="W210" i="6"/>
  <c r="V210" i="6"/>
  <c r="S210" i="6"/>
  <c r="R210" i="6"/>
  <c r="Q210" i="6"/>
  <c r="P210" i="6"/>
  <c r="BA209" i="6"/>
  <c r="AZ209" i="6"/>
  <c r="AY209" i="6"/>
  <c r="AX209" i="6"/>
  <c r="AW209" i="6"/>
  <c r="AV209" i="6"/>
  <c r="AM209" i="6"/>
  <c r="AL209" i="6"/>
  <c r="AI209" i="6"/>
  <c r="AH209" i="6"/>
  <c r="AG209" i="6"/>
  <c r="AF209" i="6"/>
  <c r="W209" i="6"/>
  <c r="V209" i="6"/>
  <c r="S209" i="6"/>
  <c r="R209" i="6"/>
  <c r="Q209" i="6"/>
  <c r="P209" i="6"/>
  <c r="BA208" i="6"/>
  <c r="AZ208" i="6"/>
  <c r="AY208" i="6"/>
  <c r="AX208" i="6"/>
  <c r="AW208" i="6"/>
  <c r="AV208" i="6"/>
  <c r="AM208" i="6"/>
  <c r="AL208" i="6"/>
  <c r="AI208" i="6"/>
  <c r="AH208" i="6"/>
  <c r="AG208" i="6"/>
  <c r="AF208" i="6"/>
  <c r="W208" i="6"/>
  <c r="V208" i="6"/>
  <c r="S208" i="6"/>
  <c r="R208" i="6"/>
  <c r="Q208" i="6"/>
  <c r="P208" i="6"/>
  <c r="BA207" i="6"/>
  <c r="AZ207" i="6"/>
  <c r="AY207" i="6"/>
  <c r="AX207" i="6"/>
  <c r="AW207" i="6"/>
  <c r="AV207" i="6"/>
  <c r="AM207" i="6"/>
  <c r="AL207" i="6"/>
  <c r="AI207" i="6"/>
  <c r="AH207" i="6"/>
  <c r="AG207" i="6"/>
  <c r="AF207" i="6"/>
  <c r="W207" i="6"/>
  <c r="V207" i="6"/>
  <c r="S207" i="6"/>
  <c r="R207" i="6"/>
  <c r="Q207" i="6"/>
  <c r="P207" i="6"/>
  <c r="BA206" i="6"/>
  <c r="AZ206" i="6"/>
  <c r="AY206" i="6"/>
  <c r="AX206" i="6"/>
  <c r="AW206" i="6"/>
  <c r="AV206" i="6"/>
  <c r="AM206" i="6"/>
  <c r="AL206" i="6"/>
  <c r="AI206" i="6"/>
  <c r="AH206" i="6"/>
  <c r="AG206" i="6"/>
  <c r="AF206" i="6"/>
  <c r="W206" i="6"/>
  <c r="V206" i="6"/>
  <c r="S206" i="6"/>
  <c r="R206" i="6"/>
  <c r="Q206" i="6"/>
  <c r="P206" i="6"/>
  <c r="BA205" i="6"/>
  <c r="AZ205" i="6"/>
  <c r="AY205" i="6"/>
  <c r="AX205" i="6"/>
  <c r="AW205" i="6"/>
  <c r="AV205" i="6"/>
  <c r="AM205" i="6"/>
  <c r="AL205" i="6"/>
  <c r="AI205" i="6"/>
  <c r="AH205" i="6"/>
  <c r="AG205" i="6"/>
  <c r="AF205" i="6"/>
  <c r="W205" i="6"/>
  <c r="V205" i="6"/>
  <c r="S205" i="6"/>
  <c r="R205" i="6"/>
  <c r="Q205" i="6"/>
  <c r="P205" i="6"/>
  <c r="BA204" i="6"/>
  <c r="AZ204" i="6"/>
  <c r="AY204" i="6"/>
  <c r="AX204" i="6"/>
  <c r="AW204" i="6"/>
  <c r="AV204" i="6"/>
  <c r="AM204" i="6"/>
  <c r="AL204" i="6"/>
  <c r="AI204" i="6"/>
  <c r="AH204" i="6"/>
  <c r="AG204" i="6"/>
  <c r="AF204" i="6"/>
  <c r="W204" i="6"/>
  <c r="V204" i="6"/>
  <c r="S204" i="6"/>
  <c r="R204" i="6"/>
  <c r="Q204" i="6"/>
  <c r="P204" i="6"/>
  <c r="BA203" i="6"/>
  <c r="AZ203" i="6"/>
  <c r="AY203" i="6"/>
  <c r="AX203" i="6"/>
  <c r="AW203" i="6"/>
  <c r="AV203" i="6"/>
  <c r="AM203" i="6"/>
  <c r="AL203" i="6"/>
  <c r="AI203" i="6"/>
  <c r="AH203" i="6"/>
  <c r="AG203" i="6"/>
  <c r="AF203" i="6"/>
  <c r="W203" i="6"/>
  <c r="V203" i="6"/>
  <c r="S203" i="6"/>
  <c r="R203" i="6"/>
  <c r="Q203" i="6"/>
  <c r="P203" i="6"/>
  <c r="BA202" i="6"/>
  <c r="AZ202" i="6"/>
  <c r="AY202" i="6"/>
  <c r="AX202" i="6"/>
  <c r="AW202" i="6"/>
  <c r="AV202" i="6"/>
  <c r="AM202" i="6"/>
  <c r="AL202" i="6"/>
  <c r="AI202" i="6"/>
  <c r="AH202" i="6"/>
  <c r="AG202" i="6"/>
  <c r="AF202" i="6"/>
  <c r="W202" i="6"/>
  <c r="V202" i="6"/>
  <c r="S202" i="6"/>
  <c r="R202" i="6"/>
  <c r="Q202" i="6"/>
  <c r="P202" i="6"/>
  <c r="BA201" i="6"/>
  <c r="AZ201" i="6"/>
  <c r="AY201" i="6"/>
  <c r="AX201" i="6"/>
  <c r="AW201" i="6"/>
  <c r="AV201" i="6"/>
  <c r="AM201" i="6"/>
  <c r="AL201" i="6"/>
  <c r="AI201" i="6"/>
  <c r="AH201" i="6"/>
  <c r="AG201" i="6"/>
  <c r="AF201" i="6"/>
  <c r="W201" i="6"/>
  <c r="V201" i="6"/>
  <c r="S201" i="6"/>
  <c r="R201" i="6"/>
  <c r="Q201" i="6"/>
  <c r="P201" i="6"/>
  <c r="BA200" i="6"/>
  <c r="AZ200" i="6"/>
  <c r="AY200" i="6"/>
  <c r="AX200" i="6"/>
  <c r="AW200" i="6"/>
  <c r="AV200" i="6"/>
  <c r="AM200" i="6"/>
  <c r="AL200" i="6"/>
  <c r="AI200" i="6"/>
  <c r="AH200" i="6"/>
  <c r="AG200" i="6"/>
  <c r="AF200" i="6"/>
  <c r="W200" i="6"/>
  <c r="V200" i="6"/>
  <c r="S200" i="6"/>
  <c r="R200" i="6"/>
  <c r="Q200" i="6"/>
  <c r="P200" i="6"/>
  <c r="BA199" i="6"/>
  <c r="AZ199" i="6"/>
  <c r="AY199" i="6"/>
  <c r="AX199" i="6"/>
  <c r="AW199" i="6"/>
  <c r="AV199" i="6"/>
  <c r="AM199" i="6"/>
  <c r="AL199" i="6"/>
  <c r="AI199" i="6"/>
  <c r="AH199" i="6"/>
  <c r="AG199" i="6"/>
  <c r="AF199" i="6"/>
  <c r="W199" i="6"/>
  <c r="V199" i="6"/>
  <c r="S199" i="6"/>
  <c r="R199" i="6"/>
  <c r="Q199" i="6"/>
  <c r="P199" i="6"/>
  <c r="BA198" i="6"/>
  <c r="AZ198" i="6"/>
  <c r="AY198" i="6"/>
  <c r="AX198" i="6"/>
  <c r="AW198" i="6"/>
  <c r="AV198" i="6"/>
  <c r="AM198" i="6"/>
  <c r="AL198" i="6"/>
  <c r="AI198" i="6"/>
  <c r="AH198" i="6"/>
  <c r="AG198" i="6"/>
  <c r="AF198" i="6"/>
  <c r="W198" i="6"/>
  <c r="V198" i="6"/>
  <c r="S198" i="6"/>
  <c r="R198" i="6"/>
  <c r="Q198" i="6"/>
  <c r="P198" i="6"/>
  <c r="BA197" i="6"/>
  <c r="AZ197" i="6"/>
  <c r="AY197" i="6"/>
  <c r="AX197" i="6"/>
  <c r="AW197" i="6"/>
  <c r="AV197" i="6"/>
  <c r="AM197" i="6"/>
  <c r="AL197" i="6"/>
  <c r="AI197" i="6"/>
  <c r="AH197" i="6"/>
  <c r="AG197" i="6"/>
  <c r="AF197" i="6"/>
  <c r="W197" i="6"/>
  <c r="V197" i="6"/>
  <c r="S197" i="6"/>
  <c r="R197" i="6"/>
  <c r="Q197" i="6"/>
  <c r="P197" i="6"/>
  <c r="BA196" i="6"/>
  <c r="AZ196" i="6"/>
  <c r="AY196" i="6"/>
  <c r="AX196" i="6"/>
  <c r="AW196" i="6"/>
  <c r="AV196" i="6"/>
  <c r="AM196" i="6"/>
  <c r="AL196" i="6"/>
  <c r="AI196" i="6"/>
  <c r="AH196" i="6"/>
  <c r="AG196" i="6"/>
  <c r="AF196" i="6"/>
  <c r="W196" i="6"/>
  <c r="V196" i="6"/>
  <c r="S196" i="6"/>
  <c r="R196" i="6"/>
  <c r="Q196" i="6"/>
  <c r="P196" i="6"/>
  <c r="BA195" i="6"/>
  <c r="AZ195" i="6"/>
  <c r="AY195" i="6"/>
  <c r="AX195" i="6"/>
  <c r="AW195" i="6"/>
  <c r="AV195" i="6"/>
  <c r="AM195" i="6"/>
  <c r="AL195" i="6"/>
  <c r="AI195" i="6"/>
  <c r="AH195" i="6"/>
  <c r="AG195" i="6"/>
  <c r="AF195" i="6"/>
  <c r="W195" i="6"/>
  <c r="V195" i="6"/>
  <c r="S195" i="6"/>
  <c r="R195" i="6"/>
  <c r="Q195" i="6"/>
  <c r="P195" i="6"/>
  <c r="BA194" i="6"/>
  <c r="AZ194" i="6"/>
  <c r="AY194" i="6"/>
  <c r="AX194" i="6"/>
  <c r="AW194" i="6"/>
  <c r="AV194" i="6"/>
  <c r="AM194" i="6"/>
  <c r="AL194" i="6"/>
  <c r="AI194" i="6"/>
  <c r="AH194" i="6"/>
  <c r="AG194" i="6"/>
  <c r="AF194" i="6"/>
  <c r="W194" i="6"/>
  <c r="V194" i="6"/>
  <c r="S194" i="6"/>
  <c r="R194" i="6"/>
  <c r="Q194" i="6"/>
  <c r="P194" i="6"/>
  <c r="BA193" i="6"/>
  <c r="AZ193" i="6"/>
  <c r="AY193" i="6"/>
  <c r="AX193" i="6"/>
  <c r="AW193" i="6"/>
  <c r="AV193" i="6"/>
  <c r="AM193" i="6"/>
  <c r="AL193" i="6"/>
  <c r="AI193" i="6"/>
  <c r="AH193" i="6"/>
  <c r="AG193" i="6"/>
  <c r="AF193" i="6"/>
  <c r="W193" i="6"/>
  <c r="V193" i="6"/>
  <c r="S193" i="6"/>
  <c r="R193" i="6"/>
  <c r="Q193" i="6"/>
  <c r="P193" i="6"/>
  <c r="BA192" i="6"/>
  <c r="AZ192" i="6"/>
  <c r="AY192" i="6"/>
  <c r="AX192" i="6"/>
  <c r="AW192" i="6"/>
  <c r="AV192" i="6"/>
  <c r="AM192" i="6"/>
  <c r="AL192" i="6"/>
  <c r="AI192" i="6"/>
  <c r="AH192" i="6"/>
  <c r="AG192" i="6"/>
  <c r="AF192" i="6"/>
  <c r="W192" i="6"/>
  <c r="V192" i="6"/>
  <c r="S192" i="6"/>
  <c r="R192" i="6"/>
  <c r="Q192" i="6"/>
  <c r="P192" i="6"/>
  <c r="BA191" i="6"/>
  <c r="AZ191" i="6"/>
  <c r="AY191" i="6"/>
  <c r="AX191" i="6"/>
  <c r="AW191" i="6"/>
  <c r="AV191" i="6"/>
  <c r="AM191" i="6"/>
  <c r="AL191" i="6"/>
  <c r="AI191" i="6"/>
  <c r="AH191" i="6"/>
  <c r="AG191" i="6"/>
  <c r="AF191" i="6"/>
  <c r="W191" i="6"/>
  <c r="V191" i="6"/>
  <c r="S191" i="6"/>
  <c r="R191" i="6"/>
  <c r="Q191" i="6"/>
  <c r="P191" i="6"/>
  <c r="BA190" i="6"/>
  <c r="AZ190" i="6"/>
  <c r="AY190" i="6"/>
  <c r="AX190" i="6"/>
  <c r="AW190" i="6"/>
  <c r="AV190" i="6"/>
  <c r="AM190" i="6"/>
  <c r="AL190" i="6"/>
  <c r="AI190" i="6"/>
  <c r="AH190" i="6"/>
  <c r="AG190" i="6"/>
  <c r="AF190" i="6"/>
  <c r="W190" i="6"/>
  <c r="V190" i="6"/>
  <c r="S190" i="6"/>
  <c r="R190" i="6"/>
  <c r="Q190" i="6"/>
  <c r="P190" i="6"/>
  <c r="BA189" i="6"/>
  <c r="AZ189" i="6"/>
  <c r="AY189" i="6"/>
  <c r="AX189" i="6"/>
  <c r="AW189" i="6"/>
  <c r="AV189" i="6"/>
  <c r="AM189" i="6"/>
  <c r="AL189" i="6"/>
  <c r="AI189" i="6"/>
  <c r="AH189" i="6"/>
  <c r="AG189" i="6"/>
  <c r="AF189" i="6"/>
  <c r="W189" i="6"/>
  <c r="V189" i="6"/>
  <c r="S189" i="6"/>
  <c r="R189" i="6"/>
  <c r="Q189" i="6"/>
  <c r="P189" i="6"/>
  <c r="BA188" i="6"/>
  <c r="AZ188" i="6"/>
  <c r="AY188" i="6"/>
  <c r="AX188" i="6"/>
  <c r="AW188" i="6"/>
  <c r="AV188" i="6"/>
  <c r="AM188" i="6"/>
  <c r="AL188" i="6"/>
  <c r="AI188" i="6"/>
  <c r="AH188" i="6"/>
  <c r="AG188" i="6"/>
  <c r="AF188" i="6"/>
  <c r="W188" i="6"/>
  <c r="V188" i="6"/>
  <c r="S188" i="6"/>
  <c r="R188" i="6"/>
  <c r="Q188" i="6"/>
  <c r="P188" i="6"/>
  <c r="BA187" i="6"/>
  <c r="AZ187" i="6"/>
  <c r="AY187" i="6"/>
  <c r="AX187" i="6"/>
  <c r="AW187" i="6"/>
  <c r="AV187" i="6"/>
  <c r="AM187" i="6"/>
  <c r="AL187" i="6"/>
  <c r="AI187" i="6"/>
  <c r="AH187" i="6"/>
  <c r="AG187" i="6"/>
  <c r="AF187" i="6"/>
  <c r="W187" i="6"/>
  <c r="V187" i="6"/>
  <c r="S187" i="6"/>
  <c r="R187" i="6"/>
  <c r="Q187" i="6"/>
  <c r="P187" i="6"/>
  <c r="BA186" i="6"/>
  <c r="AZ186" i="6"/>
  <c r="AY186" i="6"/>
  <c r="AX186" i="6"/>
  <c r="AW186" i="6"/>
  <c r="AV186" i="6"/>
  <c r="AM186" i="6"/>
  <c r="AL186" i="6"/>
  <c r="AI186" i="6"/>
  <c r="AH186" i="6"/>
  <c r="AG186" i="6"/>
  <c r="AF186" i="6"/>
  <c r="W186" i="6"/>
  <c r="V186" i="6"/>
  <c r="S186" i="6"/>
  <c r="R186" i="6"/>
  <c r="Q186" i="6"/>
  <c r="P186" i="6"/>
  <c r="BA185" i="6"/>
  <c r="AZ185" i="6"/>
  <c r="AY185" i="6"/>
  <c r="AX185" i="6"/>
  <c r="AW185" i="6"/>
  <c r="AV185" i="6"/>
  <c r="AM185" i="6"/>
  <c r="AL185" i="6"/>
  <c r="AI185" i="6"/>
  <c r="AH185" i="6"/>
  <c r="AG185" i="6"/>
  <c r="AF185" i="6"/>
  <c r="W185" i="6"/>
  <c r="V185" i="6"/>
  <c r="S185" i="6"/>
  <c r="R185" i="6"/>
  <c r="Q185" i="6"/>
  <c r="P185" i="6"/>
  <c r="BA184" i="6"/>
  <c r="AZ184" i="6"/>
  <c r="AY184" i="6"/>
  <c r="AX184" i="6"/>
  <c r="AW184" i="6"/>
  <c r="AV184" i="6"/>
  <c r="AM184" i="6"/>
  <c r="AL184" i="6"/>
  <c r="AI184" i="6"/>
  <c r="AH184" i="6"/>
  <c r="AG184" i="6"/>
  <c r="AF184" i="6"/>
  <c r="W184" i="6"/>
  <c r="V184" i="6"/>
  <c r="S184" i="6"/>
  <c r="R184" i="6"/>
  <c r="Q184" i="6"/>
  <c r="P184" i="6"/>
  <c r="BA183" i="6"/>
  <c r="AZ183" i="6"/>
  <c r="AY183" i="6"/>
  <c r="AX183" i="6"/>
  <c r="AW183" i="6"/>
  <c r="AV183" i="6"/>
  <c r="AM183" i="6"/>
  <c r="AL183" i="6"/>
  <c r="AI183" i="6"/>
  <c r="AH183" i="6"/>
  <c r="AG183" i="6"/>
  <c r="AF183" i="6"/>
  <c r="W183" i="6"/>
  <c r="V183" i="6"/>
  <c r="S183" i="6"/>
  <c r="R183" i="6"/>
  <c r="Q183" i="6"/>
  <c r="P183" i="6"/>
  <c r="BA182" i="6"/>
  <c r="AZ182" i="6"/>
  <c r="AY182" i="6"/>
  <c r="AX182" i="6"/>
  <c r="AW182" i="6"/>
  <c r="AV182" i="6"/>
  <c r="AM182" i="6"/>
  <c r="AL182" i="6"/>
  <c r="AI182" i="6"/>
  <c r="AH182" i="6"/>
  <c r="AG182" i="6"/>
  <c r="AF182" i="6"/>
  <c r="W182" i="6"/>
  <c r="V182" i="6"/>
  <c r="S182" i="6"/>
  <c r="R182" i="6"/>
  <c r="Q182" i="6"/>
  <c r="P182" i="6"/>
  <c r="BA181" i="6"/>
  <c r="AZ181" i="6"/>
  <c r="AY181" i="6"/>
  <c r="AX181" i="6"/>
  <c r="AW181" i="6"/>
  <c r="AV181" i="6"/>
  <c r="AM181" i="6"/>
  <c r="AL181" i="6"/>
  <c r="AI181" i="6"/>
  <c r="AH181" i="6"/>
  <c r="AG181" i="6"/>
  <c r="AF181" i="6"/>
  <c r="W181" i="6"/>
  <c r="V181" i="6"/>
  <c r="S181" i="6"/>
  <c r="R181" i="6"/>
  <c r="Q181" i="6"/>
  <c r="P181" i="6"/>
  <c r="BA180" i="6"/>
  <c r="AZ180" i="6"/>
  <c r="AY180" i="6"/>
  <c r="AX180" i="6"/>
  <c r="AW180" i="6"/>
  <c r="AV180" i="6"/>
  <c r="AM180" i="6"/>
  <c r="AL180" i="6"/>
  <c r="AI180" i="6"/>
  <c r="AH180" i="6"/>
  <c r="AG180" i="6"/>
  <c r="AF180" i="6"/>
  <c r="W180" i="6"/>
  <c r="V180" i="6"/>
  <c r="S180" i="6"/>
  <c r="R180" i="6"/>
  <c r="Q180" i="6"/>
  <c r="P180" i="6"/>
  <c r="BA179" i="6"/>
  <c r="AZ179" i="6"/>
  <c r="AY179" i="6"/>
  <c r="AX179" i="6"/>
  <c r="AW179" i="6"/>
  <c r="AV179" i="6"/>
  <c r="AM179" i="6"/>
  <c r="AL179" i="6"/>
  <c r="AI179" i="6"/>
  <c r="AH179" i="6"/>
  <c r="AG179" i="6"/>
  <c r="AF179" i="6"/>
  <c r="W179" i="6"/>
  <c r="V179" i="6"/>
  <c r="S179" i="6"/>
  <c r="R179" i="6"/>
  <c r="Q179" i="6"/>
  <c r="P179" i="6"/>
  <c r="BA178" i="6"/>
  <c r="AZ178" i="6"/>
  <c r="AY178" i="6"/>
  <c r="AX178" i="6"/>
  <c r="AW178" i="6"/>
  <c r="AV178" i="6"/>
  <c r="AM178" i="6"/>
  <c r="AL178" i="6"/>
  <c r="AI178" i="6"/>
  <c r="AH178" i="6"/>
  <c r="AG178" i="6"/>
  <c r="AF178" i="6"/>
  <c r="W178" i="6"/>
  <c r="V178" i="6"/>
  <c r="S178" i="6"/>
  <c r="R178" i="6"/>
  <c r="Q178" i="6"/>
  <c r="P178" i="6"/>
  <c r="BA177" i="6"/>
  <c r="AZ177" i="6"/>
  <c r="AY177" i="6"/>
  <c r="AX177" i="6"/>
  <c r="AW177" i="6"/>
  <c r="AV177" i="6"/>
  <c r="AM177" i="6"/>
  <c r="AL177" i="6"/>
  <c r="AI177" i="6"/>
  <c r="AH177" i="6"/>
  <c r="AG177" i="6"/>
  <c r="AF177" i="6"/>
  <c r="W177" i="6"/>
  <c r="V177" i="6"/>
  <c r="S177" i="6"/>
  <c r="R177" i="6"/>
  <c r="Q177" i="6"/>
  <c r="P177" i="6"/>
  <c r="BA176" i="6"/>
  <c r="AZ176" i="6"/>
  <c r="AY176" i="6"/>
  <c r="AX176" i="6"/>
  <c r="AW176" i="6"/>
  <c r="AV176" i="6"/>
  <c r="AM176" i="6"/>
  <c r="AL176" i="6"/>
  <c r="AI176" i="6"/>
  <c r="AH176" i="6"/>
  <c r="AG176" i="6"/>
  <c r="AF176" i="6"/>
  <c r="W176" i="6"/>
  <c r="V176" i="6"/>
  <c r="S176" i="6"/>
  <c r="R176" i="6"/>
  <c r="Q176" i="6"/>
  <c r="P176" i="6"/>
  <c r="BA175" i="6"/>
  <c r="AZ175" i="6"/>
  <c r="AY175" i="6"/>
  <c r="AX175" i="6"/>
  <c r="AW175" i="6"/>
  <c r="AV175" i="6"/>
  <c r="AM175" i="6"/>
  <c r="AL175" i="6"/>
  <c r="AI175" i="6"/>
  <c r="AH175" i="6"/>
  <c r="AG175" i="6"/>
  <c r="AF175" i="6"/>
  <c r="W175" i="6"/>
  <c r="V175" i="6"/>
  <c r="S175" i="6"/>
  <c r="R175" i="6"/>
  <c r="Q175" i="6"/>
  <c r="P175" i="6"/>
  <c r="BA174" i="6"/>
  <c r="AZ174" i="6"/>
  <c r="AY174" i="6"/>
  <c r="AX174" i="6"/>
  <c r="AW174" i="6"/>
  <c r="AV174" i="6"/>
  <c r="AM174" i="6"/>
  <c r="AL174" i="6"/>
  <c r="AI174" i="6"/>
  <c r="AH174" i="6"/>
  <c r="AG174" i="6"/>
  <c r="AF174" i="6"/>
  <c r="W174" i="6"/>
  <c r="V174" i="6"/>
  <c r="S174" i="6"/>
  <c r="R174" i="6"/>
  <c r="Q174" i="6"/>
  <c r="P174" i="6"/>
  <c r="BA173" i="6"/>
  <c r="AZ173" i="6"/>
  <c r="AY173" i="6"/>
  <c r="AX173" i="6"/>
  <c r="AW173" i="6"/>
  <c r="AV173" i="6"/>
  <c r="AM173" i="6"/>
  <c r="AL173" i="6"/>
  <c r="AI173" i="6"/>
  <c r="AH173" i="6"/>
  <c r="AG173" i="6"/>
  <c r="AF173" i="6"/>
  <c r="W173" i="6"/>
  <c r="V173" i="6"/>
  <c r="S173" i="6"/>
  <c r="R173" i="6"/>
  <c r="Q173" i="6"/>
  <c r="P173" i="6"/>
  <c r="BA172" i="6"/>
  <c r="AZ172" i="6"/>
  <c r="AY172" i="6"/>
  <c r="AX172" i="6"/>
  <c r="AW172" i="6"/>
  <c r="AV172" i="6"/>
  <c r="AM172" i="6"/>
  <c r="AL172" i="6"/>
  <c r="AI172" i="6"/>
  <c r="AH172" i="6"/>
  <c r="AG172" i="6"/>
  <c r="AF172" i="6"/>
  <c r="W172" i="6"/>
  <c r="V172" i="6"/>
  <c r="S172" i="6"/>
  <c r="R172" i="6"/>
  <c r="Q172" i="6"/>
  <c r="P172" i="6"/>
  <c r="BA171" i="6"/>
  <c r="AZ171" i="6"/>
  <c r="AY171" i="6"/>
  <c r="AX171" i="6"/>
  <c r="AW171" i="6"/>
  <c r="AV171" i="6"/>
  <c r="AM171" i="6"/>
  <c r="AL171" i="6"/>
  <c r="AI171" i="6"/>
  <c r="AH171" i="6"/>
  <c r="AG171" i="6"/>
  <c r="AF171" i="6"/>
  <c r="W171" i="6"/>
  <c r="V171" i="6"/>
  <c r="S171" i="6"/>
  <c r="R171" i="6"/>
  <c r="Q171" i="6"/>
  <c r="P171" i="6"/>
  <c r="BA170" i="6"/>
  <c r="AZ170" i="6"/>
  <c r="AY170" i="6"/>
  <c r="AX170" i="6"/>
  <c r="AW170" i="6"/>
  <c r="AV170" i="6"/>
  <c r="AM170" i="6"/>
  <c r="AL170" i="6"/>
  <c r="AI170" i="6"/>
  <c r="AH170" i="6"/>
  <c r="AG170" i="6"/>
  <c r="AF170" i="6"/>
  <c r="W170" i="6"/>
  <c r="V170" i="6"/>
  <c r="S170" i="6"/>
  <c r="R170" i="6"/>
  <c r="Q170" i="6"/>
  <c r="P170" i="6"/>
  <c r="BA169" i="6"/>
  <c r="AZ169" i="6"/>
  <c r="AY169" i="6"/>
  <c r="AX169" i="6"/>
  <c r="AW169" i="6"/>
  <c r="AV169" i="6"/>
  <c r="AM169" i="6"/>
  <c r="AL169" i="6"/>
  <c r="AI169" i="6"/>
  <c r="AH169" i="6"/>
  <c r="AG169" i="6"/>
  <c r="AF169" i="6"/>
  <c r="W169" i="6"/>
  <c r="V169" i="6"/>
  <c r="S169" i="6"/>
  <c r="R169" i="6"/>
  <c r="Q169" i="6"/>
  <c r="P169" i="6"/>
  <c r="BA168" i="6"/>
  <c r="AZ168" i="6"/>
  <c r="AY168" i="6"/>
  <c r="AX168" i="6"/>
  <c r="AW168" i="6"/>
  <c r="AV168" i="6"/>
  <c r="AM168" i="6"/>
  <c r="AL168" i="6"/>
  <c r="AI168" i="6"/>
  <c r="AH168" i="6"/>
  <c r="AG168" i="6"/>
  <c r="AF168" i="6"/>
  <c r="W168" i="6"/>
  <c r="V168" i="6"/>
  <c r="S168" i="6"/>
  <c r="R168" i="6"/>
  <c r="Q168" i="6"/>
  <c r="P168" i="6"/>
  <c r="BA167" i="6"/>
  <c r="AZ167" i="6"/>
  <c r="AY167" i="6"/>
  <c r="AX167" i="6"/>
  <c r="AW167" i="6"/>
  <c r="AV167" i="6"/>
  <c r="AM167" i="6"/>
  <c r="AL167" i="6"/>
  <c r="AI167" i="6"/>
  <c r="AH167" i="6"/>
  <c r="AG167" i="6"/>
  <c r="AF167" i="6"/>
  <c r="W167" i="6"/>
  <c r="V167" i="6"/>
  <c r="S167" i="6"/>
  <c r="R167" i="6"/>
  <c r="Q167" i="6"/>
  <c r="P167" i="6"/>
  <c r="BA166" i="6"/>
  <c r="AZ166" i="6"/>
  <c r="AY166" i="6"/>
  <c r="AX166" i="6"/>
  <c r="AW166" i="6"/>
  <c r="AV166" i="6"/>
  <c r="AM166" i="6"/>
  <c r="AL166" i="6"/>
  <c r="AI166" i="6"/>
  <c r="AH166" i="6"/>
  <c r="AG166" i="6"/>
  <c r="AF166" i="6"/>
  <c r="W166" i="6"/>
  <c r="V166" i="6"/>
  <c r="S166" i="6"/>
  <c r="R166" i="6"/>
  <c r="Q166" i="6"/>
  <c r="P166" i="6"/>
  <c r="BA165" i="6"/>
  <c r="AZ165" i="6"/>
  <c r="AY165" i="6"/>
  <c r="AX165" i="6"/>
  <c r="AW165" i="6"/>
  <c r="AV165" i="6"/>
  <c r="AM165" i="6"/>
  <c r="AL165" i="6"/>
  <c r="AI165" i="6"/>
  <c r="AH165" i="6"/>
  <c r="AG165" i="6"/>
  <c r="AF165" i="6"/>
  <c r="W165" i="6"/>
  <c r="V165" i="6"/>
  <c r="S165" i="6"/>
  <c r="R165" i="6"/>
  <c r="Q165" i="6"/>
  <c r="P165" i="6"/>
  <c r="BA164" i="6"/>
  <c r="AZ164" i="6"/>
  <c r="AY164" i="6"/>
  <c r="AX164" i="6"/>
  <c r="AW164" i="6"/>
  <c r="AV164" i="6"/>
  <c r="AM164" i="6"/>
  <c r="AL164" i="6"/>
  <c r="AI164" i="6"/>
  <c r="AH164" i="6"/>
  <c r="AG164" i="6"/>
  <c r="AF164" i="6"/>
  <c r="W164" i="6"/>
  <c r="V164" i="6"/>
  <c r="S164" i="6"/>
  <c r="R164" i="6"/>
  <c r="Q164" i="6"/>
  <c r="P164" i="6"/>
  <c r="BA163" i="6"/>
  <c r="AZ163" i="6"/>
  <c r="AY163" i="6"/>
  <c r="AX163" i="6"/>
  <c r="AW163" i="6"/>
  <c r="AV163" i="6"/>
  <c r="AM163" i="6"/>
  <c r="AL163" i="6"/>
  <c r="AI163" i="6"/>
  <c r="AH163" i="6"/>
  <c r="AG163" i="6"/>
  <c r="AF163" i="6"/>
  <c r="W163" i="6"/>
  <c r="V163" i="6"/>
  <c r="S163" i="6"/>
  <c r="R163" i="6"/>
  <c r="Q163" i="6"/>
  <c r="P163" i="6"/>
  <c r="BA162" i="6"/>
  <c r="AZ162" i="6"/>
  <c r="AY162" i="6"/>
  <c r="AX162" i="6"/>
  <c r="AW162" i="6"/>
  <c r="AV162" i="6"/>
  <c r="AM162" i="6"/>
  <c r="AL162" i="6"/>
  <c r="AI162" i="6"/>
  <c r="AH162" i="6"/>
  <c r="AG162" i="6"/>
  <c r="AF162" i="6"/>
  <c r="W162" i="6"/>
  <c r="V162" i="6"/>
  <c r="S162" i="6"/>
  <c r="R162" i="6"/>
  <c r="Q162" i="6"/>
  <c r="P162" i="6"/>
  <c r="BA161" i="6"/>
  <c r="AZ161" i="6"/>
  <c r="AY161" i="6"/>
  <c r="AX161" i="6"/>
  <c r="AW161" i="6"/>
  <c r="AV161" i="6"/>
  <c r="AM161" i="6"/>
  <c r="AL161" i="6"/>
  <c r="AI161" i="6"/>
  <c r="AH161" i="6"/>
  <c r="AG161" i="6"/>
  <c r="AF161" i="6"/>
  <c r="W161" i="6"/>
  <c r="V161" i="6"/>
  <c r="S161" i="6"/>
  <c r="R161" i="6"/>
  <c r="Q161" i="6"/>
  <c r="P161" i="6"/>
  <c r="BA160" i="6"/>
  <c r="AZ160" i="6"/>
  <c r="AY160" i="6"/>
  <c r="AX160" i="6"/>
  <c r="AW160" i="6"/>
  <c r="AV160" i="6"/>
  <c r="AM160" i="6"/>
  <c r="AL160" i="6"/>
  <c r="AI160" i="6"/>
  <c r="AH160" i="6"/>
  <c r="AG160" i="6"/>
  <c r="AF160" i="6"/>
  <c r="W160" i="6"/>
  <c r="V160" i="6"/>
  <c r="S160" i="6"/>
  <c r="R160" i="6"/>
  <c r="Q160" i="6"/>
  <c r="P160" i="6"/>
  <c r="BA159" i="6"/>
  <c r="AZ159" i="6"/>
  <c r="AY159" i="6"/>
  <c r="AX159" i="6"/>
  <c r="AW159" i="6"/>
  <c r="AV159" i="6"/>
  <c r="AM159" i="6"/>
  <c r="AL159" i="6"/>
  <c r="AI159" i="6"/>
  <c r="AH159" i="6"/>
  <c r="AG159" i="6"/>
  <c r="AF159" i="6"/>
  <c r="W159" i="6"/>
  <c r="V159" i="6"/>
  <c r="S159" i="6"/>
  <c r="R159" i="6"/>
  <c r="Q159" i="6"/>
  <c r="P159" i="6"/>
  <c r="BA158" i="6"/>
  <c r="AZ158" i="6"/>
  <c r="AY158" i="6"/>
  <c r="AX158" i="6"/>
  <c r="AW158" i="6"/>
  <c r="AV158" i="6"/>
  <c r="AM158" i="6"/>
  <c r="AL158" i="6"/>
  <c r="AI158" i="6"/>
  <c r="AH158" i="6"/>
  <c r="AG158" i="6"/>
  <c r="AF158" i="6"/>
  <c r="W158" i="6"/>
  <c r="V158" i="6"/>
  <c r="S158" i="6"/>
  <c r="R158" i="6"/>
  <c r="Q158" i="6"/>
  <c r="P158" i="6"/>
  <c r="BA157" i="6"/>
  <c r="AZ157" i="6"/>
  <c r="AY157" i="6"/>
  <c r="AX157" i="6"/>
  <c r="AW157" i="6"/>
  <c r="AV157" i="6"/>
  <c r="AM157" i="6"/>
  <c r="AL157" i="6"/>
  <c r="AI157" i="6"/>
  <c r="AH157" i="6"/>
  <c r="AG157" i="6"/>
  <c r="AF157" i="6"/>
  <c r="W157" i="6"/>
  <c r="V157" i="6"/>
  <c r="S157" i="6"/>
  <c r="R157" i="6"/>
  <c r="Q157" i="6"/>
  <c r="P157" i="6"/>
  <c r="BA156" i="6"/>
  <c r="AZ156" i="6"/>
  <c r="AY156" i="6"/>
  <c r="AX156" i="6"/>
  <c r="AW156" i="6"/>
  <c r="AV156" i="6"/>
  <c r="AM156" i="6"/>
  <c r="AL156" i="6"/>
  <c r="AI156" i="6"/>
  <c r="AH156" i="6"/>
  <c r="AG156" i="6"/>
  <c r="AF156" i="6"/>
  <c r="W156" i="6"/>
  <c r="V156" i="6"/>
  <c r="S156" i="6"/>
  <c r="R156" i="6"/>
  <c r="Q156" i="6"/>
  <c r="P156" i="6"/>
  <c r="BA155" i="6"/>
  <c r="AZ155" i="6"/>
  <c r="AY155" i="6"/>
  <c r="AX155" i="6"/>
  <c r="AW155" i="6"/>
  <c r="AV155" i="6"/>
  <c r="AM155" i="6"/>
  <c r="AL155" i="6"/>
  <c r="AI155" i="6"/>
  <c r="AH155" i="6"/>
  <c r="AG155" i="6"/>
  <c r="AF155" i="6"/>
  <c r="W155" i="6"/>
  <c r="V155" i="6"/>
  <c r="S155" i="6"/>
  <c r="R155" i="6"/>
  <c r="Q155" i="6"/>
  <c r="P155" i="6"/>
  <c r="BA154" i="6"/>
  <c r="AZ154" i="6"/>
  <c r="AY154" i="6"/>
  <c r="AX154" i="6"/>
  <c r="AW154" i="6"/>
  <c r="AV154" i="6"/>
  <c r="AM154" i="6"/>
  <c r="AL154" i="6"/>
  <c r="AI154" i="6"/>
  <c r="AH154" i="6"/>
  <c r="AG154" i="6"/>
  <c r="AF154" i="6"/>
  <c r="W154" i="6"/>
  <c r="V154" i="6"/>
  <c r="S154" i="6"/>
  <c r="R154" i="6"/>
  <c r="Q154" i="6"/>
  <c r="P154" i="6"/>
  <c r="BA153" i="6"/>
  <c r="AZ153" i="6"/>
  <c r="AY153" i="6"/>
  <c r="AX153" i="6"/>
  <c r="AW153" i="6"/>
  <c r="AV153" i="6"/>
  <c r="AM153" i="6"/>
  <c r="AL153" i="6"/>
  <c r="AI153" i="6"/>
  <c r="AH153" i="6"/>
  <c r="AG153" i="6"/>
  <c r="AF153" i="6"/>
  <c r="W153" i="6"/>
  <c r="V153" i="6"/>
  <c r="S153" i="6"/>
  <c r="R153" i="6"/>
  <c r="Q153" i="6"/>
  <c r="P153" i="6"/>
  <c r="BA152" i="6"/>
  <c r="AZ152" i="6"/>
  <c r="AY152" i="6"/>
  <c r="AX152" i="6"/>
  <c r="AW152" i="6"/>
  <c r="AV152" i="6"/>
  <c r="AM152" i="6"/>
  <c r="AL152" i="6"/>
  <c r="AI152" i="6"/>
  <c r="AH152" i="6"/>
  <c r="AG152" i="6"/>
  <c r="AF152" i="6"/>
  <c r="W152" i="6"/>
  <c r="V152" i="6"/>
  <c r="S152" i="6"/>
  <c r="R152" i="6"/>
  <c r="Q152" i="6"/>
  <c r="P152" i="6"/>
  <c r="BA151" i="6"/>
  <c r="AZ151" i="6"/>
  <c r="AY151" i="6"/>
  <c r="AX151" i="6"/>
  <c r="AW151" i="6"/>
  <c r="AV151" i="6"/>
  <c r="AM151" i="6"/>
  <c r="AL151" i="6"/>
  <c r="AI151" i="6"/>
  <c r="AH151" i="6"/>
  <c r="AG151" i="6"/>
  <c r="AF151" i="6"/>
  <c r="W151" i="6"/>
  <c r="V151" i="6"/>
  <c r="S151" i="6"/>
  <c r="R151" i="6"/>
  <c r="Q151" i="6"/>
  <c r="P151" i="6"/>
  <c r="BA150" i="6"/>
  <c r="AZ150" i="6"/>
  <c r="AY150" i="6"/>
  <c r="AX150" i="6"/>
  <c r="AW150" i="6"/>
  <c r="AV150" i="6"/>
  <c r="AM150" i="6"/>
  <c r="AL150" i="6"/>
  <c r="AI150" i="6"/>
  <c r="AH150" i="6"/>
  <c r="AG150" i="6"/>
  <c r="AF150" i="6"/>
  <c r="W150" i="6"/>
  <c r="V150" i="6"/>
  <c r="S150" i="6"/>
  <c r="R150" i="6"/>
  <c r="Q150" i="6"/>
  <c r="P150" i="6"/>
  <c r="BA149" i="6"/>
  <c r="AZ149" i="6"/>
  <c r="AY149" i="6"/>
  <c r="AX149" i="6"/>
  <c r="AW149" i="6"/>
  <c r="AV149" i="6"/>
  <c r="AM149" i="6"/>
  <c r="AL149" i="6"/>
  <c r="AI149" i="6"/>
  <c r="AH149" i="6"/>
  <c r="AG149" i="6"/>
  <c r="AF149" i="6"/>
  <c r="W149" i="6"/>
  <c r="V149" i="6"/>
  <c r="S149" i="6"/>
  <c r="R149" i="6"/>
  <c r="Q149" i="6"/>
  <c r="P149" i="6"/>
  <c r="BA148" i="6"/>
  <c r="AZ148" i="6"/>
  <c r="AY148" i="6"/>
  <c r="AX148" i="6"/>
  <c r="AW148" i="6"/>
  <c r="AV148" i="6"/>
  <c r="AM148" i="6"/>
  <c r="AL148" i="6"/>
  <c r="AI148" i="6"/>
  <c r="AH148" i="6"/>
  <c r="AG148" i="6"/>
  <c r="AF148" i="6"/>
  <c r="W148" i="6"/>
  <c r="V148" i="6"/>
  <c r="S148" i="6"/>
  <c r="R148" i="6"/>
  <c r="Q148" i="6"/>
  <c r="P148" i="6"/>
  <c r="BA147" i="6"/>
  <c r="AZ147" i="6"/>
  <c r="AY147" i="6"/>
  <c r="AX147" i="6"/>
  <c r="AW147" i="6"/>
  <c r="AV147" i="6"/>
  <c r="AM147" i="6"/>
  <c r="AL147" i="6"/>
  <c r="AI147" i="6"/>
  <c r="AH147" i="6"/>
  <c r="AG147" i="6"/>
  <c r="AF147" i="6"/>
  <c r="W147" i="6"/>
  <c r="V147" i="6"/>
  <c r="S147" i="6"/>
  <c r="R147" i="6"/>
  <c r="Q147" i="6"/>
  <c r="P147" i="6"/>
  <c r="BA146" i="6"/>
  <c r="AZ146" i="6"/>
  <c r="AY146" i="6"/>
  <c r="AX146" i="6"/>
  <c r="AW146" i="6"/>
  <c r="AV146" i="6"/>
  <c r="AM146" i="6"/>
  <c r="AL146" i="6"/>
  <c r="AI146" i="6"/>
  <c r="AH146" i="6"/>
  <c r="AG146" i="6"/>
  <c r="AF146" i="6"/>
  <c r="W146" i="6"/>
  <c r="V146" i="6"/>
  <c r="S146" i="6"/>
  <c r="R146" i="6"/>
  <c r="Q146" i="6"/>
  <c r="P146" i="6"/>
  <c r="BA145" i="6"/>
  <c r="AZ145" i="6"/>
  <c r="AY145" i="6"/>
  <c r="AX145" i="6"/>
  <c r="AW145" i="6"/>
  <c r="AV145" i="6"/>
  <c r="AM145" i="6"/>
  <c r="AL145" i="6"/>
  <c r="AI145" i="6"/>
  <c r="AH145" i="6"/>
  <c r="AG145" i="6"/>
  <c r="AF145" i="6"/>
  <c r="W145" i="6"/>
  <c r="V145" i="6"/>
  <c r="S145" i="6"/>
  <c r="R145" i="6"/>
  <c r="Q145" i="6"/>
  <c r="P145" i="6"/>
  <c r="BA144" i="6"/>
  <c r="AZ144" i="6"/>
  <c r="AY144" i="6"/>
  <c r="AX144" i="6"/>
  <c r="AW144" i="6"/>
  <c r="AV144" i="6"/>
  <c r="AM144" i="6"/>
  <c r="AL144" i="6"/>
  <c r="AI144" i="6"/>
  <c r="AH144" i="6"/>
  <c r="AG144" i="6"/>
  <c r="AF144" i="6"/>
  <c r="W144" i="6"/>
  <c r="V144" i="6"/>
  <c r="S144" i="6"/>
  <c r="R144" i="6"/>
  <c r="Q144" i="6"/>
  <c r="P144" i="6"/>
  <c r="BA143" i="6"/>
  <c r="AZ143" i="6"/>
  <c r="AY143" i="6"/>
  <c r="AX143" i="6"/>
  <c r="AW143" i="6"/>
  <c r="AV143" i="6"/>
  <c r="AM143" i="6"/>
  <c r="AL143" i="6"/>
  <c r="AI143" i="6"/>
  <c r="AH143" i="6"/>
  <c r="AG143" i="6"/>
  <c r="AF143" i="6"/>
  <c r="W143" i="6"/>
  <c r="V143" i="6"/>
  <c r="S143" i="6"/>
  <c r="R143" i="6"/>
  <c r="Q143" i="6"/>
  <c r="P143" i="6"/>
  <c r="BA142" i="6"/>
  <c r="AZ142" i="6"/>
  <c r="AY142" i="6"/>
  <c r="AX142" i="6"/>
  <c r="AW142" i="6"/>
  <c r="AV142" i="6"/>
  <c r="AM142" i="6"/>
  <c r="AL142" i="6"/>
  <c r="AI142" i="6"/>
  <c r="AH142" i="6"/>
  <c r="AG142" i="6"/>
  <c r="AF142" i="6"/>
  <c r="W142" i="6"/>
  <c r="V142" i="6"/>
  <c r="S142" i="6"/>
  <c r="R142" i="6"/>
  <c r="Q142" i="6"/>
  <c r="P142" i="6"/>
  <c r="BA141" i="6"/>
  <c r="AZ141" i="6"/>
  <c r="AY141" i="6"/>
  <c r="AX141" i="6"/>
  <c r="AW141" i="6"/>
  <c r="AV141" i="6"/>
  <c r="AM141" i="6"/>
  <c r="AL141" i="6"/>
  <c r="AI141" i="6"/>
  <c r="AH141" i="6"/>
  <c r="AG141" i="6"/>
  <c r="AF141" i="6"/>
  <c r="W141" i="6"/>
  <c r="V141" i="6"/>
  <c r="S141" i="6"/>
  <c r="R141" i="6"/>
  <c r="Q141" i="6"/>
  <c r="P141" i="6"/>
  <c r="BA140" i="6"/>
  <c r="AZ140" i="6"/>
  <c r="AY140" i="6"/>
  <c r="AX140" i="6"/>
  <c r="AW140" i="6"/>
  <c r="AV140" i="6"/>
  <c r="AM140" i="6"/>
  <c r="AL140" i="6"/>
  <c r="AI140" i="6"/>
  <c r="AH140" i="6"/>
  <c r="AG140" i="6"/>
  <c r="AF140" i="6"/>
  <c r="W140" i="6"/>
  <c r="V140" i="6"/>
  <c r="S140" i="6"/>
  <c r="R140" i="6"/>
  <c r="Q140" i="6"/>
  <c r="P140" i="6"/>
  <c r="BA139" i="6"/>
  <c r="AZ139" i="6"/>
  <c r="AY139" i="6"/>
  <c r="AX139" i="6"/>
  <c r="AW139" i="6"/>
  <c r="AV139" i="6"/>
  <c r="AM139" i="6"/>
  <c r="AL139" i="6"/>
  <c r="AI139" i="6"/>
  <c r="AH139" i="6"/>
  <c r="AG139" i="6"/>
  <c r="AF139" i="6"/>
  <c r="W139" i="6"/>
  <c r="V139" i="6"/>
  <c r="S139" i="6"/>
  <c r="R139" i="6"/>
  <c r="Q139" i="6"/>
  <c r="P139" i="6"/>
  <c r="BA138" i="6"/>
  <c r="AZ138" i="6"/>
  <c r="AY138" i="6"/>
  <c r="AX138" i="6"/>
  <c r="AW138" i="6"/>
  <c r="AV138" i="6"/>
  <c r="AM138" i="6"/>
  <c r="AL138" i="6"/>
  <c r="AI138" i="6"/>
  <c r="AH138" i="6"/>
  <c r="AG138" i="6"/>
  <c r="AF138" i="6"/>
  <c r="W138" i="6"/>
  <c r="V138" i="6"/>
  <c r="S138" i="6"/>
  <c r="R138" i="6"/>
  <c r="Q138" i="6"/>
  <c r="P138" i="6"/>
  <c r="BA137" i="6"/>
  <c r="AZ137" i="6"/>
  <c r="AY137" i="6"/>
  <c r="AX137" i="6"/>
  <c r="AW137" i="6"/>
  <c r="AV137" i="6"/>
  <c r="AM137" i="6"/>
  <c r="AL137" i="6"/>
  <c r="AI137" i="6"/>
  <c r="AH137" i="6"/>
  <c r="AG137" i="6"/>
  <c r="AF137" i="6"/>
  <c r="W137" i="6"/>
  <c r="V137" i="6"/>
  <c r="S137" i="6"/>
  <c r="R137" i="6"/>
  <c r="Q137" i="6"/>
  <c r="P137" i="6"/>
  <c r="BA136" i="6"/>
  <c r="AZ136" i="6"/>
  <c r="AY136" i="6"/>
  <c r="AX136" i="6"/>
  <c r="AW136" i="6"/>
  <c r="AV136" i="6"/>
  <c r="AM136" i="6"/>
  <c r="AL136" i="6"/>
  <c r="AI136" i="6"/>
  <c r="AH136" i="6"/>
  <c r="AG136" i="6"/>
  <c r="AF136" i="6"/>
  <c r="W136" i="6"/>
  <c r="V136" i="6"/>
  <c r="S136" i="6"/>
  <c r="R136" i="6"/>
  <c r="Q136" i="6"/>
  <c r="P136" i="6"/>
  <c r="BA135" i="6"/>
  <c r="AZ135" i="6"/>
  <c r="AY135" i="6"/>
  <c r="AX135" i="6"/>
  <c r="AW135" i="6"/>
  <c r="AV135" i="6"/>
  <c r="AM135" i="6"/>
  <c r="AL135" i="6"/>
  <c r="AI135" i="6"/>
  <c r="AH135" i="6"/>
  <c r="AG135" i="6"/>
  <c r="AF135" i="6"/>
  <c r="W135" i="6"/>
  <c r="V135" i="6"/>
  <c r="S135" i="6"/>
  <c r="R135" i="6"/>
  <c r="Q135" i="6"/>
  <c r="P135" i="6"/>
  <c r="BA134" i="6"/>
  <c r="AZ134" i="6"/>
  <c r="AY134" i="6"/>
  <c r="AX134" i="6"/>
  <c r="AW134" i="6"/>
  <c r="AV134" i="6"/>
  <c r="AM134" i="6"/>
  <c r="AL134" i="6"/>
  <c r="AI134" i="6"/>
  <c r="AH134" i="6"/>
  <c r="AG134" i="6"/>
  <c r="AF134" i="6"/>
  <c r="W134" i="6"/>
  <c r="V134" i="6"/>
  <c r="S134" i="6"/>
  <c r="R134" i="6"/>
  <c r="Q134" i="6"/>
  <c r="P134" i="6"/>
  <c r="BA133" i="6"/>
  <c r="AZ133" i="6"/>
  <c r="AY133" i="6"/>
  <c r="AX133" i="6"/>
  <c r="AW133" i="6"/>
  <c r="AV133" i="6"/>
  <c r="AM133" i="6"/>
  <c r="AL133" i="6"/>
  <c r="AI133" i="6"/>
  <c r="AH133" i="6"/>
  <c r="AG133" i="6"/>
  <c r="AF133" i="6"/>
  <c r="W133" i="6"/>
  <c r="V133" i="6"/>
  <c r="S133" i="6"/>
  <c r="R133" i="6"/>
  <c r="Q133" i="6"/>
  <c r="P133" i="6"/>
  <c r="BA132" i="6"/>
  <c r="AZ132" i="6"/>
  <c r="AY132" i="6"/>
  <c r="AX132" i="6"/>
  <c r="AW132" i="6"/>
  <c r="AV132" i="6"/>
  <c r="AM132" i="6"/>
  <c r="AL132" i="6"/>
  <c r="AI132" i="6"/>
  <c r="AH132" i="6"/>
  <c r="AG132" i="6"/>
  <c r="AF132" i="6"/>
  <c r="W132" i="6"/>
  <c r="V132" i="6"/>
  <c r="S132" i="6"/>
  <c r="R132" i="6"/>
  <c r="Q132" i="6"/>
  <c r="P132" i="6"/>
  <c r="BA131" i="6"/>
  <c r="AZ131" i="6"/>
  <c r="AY131" i="6"/>
  <c r="AX131" i="6"/>
  <c r="AW131" i="6"/>
  <c r="AV131" i="6"/>
  <c r="AM131" i="6"/>
  <c r="AL131" i="6"/>
  <c r="AI131" i="6"/>
  <c r="AH131" i="6"/>
  <c r="AG131" i="6"/>
  <c r="AF131" i="6"/>
  <c r="W131" i="6"/>
  <c r="V131" i="6"/>
  <c r="S131" i="6"/>
  <c r="R131" i="6"/>
  <c r="Q131" i="6"/>
  <c r="P131" i="6"/>
  <c r="BA130" i="6"/>
  <c r="AZ130" i="6"/>
  <c r="AY130" i="6"/>
  <c r="AX130" i="6"/>
  <c r="AW130" i="6"/>
  <c r="AV130" i="6"/>
  <c r="AM130" i="6"/>
  <c r="AL130" i="6"/>
  <c r="AI130" i="6"/>
  <c r="AH130" i="6"/>
  <c r="AG130" i="6"/>
  <c r="AF130" i="6"/>
  <c r="W130" i="6"/>
  <c r="V130" i="6"/>
  <c r="S130" i="6"/>
  <c r="R130" i="6"/>
  <c r="Q130" i="6"/>
  <c r="P130" i="6"/>
  <c r="BA129" i="6"/>
  <c r="AZ129" i="6"/>
  <c r="AY129" i="6"/>
  <c r="AX129" i="6"/>
  <c r="AW129" i="6"/>
  <c r="AV129" i="6"/>
  <c r="AM129" i="6"/>
  <c r="AL129" i="6"/>
  <c r="AI129" i="6"/>
  <c r="AH129" i="6"/>
  <c r="AG129" i="6"/>
  <c r="AF129" i="6"/>
  <c r="W129" i="6"/>
  <c r="V129" i="6"/>
  <c r="S129" i="6"/>
  <c r="R129" i="6"/>
  <c r="Q129" i="6"/>
  <c r="P129" i="6"/>
  <c r="BA128" i="6"/>
  <c r="AZ128" i="6"/>
  <c r="AY128" i="6"/>
  <c r="AX128" i="6"/>
  <c r="AW128" i="6"/>
  <c r="AV128" i="6"/>
  <c r="AM128" i="6"/>
  <c r="AL128" i="6"/>
  <c r="AI128" i="6"/>
  <c r="AH128" i="6"/>
  <c r="AG128" i="6"/>
  <c r="AF128" i="6"/>
  <c r="W128" i="6"/>
  <c r="V128" i="6"/>
  <c r="S128" i="6"/>
  <c r="R128" i="6"/>
  <c r="Q128" i="6"/>
  <c r="P128" i="6"/>
  <c r="BA127" i="6"/>
  <c r="AZ127" i="6"/>
  <c r="AY127" i="6"/>
  <c r="AX127" i="6"/>
  <c r="AW127" i="6"/>
  <c r="AV127" i="6"/>
  <c r="AM127" i="6"/>
  <c r="AL127" i="6"/>
  <c r="AI127" i="6"/>
  <c r="AH127" i="6"/>
  <c r="AG127" i="6"/>
  <c r="AF127" i="6"/>
  <c r="W127" i="6"/>
  <c r="V127" i="6"/>
  <c r="S127" i="6"/>
  <c r="R127" i="6"/>
  <c r="Q127" i="6"/>
  <c r="P127" i="6"/>
  <c r="BA126" i="6"/>
  <c r="AZ126" i="6"/>
  <c r="AY126" i="6"/>
  <c r="AX126" i="6"/>
  <c r="AW126" i="6"/>
  <c r="AV126" i="6"/>
  <c r="AM126" i="6"/>
  <c r="AL126" i="6"/>
  <c r="AI126" i="6"/>
  <c r="AH126" i="6"/>
  <c r="AG126" i="6"/>
  <c r="AF126" i="6"/>
  <c r="W126" i="6"/>
  <c r="V126" i="6"/>
  <c r="S126" i="6"/>
  <c r="R126" i="6"/>
  <c r="Q126" i="6"/>
  <c r="P126" i="6"/>
  <c r="BA125" i="6"/>
  <c r="AZ125" i="6"/>
  <c r="AY125" i="6"/>
  <c r="AX125" i="6"/>
  <c r="AW125" i="6"/>
  <c r="AV125" i="6"/>
  <c r="AM125" i="6"/>
  <c r="AL125" i="6"/>
  <c r="AI125" i="6"/>
  <c r="AH125" i="6"/>
  <c r="AG125" i="6"/>
  <c r="AF125" i="6"/>
  <c r="W125" i="6"/>
  <c r="V125" i="6"/>
  <c r="S125" i="6"/>
  <c r="R125" i="6"/>
  <c r="Q125" i="6"/>
  <c r="P125" i="6"/>
  <c r="BA124" i="6"/>
  <c r="AZ124" i="6"/>
  <c r="AY124" i="6"/>
  <c r="AX124" i="6"/>
  <c r="AW124" i="6"/>
  <c r="AV124" i="6"/>
  <c r="AM124" i="6"/>
  <c r="AL124" i="6"/>
  <c r="AI124" i="6"/>
  <c r="AH124" i="6"/>
  <c r="AG124" i="6"/>
  <c r="AF124" i="6"/>
  <c r="W124" i="6"/>
  <c r="V124" i="6"/>
  <c r="S124" i="6"/>
  <c r="R124" i="6"/>
  <c r="Q124" i="6"/>
  <c r="P124" i="6"/>
  <c r="BA123" i="6"/>
  <c r="AZ123" i="6"/>
  <c r="AY123" i="6"/>
  <c r="AX123" i="6"/>
  <c r="AW123" i="6"/>
  <c r="AV123" i="6"/>
  <c r="AM123" i="6"/>
  <c r="AL123" i="6"/>
  <c r="AI123" i="6"/>
  <c r="AH123" i="6"/>
  <c r="AG123" i="6"/>
  <c r="AF123" i="6"/>
  <c r="W123" i="6"/>
  <c r="V123" i="6"/>
  <c r="S123" i="6"/>
  <c r="R123" i="6"/>
  <c r="Q123" i="6"/>
  <c r="P123" i="6"/>
  <c r="BA122" i="6"/>
  <c r="AZ122" i="6"/>
  <c r="AY122" i="6"/>
  <c r="AX122" i="6"/>
  <c r="AW122" i="6"/>
  <c r="AV122" i="6"/>
  <c r="AM122" i="6"/>
  <c r="AL122" i="6"/>
  <c r="AI122" i="6"/>
  <c r="AH122" i="6"/>
  <c r="AG122" i="6"/>
  <c r="AF122" i="6"/>
  <c r="W122" i="6"/>
  <c r="V122" i="6"/>
  <c r="S122" i="6"/>
  <c r="R122" i="6"/>
  <c r="Q122" i="6"/>
  <c r="P122" i="6"/>
  <c r="BA121" i="6"/>
  <c r="AZ121" i="6"/>
  <c r="AY121" i="6"/>
  <c r="AX121" i="6"/>
  <c r="AW121" i="6"/>
  <c r="AV121" i="6"/>
  <c r="AM121" i="6"/>
  <c r="AL121" i="6"/>
  <c r="AI121" i="6"/>
  <c r="AH121" i="6"/>
  <c r="AG121" i="6"/>
  <c r="AF121" i="6"/>
  <c r="W121" i="6"/>
  <c r="V121" i="6"/>
  <c r="S121" i="6"/>
  <c r="R121" i="6"/>
  <c r="Q121" i="6"/>
  <c r="P121" i="6"/>
  <c r="BA120" i="6"/>
  <c r="AZ120" i="6"/>
  <c r="AY120" i="6"/>
  <c r="AX120" i="6"/>
  <c r="AW120" i="6"/>
  <c r="AV120" i="6"/>
  <c r="AM120" i="6"/>
  <c r="AL120" i="6"/>
  <c r="AI120" i="6"/>
  <c r="AH120" i="6"/>
  <c r="AG120" i="6"/>
  <c r="AF120" i="6"/>
  <c r="W120" i="6"/>
  <c r="V120" i="6"/>
  <c r="S120" i="6"/>
  <c r="R120" i="6"/>
  <c r="Q120" i="6"/>
  <c r="P120" i="6"/>
  <c r="BA119" i="6"/>
  <c r="AZ119" i="6"/>
  <c r="AY119" i="6"/>
  <c r="AX119" i="6"/>
  <c r="AW119" i="6"/>
  <c r="AV119" i="6"/>
  <c r="AM119" i="6"/>
  <c r="AL119" i="6"/>
  <c r="AI119" i="6"/>
  <c r="AH119" i="6"/>
  <c r="AG119" i="6"/>
  <c r="AF119" i="6"/>
  <c r="W119" i="6"/>
  <c r="V119" i="6"/>
  <c r="S119" i="6"/>
  <c r="R119" i="6"/>
  <c r="Q119" i="6"/>
  <c r="P119" i="6"/>
  <c r="BA118" i="6"/>
  <c r="AZ118" i="6"/>
  <c r="AY118" i="6"/>
  <c r="AX118" i="6"/>
  <c r="AW118" i="6"/>
  <c r="AV118" i="6"/>
  <c r="AM118" i="6"/>
  <c r="AL118" i="6"/>
  <c r="AI118" i="6"/>
  <c r="AH118" i="6"/>
  <c r="AG118" i="6"/>
  <c r="AF118" i="6"/>
  <c r="W118" i="6"/>
  <c r="V118" i="6"/>
  <c r="S118" i="6"/>
  <c r="R118" i="6"/>
  <c r="Q118" i="6"/>
  <c r="P118" i="6"/>
  <c r="BA117" i="6"/>
  <c r="AZ117" i="6"/>
  <c r="AY117" i="6"/>
  <c r="AX117" i="6"/>
  <c r="AW117" i="6"/>
  <c r="AV117" i="6"/>
  <c r="AM117" i="6"/>
  <c r="AL117" i="6"/>
  <c r="AI117" i="6"/>
  <c r="AH117" i="6"/>
  <c r="AG117" i="6"/>
  <c r="AF117" i="6"/>
  <c r="W117" i="6"/>
  <c r="V117" i="6"/>
  <c r="S117" i="6"/>
  <c r="R117" i="6"/>
  <c r="Q117" i="6"/>
  <c r="P117" i="6"/>
  <c r="BA116" i="6"/>
  <c r="AZ116" i="6"/>
  <c r="AY116" i="6"/>
  <c r="AX116" i="6"/>
  <c r="AW116" i="6"/>
  <c r="AV116" i="6"/>
  <c r="AM116" i="6"/>
  <c r="AL116" i="6"/>
  <c r="AI116" i="6"/>
  <c r="AH116" i="6"/>
  <c r="AG116" i="6"/>
  <c r="AF116" i="6"/>
  <c r="W116" i="6"/>
  <c r="V116" i="6"/>
  <c r="S116" i="6"/>
  <c r="R116" i="6"/>
  <c r="Q116" i="6"/>
  <c r="P116" i="6"/>
  <c r="BA115" i="6"/>
  <c r="AZ115" i="6"/>
  <c r="AY115" i="6"/>
  <c r="AX115" i="6"/>
  <c r="AW115" i="6"/>
  <c r="AV115" i="6"/>
  <c r="AM115" i="6"/>
  <c r="AL115" i="6"/>
  <c r="AI115" i="6"/>
  <c r="AH115" i="6"/>
  <c r="AG115" i="6"/>
  <c r="AF115" i="6"/>
  <c r="W115" i="6"/>
  <c r="V115" i="6"/>
  <c r="S115" i="6"/>
  <c r="R115" i="6"/>
  <c r="Q115" i="6"/>
  <c r="P115" i="6"/>
  <c r="BA114" i="6"/>
  <c r="AZ114" i="6"/>
  <c r="AY114" i="6"/>
  <c r="AX114" i="6"/>
  <c r="AW114" i="6"/>
  <c r="AV114" i="6"/>
  <c r="AM114" i="6"/>
  <c r="AL114" i="6"/>
  <c r="AI114" i="6"/>
  <c r="AH114" i="6"/>
  <c r="AG114" i="6"/>
  <c r="AF114" i="6"/>
  <c r="W114" i="6"/>
  <c r="V114" i="6"/>
  <c r="S114" i="6"/>
  <c r="R114" i="6"/>
  <c r="Q114" i="6"/>
  <c r="P114" i="6"/>
  <c r="BA113" i="6"/>
  <c r="AZ113" i="6"/>
  <c r="AY113" i="6"/>
  <c r="AX113" i="6"/>
  <c r="AW113" i="6"/>
  <c r="AV113" i="6"/>
  <c r="AM113" i="6"/>
  <c r="AL113" i="6"/>
  <c r="AI113" i="6"/>
  <c r="AH113" i="6"/>
  <c r="AG113" i="6"/>
  <c r="AF113" i="6"/>
  <c r="W113" i="6"/>
  <c r="V113" i="6"/>
  <c r="S113" i="6"/>
  <c r="R113" i="6"/>
  <c r="Q113" i="6"/>
  <c r="P113" i="6"/>
  <c r="BA112" i="6"/>
  <c r="AZ112" i="6"/>
  <c r="AY112" i="6"/>
  <c r="AX112" i="6"/>
  <c r="AW112" i="6"/>
  <c r="AV112" i="6"/>
  <c r="AM112" i="6"/>
  <c r="AL112" i="6"/>
  <c r="AI112" i="6"/>
  <c r="AH112" i="6"/>
  <c r="AG112" i="6"/>
  <c r="AF112" i="6"/>
  <c r="W112" i="6"/>
  <c r="V112" i="6"/>
  <c r="S112" i="6"/>
  <c r="R112" i="6"/>
  <c r="Q112" i="6"/>
  <c r="P112" i="6"/>
  <c r="BA111" i="6"/>
  <c r="AZ111" i="6"/>
  <c r="AY111" i="6"/>
  <c r="AX111" i="6"/>
  <c r="AW111" i="6"/>
  <c r="AV111" i="6"/>
  <c r="AM111" i="6"/>
  <c r="AL111" i="6"/>
  <c r="AI111" i="6"/>
  <c r="AH111" i="6"/>
  <c r="AG111" i="6"/>
  <c r="AF111" i="6"/>
  <c r="W111" i="6"/>
  <c r="V111" i="6"/>
  <c r="S111" i="6"/>
  <c r="R111" i="6"/>
  <c r="Q111" i="6"/>
  <c r="P111" i="6"/>
  <c r="BA110" i="6"/>
  <c r="AZ110" i="6"/>
  <c r="AY110" i="6"/>
  <c r="AX110" i="6"/>
  <c r="AW110" i="6"/>
  <c r="AV110" i="6"/>
  <c r="AM110" i="6"/>
  <c r="AL110" i="6"/>
  <c r="AI110" i="6"/>
  <c r="AH110" i="6"/>
  <c r="AG110" i="6"/>
  <c r="AF110" i="6"/>
  <c r="W110" i="6"/>
  <c r="V110" i="6"/>
  <c r="S110" i="6"/>
  <c r="R110" i="6"/>
  <c r="Q110" i="6"/>
  <c r="P110" i="6"/>
  <c r="BA109" i="6"/>
  <c r="AZ109" i="6"/>
  <c r="AY109" i="6"/>
  <c r="AX109" i="6"/>
  <c r="AW109" i="6"/>
  <c r="AV109" i="6"/>
  <c r="AM109" i="6"/>
  <c r="AL109" i="6"/>
  <c r="AI109" i="6"/>
  <c r="AH109" i="6"/>
  <c r="AG109" i="6"/>
  <c r="AF109" i="6"/>
  <c r="W109" i="6"/>
  <c r="V109" i="6"/>
  <c r="S109" i="6"/>
  <c r="R109" i="6"/>
  <c r="Q109" i="6"/>
  <c r="P109" i="6"/>
  <c r="BA108" i="6"/>
  <c r="AZ108" i="6"/>
  <c r="AY108" i="6"/>
  <c r="AX108" i="6"/>
  <c r="AW108" i="6"/>
  <c r="AV108" i="6"/>
  <c r="AM108" i="6"/>
  <c r="AL108" i="6"/>
  <c r="AI108" i="6"/>
  <c r="AH108" i="6"/>
  <c r="AG108" i="6"/>
  <c r="AF108" i="6"/>
  <c r="W108" i="6"/>
  <c r="V108" i="6"/>
  <c r="S108" i="6"/>
  <c r="R108" i="6"/>
  <c r="Q108" i="6"/>
  <c r="P108" i="6"/>
  <c r="BA107" i="6"/>
  <c r="AZ107" i="6"/>
  <c r="AY107" i="6"/>
  <c r="AX107" i="6"/>
  <c r="AW107" i="6"/>
  <c r="AV107" i="6"/>
  <c r="AM107" i="6"/>
  <c r="AL107" i="6"/>
  <c r="AI107" i="6"/>
  <c r="AH107" i="6"/>
  <c r="AG107" i="6"/>
  <c r="AF107" i="6"/>
  <c r="W107" i="6"/>
  <c r="V107" i="6"/>
  <c r="S107" i="6"/>
  <c r="R107" i="6"/>
  <c r="Q107" i="6"/>
  <c r="P107" i="6"/>
  <c r="BA106" i="6"/>
  <c r="AZ106" i="6"/>
  <c r="AY106" i="6"/>
  <c r="AX106" i="6"/>
  <c r="AW106" i="6"/>
  <c r="AV106" i="6"/>
  <c r="AM106" i="6"/>
  <c r="AL106" i="6"/>
  <c r="AI106" i="6"/>
  <c r="AH106" i="6"/>
  <c r="AG106" i="6"/>
  <c r="AF106" i="6"/>
  <c r="W106" i="6"/>
  <c r="V106" i="6"/>
  <c r="S106" i="6"/>
  <c r="R106" i="6"/>
  <c r="Q106" i="6"/>
  <c r="P106" i="6"/>
  <c r="BA105" i="6"/>
  <c r="AZ105" i="6"/>
  <c r="AY105" i="6"/>
  <c r="AX105" i="6"/>
  <c r="AW105" i="6"/>
  <c r="AV105" i="6"/>
  <c r="AM105" i="6"/>
  <c r="AL105" i="6"/>
  <c r="AI105" i="6"/>
  <c r="AH105" i="6"/>
  <c r="AG105" i="6"/>
  <c r="AF105" i="6"/>
  <c r="W105" i="6"/>
  <c r="V105" i="6"/>
  <c r="S105" i="6"/>
  <c r="R105" i="6"/>
  <c r="Q105" i="6"/>
  <c r="P105" i="6"/>
  <c r="BA104" i="6"/>
  <c r="AZ104" i="6"/>
  <c r="AY104" i="6"/>
  <c r="AX104" i="6"/>
  <c r="AW104" i="6"/>
  <c r="AV104" i="6"/>
  <c r="AM104" i="6"/>
  <c r="AL104" i="6"/>
  <c r="AI104" i="6"/>
  <c r="AH104" i="6"/>
  <c r="AG104" i="6"/>
  <c r="AF104" i="6"/>
  <c r="W104" i="6"/>
  <c r="V104" i="6"/>
  <c r="S104" i="6"/>
  <c r="R104" i="6"/>
  <c r="Q104" i="6"/>
  <c r="P104" i="6"/>
  <c r="BA103" i="6"/>
  <c r="AZ103" i="6"/>
  <c r="AY103" i="6"/>
  <c r="AX103" i="6"/>
  <c r="AW103" i="6"/>
  <c r="AV103" i="6"/>
  <c r="AM103" i="6"/>
  <c r="AL103" i="6"/>
  <c r="AI103" i="6"/>
  <c r="AH103" i="6"/>
  <c r="AG103" i="6"/>
  <c r="AF103" i="6"/>
  <c r="W103" i="6"/>
  <c r="V103" i="6"/>
  <c r="S103" i="6"/>
  <c r="R103" i="6"/>
  <c r="Q103" i="6"/>
  <c r="P103" i="6"/>
  <c r="BA102" i="6"/>
  <c r="AZ102" i="6"/>
  <c r="AY102" i="6"/>
  <c r="AX102" i="6"/>
  <c r="AW102" i="6"/>
  <c r="AV102" i="6"/>
  <c r="AM102" i="6"/>
  <c r="AL102" i="6"/>
  <c r="AI102" i="6"/>
  <c r="AH102" i="6"/>
  <c r="AG102" i="6"/>
  <c r="AF102" i="6"/>
  <c r="W102" i="6"/>
  <c r="V102" i="6"/>
  <c r="S102" i="6"/>
  <c r="R102" i="6"/>
  <c r="Q102" i="6"/>
  <c r="P102" i="6"/>
  <c r="BA101" i="6"/>
  <c r="AZ101" i="6"/>
  <c r="AY101" i="6"/>
  <c r="AX101" i="6"/>
  <c r="AW101" i="6"/>
  <c r="AV101" i="6"/>
  <c r="AM101" i="6"/>
  <c r="AL101" i="6"/>
  <c r="AI101" i="6"/>
  <c r="AH101" i="6"/>
  <c r="AG101" i="6"/>
  <c r="AF101" i="6"/>
  <c r="W101" i="6"/>
  <c r="V101" i="6"/>
  <c r="S101" i="6"/>
  <c r="R101" i="6"/>
  <c r="Q101" i="6"/>
  <c r="P101" i="6"/>
  <c r="BA100" i="6"/>
  <c r="AZ100" i="6"/>
  <c r="AY100" i="6"/>
  <c r="AX100" i="6"/>
  <c r="AW100" i="6"/>
  <c r="AV100" i="6"/>
  <c r="AM100" i="6"/>
  <c r="AL100" i="6"/>
  <c r="AI100" i="6"/>
  <c r="AH100" i="6"/>
  <c r="AG100" i="6"/>
  <c r="AF100" i="6"/>
  <c r="W100" i="6"/>
  <c r="V100" i="6"/>
  <c r="S100" i="6"/>
  <c r="R100" i="6"/>
  <c r="Q100" i="6"/>
  <c r="P100" i="6"/>
  <c r="BA99" i="6"/>
  <c r="AZ99" i="6"/>
  <c r="AY99" i="6"/>
  <c r="AX99" i="6"/>
  <c r="AW99" i="6"/>
  <c r="AV99" i="6"/>
  <c r="AM99" i="6"/>
  <c r="AL99" i="6"/>
  <c r="AI99" i="6"/>
  <c r="AH99" i="6"/>
  <c r="AG99" i="6"/>
  <c r="AF99" i="6"/>
  <c r="W99" i="6"/>
  <c r="V99" i="6"/>
  <c r="S99" i="6"/>
  <c r="R99" i="6"/>
  <c r="Q99" i="6"/>
  <c r="P99" i="6"/>
  <c r="BA98" i="6"/>
  <c r="AZ98" i="6"/>
  <c r="AY98" i="6"/>
  <c r="AX98" i="6"/>
  <c r="AW98" i="6"/>
  <c r="AV98" i="6"/>
  <c r="AM98" i="6"/>
  <c r="AL98" i="6"/>
  <c r="AI98" i="6"/>
  <c r="AH98" i="6"/>
  <c r="AG98" i="6"/>
  <c r="AF98" i="6"/>
  <c r="W98" i="6"/>
  <c r="V98" i="6"/>
  <c r="S98" i="6"/>
  <c r="R98" i="6"/>
  <c r="Q98" i="6"/>
  <c r="P98" i="6"/>
  <c r="BA97" i="6"/>
  <c r="AZ97" i="6"/>
  <c r="AY97" i="6"/>
  <c r="AX97" i="6"/>
  <c r="AW97" i="6"/>
  <c r="AV97" i="6"/>
  <c r="AM97" i="6"/>
  <c r="AL97" i="6"/>
  <c r="AI97" i="6"/>
  <c r="AH97" i="6"/>
  <c r="AG97" i="6"/>
  <c r="AF97" i="6"/>
  <c r="W97" i="6"/>
  <c r="V97" i="6"/>
  <c r="S97" i="6"/>
  <c r="R97" i="6"/>
  <c r="Q97" i="6"/>
  <c r="P97" i="6"/>
  <c r="BA96" i="6"/>
  <c r="AZ96" i="6"/>
  <c r="AY96" i="6"/>
  <c r="AX96" i="6"/>
  <c r="AW96" i="6"/>
  <c r="AV96" i="6"/>
  <c r="AM96" i="6"/>
  <c r="AL96" i="6"/>
  <c r="AI96" i="6"/>
  <c r="AH96" i="6"/>
  <c r="AG96" i="6"/>
  <c r="AF96" i="6"/>
  <c r="W96" i="6"/>
  <c r="V96" i="6"/>
  <c r="S96" i="6"/>
  <c r="R96" i="6"/>
  <c r="Q96" i="6"/>
  <c r="P96" i="6"/>
  <c r="BA95" i="6"/>
  <c r="AZ95" i="6"/>
  <c r="AY95" i="6"/>
  <c r="AX95" i="6"/>
  <c r="AW95" i="6"/>
  <c r="AV95" i="6"/>
  <c r="AM95" i="6"/>
  <c r="AL95" i="6"/>
  <c r="AI95" i="6"/>
  <c r="AH95" i="6"/>
  <c r="AG95" i="6"/>
  <c r="AF95" i="6"/>
  <c r="W95" i="6"/>
  <c r="V95" i="6"/>
  <c r="S95" i="6"/>
  <c r="R95" i="6"/>
  <c r="Q95" i="6"/>
  <c r="P95" i="6"/>
  <c r="BA94" i="6"/>
  <c r="AZ94" i="6"/>
  <c r="AY94" i="6"/>
  <c r="AX94" i="6"/>
  <c r="AW94" i="6"/>
  <c r="AV94" i="6"/>
  <c r="AM94" i="6"/>
  <c r="AL94" i="6"/>
  <c r="AI94" i="6"/>
  <c r="AH94" i="6"/>
  <c r="AG94" i="6"/>
  <c r="AF94" i="6"/>
  <c r="W94" i="6"/>
  <c r="V94" i="6"/>
  <c r="S94" i="6"/>
  <c r="R94" i="6"/>
  <c r="Q94" i="6"/>
  <c r="P94" i="6"/>
  <c r="BA93" i="6"/>
  <c r="AZ93" i="6"/>
  <c r="AY93" i="6"/>
  <c r="AX93" i="6"/>
  <c r="AW93" i="6"/>
  <c r="AV93" i="6"/>
  <c r="AM93" i="6"/>
  <c r="AL93" i="6"/>
  <c r="AI93" i="6"/>
  <c r="AH93" i="6"/>
  <c r="AG93" i="6"/>
  <c r="AF93" i="6"/>
  <c r="W93" i="6"/>
  <c r="V93" i="6"/>
  <c r="S93" i="6"/>
  <c r="R93" i="6"/>
  <c r="Q93" i="6"/>
  <c r="P93" i="6"/>
  <c r="BA92" i="6"/>
  <c r="AZ92" i="6"/>
  <c r="AY92" i="6"/>
  <c r="AX92" i="6"/>
  <c r="AW92" i="6"/>
  <c r="AV92" i="6"/>
  <c r="AM92" i="6"/>
  <c r="AL92" i="6"/>
  <c r="AI92" i="6"/>
  <c r="AH92" i="6"/>
  <c r="AG92" i="6"/>
  <c r="AF92" i="6"/>
  <c r="W92" i="6"/>
  <c r="V92" i="6"/>
  <c r="S92" i="6"/>
  <c r="R92" i="6"/>
  <c r="Q92" i="6"/>
  <c r="P92" i="6"/>
  <c r="BA91" i="6"/>
  <c r="AZ91" i="6"/>
  <c r="AY91" i="6"/>
  <c r="AX91" i="6"/>
  <c r="AW91" i="6"/>
  <c r="AV91" i="6"/>
  <c r="AM91" i="6"/>
  <c r="AL91" i="6"/>
  <c r="AI91" i="6"/>
  <c r="AH91" i="6"/>
  <c r="AG91" i="6"/>
  <c r="AF91" i="6"/>
  <c r="W91" i="6"/>
  <c r="V91" i="6"/>
  <c r="S91" i="6"/>
  <c r="R91" i="6"/>
  <c r="Q91" i="6"/>
  <c r="P91" i="6"/>
  <c r="BA90" i="6"/>
  <c r="AZ90" i="6"/>
  <c r="AY90" i="6"/>
  <c r="AX90" i="6"/>
  <c r="AW90" i="6"/>
  <c r="AV90" i="6"/>
  <c r="AM90" i="6"/>
  <c r="AL90" i="6"/>
  <c r="AI90" i="6"/>
  <c r="AH90" i="6"/>
  <c r="AG90" i="6"/>
  <c r="AF90" i="6"/>
  <c r="W90" i="6"/>
  <c r="V90" i="6"/>
  <c r="S90" i="6"/>
  <c r="R90" i="6"/>
  <c r="Q90" i="6"/>
  <c r="P90" i="6"/>
  <c r="BA89" i="6"/>
  <c r="AZ89" i="6"/>
  <c r="AY89" i="6"/>
  <c r="AX89" i="6"/>
  <c r="AW89" i="6"/>
  <c r="AV89" i="6"/>
  <c r="AM89" i="6"/>
  <c r="AL89" i="6"/>
  <c r="AI89" i="6"/>
  <c r="AH89" i="6"/>
  <c r="AG89" i="6"/>
  <c r="AF89" i="6"/>
  <c r="W89" i="6"/>
  <c r="V89" i="6"/>
  <c r="S89" i="6"/>
  <c r="R89" i="6"/>
  <c r="Q89" i="6"/>
  <c r="P89" i="6"/>
  <c r="BA88" i="6"/>
  <c r="AZ88" i="6"/>
  <c r="AY88" i="6"/>
  <c r="AX88" i="6"/>
  <c r="AW88" i="6"/>
  <c r="AV88" i="6"/>
  <c r="AM88" i="6"/>
  <c r="AL88" i="6"/>
  <c r="AI88" i="6"/>
  <c r="AH88" i="6"/>
  <c r="AG88" i="6"/>
  <c r="AF88" i="6"/>
  <c r="W88" i="6"/>
  <c r="V88" i="6"/>
  <c r="S88" i="6"/>
  <c r="R88" i="6"/>
  <c r="Q88" i="6"/>
  <c r="P88" i="6"/>
  <c r="BA87" i="6"/>
  <c r="AZ87" i="6"/>
  <c r="AY87" i="6"/>
  <c r="AX87" i="6"/>
  <c r="AW87" i="6"/>
  <c r="AV87" i="6"/>
  <c r="AM87" i="6"/>
  <c r="AL87" i="6"/>
  <c r="AI87" i="6"/>
  <c r="AH87" i="6"/>
  <c r="AG87" i="6"/>
  <c r="AF87" i="6"/>
  <c r="W87" i="6"/>
  <c r="V87" i="6"/>
  <c r="S87" i="6"/>
  <c r="R87" i="6"/>
  <c r="Q87" i="6"/>
  <c r="P87" i="6"/>
  <c r="BA86" i="6"/>
  <c r="AZ86" i="6"/>
  <c r="AY86" i="6"/>
  <c r="AX86" i="6"/>
  <c r="AW86" i="6"/>
  <c r="AV86" i="6"/>
  <c r="AM86" i="6"/>
  <c r="AL86" i="6"/>
  <c r="AI86" i="6"/>
  <c r="AH86" i="6"/>
  <c r="AG86" i="6"/>
  <c r="AF86" i="6"/>
  <c r="W86" i="6"/>
  <c r="V86" i="6"/>
  <c r="S86" i="6"/>
  <c r="R86" i="6"/>
  <c r="Q86" i="6"/>
  <c r="P86" i="6"/>
  <c r="BA85" i="6"/>
  <c r="AZ85" i="6"/>
  <c r="AY85" i="6"/>
  <c r="AX85" i="6"/>
  <c r="AW85" i="6"/>
  <c r="AV85" i="6"/>
  <c r="AM85" i="6"/>
  <c r="AL85" i="6"/>
  <c r="AI85" i="6"/>
  <c r="AH85" i="6"/>
  <c r="AG85" i="6"/>
  <c r="AF85" i="6"/>
  <c r="W85" i="6"/>
  <c r="V85" i="6"/>
  <c r="S85" i="6"/>
  <c r="R85" i="6"/>
  <c r="Q85" i="6"/>
  <c r="P85" i="6"/>
  <c r="BA84" i="6"/>
  <c r="AZ84" i="6"/>
  <c r="AY84" i="6"/>
  <c r="AX84" i="6"/>
  <c r="AW84" i="6"/>
  <c r="AV84" i="6"/>
  <c r="AM84" i="6"/>
  <c r="AL84" i="6"/>
  <c r="AI84" i="6"/>
  <c r="AH84" i="6"/>
  <c r="AG84" i="6"/>
  <c r="AF84" i="6"/>
  <c r="W84" i="6"/>
  <c r="V84" i="6"/>
  <c r="S84" i="6"/>
  <c r="R84" i="6"/>
  <c r="Q84" i="6"/>
  <c r="P84" i="6"/>
  <c r="BA83" i="6"/>
  <c r="AZ83" i="6"/>
  <c r="AY83" i="6"/>
  <c r="AX83" i="6"/>
  <c r="AW83" i="6"/>
  <c r="AV83" i="6"/>
  <c r="AM83" i="6"/>
  <c r="AL83" i="6"/>
  <c r="AI83" i="6"/>
  <c r="AH83" i="6"/>
  <c r="AG83" i="6"/>
  <c r="AF83" i="6"/>
  <c r="W83" i="6"/>
  <c r="V83" i="6"/>
  <c r="S83" i="6"/>
  <c r="R83" i="6"/>
  <c r="Q83" i="6"/>
  <c r="P83" i="6"/>
  <c r="BA82" i="6"/>
  <c r="AZ82" i="6"/>
  <c r="AY82" i="6"/>
  <c r="AX82" i="6"/>
  <c r="AW82" i="6"/>
  <c r="AV82" i="6"/>
  <c r="AM82" i="6"/>
  <c r="AL82" i="6"/>
  <c r="AI82" i="6"/>
  <c r="AH82" i="6"/>
  <c r="AG82" i="6"/>
  <c r="AF82" i="6"/>
  <c r="W82" i="6"/>
  <c r="V82" i="6"/>
  <c r="S82" i="6"/>
  <c r="R82" i="6"/>
  <c r="Q82" i="6"/>
  <c r="P82" i="6"/>
  <c r="BA81" i="6"/>
  <c r="AZ81" i="6"/>
  <c r="AY81" i="6"/>
  <c r="AX81" i="6"/>
  <c r="AW81" i="6"/>
  <c r="AV81" i="6"/>
  <c r="AM81" i="6"/>
  <c r="AL81" i="6"/>
  <c r="AI81" i="6"/>
  <c r="AH81" i="6"/>
  <c r="AG81" i="6"/>
  <c r="AF81" i="6"/>
  <c r="W81" i="6"/>
  <c r="V81" i="6"/>
  <c r="S81" i="6"/>
  <c r="R81" i="6"/>
  <c r="Q81" i="6"/>
  <c r="P81" i="6"/>
  <c r="BA80" i="6"/>
  <c r="AZ80" i="6"/>
  <c r="AY80" i="6"/>
  <c r="AX80" i="6"/>
  <c r="AW80" i="6"/>
  <c r="AV80" i="6"/>
  <c r="AM80" i="6"/>
  <c r="AL80" i="6"/>
  <c r="AI80" i="6"/>
  <c r="AH80" i="6"/>
  <c r="AG80" i="6"/>
  <c r="AF80" i="6"/>
  <c r="W80" i="6"/>
  <c r="V80" i="6"/>
  <c r="S80" i="6"/>
  <c r="R80" i="6"/>
  <c r="Q80" i="6"/>
  <c r="P80" i="6"/>
  <c r="BA79" i="6"/>
  <c r="AZ79" i="6"/>
  <c r="AY79" i="6"/>
  <c r="AX79" i="6"/>
  <c r="AW79" i="6"/>
  <c r="AV79" i="6"/>
  <c r="AM79" i="6"/>
  <c r="AL79" i="6"/>
  <c r="AI79" i="6"/>
  <c r="AH79" i="6"/>
  <c r="AG79" i="6"/>
  <c r="AF79" i="6"/>
  <c r="W79" i="6"/>
  <c r="V79" i="6"/>
  <c r="S79" i="6"/>
  <c r="R79" i="6"/>
  <c r="Q79" i="6"/>
  <c r="P79" i="6"/>
  <c r="BA78" i="6"/>
  <c r="AZ78" i="6"/>
  <c r="AY78" i="6"/>
  <c r="AX78" i="6"/>
  <c r="AW78" i="6"/>
  <c r="AV78" i="6"/>
  <c r="AM78" i="6"/>
  <c r="AL78" i="6"/>
  <c r="AI78" i="6"/>
  <c r="AH78" i="6"/>
  <c r="AG78" i="6"/>
  <c r="AF78" i="6"/>
  <c r="W78" i="6"/>
  <c r="V78" i="6"/>
  <c r="S78" i="6"/>
  <c r="R78" i="6"/>
  <c r="Q78" i="6"/>
  <c r="P78" i="6"/>
  <c r="BA77" i="6"/>
  <c r="AZ77" i="6"/>
  <c r="AY77" i="6"/>
  <c r="AX77" i="6"/>
  <c r="AW77" i="6"/>
  <c r="AV77" i="6"/>
  <c r="AM77" i="6"/>
  <c r="AL77" i="6"/>
  <c r="AI77" i="6"/>
  <c r="AH77" i="6"/>
  <c r="AG77" i="6"/>
  <c r="AF77" i="6"/>
  <c r="W77" i="6"/>
  <c r="V77" i="6"/>
  <c r="S77" i="6"/>
  <c r="R77" i="6"/>
  <c r="Q77" i="6"/>
  <c r="P77" i="6"/>
  <c r="BA76" i="6"/>
  <c r="AZ76" i="6"/>
  <c r="AY76" i="6"/>
  <c r="AX76" i="6"/>
  <c r="AW76" i="6"/>
  <c r="AV76" i="6"/>
  <c r="AM76" i="6"/>
  <c r="AL76" i="6"/>
  <c r="AI76" i="6"/>
  <c r="AH76" i="6"/>
  <c r="AG76" i="6"/>
  <c r="AF76" i="6"/>
  <c r="W76" i="6"/>
  <c r="V76" i="6"/>
  <c r="S76" i="6"/>
  <c r="R76" i="6"/>
  <c r="Q76" i="6"/>
  <c r="P76" i="6"/>
  <c r="BA75" i="6"/>
  <c r="AZ75" i="6"/>
  <c r="AY75" i="6"/>
  <c r="AX75" i="6"/>
  <c r="AW75" i="6"/>
  <c r="AV75" i="6"/>
  <c r="AM75" i="6"/>
  <c r="AL75" i="6"/>
  <c r="AI75" i="6"/>
  <c r="AH75" i="6"/>
  <c r="AG75" i="6"/>
  <c r="AF75" i="6"/>
  <c r="W75" i="6"/>
  <c r="V75" i="6"/>
  <c r="S75" i="6"/>
  <c r="R75" i="6"/>
  <c r="Q75" i="6"/>
  <c r="P75" i="6"/>
  <c r="BA74" i="6"/>
  <c r="AZ74" i="6"/>
  <c r="AY74" i="6"/>
  <c r="AX74" i="6"/>
  <c r="AW74" i="6"/>
  <c r="AV74" i="6"/>
  <c r="AM74" i="6"/>
  <c r="AL74" i="6"/>
  <c r="AI74" i="6"/>
  <c r="AH74" i="6"/>
  <c r="AG74" i="6"/>
  <c r="AF74" i="6"/>
  <c r="W74" i="6"/>
  <c r="V74" i="6"/>
  <c r="S74" i="6"/>
  <c r="R74" i="6"/>
  <c r="Q74" i="6"/>
  <c r="P74" i="6"/>
  <c r="BA73" i="6"/>
  <c r="AZ73" i="6"/>
  <c r="AY73" i="6"/>
  <c r="AX73" i="6"/>
  <c r="AW73" i="6"/>
  <c r="AV73" i="6"/>
  <c r="AM73" i="6"/>
  <c r="AL73" i="6"/>
  <c r="AI73" i="6"/>
  <c r="AH73" i="6"/>
  <c r="AG73" i="6"/>
  <c r="AF73" i="6"/>
  <c r="W73" i="6"/>
  <c r="V73" i="6"/>
  <c r="S73" i="6"/>
  <c r="R73" i="6"/>
  <c r="Q73" i="6"/>
  <c r="P73" i="6"/>
  <c r="BA72" i="6"/>
  <c r="AZ72" i="6"/>
  <c r="AY72" i="6"/>
  <c r="AX72" i="6"/>
  <c r="AW72" i="6"/>
  <c r="AV72" i="6"/>
  <c r="AM72" i="6"/>
  <c r="AL72" i="6"/>
  <c r="AI72" i="6"/>
  <c r="AH72" i="6"/>
  <c r="AG72" i="6"/>
  <c r="AF72" i="6"/>
  <c r="W72" i="6"/>
  <c r="V72" i="6"/>
  <c r="S72" i="6"/>
  <c r="R72" i="6"/>
  <c r="Q72" i="6"/>
  <c r="P72" i="6"/>
  <c r="BA71" i="6"/>
  <c r="AZ71" i="6"/>
  <c r="AY71" i="6"/>
  <c r="AX71" i="6"/>
  <c r="AW71" i="6"/>
  <c r="AV71" i="6"/>
  <c r="AM71" i="6"/>
  <c r="AL71" i="6"/>
  <c r="AI71" i="6"/>
  <c r="AH71" i="6"/>
  <c r="AG71" i="6"/>
  <c r="AF71" i="6"/>
  <c r="W71" i="6"/>
  <c r="V71" i="6"/>
  <c r="S71" i="6"/>
  <c r="R71" i="6"/>
  <c r="Q71" i="6"/>
  <c r="P71" i="6"/>
  <c r="BA70" i="6"/>
  <c r="AZ70" i="6"/>
  <c r="AY70" i="6"/>
  <c r="AX70" i="6"/>
  <c r="AW70" i="6"/>
  <c r="AV70" i="6"/>
  <c r="AM70" i="6"/>
  <c r="AL70" i="6"/>
  <c r="AI70" i="6"/>
  <c r="AH70" i="6"/>
  <c r="AG70" i="6"/>
  <c r="AF70" i="6"/>
  <c r="W70" i="6"/>
  <c r="V70" i="6"/>
  <c r="S70" i="6"/>
  <c r="R70" i="6"/>
  <c r="Q70" i="6"/>
  <c r="P70" i="6"/>
  <c r="BA69" i="6"/>
  <c r="AZ69" i="6"/>
  <c r="AY69" i="6"/>
  <c r="AX69" i="6"/>
  <c r="AW69" i="6"/>
  <c r="AV69" i="6"/>
  <c r="AM69" i="6"/>
  <c r="AL69" i="6"/>
  <c r="AI69" i="6"/>
  <c r="AH69" i="6"/>
  <c r="AG69" i="6"/>
  <c r="AF69" i="6"/>
  <c r="W69" i="6"/>
  <c r="V69" i="6"/>
  <c r="S69" i="6"/>
  <c r="R69" i="6"/>
  <c r="Q69" i="6"/>
  <c r="P69" i="6"/>
  <c r="BA68" i="6"/>
  <c r="AZ68" i="6"/>
  <c r="AY68" i="6"/>
  <c r="AX68" i="6"/>
  <c r="AW68" i="6"/>
  <c r="AV68" i="6"/>
  <c r="AM68" i="6"/>
  <c r="AL68" i="6"/>
  <c r="AI68" i="6"/>
  <c r="AH68" i="6"/>
  <c r="AG68" i="6"/>
  <c r="AF68" i="6"/>
  <c r="W68" i="6"/>
  <c r="V68" i="6"/>
  <c r="S68" i="6"/>
  <c r="R68" i="6"/>
  <c r="Q68" i="6"/>
  <c r="P68" i="6"/>
  <c r="BA67" i="6"/>
  <c r="AZ67" i="6"/>
  <c r="AY67" i="6"/>
  <c r="AX67" i="6"/>
  <c r="AW67" i="6"/>
  <c r="AV67" i="6"/>
  <c r="AM67" i="6"/>
  <c r="AL67" i="6"/>
  <c r="AI67" i="6"/>
  <c r="AH67" i="6"/>
  <c r="AG67" i="6"/>
  <c r="AF67" i="6"/>
  <c r="W67" i="6"/>
  <c r="V67" i="6"/>
  <c r="S67" i="6"/>
  <c r="R67" i="6"/>
  <c r="Q67" i="6"/>
  <c r="P67" i="6"/>
  <c r="BA66" i="6"/>
  <c r="AZ66" i="6"/>
  <c r="AY66" i="6"/>
  <c r="AX66" i="6"/>
  <c r="AW66" i="6"/>
  <c r="AV66" i="6"/>
  <c r="AM66" i="6"/>
  <c r="AL66" i="6"/>
  <c r="AI66" i="6"/>
  <c r="AH66" i="6"/>
  <c r="AG66" i="6"/>
  <c r="AF66" i="6"/>
  <c r="W66" i="6"/>
  <c r="V66" i="6"/>
  <c r="S66" i="6"/>
  <c r="R66" i="6"/>
  <c r="Q66" i="6"/>
  <c r="P66" i="6"/>
  <c r="BA65" i="6"/>
  <c r="AZ65" i="6"/>
  <c r="AY65" i="6"/>
  <c r="AX65" i="6"/>
  <c r="AW65" i="6"/>
  <c r="AV65" i="6"/>
  <c r="AM65" i="6"/>
  <c r="AL65" i="6"/>
  <c r="AI65" i="6"/>
  <c r="AH65" i="6"/>
  <c r="AG65" i="6"/>
  <c r="AF65" i="6"/>
  <c r="W65" i="6"/>
  <c r="V65" i="6"/>
  <c r="S65" i="6"/>
  <c r="R65" i="6"/>
  <c r="Q65" i="6"/>
  <c r="P65" i="6"/>
  <c r="BA64" i="6"/>
  <c r="AZ64" i="6"/>
  <c r="AY64" i="6"/>
  <c r="AX64" i="6"/>
  <c r="AW64" i="6"/>
  <c r="AV64" i="6"/>
  <c r="AM64" i="6"/>
  <c r="AL64" i="6"/>
  <c r="AI64" i="6"/>
  <c r="AH64" i="6"/>
  <c r="AG64" i="6"/>
  <c r="AF64" i="6"/>
  <c r="W64" i="6"/>
  <c r="V64" i="6"/>
  <c r="S64" i="6"/>
  <c r="R64" i="6"/>
  <c r="Q64" i="6"/>
  <c r="P64" i="6"/>
  <c r="BA63" i="6"/>
  <c r="AZ63" i="6"/>
  <c r="AY63" i="6"/>
  <c r="AX63" i="6"/>
  <c r="AW63" i="6"/>
  <c r="AV63" i="6"/>
  <c r="AM63" i="6"/>
  <c r="AL63" i="6"/>
  <c r="AI63" i="6"/>
  <c r="AH63" i="6"/>
  <c r="AG63" i="6"/>
  <c r="AF63" i="6"/>
  <c r="W63" i="6"/>
  <c r="V63" i="6"/>
  <c r="S63" i="6"/>
  <c r="R63" i="6"/>
  <c r="Q63" i="6"/>
  <c r="P63" i="6"/>
  <c r="BA62" i="6"/>
  <c r="AZ62" i="6"/>
  <c r="AY62" i="6"/>
  <c r="AX62" i="6"/>
  <c r="AW62" i="6"/>
  <c r="AV62" i="6"/>
  <c r="AM62" i="6"/>
  <c r="AL62" i="6"/>
  <c r="AI62" i="6"/>
  <c r="AH62" i="6"/>
  <c r="AG62" i="6"/>
  <c r="AF62" i="6"/>
  <c r="W62" i="6"/>
  <c r="V62" i="6"/>
  <c r="S62" i="6"/>
  <c r="R62" i="6"/>
  <c r="Q62" i="6"/>
  <c r="P62" i="6"/>
  <c r="BA61" i="6"/>
  <c r="AZ61" i="6"/>
  <c r="AY61" i="6"/>
  <c r="AX61" i="6"/>
  <c r="AW61" i="6"/>
  <c r="AV61" i="6"/>
  <c r="AM61" i="6"/>
  <c r="AL61" i="6"/>
  <c r="AI61" i="6"/>
  <c r="AH61" i="6"/>
  <c r="AG61" i="6"/>
  <c r="AF61" i="6"/>
  <c r="W61" i="6"/>
  <c r="V61" i="6"/>
  <c r="S61" i="6"/>
  <c r="R61" i="6"/>
  <c r="Q61" i="6"/>
  <c r="P61" i="6"/>
  <c r="BA60" i="6"/>
  <c r="AZ60" i="6"/>
  <c r="AY60" i="6"/>
  <c r="AX60" i="6"/>
  <c r="AW60" i="6"/>
  <c r="AV60" i="6"/>
  <c r="AM60" i="6"/>
  <c r="AL60" i="6"/>
  <c r="AI60" i="6"/>
  <c r="AH60" i="6"/>
  <c r="AG60" i="6"/>
  <c r="AF60" i="6"/>
  <c r="W60" i="6"/>
  <c r="V60" i="6"/>
  <c r="S60" i="6"/>
  <c r="R60" i="6"/>
  <c r="Q60" i="6"/>
  <c r="P60" i="6"/>
  <c r="BA59" i="6"/>
  <c r="AZ59" i="6"/>
  <c r="AY59" i="6"/>
  <c r="AX59" i="6"/>
  <c r="AW59" i="6"/>
  <c r="AV59" i="6"/>
  <c r="AM59" i="6"/>
  <c r="AL59" i="6"/>
  <c r="AI59" i="6"/>
  <c r="AH59" i="6"/>
  <c r="AG59" i="6"/>
  <c r="AF59" i="6"/>
  <c r="W59" i="6"/>
  <c r="V59" i="6"/>
  <c r="S59" i="6"/>
  <c r="R59" i="6"/>
  <c r="Q59" i="6"/>
  <c r="P59" i="6"/>
  <c r="BA58" i="6"/>
  <c r="AZ58" i="6"/>
  <c r="AY58" i="6"/>
  <c r="AX58" i="6"/>
  <c r="AW58" i="6"/>
  <c r="AV58" i="6"/>
  <c r="AM58" i="6"/>
  <c r="AL58" i="6"/>
  <c r="AI58" i="6"/>
  <c r="AH58" i="6"/>
  <c r="AG58" i="6"/>
  <c r="AF58" i="6"/>
  <c r="W58" i="6"/>
  <c r="V58" i="6"/>
  <c r="S58" i="6"/>
  <c r="R58" i="6"/>
  <c r="Q58" i="6"/>
  <c r="P58" i="6"/>
  <c r="BA57" i="6"/>
  <c r="AZ57" i="6"/>
  <c r="AY57" i="6"/>
  <c r="AX57" i="6"/>
  <c r="AW57" i="6"/>
  <c r="AV57" i="6"/>
  <c r="AM57" i="6"/>
  <c r="AL57" i="6"/>
  <c r="AI57" i="6"/>
  <c r="AH57" i="6"/>
  <c r="AG57" i="6"/>
  <c r="AF57" i="6"/>
  <c r="W57" i="6"/>
  <c r="V57" i="6"/>
  <c r="S57" i="6"/>
  <c r="R57" i="6"/>
  <c r="Q57" i="6"/>
  <c r="P57" i="6"/>
  <c r="BA56" i="6"/>
  <c r="AZ56" i="6"/>
  <c r="AY56" i="6"/>
  <c r="AX56" i="6"/>
  <c r="AW56" i="6"/>
  <c r="AV56" i="6"/>
  <c r="AM56" i="6"/>
  <c r="AL56" i="6"/>
  <c r="AI56" i="6"/>
  <c r="AH56" i="6"/>
  <c r="AG56" i="6"/>
  <c r="AF56" i="6"/>
  <c r="W56" i="6"/>
  <c r="V56" i="6"/>
  <c r="S56" i="6"/>
  <c r="R56" i="6"/>
  <c r="Q56" i="6"/>
  <c r="P56" i="6"/>
  <c r="BA55" i="6"/>
  <c r="AZ55" i="6"/>
  <c r="AY55" i="6"/>
  <c r="AX55" i="6"/>
  <c r="AW55" i="6"/>
  <c r="AV55" i="6"/>
  <c r="AM55" i="6"/>
  <c r="AL55" i="6"/>
  <c r="AI55" i="6"/>
  <c r="AH55" i="6"/>
  <c r="AG55" i="6"/>
  <c r="AF55" i="6"/>
  <c r="W55" i="6"/>
  <c r="V55" i="6"/>
  <c r="S55" i="6"/>
  <c r="R55" i="6"/>
  <c r="Q55" i="6"/>
  <c r="P55" i="6"/>
  <c r="BA54" i="6"/>
  <c r="AZ54" i="6"/>
  <c r="AY54" i="6"/>
  <c r="AX54" i="6"/>
  <c r="AW54" i="6"/>
  <c r="AV54" i="6"/>
  <c r="AM54" i="6"/>
  <c r="AL54" i="6"/>
  <c r="AI54" i="6"/>
  <c r="AH54" i="6"/>
  <c r="AG54" i="6"/>
  <c r="AF54" i="6"/>
  <c r="W54" i="6"/>
  <c r="V54" i="6"/>
  <c r="S54" i="6"/>
  <c r="R54" i="6"/>
  <c r="Q54" i="6"/>
  <c r="P54" i="6"/>
  <c r="BA53" i="6"/>
  <c r="AZ53" i="6"/>
  <c r="AY53" i="6"/>
  <c r="AX53" i="6"/>
  <c r="AW53" i="6"/>
  <c r="AV53" i="6"/>
  <c r="AM53" i="6"/>
  <c r="AL53" i="6"/>
  <c r="AI53" i="6"/>
  <c r="AH53" i="6"/>
  <c r="AG53" i="6"/>
  <c r="AF53" i="6"/>
  <c r="W53" i="6"/>
  <c r="V53" i="6"/>
  <c r="S53" i="6"/>
  <c r="R53" i="6"/>
  <c r="Q53" i="6"/>
  <c r="P53" i="6"/>
  <c r="BA52" i="6"/>
  <c r="AZ52" i="6"/>
  <c r="AY52" i="6"/>
  <c r="AX52" i="6"/>
  <c r="AW52" i="6"/>
  <c r="AV52" i="6"/>
  <c r="AM52" i="6"/>
  <c r="AL52" i="6"/>
  <c r="AI52" i="6"/>
  <c r="AH52" i="6"/>
  <c r="AG52" i="6"/>
  <c r="AF52" i="6"/>
  <c r="W52" i="6"/>
  <c r="V52" i="6"/>
  <c r="S52" i="6"/>
  <c r="R52" i="6"/>
  <c r="Q52" i="6"/>
  <c r="P52" i="6"/>
  <c r="BA51" i="6"/>
  <c r="AZ51" i="6"/>
  <c r="AY51" i="6"/>
  <c r="AX51" i="6"/>
  <c r="AW51" i="6"/>
  <c r="AV51" i="6"/>
  <c r="AM51" i="6"/>
  <c r="AL51" i="6"/>
  <c r="AI51" i="6"/>
  <c r="AH51" i="6"/>
  <c r="AG51" i="6"/>
  <c r="AF51" i="6"/>
  <c r="W51" i="6"/>
  <c r="V51" i="6"/>
  <c r="S51" i="6"/>
  <c r="R51" i="6"/>
  <c r="Q51" i="6"/>
  <c r="P51" i="6"/>
  <c r="BA50" i="6"/>
  <c r="AZ50" i="6"/>
  <c r="AY50" i="6"/>
  <c r="AX50" i="6"/>
  <c r="AW50" i="6"/>
  <c r="AV50" i="6"/>
  <c r="AM50" i="6"/>
  <c r="AL50" i="6"/>
  <c r="AI50" i="6"/>
  <c r="AH50" i="6"/>
  <c r="AG50" i="6"/>
  <c r="AF50" i="6"/>
  <c r="W50" i="6"/>
  <c r="V50" i="6"/>
  <c r="S50" i="6"/>
  <c r="R50" i="6"/>
  <c r="Q50" i="6"/>
  <c r="P50" i="6"/>
  <c r="BA49" i="6"/>
  <c r="AZ49" i="6"/>
  <c r="AY49" i="6"/>
  <c r="AX49" i="6"/>
  <c r="AW49" i="6"/>
  <c r="AV49" i="6"/>
  <c r="AM49" i="6"/>
  <c r="AL49" i="6"/>
  <c r="AI49" i="6"/>
  <c r="AH49" i="6"/>
  <c r="AG49" i="6"/>
  <c r="AF49" i="6"/>
  <c r="W49" i="6"/>
  <c r="V49" i="6"/>
  <c r="S49" i="6"/>
  <c r="R49" i="6"/>
  <c r="Q49" i="6"/>
  <c r="P49" i="6"/>
  <c r="BA48" i="6"/>
  <c r="AZ48" i="6"/>
  <c r="AY48" i="6"/>
  <c r="AX48" i="6"/>
  <c r="AW48" i="6"/>
  <c r="AV48" i="6"/>
  <c r="AM48" i="6"/>
  <c r="AL48" i="6"/>
  <c r="AI48" i="6"/>
  <c r="AH48" i="6"/>
  <c r="AG48" i="6"/>
  <c r="AF48" i="6"/>
  <c r="W48" i="6"/>
  <c r="V48" i="6"/>
  <c r="S48" i="6"/>
  <c r="R48" i="6"/>
  <c r="Q48" i="6"/>
  <c r="P48" i="6"/>
  <c r="BA47" i="6"/>
  <c r="AZ47" i="6"/>
  <c r="AY47" i="6"/>
  <c r="AX47" i="6"/>
  <c r="AW47" i="6"/>
  <c r="AV47" i="6"/>
  <c r="AM47" i="6"/>
  <c r="AL47" i="6"/>
  <c r="AI47" i="6"/>
  <c r="AH47" i="6"/>
  <c r="AG47" i="6"/>
  <c r="AF47" i="6"/>
  <c r="W47" i="6"/>
  <c r="V47" i="6"/>
  <c r="S47" i="6"/>
  <c r="R47" i="6"/>
  <c r="Q47" i="6"/>
  <c r="P47" i="6"/>
  <c r="BA46" i="6"/>
  <c r="AZ46" i="6"/>
  <c r="AY46" i="6"/>
  <c r="AX46" i="6"/>
  <c r="AW46" i="6"/>
  <c r="AV46" i="6"/>
  <c r="AM46" i="6"/>
  <c r="AL46" i="6"/>
  <c r="AI46" i="6"/>
  <c r="AH46" i="6"/>
  <c r="AG46" i="6"/>
  <c r="AF46" i="6"/>
  <c r="W46" i="6"/>
  <c r="V46" i="6"/>
  <c r="S46" i="6"/>
  <c r="R46" i="6"/>
  <c r="Q46" i="6"/>
  <c r="P46" i="6"/>
  <c r="BA45" i="6"/>
  <c r="AZ45" i="6"/>
  <c r="AY45" i="6"/>
  <c r="AX45" i="6"/>
  <c r="AW45" i="6"/>
  <c r="AV45" i="6"/>
  <c r="AM45" i="6"/>
  <c r="AL45" i="6"/>
  <c r="AI45" i="6"/>
  <c r="AH45" i="6"/>
  <c r="AG45" i="6"/>
  <c r="AF45" i="6"/>
  <c r="W45" i="6"/>
  <c r="V45" i="6"/>
  <c r="S45" i="6"/>
  <c r="R45" i="6"/>
  <c r="Q45" i="6"/>
  <c r="P45" i="6"/>
  <c r="BA44" i="6"/>
  <c r="AZ44" i="6"/>
  <c r="AY44" i="6"/>
  <c r="AX44" i="6"/>
  <c r="AW44" i="6"/>
  <c r="AV44" i="6"/>
  <c r="AM44" i="6"/>
  <c r="AL44" i="6"/>
  <c r="AI44" i="6"/>
  <c r="AH44" i="6"/>
  <c r="AG44" i="6"/>
  <c r="AF44" i="6"/>
  <c r="W44" i="6"/>
  <c r="V44" i="6"/>
  <c r="S44" i="6"/>
  <c r="R44" i="6"/>
  <c r="Q44" i="6"/>
  <c r="P44" i="6"/>
  <c r="BA43" i="6"/>
  <c r="AZ43" i="6"/>
  <c r="AY43" i="6"/>
  <c r="AX43" i="6"/>
  <c r="AW43" i="6"/>
  <c r="AV43" i="6"/>
  <c r="AM43" i="6"/>
  <c r="AL43" i="6"/>
  <c r="AI43" i="6"/>
  <c r="AH43" i="6"/>
  <c r="AG43" i="6"/>
  <c r="AF43" i="6"/>
  <c r="W43" i="6"/>
  <c r="V43" i="6"/>
  <c r="S43" i="6"/>
  <c r="R43" i="6"/>
  <c r="Q43" i="6"/>
  <c r="P43" i="6"/>
  <c r="BA42" i="6"/>
  <c r="AZ42" i="6"/>
  <c r="AY42" i="6"/>
  <c r="AX42" i="6"/>
  <c r="AW42" i="6"/>
  <c r="AV42" i="6"/>
  <c r="AM42" i="6"/>
  <c r="AL42" i="6"/>
  <c r="AI42" i="6"/>
  <c r="AH42" i="6"/>
  <c r="AG42" i="6"/>
  <c r="AF42" i="6"/>
  <c r="W42" i="6"/>
  <c r="V42" i="6"/>
  <c r="S42" i="6"/>
  <c r="R42" i="6"/>
  <c r="Q42" i="6"/>
  <c r="P42" i="6"/>
  <c r="BA41" i="6"/>
  <c r="AZ41" i="6"/>
  <c r="AY41" i="6"/>
  <c r="AX41" i="6"/>
  <c r="AW41" i="6"/>
  <c r="AV41" i="6"/>
  <c r="AM41" i="6"/>
  <c r="AL41" i="6"/>
  <c r="AI41" i="6"/>
  <c r="AH41" i="6"/>
  <c r="AG41" i="6"/>
  <c r="AF41" i="6"/>
  <c r="W41" i="6"/>
  <c r="V41" i="6"/>
  <c r="S41" i="6"/>
  <c r="R41" i="6"/>
  <c r="Q41" i="6"/>
  <c r="P41" i="6"/>
  <c r="BA40" i="6"/>
  <c r="AZ40" i="6"/>
  <c r="AY40" i="6"/>
  <c r="AX40" i="6"/>
  <c r="AW40" i="6"/>
  <c r="AV40" i="6"/>
  <c r="AM40" i="6"/>
  <c r="AL40" i="6"/>
  <c r="AI40" i="6"/>
  <c r="AH40" i="6"/>
  <c r="AG40" i="6"/>
  <c r="AF40" i="6"/>
  <c r="W40" i="6"/>
  <c r="V40" i="6"/>
  <c r="S40" i="6"/>
  <c r="R40" i="6"/>
  <c r="Q40" i="6"/>
  <c r="P40" i="6"/>
  <c r="BA39" i="6"/>
  <c r="AZ39" i="6"/>
  <c r="AY39" i="6"/>
  <c r="AX39" i="6"/>
  <c r="AW39" i="6"/>
  <c r="AV39" i="6"/>
  <c r="AM39" i="6"/>
  <c r="AL39" i="6"/>
  <c r="AI39" i="6"/>
  <c r="AH39" i="6"/>
  <c r="AG39" i="6"/>
  <c r="AF39" i="6"/>
  <c r="W39" i="6"/>
  <c r="V39" i="6"/>
  <c r="S39" i="6"/>
  <c r="R39" i="6"/>
  <c r="Q39" i="6"/>
  <c r="P39" i="6"/>
  <c r="BA38" i="6"/>
  <c r="AZ38" i="6"/>
  <c r="AY38" i="6"/>
  <c r="AX38" i="6"/>
  <c r="AW38" i="6"/>
  <c r="AV38" i="6"/>
  <c r="AM38" i="6"/>
  <c r="AL38" i="6"/>
  <c r="AI38" i="6"/>
  <c r="AH38" i="6"/>
  <c r="AG38" i="6"/>
  <c r="AF38" i="6"/>
  <c r="W38" i="6"/>
  <c r="V38" i="6"/>
  <c r="S38" i="6"/>
  <c r="R38" i="6"/>
  <c r="Q38" i="6"/>
  <c r="P38" i="6"/>
  <c r="BA37" i="6"/>
  <c r="AZ37" i="6"/>
  <c r="AY37" i="6"/>
  <c r="AX37" i="6"/>
  <c r="AW37" i="6"/>
  <c r="AV37" i="6"/>
  <c r="AM37" i="6"/>
  <c r="AL37" i="6"/>
  <c r="AI37" i="6"/>
  <c r="AH37" i="6"/>
  <c r="AG37" i="6"/>
  <c r="AF37" i="6"/>
  <c r="W37" i="6"/>
  <c r="V37" i="6"/>
  <c r="S37" i="6"/>
  <c r="R37" i="6"/>
  <c r="Q37" i="6"/>
  <c r="P37" i="6"/>
  <c r="BA36" i="6"/>
  <c r="AZ36" i="6"/>
  <c r="AY36" i="6"/>
  <c r="AX36" i="6"/>
  <c r="AW36" i="6"/>
  <c r="AV36" i="6"/>
  <c r="AM36" i="6"/>
  <c r="AL36" i="6"/>
  <c r="AI36" i="6"/>
  <c r="AH36" i="6"/>
  <c r="AG36" i="6"/>
  <c r="AF36" i="6"/>
  <c r="W36" i="6"/>
  <c r="V36" i="6"/>
  <c r="S36" i="6"/>
  <c r="R36" i="6"/>
  <c r="Q36" i="6"/>
  <c r="P36" i="6"/>
  <c r="BA35" i="6"/>
  <c r="AZ35" i="6"/>
  <c r="AY35" i="6"/>
  <c r="AX35" i="6"/>
  <c r="AW35" i="6"/>
  <c r="AV35" i="6"/>
  <c r="AM35" i="6"/>
  <c r="AL35" i="6"/>
  <c r="AI35" i="6"/>
  <c r="AH35" i="6"/>
  <c r="AG35" i="6"/>
  <c r="AF35" i="6"/>
  <c r="W35" i="6"/>
  <c r="V35" i="6"/>
  <c r="S35" i="6"/>
  <c r="R35" i="6"/>
  <c r="Q35" i="6"/>
  <c r="P35" i="6"/>
  <c r="BA34" i="6"/>
  <c r="AZ34" i="6"/>
  <c r="AY34" i="6"/>
  <c r="AX34" i="6"/>
  <c r="AW34" i="6"/>
  <c r="AV34" i="6"/>
  <c r="AM34" i="6"/>
  <c r="AL34" i="6"/>
  <c r="AI34" i="6"/>
  <c r="AH34" i="6"/>
  <c r="AG34" i="6"/>
  <c r="AF34" i="6"/>
  <c r="W34" i="6"/>
  <c r="V34" i="6"/>
  <c r="S34" i="6"/>
  <c r="R34" i="6"/>
  <c r="Q34" i="6"/>
  <c r="P34" i="6"/>
  <c r="BA33" i="6"/>
  <c r="AZ33" i="6"/>
  <c r="AY33" i="6"/>
  <c r="AX33" i="6"/>
  <c r="AW33" i="6"/>
  <c r="AV33" i="6"/>
  <c r="AM33" i="6"/>
  <c r="AL33" i="6"/>
  <c r="AI33" i="6"/>
  <c r="AH33" i="6"/>
  <c r="AG33" i="6"/>
  <c r="AF33" i="6"/>
  <c r="W33" i="6"/>
  <c r="V33" i="6"/>
  <c r="S33" i="6"/>
  <c r="R33" i="6"/>
  <c r="Q33" i="6"/>
  <c r="P33" i="6"/>
  <c r="BA32" i="6"/>
  <c r="AZ32" i="6"/>
  <c r="AY32" i="6"/>
  <c r="AX32" i="6"/>
  <c r="AW32" i="6"/>
  <c r="AV32" i="6"/>
  <c r="AM32" i="6"/>
  <c r="AL32" i="6"/>
  <c r="AI32" i="6"/>
  <c r="AH32" i="6"/>
  <c r="AG32" i="6"/>
  <c r="AF32" i="6"/>
  <c r="W32" i="6"/>
  <c r="V32" i="6"/>
  <c r="S32" i="6"/>
  <c r="R32" i="6"/>
  <c r="Q32" i="6"/>
  <c r="P32" i="6"/>
  <c r="BA31" i="6"/>
  <c r="AZ31" i="6"/>
  <c r="AY31" i="6"/>
  <c r="AX31" i="6"/>
  <c r="AW31" i="6"/>
  <c r="AV31" i="6"/>
  <c r="AM31" i="6"/>
  <c r="AL31" i="6"/>
  <c r="AI31" i="6"/>
  <c r="AH31" i="6"/>
  <c r="AG31" i="6"/>
  <c r="AF31" i="6"/>
  <c r="W31" i="6"/>
  <c r="V31" i="6"/>
  <c r="S31" i="6"/>
  <c r="R31" i="6"/>
  <c r="Q31" i="6"/>
  <c r="P31" i="6"/>
  <c r="BA30" i="6"/>
  <c r="AZ30" i="6"/>
  <c r="AY30" i="6"/>
  <c r="AX30" i="6"/>
  <c r="AW30" i="6"/>
  <c r="AV30" i="6"/>
  <c r="AM30" i="6"/>
  <c r="AL30" i="6"/>
  <c r="AI30" i="6"/>
  <c r="AH30" i="6"/>
  <c r="AG30" i="6"/>
  <c r="AF30" i="6"/>
  <c r="W30" i="6"/>
  <c r="V30" i="6"/>
  <c r="S30" i="6"/>
  <c r="R30" i="6"/>
  <c r="Q30" i="6"/>
  <c r="P30" i="6"/>
  <c r="BA29" i="6"/>
  <c r="AZ29" i="6"/>
  <c r="AY29" i="6"/>
  <c r="AX29" i="6"/>
  <c r="AW29" i="6"/>
  <c r="AV29" i="6"/>
  <c r="AM29" i="6"/>
  <c r="AL29" i="6"/>
  <c r="AI29" i="6"/>
  <c r="AH29" i="6"/>
  <c r="AG29" i="6"/>
  <c r="AF29" i="6"/>
  <c r="W29" i="6"/>
  <c r="V29" i="6"/>
  <c r="S29" i="6"/>
  <c r="R29" i="6"/>
  <c r="Q29" i="6"/>
  <c r="P29" i="6"/>
  <c r="BA28" i="6"/>
  <c r="AZ28" i="6"/>
  <c r="AY28" i="6"/>
  <c r="AX28" i="6"/>
  <c r="AW28" i="6"/>
  <c r="AV28" i="6"/>
  <c r="AM28" i="6"/>
  <c r="AL28" i="6"/>
  <c r="AI28" i="6"/>
  <c r="AH28" i="6"/>
  <c r="AG28" i="6"/>
  <c r="AF28" i="6"/>
  <c r="W28" i="6"/>
  <c r="V28" i="6"/>
  <c r="S28" i="6"/>
  <c r="R28" i="6"/>
  <c r="Q28" i="6"/>
  <c r="P28" i="6"/>
  <c r="BA27" i="6"/>
  <c r="AZ27" i="6"/>
  <c r="AY27" i="6"/>
  <c r="AX27" i="6"/>
  <c r="AW27" i="6"/>
  <c r="AV27" i="6"/>
  <c r="AM27" i="6"/>
  <c r="AL27" i="6"/>
  <c r="AI27" i="6"/>
  <c r="AH27" i="6"/>
  <c r="AG27" i="6"/>
  <c r="AF27" i="6"/>
  <c r="W27" i="6"/>
  <c r="V27" i="6"/>
  <c r="S27" i="6"/>
  <c r="R27" i="6"/>
  <c r="Q27" i="6"/>
  <c r="P27" i="6"/>
  <c r="BA26" i="6"/>
  <c r="AZ26" i="6"/>
  <c r="AY26" i="6"/>
  <c r="AX26" i="6"/>
  <c r="AW26" i="6"/>
  <c r="AV26" i="6"/>
  <c r="AM26" i="6"/>
  <c r="AL26" i="6"/>
  <c r="AI26" i="6"/>
  <c r="AH26" i="6"/>
  <c r="AG26" i="6"/>
  <c r="AF26" i="6"/>
  <c r="W26" i="6"/>
  <c r="V26" i="6"/>
  <c r="S26" i="6"/>
  <c r="R26" i="6"/>
  <c r="Q26" i="6"/>
  <c r="P26" i="6"/>
  <c r="BA25" i="6"/>
  <c r="AZ25" i="6"/>
  <c r="AY25" i="6"/>
  <c r="AX25" i="6"/>
  <c r="AW25" i="6"/>
  <c r="AV25" i="6"/>
  <c r="AM25" i="6"/>
  <c r="AL25" i="6"/>
  <c r="AI25" i="6"/>
  <c r="AH25" i="6"/>
  <c r="AG25" i="6"/>
  <c r="AF25" i="6"/>
  <c r="W25" i="6"/>
  <c r="V25" i="6"/>
  <c r="S25" i="6"/>
  <c r="R25" i="6"/>
  <c r="Q25" i="6"/>
  <c r="P25" i="6"/>
  <c r="BA24" i="6"/>
  <c r="AZ24" i="6"/>
  <c r="AY24" i="6"/>
  <c r="AX24" i="6"/>
  <c r="AW24" i="6"/>
  <c r="AV24" i="6"/>
  <c r="AM24" i="6"/>
  <c r="AL24" i="6"/>
  <c r="AI24" i="6"/>
  <c r="AH24" i="6"/>
  <c r="AG24" i="6"/>
  <c r="AF24" i="6"/>
  <c r="W24" i="6"/>
  <c r="V24" i="6"/>
  <c r="S24" i="6"/>
  <c r="R24" i="6"/>
  <c r="Q24" i="6"/>
  <c r="P24" i="6"/>
  <c r="BA23" i="6"/>
  <c r="AZ23" i="6"/>
  <c r="AY23" i="6"/>
  <c r="AX23" i="6"/>
  <c r="AW23" i="6"/>
  <c r="AV23" i="6"/>
  <c r="AM23" i="6"/>
  <c r="AL23" i="6"/>
  <c r="AI23" i="6"/>
  <c r="AH23" i="6"/>
  <c r="AG23" i="6"/>
  <c r="AF23" i="6"/>
  <c r="W23" i="6"/>
  <c r="V23" i="6"/>
  <c r="S23" i="6"/>
  <c r="R23" i="6"/>
  <c r="Q23" i="6"/>
  <c r="P23" i="6"/>
  <c r="BA22" i="6"/>
  <c r="AZ22" i="6"/>
  <c r="AY22" i="6"/>
  <c r="AX22" i="6"/>
  <c r="AW22" i="6"/>
  <c r="AV22" i="6"/>
  <c r="AM22" i="6"/>
  <c r="AL22" i="6"/>
  <c r="AI22" i="6"/>
  <c r="AH22" i="6"/>
  <c r="AG22" i="6"/>
  <c r="AF22" i="6"/>
  <c r="W22" i="6"/>
  <c r="V22" i="6"/>
  <c r="S22" i="6"/>
  <c r="R22" i="6"/>
  <c r="Q22" i="6"/>
  <c r="P22" i="6"/>
  <c r="BA21" i="6"/>
  <c r="AZ21" i="6"/>
  <c r="AY21" i="6"/>
  <c r="AX21" i="6"/>
  <c r="AW21" i="6"/>
  <c r="AV21" i="6"/>
  <c r="AM21" i="6"/>
  <c r="AL21" i="6"/>
  <c r="AI21" i="6"/>
  <c r="AH21" i="6"/>
  <c r="AG21" i="6"/>
  <c r="AF21" i="6"/>
  <c r="W21" i="6"/>
  <c r="V21" i="6"/>
  <c r="S21" i="6"/>
  <c r="R21" i="6"/>
  <c r="Q21" i="6"/>
  <c r="P21" i="6"/>
  <c r="BA20" i="6"/>
  <c r="AZ20" i="6"/>
  <c r="AY20" i="6"/>
  <c r="AX20" i="6"/>
  <c r="AW20" i="6"/>
  <c r="AV20" i="6"/>
  <c r="AM20" i="6"/>
  <c r="AL20" i="6"/>
  <c r="AI20" i="6"/>
  <c r="AH20" i="6"/>
  <c r="AG20" i="6"/>
  <c r="AF20" i="6"/>
  <c r="W20" i="6"/>
  <c r="V20" i="6"/>
  <c r="S20" i="6"/>
  <c r="R20" i="6"/>
  <c r="Q20" i="6"/>
  <c r="P20" i="6"/>
  <c r="BA19" i="6"/>
  <c r="AZ19" i="6"/>
  <c r="AY19" i="6"/>
  <c r="AX19" i="6"/>
  <c r="AW19" i="6"/>
  <c r="AV19" i="6"/>
  <c r="AM19" i="6"/>
  <c r="AL19" i="6"/>
  <c r="AI19" i="6"/>
  <c r="AH19" i="6"/>
  <c r="AG19" i="6"/>
  <c r="AF19" i="6"/>
  <c r="W19" i="6"/>
  <c r="V19" i="6"/>
  <c r="S19" i="6"/>
  <c r="R19" i="6"/>
  <c r="Q19" i="6"/>
  <c r="P19" i="6"/>
  <c r="BA18" i="6"/>
  <c r="AZ18" i="6"/>
  <c r="AY18" i="6"/>
  <c r="AX18" i="6"/>
  <c r="AW18" i="6"/>
  <c r="AV18" i="6"/>
  <c r="AM18" i="6"/>
  <c r="AL18" i="6"/>
  <c r="AI18" i="6"/>
  <c r="AH18" i="6"/>
  <c r="AG18" i="6"/>
  <c r="AF18" i="6"/>
  <c r="W18" i="6"/>
  <c r="V18" i="6"/>
  <c r="S18" i="6"/>
  <c r="R18" i="6"/>
  <c r="Q18" i="6"/>
  <c r="P18" i="6"/>
  <c r="BA17" i="6"/>
  <c r="AZ17" i="6"/>
  <c r="AY17" i="6"/>
  <c r="AX17" i="6"/>
  <c r="AW17" i="6"/>
  <c r="AV17" i="6"/>
  <c r="AM17" i="6"/>
  <c r="AL17" i="6"/>
  <c r="AI17" i="6"/>
  <c r="AH17" i="6"/>
  <c r="AG17" i="6"/>
  <c r="AF17" i="6"/>
  <c r="W17" i="6"/>
  <c r="V17" i="6"/>
  <c r="S17" i="6"/>
  <c r="R17" i="6"/>
  <c r="Q17" i="6"/>
  <c r="P17" i="6"/>
  <c r="BA16" i="6"/>
  <c r="AZ16" i="6"/>
  <c r="AY16" i="6"/>
  <c r="AX16" i="6"/>
  <c r="AW16" i="6"/>
  <c r="AV16" i="6"/>
  <c r="AM16" i="6"/>
  <c r="AL16" i="6"/>
  <c r="AI16" i="6"/>
  <c r="AH16" i="6"/>
  <c r="AG16" i="6"/>
  <c r="AF16" i="6"/>
  <c r="W16" i="6"/>
  <c r="V16" i="6"/>
  <c r="S16" i="6"/>
  <c r="R16" i="6"/>
  <c r="Q16" i="6"/>
  <c r="P16" i="6"/>
  <c r="BA15" i="6"/>
  <c r="AZ15" i="6"/>
  <c r="AY15" i="6"/>
  <c r="AX15" i="6"/>
  <c r="AW15" i="6"/>
  <c r="AV15" i="6"/>
  <c r="AM15" i="6"/>
  <c r="AL15" i="6"/>
  <c r="AI15" i="6"/>
  <c r="AH15" i="6"/>
  <c r="AG15" i="6"/>
  <c r="AF15" i="6"/>
  <c r="W15" i="6"/>
  <c r="V15" i="6"/>
  <c r="S15" i="6"/>
  <c r="R15" i="6"/>
  <c r="Q15" i="6"/>
  <c r="P15" i="6"/>
  <c r="BA14" i="6"/>
  <c r="AZ14" i="6"/>
  <c r="AY14" i="6"/>
  <c r="AX14" i="6"/>
  <c r="AW14" i="6"/>
  <c r="AV14" i="6"/>
  <c r="AM14" i="6"/>
  <c r="AL14" i="6"/>
  <c r="AI14" i="6"/>
  <c r="AH14" i="6"/>
  <c r="AG14" i="6"/>
  <c r="AF14" i="6"/>
  <c r="W14" i="6"/>
  <c r="V14" i="6"/>
  <c r="S14" i="6"/>
  <c r="R14" i="6"/>
  <c r="Q14" i="6"/>
  <c r="P14" i="6"/>
  <c r="BA13" i="6"/>
  <c r="AZ13" i="6"/>
  <c r="AY13" i="6"/>
  <c r="AX13" i="6"/>
  <c r="AW13" i="6"/>
  <c r="AV13" i="6"/>
  <c r="AM13" i="6"/>
  <c r="AL13" i="6"/>
  <c r="AI13" i="6"/>
  <c r="AH13" i="6"/>
  <c r="AG13" i="6"/>
  <c r="AF13" i="6"/>
  <c r="W13" i="6"/>
  <c r="V13" i="6"/>
  <c r="S13" i="6"/>
  <c r="R13" i="6"/>
  <c r="Q13" i="6"/>
  <c r="P13" i="6"/>
  <c r="BA12" i="6"/>
  <c r="AZ12" i="6"/>
  <c r="AY12" i="6"/>
  <c r="AX12" i="6"/>
  <c r="AW12" i="6"/>
  <c r="AV12" i="6"/>
  <c r="AM12" i="6"/>
  <c r="AL12" i="6"/>
  <c r="AI12" i="6"/>
  <c r="AH12" i="6"/>
  <c r="AG12" i="6"/>
  <c r="AF12" i="6"/>
  <c r="W12" i="6"/>
  <c r="V12" i="6"/>
  <c r="S12" i="6"/>
  <c r="R12" i="6"/>
  <c r="Q12" i="6"/>
  <c r="P12" i="6"/>
  <c r="BA11" i="6"/>
  <c r="AZ11" i="6"/>
  <c r="AY11" i="6"/>
  <c r="AX11" i="6"/>
  <c r="AW11" i="6"/>
  <c r="AV11" i="6"/>
  <c r="AM11" i="6"/>
  <c r="AL11" i="6"/>
  <c r="AI11" i="6"/>
  <c r="AH11" i="6"/>
  <c r="AG11" i="6"/>
  <c r="AF11" i="6"/>
  <c r="W11" i="6"/>
  <c r="V11" i="6"/>
  <c r="S11" i="6"/>
  <c r="R11" i="6"/>
  <c r="Q11" i="6"/>
  <c r="P11" i="6"/>
  <c r="BA10" i="6"/>
  <c r="AZ10" i="6"/>
  <c r="AY10" i="6"/>
  <c r="AX10" i="6"/>
  <c r="AW10" i="6"/>
  <c r="AV10" i="6"/>
  <c r="AM10" i="6"/>
  <c r="AL10" i="6"/>
  <c r="AI10" i="6"/>
  <c r="AH10" i="6"/>
  <c r="AG10" i="6"/>
  <c r="AF10" i="6"/>
  <c r="W10" i="6"/>
  <c r="V10" i="6"/>
  <c r="S10" i="6"/>
  <c r="R10" i="6"/>
  <c r="Q10" i="6"/>
  <c r="P10" i="6"/>
  <c r="BA9" i="6"/>
  <c r="AZ9" i="6"/>
  <c r="AY9" i="6"/>
  <c r="AX9" i="6"/>
  <c r="AW9" i="6"/>
  <c r="AV9" i="6"/>
  <c r="AM9" i="6"/>
  <c r="AL9" i="6"/>
  <c r="AI9" i="6"/>
  <c r="AH9" i="6"/>
  <c r="AG9" i="6"/>
  <c r="AF9" i="6"/>
  <c r="W9" i="6"/>
  <c r="V9" i="6"/>
  <c r="S9" i="6"/>
  <c r="R9" i="6"/>
  <c r="Q9" i="6"/>
  <c r="P9" i="6"/>
  <c r="BA8" i="6"/>
  <c r="AZ8" i="6"/>
  <c r="AY8" i="6"/>
  <c r="AX8" i="6"/>
  <c r="AW8" i="6"/>
  <c r="AV8" i="6"/>
  <c r="AM8" i="6"/>
  <c r="AL8" i="6"/>
  <c r="AI8" i="6"/>
  <c r="AH8" i="6"/>
  <c r="AG8" i="6"/>
  <c r="AF8" i="6"/>
  <c r="W8" i="6"/>
  <c r="V8" i="6"/>
  <c r="S8" i="6"/>
  <c r="R8" i="6"/>
  <c r="Q8" i="6"/>
  <c r="P8" i="6"/>
  <c r="BA7" i="6"/>
  <c r="AZ7" i="6"/>
  <c r="AY7" i="6"/>
  <c r="AX7" i="6"/>
  <c r="AW7" i="6"/>
  <c r="AV7" i="6"/>
  <c r="AM7" i="6"/>
  <c r="AL7" i="6"/>
  <c r="AI7" i="6"/>
  <c r="AH7" i="6"/>
  <c r="AG7" i="6"/>
  <c r="AF7" i="6"/>
  <c r="W7" i="6"/>
  <c r="V7" i="6"/>
  <c r="S7" i="6"/>
  <c r="R7" i="6"/>
  <c r="Q7" i="6"/>
  <c r="P7" i="6"/>
  <c r="BA1" i="6"/>
  <c r="AZ1" i="6"/>
  <c r="AY1" i="6"/>
  <c r="AX1" i="6"/>
  <c r="AW1" i="6"/>
  <c r="AV1" i="6"/>
  <c r="AM1" i="6"/>
  <c r="AL1" i="6"/>
  <c r="AI1" i="6"/>
  <c r="AH1" i="6"/>
  <c r="AG1" i="6"/>
  <c r="AF1" i="6"/>
  <c r="W1" i="6"/>
  <c r="V1" i="6"/>
  <c r="S1" i="6"/>
  <c r="R1" i="6"/>
  <c r="Q1" i="6"/>
  <c r="P1" i="6"/>
  <c r="AB223" i="16"/>
  <c r="AW207" i="16"/>
  <c r="AV207" i="16"/>
  <c r="AU207" i="16"/>
  <c r="AR207" i="16"/>
  <c r="AQ207" i="16"/>
  <c r="AP207" i="16"/>
  <c r="W207" i="16"/>
  <c r="U207" i="16"/>
  <c r="S207" i="16"/>
  <c r="AW202" i="16"/>
  <c r="AV202" i="16"/>
  <c r="AU202" i="16"/>
  <c r="AR202" i="16"/>
  <c r="AQ202" i="16"/>
  <c r="AP202" i="16"/>
  <c r="AW197" i="16"/>
  <c r="AV197" i="16"/>
  <c r="AU197" i="16"/>
  <c r="AR197" i="16"/>
  <c r="AQ197" i="16"/>
  <c r="AP197" i="16"/>
  <c r="W191" i="16"/>
  <c r="U191" i="16"/>
  <c r="S191" i="16"/>
  <c r="AO180" i="16"/>
  <c r="AN180" i="16"/>
  <c r="AH180" i="16"/>
  <c r="AG180" i="16"/>
  <c r="AO179" i="16"/>
  <c r="AN179" i="16"/>
  <c r="AM179" i="16"/>
  <c r="AL179" i="16"/>
  <c r="AK179" i="16"/>
  <c r="AH179" i="16"/>
  <c r="AG179" i="16"/>
  <c r="AF179" i="16"/>
  <c r="AE179" i="16"/>
  <c r="AD179" i="16"/>
  <c r="BD177" i="16"/>
  <c r="BC177" i="16"/>
  <c r="BB177" i="16"/>
  <c r="BA177" i="16"/>
  <c r="AZ177" i="16"/>
  <c r="AW177" i="16"/>
  <c r="AV177" i="16"/>
  <c r="AU177" i="16"/>
  <c r="AT177" i="16"/>
  <c r="AS177" i="16"/>
  <c r="BD172" i="16"/>
  <c r="BC172" i="16"/>
  <c r="BB172" i="16"/>
  <c r="BA172" i="16"/>
  <c r="AZ172" i="16"/>
  <c r="AW172" i="16"/>
  <c r="AV172" i="16"/>
  <c r="AU172" i="16"/>
  <c r="AT172" i="16"/>
  <c r="AS172" i="16"/>
  <c r="BD167" i="16"/>
  <c r="BC167" i="16"/>
  <c r="BB167" i="16"/>
  <c r="BA167" i="16"/>
  <c r="AZ167" i="16"/>
  <c r="AW167" i="16"/>
  <c r="AV167" i="16"/>
  <c r="AU167" i="16"/>
  <c r="AT167" i="16"/>
  <c r="AS167" i="16"/>
  <c r="AA161" i="16"/>
  <c r="Y161" i="16"/>
  <c r="W161" i="16"/>
  <c r="U161" i="16"/>
  <c r="S161" i="16"/>
  <c r="AX25" i="16"/>
  <c r="AW25" i="16"/>
  <c r="AV25" i="16"/>
  <c r="AU25" i="16"/>
  <c r="AT25" i="16"/>
  <c r="AS25" i="16"/>
  <c r="AR25" i="16"/>
  <c r="AO25" i="16"/>
  <c r="AN25" i="16"/>
  <c r="AM25" i="16"/>
  <c r="AL25" i="16"/>
  <c r="AK25" i="16"/>
  <c r="AJ25" i="16"/>
  <c r="AI25" i="16"/>
  <c r="AX20" i="16"/>
  <c r="AW20" i="16"/>
  <c r="AV20" i="16"/>
  <c r="AU20" i="16"/>
  <c r="AT20" i="16"/>
  <c r="AS20" i="16"/>
  <c r="AR20" i="16"/>
  <c r="AO20" i="16"/>
  <c r="AN20" i="16"/>
  <c r="AM20" i="16"/>
  <c r="AL20" i="16"/>
  <c r="AK20" i="16"/>
  <c r="AJ20" i="16"/>
  <c r="AI20" i="16"/>
  <c r="AX15" i="16"/>
  <c r="AW15" i="16"/>
  <c r="AV15" i="16"/>
  <c r="AU15" i="16"/>
  <c r="AT15" i="16"/>
  <c r="AS15" i="16"/>
  <c r="AR15" i="16"/>
  <c r="AO15" i="16"/>
  <c r="AN15" i="16"/>
  <c r="AM15" i="16"/>
  <c r="AL15" i="16"/>
  <c r="AK15" i="16"/>
  <c r="AJ15" i="16"/>
  <c r="AI15" i="16"/>
  <c r="AE9" i="16"/>
  <c r="AC9" i="16"/>
  <c r="AA9" i="16"/>
  <c r="Y9" i="16"/>
  <c r="W9" i="16"/>
  <c r="U9" i="16"/>
  <c r="S9" i="16"/>
  <c r="G210" i="16"/>
  <c r="C199" i="16"/>
  <c r="Z179" i="16"/>
  <c r="T171" i="16"/>
  <c r="C163" i="16"/>
  <c r="E26" i="16"/>
  <c r="C200" i="16"/>
  <c r="E180" i="16"/>
  <c r="X173" i="16"/>
  <c r="R165" i="16"/>
  <c r="C211" i="16"/>
  <c r="E196" i="16"/>
  <c r="T175" i="16"/>
  <c r="G166" i="16"/>
  <c r="C28" i="16"/>
  <c r="E203" i="16"/>
  <c r="R176" i="16"/>
  <c r="T166" i="16"/>
  <c r="T23" i="16"/>
  <c r="G193" i="16"/>
  <c r="G173" i="16"/>
  <c r="T29" i="16"/>
  <c r="C23" i="16"/>
  <c r="X17" i="16"/>
  <c r="R12" i="16"/>
  <c r="E181" i="16"/>
  <c r="Z173" i="16"/>
  <c r="E163" i="16"/>
  <c r="AB22" i="16"/>
  <c r="V17" i="16"/>
  <c r="T198" i="16"/>
  <c r="AB29" i="16"/>
  <c r="C22" i="16"/>
  <c r="I16" i="16"/>
  <c r="G163" i="16"/>
  <c r="G205" i="16"/>
  <c r="G169" i="16"/>
  <c r="AB18" i="16"/>
  <c r="K12" i="16"/>
  <c r="C173" i="16"/>
  <c r="E24" i="16"/>
  <c r="E16" i="16"/>
  <c r="G206" i="16"/>
  <c r="T176" i="16"/>
  <c r="K28" i="16"/>
  <c r="AB17" i="16"/>
  <c r="C11" i="16"/>
  <c r="V166" i="16"/>
  <c r="C171" i="16"/>
  <c r="T16" i="16"/>
  <c r="T200" i="16"/>
  <c r="R16" i="16"/>
  <c r="G22" i="16"/>
  <c r="C12" i="16"/>
  <c r="M21" i="16"/>
  <c r="C181" i="16"/>
  <c r="K14" i="16"/>
  <c r="O17" i="16"/>
  <c r="C196" i="16"/>
  <c r="T12" i="16"/>
  <c r="V194" i="16"/>
  <c r="R171" i="16"/>
  <c r="E27" i="16"/>
  <c r="G176" i="16"/>
  <c r="X19" i="16"/>
  <c r="AD18" i="16"/>
  <c r="T21" i="16"/>
  <c r="E198" i="16"/>
  <c r="I12" i="16"/>
  <c r="V12" i="16"/>
  <c r="AD16" i="16"/>
  <c r="T179" i="16"/>
  <c r="V174" i="16"/>
  <c r="G200" i="16"/>
  <c r="E209" i="16"/>
  <c r="V198" i="16"/>
  <c r="R179" i="16"/>
  <c r="C170" i="16"/>
  <c r="C29" i="16"/>
  <c r="G211" i="16"/>
  <c r="V199" i="16"/>
  <c r="K179" i="16"/>
  <c r="I173" i="16"/>
  <c r="T163" i="16"/>
  <c r="V210" i="16"/>
  <c r="C195" i="16"/>
  <c r="C174" i="16"/>
  <c r="X165" i="16"/>
  <c r="AD27" i="16"/>
  <c r="R201" i="16"/>
  <c r="R175" i="16"/>
  <c r="T165" i="16"/>
  <c r="E23" i="16"/>
  <c r="Z180" i="16"/>
  <c r="I171" i="16"/>
  <c r="AB28" i="16"/>
  <c r="AD22" i="16"/>
  <c r="M17" i="16"/>
  <c r="G11" i="16"/>
  <c r="X180" i="16"/>
  <c r="Z171" i="16"/>
  <c r="K29" i="16"/>
  <c r="T22" i="16"/>
  <c r="I17" i="16"/>
  <c r="K178" i="16"/>
  <c r="R27" i="16"/>
  <c r="Z21" i="16"/>
  <c r="X14" i="16"/>
  <c r="AB27" i="16"/>
  <c r="G198" i="16"/>
  <c r="C165" i="16"/>
  <c r="O18" i="16"/>
  <c r="I11" i="16"/>
  <c r="R168" i="16"/>
  <c r="V23" i="16"/>
  <c r="V14" i="16"/>
  <c r="C205" i="16"/>
  <c r="X175" i="16"/>
  <c r="X26" i="16"/>
  <c r="R17" i="16"/>
  <c r="T209" i="16"/>
  <c r="O29" i="16"/>
  <c r="I166" i="16"/>
  <c r="T13" i="16"/>
  <c r="Z168" i="16"/>
  <c r="O12" i="16"/>
  <c r="R21" i="16"/>
  <c r="R209" i="16"/>
  <c r="T18" i="16"/>
  <c r="C179" i="16"/>
  <c r="AB13" i="16"/>
  <c r="AB16" i="16"/>
  <c r="G171" i="16"/>
  <c r="R11" i="16"/>
  <c r="V27" i="16"/>
  <c r="O28" i="16"/>
  <c r="O21" i="16"/>
  <c r="E166" i="16"/>
  <c r="R14" i="16"/>
  <c r="G24" i="16"/>
  <c r="G19" i="16"/>
  <c r="C21" i="16"/>
  <c r="X22" i="16"/>
  <c r="Z17" i="16"/>
  <c r="E29" i="16"/>
  <c r="K22" i="16"/>
  <c r="C208" i="16"/>
  <c r="R195" i="16"/>
  <c r="V176" i="16"/>
  <c r="V169" i="16"/>
  <c r="AD28" i="16"/>
  <c r="E210" i="16"/>
  <c r="R196" i="16"/>
  <c r="Z178" i="16"/>
  <c r="T170" i="16"/>
  <c r="Z29" i="16"/>
  <c r="T208" i="16"/>
  <c r="V173" i="16"/>
  <c r="I165" i="16"/>
  <c r="C194" i="16"/>
  <c r="R174" i="16"/>
  <c r="R164" i="16"/>
  <c r="V211" i="16"/>
  <c r="C180" i="16"/>
  <c r="I170" i="16"/>
  <c r="M28" i="16"/>
  <c r="V22" i="16"/>
  <c r="C16" i="16"/>
  <c r="T211" i="16"/>
  <c r="X179" i="16"/>
  <c r="E171" i="16"/>
  <c r="E28" i="16"/>
  <c r="E22" i="16"/>
  <c r="O16" i="16"/>
  <c r="E174" i="16"/>
  <c r="AD26" i="16"/>
  <c r="I21" i="16"/>
  <c r="I14" i="16"/>
  <c r="R23" i="16"/>
  <c r="T194" i="16"/>
  <c r="T28" i="16"/>
  <c r="T17" i="16"/>
  <c r="E211" i="16"/>
  <c r="G164" i="16"/>
  <c r="V21" i="16"/>
  <c r="C14" i="16"/>
  <c r="V203" i="16"/>
  <c r="V171" i="16"/>
  <c r="C24" i="16"/>
  <c r="X13" i="16"/>
  <c r="E208" i="16"/>
  <c r="AD21" i="16"/>
  <c r="X28" i="16"/>
  <c r="X168" i="16"/>
  <c r="C166" i="16"/>
  <c r="M11" i="16"/>
  <c r="O19" i="16"/>
  <c r="V204" i="16"/>
  <c r="M14" i="16"/>
  <c r="T174" i="16"/>
  <c r="G204" i="16"/>
  <c r="AD14" i="16"/>
  <c r="T169" i="16"/>
  <c r="O11" i="16"/>
  <c r="E193" i="16"/>
  <c r="G168" i="16"/>
  <c r="V208" i="16"/>
  <c r="C176" i="16"/>
  <c r="G28" i="16"/>
  <c r="R204" i="16"/>
  <c r="K171" i="16"/>
  <c r="Z163" i="16"/>
  <c r="T181" i="16"/>
  <c r="C203" i="16"/>
  <c r="I168" i="16"/>
  <c r="T14" i="16"/>
  <c r="AD24" i="16"/>
  <c r="R169" i="16"/>
  <c r="M12" i="16"/>
  <c r="R180" i="16"/>
  <c r="R28" i="16"/>
  <c r="C198" i="16"/>
  <c r="V200" i="16"/>
  <c r="K23" i="16"/>
  <c r="C13" i="16"/>
  <c r="T24" i="16"/>
  <c r="T203" i="16"/>
  <c r="Z181" i="16"/>
  <c r="X174" i="16"/>
  <c r="Z166" i="16"/>
  <c r="O27" i="16"/>
  <c r="V206" i="16"/>
  <c r="C193" i="16"/>
  <c r="V175" i="16"/>
  <c r="E168" i="16"/>
  <c r="X27" i="16"/>
  <c r="G203" i="16"/>
  <c r="G179" i="16"/>
  <c r="Z170" i="16"/>
  <c r="R163" i="16"/>
  <c r="G209" i="16"/>
  <c r="I180" i="16"/>
  <c r="K170" i="16"/>
  <c r="G27" i="16"/>
  <c r="C201" i="16"/>
  <c r="K176" i="16"/>
  <c r="V26" i="16"/>
  <c r="Z19" i="16"/>
  <c r="E14" i="16"/>
  <c r="G199" i="16"/>
  <c r="Z175" i="16"/>
  <c r="E165" i="16"/>
  <c r="V24" i="16"/>
  <c r="M19" i="16"/>
  <c r="R210" i="16"/>
  <c r="G165" i="16"/>
  <c r="K24" i="16"/>
  <c r="R18" i="16"/>
  <c r="C19" i="16"/>
  <c r="C178" i="16"/>
  <c r="X21" i="16"/>
  <c r="Z13" i="16"/>
  <c r="V195" i="16"/>
  <c r="C27" i="16"/>
  <c r="Z18" i="16"/>
  <c r="V11" i="16"/>
  <c r="T195" i="16"/>
  <c r="X166" i="16"/>
  <c r="V19" i="16"/>
  <c r="G12" i="16"/>
  <c r="E199" i="16"/>
  <c r="AB21" i="16"/>
  <c r="M16" i="16"/>
  <c r="C206" i="16"/>
  <c r="G194" i="16"/>
  <c r="E176" i="16"/>
  <c r="E169" i="16"/>
  <c r="V28" i="16"/>
  <c r="C209" i="16"/>
  <c r="G195" i="16"/>
  <c r="R178" i="16"/>
  <c r="C169" i="16"/>
  <c r="R29" i="16"/>
  <c r="T206" i="16"/>
  <c r="G181" i="16"/>
  <c r="E173" i="16"/>
  <c r="K164" i="16"/>
  <c r="I27" i="16"/>
  <c r="R193" i="16"/>
  <c r="R173" i="16"/>
  <c r="K163" i="16"/>
  <c r="G208" i="16"/>
  <c r="E179" i="16"/>
  <c r="I169" i="16"/>
  <c r="Z27" i="16"/>
  <c r="I22" i="16"/>
  <c r="AB14" i="16"/>
  <c r="R206" i="16"/>
  <c r="Z176" i="16"/>
  <c r="E170" i="16"/>
  <c r="R26" i="16"/>
  <c r="K21" i="16"/>
  <c r="Z14" i="16"/>
  <c r="T173" i="16"/>
  <c r="G26" i="16"/>
  <c r="K19" i="16"/>
  <c r="R13" i="16"/>
  <c r="O22" i="16"/>
  <c r="X181" i="16"/>
  <c r="K27" i="16"/>
  <c r="G16" i="16"/>
  <c r="E205" i="16"/>
  <c r="V163" i="16"/>
  <c r="E21" i="16"/>
  <c r="M13" i="16"/>
  <c r="R199" i="16"/>
  <c r="X170" i="16"/>
  <c r="R22" i="16"/>
  <c r="I13" i="16"/>
  <c r="E206" i="16"/>
  <c r="X18" i="16"/>
  <c r="M23" i="16"/>
  <c r="AD29" i="16"/>
  <c r="R24" i="16"/>
  <c r="G13" i="16"/>
  <c r="V18" i="16"/>
  <c r="V193" i="16"/>
  <c r="AD13" i="16"/>
  <c r="X169" i="16"/>
  <c r="G196" i="16"/>
  <c r="V13" i="16"/>
  <c r="Z28" i="16"/>
  <c r="M26" i="16"/>
  <c r="V205" i="16"/>
  <c r="G175" i="16"/>
  <c r="I28" i="16"/>
  <c r="E194" i="16"/>
  <c r="V168" i="16"/>
  <c r="T180" i="16"/>
  <c r="O26" i="16"/>
  <c r="E178" i="16"/>
  <c r="T205" i="16"/>
  <c r="AB24" i="16"/>
  <c r="G14" i="16"/>
  <c r="C168" i="16"/>
  <c r="I23" i="16"/>
  <c r="V178" i="16"/>
  <c r="R166" i="16"/>
  <c r="X163" i="16"/>
  <c r="T210" i="16"/>
  <c r="R203" i="16"/>
  <c r="K180" i="16"/>
  <c r="M22" i="16"/>
  <c r="Z23" i="16"/>
  <c r="G170" i="16"/>
  <c r="T26" i="16"/>
  <c r="I164" i="16"/>
  <c r="C17" i="16"/>
  <c r="E195" i="16"/>
  <c r="Z16" i="16"/>
  <c r="R181" i="16"/>
  <c r="O24" i="16"/>
  <c r="X16" i="16"/>
  <c r="T178" i="16"/>
  <c r="AD12" i="16"/>
  <c r="C26" i="16"/>
  <c r="C175" i="16"/>
  <c r="V16" i="16"/>
  <c r="AB12" i="16"/>
  <c r="V201" i="16"/>
  <c r="Z174" i="16"/>
  <c r="E11" i="16"/>
  <c r="K26" i="16"/>
  <c r="R211" i="16"/>
  <c r="T164" i="16"/>
  <c r="G174" i="16"/>
  <c r="I178" i="16"/>
  <c r="G178" i="16"/>
  <c r="K174" i="16"/>
  <c r="K13" i="16"/>
  <c r="X23" i="16"/>
  <c r="V179" i="16"/>
  <c r="E13" i="16"/>
  <c r="K17" i="16"/>
  <c r="Z165" i="16"/>
  <c r="R198" i="16"/>
  <c r="Z24" i="16"/>
  <c r="X164" i="16"/>
  <c r="T204" i="16"/>
  <c r="X29" i="16"/>
  <c r="T196" i="16"/>
  <c r="G21" i="16"/>
  <c r="V165" i="16"/>
  <c r="G180" i="16"/>
  <c r="AB23" i="16"/>
  <c r="X11" i="16"/>
  <c r="I29" i="16"/>
  <c r="R208" i="16"/>
  <c r="E204" i="16"/>
  <c r="AD11" i="16"/>
  <c r="I175" i="16"/>
  <c r="G201" i="16"/>
  <c r="AB26" i="16"/>
  <c r="K166" i="16"/>
  <c r="R170" i="16"/>
  <c r="K169" i="16"/>
  <c r="K165" i="16"/>
  <c r="Z12" i="16"/>
  <c r="O23" i="16"/>
  <c r="G23" i="16"/>
  <c r="X176" i="16"/>
  <c r="Z26" i="16"/>
  <c r="C164" i="16"/>
  <c r="T201" i="16"/>
  <c r="E18" i="16"/>
  <c r="T168" i="16"/>
  <c r="X171" i="16"/>
  <c r="E17" i="16"/>
  <c r="I163" i="16"/>
  <c r="M18" i="16"/>
  <c r="I26" i="16"/>
  <c r="M29" i="16"/>
  <c r="R205" i="16"/>
  <c r="K18" i="16"/>
  <c r="AD19" i="16"/>
  <c r="I174" i="16"/>
  <c r="R200" i="16"/>
  <c r="K11" i="16"/>
  <c r="Z11" i="16"/>
  <c r="K173" i="16"/>
  <c r="V180" i="16"/>
  <c r="T199" i="16"/>
  <c r="C204" i="16"/>
  <c r="V196" i="16"/>
  <c r="R19" i="16"/>
  <c r="Z164" i="16"/>
  <c r="V164" i="16"/>
  <c r="Z169" i="16"/>
  <c r="X12" i="16"/>
  <c r="V209" i="16"/>
  <c r="T11" i="16"/>
  <c r="E12" i="16"/>
  <c r="K16" i="16"/>
  <c r="T193" i="16"/>
  <c r="V170" i="16"/>
  <c r="E175" i="16"/>
  <c r="X178" i="16"/>
  <c r="I179" i="16"/>
  <c r="K175" i="16"/>
  <c r="G18" i="16"/>
  <c r="E164" i="16"/>
  <c r="I18" i="16"/>
  <c r="V181" i="16"/>
  <c r="R194" i="16"/>
  <c r="I181" i="16"/>
  <c r="O14" i="16"/>
  <c r="T27" i="16"/>
  <c r="I24" i="16"/>
  <c r="C210" i="16"/>
  <c r="I176" i="16"/>
  <c r="AD23" i="16"/>
  <c r="T19" i="16"/>
  <c r="E200" i="16"/>
  <c r="K168" i="16"/>
  <c r="C18" i="16"/>
  <c r="V29" i="16"/>
  <c r="G29" i="16"/>
  <c r="M27" i="16"/>
  <c r="AD17" i="16"/>
  <c r="E19" i="16"/>
  <c r="Z22" i="16"/>
  <c r="E201" i="16"/>
  <c r="X24" i="16"/>
  <c r="I19" i="16"/>
  <c r="AB19" i="16"/>
  <c r="AB11" i="16"/>
  <c r="K181" i="16"/>
  <c r="M24" i="16"/>
  <c r="O13" i="16"/>
  <c r="G17" i="16"/>
  <c r="AH161" i="16" l="1"/>
  <c r="AW11" i="16"/>
  <c r="AX12" i="16"/>
  <c r="AM22" i="16"/>
  <c r="AA22" i="16"/>
  <c r="AN26" i="16"/>
  <c r="AC26" i="16"/>
  <c r="AE11" i="16"/>
  <c r="AO11" i="16"/>
  <c r="AR11" i="16"/>
  <c r="AS12" i="16"/>
  <c r="AV16" i="16"/>
  <c r="AA17" i="16"/>
  <c r="AM17" i="16"/>
  <c r="AV23" i="16"/>
  <c r="AS24" i="16"/>
  <c r="AV28" i="16"/>
  <c r="BA169" i="16"/>
  <c r="AU171" i="16"/>
  <c r="W171" i="16"/>
  <c r="S196" i="16"/>
  <c r="AP196" i="16"/>
  <c r="AU203" i="16"/>
  <c r="BB170" i="16"/>
  <c r="AV175" i="16"/>
  <c r="Y175" i="16"/>
  <c r="W200" i="16"/>
  <c r="AR200" i="16"/>
  <c r="AT13" i="16"/>
  <c r="AX14" i="16"/>
  <c r="AW16" i="16"/>
  <c r="AO17" i="16"/>
  <c r="AE17" i="16"/>
  <c r="AX19" i="16"/>
  <c r="AV22" i="16"/>
  <c r="BC164" i="16"/>
  <c r="BB178" i="16"/>
  <c r="AR196" i="16"/>
  <c r="W196" i="16"/>
  <c r="AR204" i="16"/>
  <c r="W204" i="16"/>
  <c r="AW13" i="16"/>
  <c r="AM14" i="16"/>
  <c r="AA14" i="16"/>
  <c r="U18" i="16"/>
  <c r="AJ18" i="16"/>
  <c r="AX23" i="16"/>
  <c r="AS27" i="16"/>
  <c r="AJ29" i="16"/>
  <c r="U29" i="16"/>
  <c r="BC169" i="16"/>
  <c r="BA174" i="16"/>
  <c r="AS179" i="16"/>
  <c r="S179" i="16"/>
  <c r="S181" i="16"/>
  <c r="AS181" i="16"/>
  <c r="AV193" i="16"/>
  <c r="AV11" i="16"/>
  <c r="AW12" i="16"/>
  <c r="S13" i="16"/>
  <c r="AI13" i="16"/>
  <c r="AX13" i="16"/>
  <c r="AN14" i="16"/>
  <c r="AC14" i="16"/>
  <c r="AS18" i="16"/>
  <c r="AN21" i="16"/>
  <c r="AC21" i="16"/>
  <c r="AL26" i="16"/>
  <c r="Y26" i="16"/>
  <c r="AK29" i="16"/>
  <c r="W29" i="16"/>
  <c r="AU170" i="16"/>
  <c r="W170" i="16"/>
  <c r="BB174" i="16"/>
  <c r="AW193" i="16"/>
  <c r="AW204" i="16"/>
  <c r="AU209" i="16"/>
  <c r="AI12" i="16"/>
  <c r="S12" i="16"/>
  <c r="AJ13" i="16"/>
  <c r="U13" i="16"/>
  <c r="AE14" i="16"/>
  <c r="AO14" i="16"/>
  <c r="AA16" i="16"/>
  <c r="AM16" i="16"/>
  <c r="AV17" i="16"/>
  <c r="AT18" i="16"/>
  <c r="AE19" i="16"/>
  <c r="AO19" i="16"/>
  <c r="AR21" i="16"/>
  <c r="AK22" i="16"/>
  <c r="W22" i="16"/>
  <c r="AM26" i="16"/>
  <c r="AA26" i="16"/>
  <c r="AL29" i="16"/>
  <c r="Y29" i="16"/>
  <c r="BB165" i="16"/>
  <c r="BA179" i="16"/>
  <c r="W13" i="16"/>
  <c r="AK13" i="16"/>
  <c r="AN11" i="16"/>
  <c r="AC11" i="16"/>
  <c r="AE12" i="16"/>
  <c r="AO12" i="16"/>
  <c r="AR16" i="16"/>
  <c r="AJ17" i="16"/>
  <c r="U17" i="16"/>
  <c r="AS19" i="16"/>
  <c r="AC22" i="16"/>
  <c r="AN22" i="16"/>
  <c r="AM23" i="16"/>
  <c r="AA23" i="16"/>
  <c r="AR24" i="16"/>
  <c r="S166" i="16"/>
  <c r="AS166" i="16"/>
  <c r="BD168" i="16"/>
  <c r="AV200" i="16"/>
  <c r="AV210" i="16"/>
  <c r="AJ12" i="16"/>
  <c r="U12" i="16"/>
  <c r="AN16" i="16"/>
  <c r="AC16" i="16"/>
  <c r="AL23" i="16"/>
  <c r="Y23" i="16"/>
  <c r="AX29" i="16"/>
  <c r="BC168" i="16"/>
  <c r="AS13" i="16"/>
  <c r="AS16" i="16"/>
  <c r="AK17" i="16"/>
  <c r="W17" i="16"/>
  <c r="AW19" i="16"/>
  <c r="AW21" i="16"/>
  <c r="AU22" i="16"/>
  <c r="AN23" i="16"/>
  <c r="AC23" i="16"/>
  <c r="AU28" i="16"/>
  <c r="Y166" i="16"/>
  <c r="AV166" i="16"/>
  <c r="AS171" i="16"/>
  <c r="S171" i="16"/>
  <c r="BA178" i="16"/>
  <c r="AQ195" i="16"/>
  <c r="U195" i="16"/>
  <c r="AV201" i="16"/>
  <c r="AX16" i="16"/>
  <c r="AU18" i="16"/>
  <c r="AX21" i="16"/>
  <c r="AE29" i="16"/>
  <c r="AO29" i="16"/>
  <c r="BB166" i="16"/>
  <c r="AV176" i="16"/>
  <c r="Y176" i="16"/>
  <c r="Y181" i="16"/>
  <c r="AV181" i="16"/>
  <c r="U199" i="16"/>
  <c r="AQ199" i="16"/>
  <c r="AW200" i="16"/>
  <c r="U206" i="16"/>
  <c r="AQ206" i="16"/>
  <c r="AQ208" i="16"/>
  <c r="U208" i="16"/>
  <c r="AV209" i="16"/>
  <c r="AI11" i="16"/>
  <c r="S11" i="16"/>
  <c r="AS11" i="16"/>
  <c r="AX11" i="16"/>
  <c r="AK12" i="16"/>
  <c r="W12" i="16"/>
  <c r="AT12" i="16"/>
  <c r="AL13" i="16"/>
  <c r="Y13" i="16"/>
  <c r="AU13" i="16"/>
  <c r="AR17" i="16"/>
  <c r="AW17" i="16"/>
  <c r="AA18" i="16"/>
  <c r="AM18" i="16"/>
  <c r="AJ19" i="16"/>
  <c r="U19" i="16"/>
  <c r="AT19" i="16"/>
  <c r="AI21" i="16"/>
  <c r="S21" i="16"/>
  <c r="AR22" i="16"/>
  <c r="AI24" i="16"/>
  <c r="S24" i="16"/>
  <c r="AU26" i="16"/>
  <c r="AA28" i="16"/>
  <c r="AM28" i="16"/>
  <c r="AT29" i="16"/>
  <c r="AS164" i="16"/>
  <c r="S164" i="16"/>
  <c r="BC166" i="16"/>
  <c r="AS168" i="16"/>
  <c r="S168" i="16"/>
  <c r="BC170" i="16"/>
  <c r="BB171" i="16"/>
  <c r="BC175" i="16"/>
  <c r="BA176" i="16"/>
  <c r="BB179" i="16"/>
  <c r="AU194" i="16"/>
  <c r="AV195" i="16"/>
  <c r="S198" i="16"/>
  <c r="AP198" i="16"/>
  <c r="AU199" i="16"/>
  <c r="AW203" i="16"/>
  <c r="S205" i="16"/>
  <c r="AP205" i="16"/>
  <c r="W206" i="16"/>
  <c r="AR206" i="16"/>
  <c r="AW209" i="16"/>
  <c r="U11" i="16"/>
  <c r="AJ11" i="16"/>
  <c r="AT11" i="16"/>
  <c r="AL12" i="16"/>
  <c r="Y12" i="16"/>
  <c r="AN13" i="16"/>
  <c r="AC13" i="16"/>
  <c r="AI14" i="16"/>
  <c r="S14" i="16"/>
  <c r="AT14" i="16"/>
  <c r="AJ16" i="16"/>
  <c r="U16" i="16"/>
  <c r="AT16" i="16"/>
  <c r="AN18" i="16"/>
  <c r="AC18" i="16"/>
  <c r="AV18" i="16"/>
  <c r="AK19" i="16"/>
  <c r="W19" i="16"/>
  <c r="AJ21" i="16"/>
  <c r="U21" i="16"/>
  <c r="AT21" i="16"/>
  <c r="AT23" i="16"/>
  <c r="AJ24" i="16"/>
  <c r="U24" i="16"/>
  <c r="AV24" i="16"/>
  <c r="AV26" i="16"/>
  <c r="AI27" i="16"/>
  <c r="S27" i="16"/>
  <c r="AR28" i="16"/>
  <c r="BB163" i="16"/>
  <c r="AU164" i="16"/>
  <c r="W164" i="16"/>
  <c r="AZ168" i="16"/>
  <c r="AS173" i="16"/>
  <c r="S173" i="16"/>
  <c r="AW180" i="16"/>
  <c r="AA180" i="16"/>
  <c r="BB181" i="16"/>
  <c r="AW195" i="16"/>
  <c r="U198" i="16"/>
  <c r="AQ198" i="16"/>
  <c r="U205" i="16"/>
  <c r="AQ205" i="16"/>
  <c r="AQ211" i="16"/>
  <c r="U211" i="16"/>
  <c r="Y11" i="16"/>
  <c r="AL11" i="16"/>
  <c r="AM12" i="16"/>
  <c r="AA12" i="16"/>
  <c r="AU12" i="16"/>
  <c r="AE13" i="16"/>
  <c r="AO13" i="16"/>
  <c r="AV13" i="16"/>
  <c r="AK14" i="16"/>
  <c r="W14" i="16"/>
  <c r="AK16" i="16"/>
  <c r="W16" i="16"/>
  <c r="AS17" i="16"/>
  <c r="AO18" i="16"/>
  <c r="AE18" i="16"/>
  <c r="AW18" i="16"/>
  <c r="Y19" i="16"/>
  <c r="AL19" i="16"/>
  <c r="W21" i="16"/>
  <c r="AK21" i="16"/>
  <c r="AU21" i="16"/>
  <c r="W24" i="16"/>
  <c r="AK24" i="16"/>
  <c r="AA27" i="16"/>
  <c r="AM27" i="16"/>
  <c r="AS28" i="16"/>
  <c r="S165" i="16"/>
  <c r="AS165" i="16"/>
  <c r="AU169" i="16"/>
  <c r="W169" i="16"/>
  <c r="BC171" i="16"/>
  <c r="BC176" i="16"/>
  <c r="S178" i="16"/>
  <c r="AS178" i="16"/>
  <c r="AZ180" i="16"/>
  <c r="BC181" i="16"/>
  <c r="AV194" i="16"/>
  <c r="W198" i="16"/>
  <c r="AR198" i="16"/>
  <c r="W205" i="16"/>
  <c r="AR205" i="16"/>
  <c r="AP210" i="16"/>
  <c r="S210" i="16"/>
  <c r="AL18" i="16"/>
  <c r="Y18" i="16"/>
  <c r="AI19" i="16"/>
  <c r="S19" i="16"/>
  <c r="AS21" i="16"/>
  <c r="AE22" i="16"/>
  <c r="AO22" i="16"/>
  <c r="AR23" i="16"/>
  <c r="AW27" i="16"/>
  <c r="AU163" i="16"/>
  <c r="W163" i="16"/>
  <c r="BD169" i="16"/>
  <c r="AA11" i="16"/>
  <c r="AM11" i="16"/>
  <c r="AU11" i="16"/>
  <c r="AC12" i="16"/>
  <c r="AN12" i="16"/>
  <c r="AR13" i="16"/>
  <c r="AL14" i="16"/>
  <c r="Y14" i="16"/>
  <c r="AU14" i="16"/>
  <c r="AL16" i="16"/>
  <c r="Y16" i="16"/>
  <c r="AU16" i="16"/>
  <c r="AI17" i="16"/>
  <c r="S17" i="16"/>
  <c r="AR18" i="16"/>
  <c r="AX18" i="16"/>
  <c r="AA19" i="16"/>
  <c r="AM19" i="16"/>
  <c r="Y21" i="16"/>
  <c r="AL21" i="16"/>
  <c r="AV21" i="16"/>
  <c r="AI22" i="16"/>
  <c r="S22" i="16"/>
  <c r="W23" i="16"/>
  <c r="AK23" i="16"/>
  <c r="AU23" i="16"/>
  <c r="AA24" i="16"/>
  <c r="AM24" i="16"/>
  <c r="AW24" i="16"/>
  <c r="W26" i="16"/>
  <c r="AK26" i="16"/>
  <c r="AX26" i="16"/>
  <c r="AR27" i="16"/>
  <c r="AW29" i="16"/>
  <c r="BC163" i="16"/>
  <c r="BB164" i="16"/>
  <c r="AU165" i="16"/>
  <c r="W165" i="16"/>
  <c r="AZ169" i="16"/>
  <c r="BA173" i="16"/>
  <c r="AT174" i="16"/>
  <c r="U174" i="16"/>
  <c r="AA178" i="16"/>
  <c r="AW178" i="16"/>
  <c r="AV198" i="16"/>
  <c r="U204" i="16"/>
  <c r="AQ204" i="16"/>
  <c r="AU205" i="16"/>
  <c r="AU210" i="16"/>
  <c r="AR14" i="16"/>
  <c r="AV14" i="16"/>
  <c r="AE16" i="16"/>
  <c r="AO16" i="16"/>
  <c r="AL17" i="16"/>
  <c r="Y17" i="16"/>
  <c r="AT17" i="16"/>
  <c r="AX17" i="16"/>
  <c r="S18" i="16"/>
  <c r="AI18" i="16"/>
  <c r="AN19" i="16"/>
  <c r="AC19" i="16"/>
  <c r="AU19" i="16"/>
  <c r="AM21" i="16"/>
  <c r="AA21" i="16"/>
  <c r="AJ22" i="16"/>
  <c r="U22" i="16"/>
  <c r="AS22" i="16"/>
  <c r="AW22" i="16"/>
  <c r="AO23" i="16"/>
  <c r="AE23" i="16"/>
  <c r="Y24" i="16"/>
  <c r="AL24" i="16"/>
  <c r="AT24" i="16"/>
  <c r="AX24" i="16"/>
  <c r="AR26" i="16"/>
  <c r="U28" i="16"/>
  <c r="AJ28" i="16"/>
  <c r="AA29" i="16"/>
  <c r="AM29" i="16"/>
  <c r="AT163" i="16"/>
  <c r="U163" i="16"/>
  <c r="U164" i="16"/>
  <c r="AT164" i="16"/>
  <c r="BD164" i="16"/>
  <c r="AT165" i="16"/>
  <c r="U165" i="16"/>
  <c r="AT166" i="16"/>
  <c r="U166" i="16"/>
  <c r="AT170" i="16"/>
  <c r="U170" i="16"/>
  <c r="AT171" i="16"/>
  <c r="U171" i="16"/>
  <c r="BD171" i="16"/>
  <c r="BD173" i="16"/>
  <c r="BD174" i="16"/>
  <c r="AS175" i="16"/>
  <c r="S175" i="16"/>
  <c r="BD175" i="16"/>
  <c r="AU176" i="16"/>
  <c r="W176" i="16"/>
  <c r="BD176" i="16"/>
  <c r="BC179" i="16"/>
  <c r="BC180" i="16"/>
  <c r="U181" i="16"/>
  <c r="AT181" i="16"/>
  <c r="AV196" i="16"/>
  <c r="AU198" i="16"/>
  <c r="W199" i="16"/>
  <c r="AR199" i="16"/>
  <c r="AV205" i="16"/>
  <c r="AU206" i="16"/>
  <c r="AV211" i="16"/>
  <c r="W11" i="16"/>
  <c r="AK11" i="16"/>
  <c r="AR12" i="16"/>
  <c r="AV12" i="16"/>
  <c r="AA13" i="16"/>
  <c r="AM13" i="16"/>
  <c r="AJ14" i="16"/>
  <c r="U14" i="16"/>
  <c r="AS14" i="16"/>
  <c r="AW14" i="16"/>
  <c r="S16" i="16"/>
  <c r="AI16" i="16"/>
  <c r="AC17" i="16"/>
  <c r="AN17" i="16"/>
  <c r="AU17" i="16"/>
  <c r="AK18" i="16"/>
  <c r="W18" i="16"/>
  <c r="AR19" i="16"/>
  <c r="AV19" i="16"/>
  <c r="AE21" i="16"/>
  <c r="AO21" i="16"/>
  <c r="AL22" i="16"/>
  <c r="Y22" i="16"/>
  <c r="AT22" i="16"/>
  <c r="AX22" i="16"/>
  <c r="S23" i="16"/>
  <c r="AI23" i="16"/>
  <c r="AN24" i="16"/>
  <c r="AC24" i="16"/>
  <c r="AU24" i="16"/>
  <c r="AT26" i="16"/>
  <c r="AJ27" i="16"/>
  <c r="U27" i="16"/>
  <c r="AV27" i="16"/>
  <c r="AN28" i="16"/>
  <c r="AC28" i="16"/>
  <c r="AW28" i="16"/>
  <c r="AS29" i="16"/>
  <c r="AV163" i="16"/>
  <c r="Y163" i="16"/>
  <c r="Y164" i="16"/>
  <c r="AV164" i="16"/>
  <c r="AA165" i="16"/>
  <c r="AW165" i="16"/>
  <c r="AV168" i="16"/>
  <c r="Y168" i="16"/>
  <c r="AV169" i="16"/>
  <c r="Y169" i="16"/>
  <c r="AV170" i="16"/>
  <c r="Y170" i="16"/>
  <c r="Y171" i="16"/>
  <c r="AV171" i="16"/>
  <c r="AU173" i="16"/>
  <c r="W173" i="16"/>
  <c r="AW174" i="16"/>
  <c r="AA174" i="16"/>
  <c r="AW175" i="16"/>
  <c r="AA175" i="16"/>
  <c r="AA176" i="16"/>
  <c r="AW176" i="16"/>
  <c r="AT178" i="16"/>
  <c r="U178" i="16"/>
  <c r="AT179" i="16"/>
  <c r="U179" i="16"/>
  <c r="AS180" i="16"/>
  <c r="S180" i="16"/>
  <c r="BD180" i="16"/>
  <c r="W193" i="16"/>
  <c r="AR193" i="16"/>
  <c r="AW196" i="16"/>
  <c r="AU200" i="16"/>
  <c r="AP201" i="16"/>
  <c r="S201" i="16"/>
  <c r="S203" i="16"/>
  <c r="AP203" i="16"/>
  <c r="W208" i="16"/>
  <c r="AR208" i="16"/>
  <c r="AW211" i="16"/>
  <c r="AJ23" i="16"/>
  <c r="U23" i="16"/>
  <c r="AS23" i="16"/>
  <c r="AW23" i="16"/>
  <c r="AO24" i="16"/>
  <c r="AE24" i="16"/>
  <c r="AK27" i="16"/>
  <c r="W27" i="16"/>
  <c r="AO28" i="16"/>
  <c r="AE28" i="16"/>
  <c r="AW163" i="16"/>
  <c r="AA163" i="16"/>
  <c r="AZ164" i="16"/>
  <c r="BA165" i="16"/>
  <c r="BA166" i="16"/>
  <c r="AA168" i="16"/>
  <c r="AW168" i="16"/>
  <c r="AA169" i="16"/>
  <c r="AW169" i="16"/>
  <c r="AW170" i="16"/>
  <c r="AA170" i="16"/>
  <c r="AZ171" i="16"/>
  <c r="AZ173" i="16"/>
  <c r="AZ174" i="16"/>
  <c r="AZ175" i="16"/>
  <c r="AZ176" i="16"/>
  <c r="W178" i="16"/>
  <c r="AU178" i="16"/>
  <c r="AV179" i="16"/>
  <c r="Y179" i="16"/>
  <c r="AV180" i="16"/>
  <c r="Y180" i="16"/>
  <c r="BA181" i="16"/>
  <c r="AU193" i="16"/>
  <c r="AP194" i="16"/>
  <c r="S194" i="16"/>
  <c r="AU201" i="16"/>
  <c r="AQ203" i="16"/>
  <c r="U203" i="16"/>
  <c r="AP204" i="16"/>
  <c r="S204" i="16"/>
  <c r="AU208" i="16"/>
  <c r="W209" i="16"/>
  <c r="AR209" i="16"/>
  <c r="AE26" i="16"/>
  <c r="AO26" i="16"/>
  <c r="Y27" i="16"/>
  <c r="AL27" i="16"/>
  <c r="AT27" i="16"/>
  <c r="AX27" i="16"/>
  <c r="S28" i="16"/>
  <c r="AI28" i="16"/>
  <c r="AC29" i="16"/>
  <c r="AN29" i="16"/>
  <c r="AU29" i="16"/>
  <c r="AZ163" i="16"/>
  <c r="BD163" i="16"/>
  <c r="AA164" i="16"/>
  <c r="AW164" i="16"/>
  <c r="AV165" i="16"/>
  <c r="Y165" i="16"/>
  <c r="BC165" i="16"/>
  <c r="W166" i="16"/>
  <c r="AU166" i="16"/>
  <c r="BA168" i="16"/>
  <c r="AZ170" i="16"/>
  <c r="BD170" i="16"/>
  <c r="AA171" i="16"/>
  <c r="AW171" i="16"/>
  <c r="AT173" i="16"/>
  <c r="U173" i="16"/>
  <c r="BB173" i="16"/>
  <c r="AS174" i="16"/>
  <c r="S174" i="16"/>
  <c r="BA175" i="16"/>
  <c r="AV178" i="16"/>
  <c r="Y178" i="16"/>
  <c r="BC178" i="16"/>
  <c r="W179" i="16"/>
  <c r="AU179" i="16"/>
  <c r="BA180" i="16"/>
  <c r="W181" i="16"/>
  <c r="AU181" i="16"/>
  <c r="AW194" i="16"/>
  <c r="AP195" i="16"/>
  <c r="S195" i="16"/>
  <c r="AQ196" i="16"/>
  <c r="U196" i="16"/>
  <c r="AV199" i="16"/>
  <c r="AW201" i="16"/>
  <c r="AR203" i="16"/>
  <c r="W203" i="16"/>
  <c r="AU204" i="16"/>
  <c r="AV206" i="16"/>
  <c r="AV208" i="16"/>
  <c r="AW210" i="16"/>
  <c r="AP211" i="16"/>
  <c r="S211" i="16"/>
  <c r="S26" i="16"/>
  <c r="AI26" i="16"/>
  <c r="AN27" i="16"/>
  <c r="AC27" i="16"/>
  <c r="AU27" i="16"/>
  <c r="W28" i="16"/>
  <c r="AK28" i="16"/>
  <c r="AR29" i="16"/>
  <c r="AV29" i="16"/>
  <c r="BA163" i="16"/>
  <c r="AZ165" i="16"/>
  <c r="BD165" i="16"/>
  <c r="AW166" i="16"/>
  <c r="AA166" i="16"/>
  <c r="AT168" i="16"/>
  <c r="U168" i="16"/>
  <c r="BB168" i="16"/>
  <c r="S169" i="16"/>
  <c r="AS169" i="16"/>
  <c r="BA170" i="16"/>
  <c r="Y173" i="16"/>
  <c r="AV173" i="16"/>
  <c r="BC173" i="16"/>
  <c r="W174" i="16"/>
  <c r="AU174" i="16"/>
  <c r="AT175" i="16"/>
  <c r="U175" i="16"/>
  <c r="BB175" i="16"/>
  <c r="S176" i="16"/>
  <c r="AS176" i="16"/>
  <c r="AZ178" i="16"/>
  <c r="BD178" i="16"/>
  <c r="AW179" i="16"/>
  <c r="AA179" i="16"/>
  <c r="AT180" i="16"/>
  <c r="U180" i="16"/>
  <c r="BB180" i="16"/>
  <c r="AW181" i="16"/>
  <c r="AA181" i="16"/>
  <c r="AP193" i="16"/>
  <c r="S193" i="16"/>
  <c r="AQ194" i="16"/>
  <c r="U194" i="16"/>
  <c r="AR195" i="16"/>
  <c r="W195" i="16"/>
  <c r="AU196" i="16"/>
  <c r="AW199" i="16"/>
  <c r="AP200" i="16"/>
  <c r="S200" i="16"/>
  <c r="AQ201" i="16"/>
  <c r="U201" i="16"/>
  <c r="AV204" i="16"/>
  <c r="AW206" i="16"/>
  <c r="AW208" i="16"/>
  <c r="AP209" i="16"/>
  <c r="S209" i="16"/>
  <c r="AQ210" i="16"/>
  <c r="U210" i="16"/>
  <c r="AR211" i="16"/>
  <c r="W211" i="16"/>
  <c r="AJ26" i="16"/>
  <c r="U26" i="16"/>
  <c r="AS26" i="16"/>
  <c r="AW26" i="16"/>
  <c r="AO27" i="16"/>
  <c r="AE27" i="16"/>
  <c r="AL28" i="16"/>
  <c r="Y28" i="16"/>
  <c r="AT28" i="16"/>
  <c r="AX28" i="16"/>
  <c r="S29" i="16"/>
  <c r="AI29" i="16"/>
  <c r="AS163" i="16"/>
  <c r="S163" i="16"/>
  <c r="BA164" i="16"/>
  <c r="AZ166" i="16"/>
  <c r="BD166" i="16"/>
  <c r="W168" i="16"/>
  <c r="AU168" i="16"/>
  <c r="AT169" i="16"/>
  <c r="U169" i="16"/>
  <c r="BB169" i="16"/>
  <c r="AS170" i="16"/>
  <c r="S170" i="16"/>
  <c r="BA171" i="16"/>
  <c r="AW173" i="16"/>
  <c r="AA173" i="16"/>
  <c r="AV174" i="16"/>
  <c r="Y174" i="16"/>
  <c r="BC174" i="16"/>
  <c r="W175" i="16"/>
  <c r="AU175" i="16"/>
  <c r="AT176" i="16"/>
  <c r="U176" i="16"/>
  <c r="BB176" i="16"/>
  <c r="AZ179" i="16"/>
  <c r="BD179" i="16"/>
  <c r="W180" i="16"/>
  <c r="AU180" i="16"/>
  <c r="AZ181" i="16"/>
  <c r="BD181" i="16"/>
  <c r="U193" i="16"/>
  <c r="AQ193" i="16"/>
  <c r="W194" i="16"/>
  <c r="AR194" i="16"/>
  <c r="AU195" i="16"/>
  <c r="AW198" i="16"/>
  <c r="S199" i="16"/>
  <c r="AP199" i="16"/>
  <c r="U200" i="16"/>
  <c r="AQ200" i="16"/>
  <c r="AR201" i="16"/>
  <c r="W201" i="16"/>
  <c r="AV203" i="16"/>
  <c r="AW205" i="16"/>
  <c r="AP206" i="16"/>
  <c r="S206" i="16"/>
  <c r="AP208" i="16"/>
  <c r="S208" i="16"/>
  <c r="U209" i="16"/>
  <c r="AQ209" i="16"/>
  <c r="AR210" i="16"/>
  <c r="W210" i="16"/>
  <c r="AU211" i="16"/>
  <c r="AO161" i="16"/>
  <c r="X146" i="16"/>
  <c r="U136" i="16"/>
  <c r="F224" i="16"/>
  <c r="U131" i="16"/>
  <c r="V133" i="16"/>
  <c r="V87" i="16"/>
  <c r="U88" i="16"/>
  <c r="S231" i="16"/>
  <c r="E150" i="16"/>
  <c r="C141" i="16"/>
  <c r="H104" i="16"/>
  <c r="D24" i="16"/>
  <c r="N23" i="16"/>
  <c r="E135" i="16"/>
  <c r="H109" i="16"/>
  <c r="D14" i="16"/>
  <c r="Y116" i="16"/>
  <c r="W113" i="16"/>
  <c r="Q133" i="16"/>
  <c r="U75" i="16"/>
  <c r="S103" i="16"/>
  <c r="V140" i="16"/>
  <c r="W85" i="16"/>
  <c r="S222" i="16"/>
  <c r="H39" i="16"/>
  <c r="D26" i="16"/>
  <c r="F131" i="16"/>
  <c r="D21" i="16"/>
  <c r="H18" i="16"/>
  <c r="N19" i="16"/>
  <c r="E111" i="16"/>
  <c r="G58" i="16"/>
  <c r="R229" i="16"/>
  <c r="R70" i="16"/>
  <c r="U101" i="16"/>
  <c r="W118" i="16"/>
  <c r="R227" i="16"/>
  <c r="Q138" i="16"/>
  <c r="V84" i="16"/>
  <c r="T224" i="16"/>
  <c r="H23" i="16"/>
  <c r="D22" i="16"/>
  <c r="D28" i="16"/>
  <c r="J11" i="16"/>
  <c r="B150" i="16"/>
  <c r="I141" i="16"/>
  <c r="C151" i="16"/>
  <c r="B239" i="16"/>
  <c r="D237" i="16"/>
  <c r="B234" i="16"/>
  <c r="X150" i="16"/>
  <c r="S151" i="16"/>
  <c r="R237" i="16"/>
  <c r="Q145" i="16"/>
  <c r="T114" i="16"/>
  <c r="B43" i="16"/>
  <c r="F114" i="16"/>
  <c r="F149" i="16"/>
  <c r="H114" i="16"/>
  <c r="I113" i="16"/>
  <c r="H28" i="16"/>
  <c r="H22" i="16"/>
  <c r="D11" i="16"/>
  <c r="T116" i="16"/>
  <c r="U104" i="16"/>
  <c r="S239" i="16"/>
  <c r="S105" i="16"/>
  <c r="G43" i="16"/>
  <c r="C115" i="16"/>
  <c r="D27" i="16"/>
  <c r="B144" i="16"/>
  <c r="W134" i="16"/>
  <c r="N29" i="16"/>
  <c r="E42" i="16"/>
  <c r="X101" i="16"/>
  <c r="S150" i="16"/>
  <c r="F56" i="16"/>
  <c r="B226" i="16"/>
  <c r="B229" i="16"/>
  <c r="F225" i="16"/>
  <c r="R140" i="16"/>
  <c r="V135" i="16"/>
  <c r="L26" i="16"/>
  <c r="C105" i="16"/>
  <c r="C103" i="16"/>
  <c r="F17" i="16"/>
  <c r="T237" i="16"/>
  <c r="D222" i="16"/>
  <c r="L27" i="16"/>
  <c r="D235" i="16"/>
  <c r="G110" i="16"/>
  <c r="W105" i="16"/>
  <c r="D105" i="16"/>
  <c r="X119" i="16"/>
  <c r="U141" i="16"/>
  <c r="V134" i="16"/>
  <c r="T111" i="16"/>
  <c r="T74" i="16"/>
  <c r="F27" i="16"/>
  <c r="C148" i="16"/>
  <c r="E51" i="16"/>
  <c r="C106" i="16"/>
  <c r="X135" i="16"/>
  <c r="R84" i="16"/>
  <c r="N11" i="16"/>
  <c r="D16" i="16"/>
  <c r="W82" i="16"/>
  <c r="G118" i="16"/>
  <c r="H43" i="16"/>
  <c r="Q74" i="16"/>
  <c r="Q148" i="16"/>
  <c r="T138" i="16"/>
  <c r="U80" i="16"/>
  <c r="R78" i="16"/>
  <c r="G54" i="16"/>
  <c r="B138" i="16"/>
  <c r="H131" i="16"/>
  <c r="G57" i="16"/>
  <c r="V114" i="16"/>
  <c r="Q89" i="16"/>
  <c r="S88" i="16"/>
  <c r="B131" i="16"/>
  <c r="G136" i="16"/>
  <c r="G106" i="16"/>
  <c r="D46" i="16"/>
  <c r="B47" i="16"/>
  <c r="R115" i="16"/>
  <c r="U150" i="16"/>
  <c r="S134" i="16"/>
  <c r="W136" i="16"/>
  <c r="W111" i="16"/>
  <c r="U115" i="16"/>
  <c r="B225" i="16"/>
  <c r="U106" i="16"/>
  <c r="W131" i="16"/>
  <c r="F22" i="16"/>
  <c r="D148" i="16"/>
  <c r="B133" i="16"/>
  <c r="F52" i="16"/>
  <c r="C51" i="16"/>
  <c r="L17" i="16"/>
  <c r="L11" i="16"/>
  <c r="G121" i="16"/>
  <c r="W103" i="16"/>
  <c r="T115" i="16"/>
  <c r="W119" i="16"/>
  <c r="B224" i="16"/>
  <c r="T77" i="16"/>
  <c r="S120" i="16"/>
  <c r="X120" i="16"/>
  <c r="W73" i="16"/>
  <c r="E146" i="16"/>
  <c r="C56" i="16"/>
  <c r="C48" i="16"/>
  <c r="E121" i="16"/>
  <c r="H119" i="16"/>
  <c r="I116" i="16"/>
  <c r="G48" i="16"/>
  <c r="H146" i="16"/>
  <c r="S83" i="16"/>
  <c r="T75" i="16"/>
  <c r="Q90" i="16"/>
  <c r="S234" i="16"/>
  <c r="D232" i="16"/>
  <c r="T135" i="16"/>
  <c r="X114" i="16"/>
  <c r="B135" i="16"/>
  <c r="B19" i="16"/>
  <c r="H141" i="16"/>
  <c r="F121" i="16"/>
  <c r="F120" i="16"/>
  <c r="I120" i="16"/>
  <c r="B145" i="16"/>
  <c r="N22" i="16"/>
  <c r="S131" i="16"/>
  <c r="W149" i="16"/>
  <c r="S148" i="16"/>
  <c r="R139" i="16"/>
  <c r="Y111" i="16"/>
  <c r="T80" i="16"/>
  <c r="W151" i="16"/>
  <c r="V74" i="16"/>
  <c r="B114" i="16"/>
  <c r="F43" i="16"/>
  <c r="G56" i="16"/>
  <c r="D114" i="16"/>
  <c r="H113" i="16"/>
  <c r="G104" i="16"/>
  <c r="F47" i="16"/>
  <c r="D150" i="16"/>
  <c r="R72" i="16"/>
  <c r="W78" i="16"/>
  <c r="X140" i="16"/>
  <c r="T118" i="16"/>
  <c r="B139" i="16"/>
  <c r="F111" i="16"/>
  <c r="I146" i="16"/>
  <c r="I103" i="16"/>
  <c r="R148" i="16"/>
  <c r="C136" i="16"/>
  <c r="G49" i="16"/>
  <c r="F236" i="16"/>
  <c r="F144" i="16"/>
  <c r="H41" i="16"/>
  <c r="V111" i="16"/>
  <c r="V138" i="16"/>
  <c r="V144" i="16"/>
  <c r="T121" i="16"/>
  <c r="R87" i="16"/>
  <c r="N13" i="16"/>
  <c r="G111" i="16"/>
  <c r="C134" i="16"/>
  <c r="H143" i="16"/>
  <c r="Y115" i="16"/>
  <c r="S75" i="16"/>
  <c r="F29" i="16"/>
  <c r="F13" i="16"/>
  <c r="W150" i="16"/>
  <c r="W141" i="16"/>
  <c r="F138" i="16"/>
  <c r="X116" i="16"/>
  <c r="S108" i="16"/>
  <c r="S114" i="16"/>
  <c r="R222" i="16"/>
  <c r="Q75" i="16"/>
  <c r="B57" i="16"/>
  <c r="D9" i="16"/>
  <c r="E43" i="16"/>
  <c r="B143" i="16"/>
  <c r="W74" i="16"/>
  <c r="H56" i="16"/>
  <c r="F150" i="16"/>
  <c r="H12" i="16"/>
  <c r="V101" i="16"/>
  <c r="D143" i="16"/>
  <c r="H108" i="16"/>
  <c r="S119" i="16"/>
  <c r="V103" i="16"/>
  <c r="S224" i="16"/>
  <c r="R135" i="16"/>
  <c r="R77" i="16"/>
  <c r="J13" i="16"/>
  <c r="D53" i="16"/>
  <c r="H49" i="16"/>
  <c r="E141" i="16"/>
  <c r="R231" i="16"/>
  <c r="R89" i="16"/>
  <c r="U73" i="16"/>
  <c r="H17" i="16"/>
  <c r="H46" i="16"/>
  <c r="D17" i="16"/>
  <c r="D120" i="16"/>
  <c r="F21" i="16"/>
  <c r="S226" i="16"/>
  <c r="Q149" i="16"/>
  <c r="Y105" i="16"/>
  <c r="R149" i="16"/>
  <c r="T236" i="16"/>
  <c r="S113" i="16"/>
  <c r="R131" i="16"/>
  <c r="S89" i="16"/>
  <c r="R233" i="16"/>
  <c r="C101" i="16"/>
  <c r="G41" i="16"/>
  <c r="F141" i="16"/>
  <c r="B106" i="16"/>
  <c r="H59" i="16"/>
  <c r="D48" i="16"/>
  <c r="D19" i="16"/>
  <c r="C131" i="16"/>
  <c r="U111" i="16"/>
  <c r="S82" i="16"/>
  <c r="R105" i="16"/>
  <c r="Y119" i="16"/>
  <c r="Q85" i="16"/>
  <c r="V145" i="16"/>
  <c r="W84" i="16"/>
  <c r="S115" i="16"/>
  <c r="G52" i="16"/>
  <c r="D13" i="16"/>
  <c r="H24" i="16"/>
  <c r="E46" i="16"/>
  <c r="D42" i="16"/>
  <c r="D39" i="16"/>
  <c r="C135" i="16"/>
  <c r="B23" i="16"/>
  <c r="S229" i="16"/>
  <c r="S70" i="16"/>
  <c r="U72" i="16"/>
  <c r="X151" i="16"/>
  <c r="V131" i="16"/>
  <c r="T146" i="16"/>
  <c r="S79" i="16"/>
  <c r="C133" i="16"/>
  <c r="J28" i="16"/>
  <c r="G53" i="16"/>
  <c r="E52" i="16"/>
  <c r="D51" i="16"/>
  <c r="E115" i="16"/>
  <c r="D103" i="16"/>
  <c r="I133" i="16"/>
  <c r="V148" i="16"/>
  <c r="U138" i="16"/>
  <c r="Q136" i="16"/>
  <c r="R103" i="16"/>
  <c r="V109" i="16"/>
  <c r="S139" i="16"/>
  <c r="W79" i="16"/>
  <c r="X104" i="16"/>
  <c r="B41" i="16"/>
  <c r="I150" i="16"/>
  <c r="C42" i="16"/>
  <c r="H13" i="16"/>
  <c r="J12" i="16"/>
  <c r="N18" i="16"/>
  <c r="F49" i="16"/>
  <c r="B115" i="16"/>
  <c r="B238" i="16"/>
  <c r="F226" i="16"/>
  <c r="R113" i="16"/>
  <c r="X110" i="16"/>
  <c r="F133" i="16"/>
  <c r="C140" i="16"/>
  <c r="H47" i="16"/>
  <c r="B108" i="16"/>
  <c r="S73" i="16"/>
  <c r="J9" i="16"/>
  <c r="C119" i="16"/>
  <c r="U118" i="16"/>
  <c r="D144" i="16"/>
  <c r="F116" i="16"/>
  <c r="X106" i="16"/>
  <c r="S118" i="16"/>
  <c r="T103" i="16"/>
  <c r="V77" i="16"/>
  <c r="R236" i="16"/>
  <c r="G139" i="16"/>
  <c r="H19" i="16"/>
  <c r="G116" i="16"/>
  <c r="F24" i="16"/>
  <c r="B232" i="16"/>
  <c r="R234" i="16"/>
  <c r="C49" i="16"/>
  <c r="N21" i="16"/>
  <c r="S227" i="16"/>
  <c r="R239" i="16"/>
  <c r="D113" i="16"/>
  <c r="R144" i="16"/>
  <c r="R75" i="16"/>
  <c r="T235" i="16"/>
  <c r="Q134" i="16"/>
  <c r="T230" i="16"/>
  <c r="F14" i="16"/>
  <c r="F151" i="16"/>
  <c r="F101" i="16"/>
  <c r="I135" i="16"/>
  <c r="T149" i="16"/>
  <c r="F19" i="16"/>
  <c r="C58" i="16"/>
  <c r="H148" i="16"/>
  <c r="W106" i="16"/>
  <c r="F105" i="16"/>
  <c r="X113" i="16"/>
  <c r="W138" i="16"/>
  <c r="R83" i="16"/>
  <c r="V108" i="16"/>
  <c r="V115" i="16"/>
  <c r="T90" i="16"/>
  <c r="E131" i="16"/>
  <c r="D111" i="16"/>
  <c r="G150" i="16"/>
  <c r="T136" i="16"/>
  <c r="Q83" i="16"/>
  <c r="W104" i="16"/>
  <c r="G148" i="16"/>
  <c r="D47" i="16"/>
  <c r="C47" i="16"/>
  <c r="C143" i="16"/>
  <c r="D140" i="16"/>
  <c r="X103" i="16"/>
  <c r="U114" i="16"/>
  <c r="X109" i="16"/>
  <c r="D225" i="16"/>
  <c r="S74" i="16"/>
  <c r="T119" i="16"/>
  <c r="Y104" i="16"/>
  <c r="R73" i="16"/>
  <c r="H29" i="16"/>
  <c r="G113" i="16"/>
  <c r="B141" i="16"/>
  <c r="E104" i="16"/>
  <c r="B16" i="16"/>
  <c r="F12" i="16"/>
  <c r="B113" i="16"/>
  <c r="C44" i="16"/>
  <c r="T228" i="16"/>
  <c r="Q70" i="16"/>
  <c r="U70" i="16"/>
  <c r="R111" i="16"/>
  <c r="F228" i="16"/>
  <c r="F235" i="16"/>
  <c r="W116" i="16"/>
  <c r="D145" i="16"/>
  <c r="H52" i="16"/>
  <c r="D133" i="16"/>
  <c r="F140" i="16"/>
  <c r="F139" i="16"/>
  <c r="I139" i="16"/>
  <c r="G119" i="16"/>
  <c r="F9" i="16"/>
  <c r="D236" i="16"/>
  <c r="F233" i="16"/>
  <c r="D234" i="16"/>
  <c r="F230" i="16"/>
  <c r="W135" i="16"/>
  <c r="S111" i="16"/>
  <c r="U79" i="16"/>
  <c r="W110" i="16"/>
  <c r="C108" i="16"/>
  <c r="F143" i="16"/>
  <c r="E120" i="16"/>
  <c r="G46" i="16"/>
  <c r="E44" i="16"/>
  <c r="I101" i="16"/>
  <c r="F46" i="16"/>
  <c r="I109" i="16"/>
  <c r="V119" i="16"/>
  <c r="X121" i="16"/>
  <c r="W109" i="16"/>
  <c r="S237" i="16"/>
  <c r="T239" i="16"/>
  <c r="Y109" i="16"/>
  <c r="U133" i="16"/>
  <c r="V73" i="16"/>
  <c r="F42" i="16"/>
  <c r="E149" i="16"/>
  <c r="H139" i="16"/>
  <c r="N24" i="16"/>
  <c r="C53" i="16"/>
  <c r="L14" i="16"/>
  <c r="J14" i="16"/>
  <c r="F109" i="16"/>
  <c r="V136" i="16"/>
  <c r="S101" i="16"/>
  <c r="U148" i="16"/>
  <c r="V121" i="16"/>
  <c r="E49" i="16"/>
  <c r="J18" i="16"/>
  <c r="E48" i="16"/>
  <c r="D44" i="16"/>
  <c r="T73" i="16"/>
  <c r="I108" i="16"/>
  <c r="H116" i="16"/>
  <c r="V110" i="16"/>
  <c r="H121" i="16"/>
  <c r="J21" i="16"/>
  <c r="R225" i="16"/>
  <c r="S85" i="16"/>
  <c r="T238" i="16"/>
  <c r="S144" i="16"/>
  <c r="U84" i="16"/>
  <c r="E41" i="16"/>
  <c r="D131" i="16"/>
  <c r="C113" i="16"/>
  <c r="E140" i="16"/>
  <c r="S104" i="16"/>
  <c r="X134" i="16"/>
  <c r="I148" i="16"/>
  <c r="B103" i="16"/>
  <c r="T79" i="16"/>
  <c r="E108" i="16"/>
  <c r="D23" i="16"/>
  <c r="U78" i="16"/>
  <c r="X145" i="16"/>
  <c r="R141" i="16"/>
  <c r="Q72" i="16"/>
  <c r="R80" i="16"/>
  <c r="I134" i="16"/>
  <c r="F51" i="16"/>
  <c r="N17" i="16"/>
  <c r="B109" i="16"/>
  <c r="T89" i="16"/>
  <c r="C54" i="16"/>
  <c r="L21" i="16"/>
  <c r="D54" i="16"/>
  <c r="Q78" i="16"/>
  <c r="D106" i="16"/>
  <c r="T140" i="16"/>
  <c r="F134" i="16"/>
  <c r="U89" i="16"/>
  <c r="X141" i="16"/>
  <c r="V139" i="16"/>
  <c r="E110" i="16"/>
  <c r="J16" i="16"/>
  <c r="C39" i="16"/>
  <c r="H136" i="16"/>
  <c r="W139" i="16"/>
  <c r="W120" i="16"/>
  <c r="Q88" i="16"/>
  <c r="B120" i="16"/>
  <c r="N9" i="16"/>
  <c r="D52" i="16"/>
  <c r="B11" i="16"/>
  <c r="C43" i="16"/>
  <c r="R109" i="16"/>
  <c r="B230" i="16"/>
  <c r="T227" i="16"/>
  <c r="S87" i="16"/>
  <c r="I138" i="16"/>
  <c r="E109" i="16"/>
  <c r="G108" i="16"/>
  <c r="J29" i="16"/>
  <c r="Q77" i="16"/>
  <c r="V83" i="16"/>
  <c r="V151" i="16"/>
  <c r="V80" i="16"/>
  <c r="G140" i="16"/>
  <c r="F104" i="16"/>
  <c r="C138" i="16"/>
  <c r="G135" i="16"/>
  <c r="R150" i="16"/>
  <c r="V141" i="16"/>
  <c r="R228" i="16"/>
  <c r="T232" i="16"/>
  <c r="F106" i="16"/>
  <c r="L12" i="16"/>
  <c r="H58" i="16"/>
  <c r="H111" i="16"/>
  <c r="S106" i="16"/>
  <c r="R138" i="16"/>
  <c r="U74" i="16"/>
  <c r="S225" i="16"/>
  <c r="H21" i="16"/>
  <c r="D121" i="16"/>
  <c r="D146" i="16"/>
  <c r="B53" i="16"/>
  <c r="T141" i="16"/>
  <c r="T84" i="16"/>
  <c r="L16" i="16"/>
  <c r="B58" i="16"/>
  <c r="B46" i="16"/>
  <c r="S146" i="16"/>
  <c r="T88" i="16"/>
  <c r="F227" i="16"/>
  <c r="V75" i="16"/>
  <c r="I144" i="16"/>
  <c r="F23" i="16"/>
  <c r="Q73" i="16"/>
  <c r="G134" i="16"/>
  <c r="U77" i="16"/>
  <c r="H54" i="16"/>
  <c r="Q144" i="16"/>
  <c r="W133" i="16"/>
  <c r="I106" i="16"/>
  <c r="F145" i="16"/>
  <c r="V150" i="16"/>
  <c r="V104" i="16"/>
  <c r="U110" i="16"/>
  <c r="W146" i="16"/>
  <c r="T151" i="16"/>
  <c r="U145" i="16"/>
  <c r="G101" i="16"/>
  <c r="E57" i="16"/>
  <c r="G143" i="16"/>
  <c r="E144" i="16"/>
  <c r="D109" i="16"/>
  <c r="S78" i="16"/>
  <c r="E116" i="16"/>
  <c r="V105" i="16"/>
  <c r="B39" i="16"/>
  <c r="X139" i="16"/>
  <c r="E54" i="16"/>
  <c r="X131" i="16"/>
  <c r="C111" i="16"/>
  <c r="V143" i="16"/>
  <c r="R235" i="16"/>
  <c r="S235" i="16"/>
  <c r="F237" i="16"/>
  <c r="U87" i="16"/>
  <c r="S228" i="16"/>
  <c r="D41" i="16"/>
  <c r="D58" i="16"/>
  <c r="U151" i="16"/>
  <c r="G103" i="16"/>
  <c r="F146" i="16"/>
  <c r="X133" i="16"/>
  <c r="B26" i="16"/>
  <c r="T113" i="16"/>
  <c r="H53" i="16"/>
  <c r="S116" i="16"/>
  <c r="L22" i="16"/>
  <c r="Y108" i="16"/>
  <c r="H11" i="16"/>
  <c r="X105" i="16"/>
  <c r="H44" i="16"/>
  <c r="B233" i="16"/>
  <c r="E136" i="16"/>
  <c r="E103" i="16"/>
  <c r="D228" i="16"/>
  <c r="G39" i="16"/>
  <c r="B237" i="16"/>
  <c r="F53" i="16"/>
  <c r="X108" i="16"/>
  <c r="B24" i="16"/>
  <c r="T70" i="16"/>
  <c r="G151" i="16"/>
  <c r="G59" i="16"/>
  <c r="I119" i="16"/>
  <c r="T108" i="16"/>
  <c r="I114" i="16"/>
  <c r="W70" i="16"/>
  <c r="U103" i="16"/>
  <c r="H103" i="16"/>
  <c r="C145" i="16"/>
  <c r="G44" i="16"/>
  <c r="X143" i="16"/>
  <c r="I151" i="16"/>
  <c r="Q84" i="16"/>
  <c r="G47" i="16"/>
  <c r="R120" i="16"/>
  <c r="B42" i="16"/>
  <c r="S77" i="16"/>
  <c r="T78" i="16"/>
  <c r="S149" i="16"/>
  <c r="D115" i="16"/>
  <c r="H150" i="16"/>
  <c r="H151" i="16"/>
  <c r="F39" i="16"/>
  <c r="D239" i="16"/>
  <c r="D238" i="16"/>
  <c r="S121" i="16"/>
  <c r="S133" i="16"/>
  <c r="G146" i="16"/>
  <c r="D59" i="16"/>
  <c r="B111" i="16"/>
  <c r="E134" i="16"/>
  <c r="V146" i="16"/>
  <c r="T110" i="16"/>
  <c r="X149" i="16"/>
  <c r="R133" i="16"/>
  <c r="E105" i="16"/>
  <c r="J24" i="16"/>
  <c r="G131" i="16"/>
  <c r="D101" i="16"/>
  <c r="T87" i="16"/>
  <c r="X115" i="16"/>
  <c r="W121" i="16"/>
  <c r="C150" i="16"/>
  <c r="E58" i="16"/>
  <c r="F44" i="16"/>
  <c r="B146" i="16"/>
  <c r="D230" i="16"/>
  <c r="V85" i="16"/>
  <c r="B116" i="16"/>
  <c r="F110" i="16"/>
  <c r="U108" i="16"/>
  <c r="F26" i="16"/>
  <c r="U113" i="16"/>
  <c r="V120" i="16"/>
  <c r="S138" i="16"/>
  <c r="Q131" i="16"/>
  <c r="D116" i="16"/>
  <c r="F57" i="16"/>
  <c r="F238" i="16"/>
  <c r="F148" i="16"/>
  <c r="V72" i="16"/>
  <c r="W140" i="16"/>
  <c r="R108" i="16"/>
  <c r="X144" i="16"/>
  <c r="E151" i="16"/>
  <c r="C41" i="16"/>
  <c r="T101" i="16"/>
  <c r="S140" i="16"/>
  <c r="U144" i="16"/>
  <c r="W83" i="16"/>
  <c r="F234" i="16"/>
  <c r="W108" i="16"/>
  <c r="C116" i="16"/>
  <c r="G109" i="16"/>
  <c r="T120" i="16"/>
  <c r="D138" i="16"/>
  <c r="F229" i="16"/>
  <c r="B12" i="16"/>
  <c r="T234" i="16"/>
  <c r="E59" i="16"/>
  <c r="H149" i="16"/>
  <c r="Q146" i="16"/>
  <c r="B18" i="16"/>
  <c r="Q80" i="16"/>
  <c r="S230" i="16"/>
  <c r="V116" i="16"/>
  <c r="B29" i="16"/>
  <c r="S80" i="16"/>
  <c r="C118" i="16"/>
  <c r="U143" i="16"/>
  <c r="D119" i="16"/>
  <c r="D229" i="16"/>
  <c r="C114" i="16"/>
  <c r="H106" i="16"/>
  <c r="T106" i="16"/>
  <c r="F18" i="16"/>
  <c r="R101" i="16"/>
  <c r="L19" i="16"/>
  <c r="I104" i="16"/>
  <c r="D108" i="16"/>
  <c r="E53" i="16"/>
  <c r="B49" i="16"/>
  <c r="X111" i="16"/>
  <c r="S110" i="16"/>
  <c r="G138" i="16"/>
  <c r="B118" i="16"/>
  <c r="S136" i="16"/>
  <c r="B9" i="16"/>
  <c r="S72" i="16"/>
  <c r="N12" i="16"/>
  <c r="U121" i="16"/>
  <c r="N28" i="16"/>
  <c r="I143" i="16"/>
  <c r="U134" i="16"/>
  <c r="E138" i="16"/>
  <c r="R104" i="16"/>
  <c r="R85" i="16"/>
  <c r="R82" i="16"/>
  <c r="X138" i="16"/>
  <c r="H135" i="16"/>
  <c r="S238" i="16"/>
  <c r="D18" i="16"/>
  <c r="R114" i="16"/>
  <c r="B51" i="16"/>
  <c r="T233" i="16"/>
  <c r="D141" i="16"/>
  <c r="E118" i="16"/>
  <c r="D226" i="16"/>
  <c r="T229" i="16"/>
  <c r="S145" i="16"/>
  <c r="S236" i="16"/>
  <c r="G120" i="16"/>
  <c r="H115" i="16"/>
  <c r="D151" i="16"/>
  <c r="B148" i="16"/>
  <c r="T134" i="16"/>
  <c r="R136" i="16"/>
  <c r="V88" i="16"/>
  <c r="T85" i="16"/>
  <c r="E119" i="16"/>
  <c r="L18" i="16"/>
  <c r="C110" i="16"/>
  <c r="D118" i="16"/>
  <c r="V118" i="16"/>
  <c r="V90" i="16"/>
  <c r="T133" i="16"/>
  <c r="Q82" i="16"/>
  <c r="J19" i="16"/>
  <c r="I118" i="16"/>
  <c r="H118" i="16"/>
  <c r="L13" i="16"/>
  <c r="W72" i="16"/>
  <c r="F231" i="16"/>
  <c r="U105" i="16"/>
  <c r="E143" i="16"/>
  <c r="N26" i="16"/>
  <c r="B140" i="16"/>
  <c r="H110" i="16"/>
  <c r="Q151" i="16"/>
  <c r="U135" i="16"/>
  <c r="E56" i="16"/>
  <c r="C139" i="16"/>
  <c r="W144" i="16"/>
  <c r="S84" i="16"/>
  <c r="R106" i="16"/>
  <c r="B231" i="16"/>
  <c r="R118" i="16"/>
  <c r="F232" i="16"/>
  <c r="N14" i="16"/>
  <c r="I110" i="16"/>
  <c r="S233" i="16"/>
  <c r="I140" i="16"/>
  <c r="W77" i="16"/>
  <c r="F239" i="16"/>
  <c r="Q87" i="16"/>
  <c r="R224" i="16"/>
  <c r="B104" i="16"/>
  <c r="B48" i="16"/>
  <c r="T150" i="16"/>
  <c r="G144" i="16"/>
  <c r="X148" i="16"/>
  <c r="T109" i="16"/>
  <c r="R90" i="16"/>
  <c r="R238" i="16"/>
  <c r="C121" i="16"/>
  <c r="G149" i="16"/>
  <c r="V82" i="16"/>
  <c r="C149" i="16"/>
  <c r="Q143" i="16"/>
  <c r="B119" i="16"/>
  <c r="T105" i="16"/>
  <c r="G42" i="16"/>
  <c r="U90" i="16"/>
  <c r="C120" i="16"/>
  <c r="W115" i="16"/>
  <c r="T139" i="16"/>
  <c r="V79" i="16"/>
  <c r="C59" i="16"/>
  <c r="R226" i="16"/>
  <c r="F11" i="16"/>
  <c r="S90" i="16"/>
  <c r="Y101" i="16"/>
  <c r="L23" i="16"/>
  <c r="R88" i="16"/>
  <c r="L28" i="16"/>
  <c r="T82" i="16"/>
  <c r="F103" i="16"/>
  <c r="R143" i="16"/>
  <c r="I121" i="16"/>
  <c r="T222" i="16"/>
  <c r="G105" i="16"/>
  <c r="H48" i="16"/>
  <c r="R116" i="16"/>
  <c r="H101" i="16"/>
  <c r="R110" i="16"/>
  <c r="E106" i="16"/>
  <c r="I145" i="16"/>
  <c r="B101" i="16"/>
  <c r="V89" i="16"/>
  <c r="F222" i="16"/>
  <c r="W89" i="16"/>
  <c r="B59" i="16"/>
  <c r="S109" i="16"/>
  <c r="C46" i="16"/>
  <c r="D233" i="16"/>
  <c r="H145" i="16"/>
  <c r="E133" i="16"/>
  <c r="Q150" i="16"/>
  <c r="D43" i="16"/>
  <c r="S143" i="16"/>
  <c r="F28" i="16"/>
  <c r="F54" i="16"/>
  <c r="J23" i="16"/>
  <c r="C146" i="16"/>
  <c r="B235" i="16"/>
  <c r="E114" i="16"/>
  <c r="T144" i="16"/>
  <c r="B110" i="16"/>
  <c r="Y113" i="16"/>
  <c r="F113" i="16"/>
  <c r="U149" i="16"/>
  <c r="H134" i="16"/>
  <c r="S232" i="16"/>
  <c r="T226" i="16"/>
  <c r="Q139" i="16"/>
  <c r="U119" i="16"/>
  <c r="H9" i="16"/>
  <c r="G133" i="16"/>
  <c r="G115" i="16"/>
  <c r="D110" i="16"/>
  <c r="T143" i="16"/>
  <c r="U139" i="16"/>
  <c r="X118" i="16"/>
  <c r="U120" i="16"/>
  <c r="F16" i="16"/>
  <c r="F59" i="16"/>
  <c r="L29" i="16"/>
  <c r="I111" i="16"/>
  <c r="U116" i="16"/>
  <c r="V113" i="16"/>
  <c r="V70" i="16"/>
  <c r="U109" i="16"/>
  <c r="H105" i="16"/>
  <c r="E39" i="16"/>
  <c r="B54" i="16"/>
  <c r="B22" i="16"/>
  <c r="T72" i="16"/>
  <c r="R79" i="16"/>
  <c r="Y110" i="16"/>
  <c r="R230" i="16"/>
  <c r="G141" i="16"/>
  <c r="H140" i="16"/>
  <c r="H138" i="16"/>
  <c r="H42" i="16"/>
  <c r="R145" i="16"/>
  <c r="T231" i="16"/>
  <c r="E47" i="16"/>
  <c r="J17" i="16"/>
  <c r="B151" i="16"/>
  <c r="W90" i="16"/>
  <c r="H133" i="16"/>
  <c r="H27" i="16"/>
  <c r="B228" i="16"/>
  <c r="H120" i="16"/>
  <c r="B121" i="16"/>
  <c r="S141" i="16"/>
  <c r="D56" i="16"/>
  <c r="C109" i="16"/>
  <c r="D134" i="16"/>
  <c r="D227" i="16"/>
  <c r="Q135" i="16"/>
  <c r="B21" i="16"/>
  <c r="D49" i="16"/>
  <c r="R119" i="16"/>
  <c r="J22" i="16"/>
  <c r="Q141" i="16"/>
  <c r="F118" i="16"/>
  <c r="U83" i="16"/>
  <c r="Y120" i="16"/>
  <c r="D57" i="16"/>
  <c r="D104" i="16"/>
  <c r="R146" i="16"/>
  <c r="W148" i="16"/>
  <c r="D139" i="16"/>
  <c r="B136" i="16"/>
  <c r="G145" i="16"/>
  <c r="W75" i="16"/>
  <c r="C104" i="16"/>
  <c r="B27" i="16"/>
  <c r="Y103" i="16"/>
  <c r="B14" i="16"/>
  <c r="C52" i="16"/>
  <c r="T148" i="16"/>
  <c r="G51" i="16"/>
  <c r="Q140" i="16"/>
  <c r="D136" i="16"/>
  <c r="V149" i="16"/>
  <c r="H144" i="16"/>
  <c r="R121" i="16"/>
  <c r="B52" i="16"/>
  <c r="Y118" i="16"/>
  <c r="E139" i="16"/>
  <c r="E101" i="16"/>
  <c r="R151" i="16"/>
  <c r="C144" i="16"/>
  <c r="R74" i="16"/>
  <c r="L24" i="16"/>
  <c r="B44" i="16"/>
  <c r="N16" i="16"/>
  <c r="Y114" i="16"/>
  <c r="I105" i="16"/>
  <c r="R134" i="16"/>
  <c r="I136" i="16"/>
  <c r="U140" i="16"/>
  <c r="B227" i="16"/>
  <c r="D12" i="16"/>
  <c r="W88" i="16"/>
  <c r="I149" i="16"/>
  <c r="J26" i="16"/>
  <c r="H14" i="16"/>
  <c r="T145" i="16"/>
  <c r="B134" i="16"/>
  <c r="T225" i="16"/>
  <c r="B13" i="16"/>
  <c r="Y121" i="16"/>
  <c r="W101" i="16"/>
  <c r="F115" i="16"/>
  <c r="B149" i="16"/>
  <c r="W145" i="16"/>
  <c r="H57" i="16"/>
  <c r="T131" i="16"/>
  <c r="F48" i="16"/>
  <c r="Q79" i="16"/>
  <c r="G114" i="16"/>
  <c r="W80" i="16"/>
  <c r="B28" i="16"/>
  <c r="W87" i="16"/>
  <c r="I115" i="16"/>
  <c r="B105" i="16"/>
  <c r="N27" i="16"/>
  <c r="W114" i="16"/>
  <c r="T104" i="16"/>
  <c r="B17" i="16"/>
  <c r="X136" i="16"/>
  <c r="I131" i="16"/>
  <c r="Y106" i="16"/>
  <c r="E145" i="16"/>
  <c r="V78" i="16"/>
  <c r="D135" i="16"/>
  <c r="B236" i="16"/>
  <c r="U146" i="16"/>
  <c r="B56" i="16"/>
  <c r="H26" i="16"/>
  <c r="D29" i="16"/>
  <c r="F119" i="16"/>
  <c r="U85" i="16"/>
  <c r="S135" i="16"/>
  <c r="T83" i="16"/>
  <c r="W143" i="16"/>
  <c r="D231" i="16"/>
  <c r="U82" i="16"/>
  <c r="R232" i="16"/>
  <c r="F108" i="16"/>
  <c r="E113" i="16"/>
  <c r="C57" i="16"/>
  <c r="E148" i="16"/>
  <c r="H51" i="16"/>
  <c r="J27" i="16"/>
  <c r="H16" i="16"/>
  <c r="D224" i="16"/>
  <c r="B222" i="16"/>
  <c r="F58" i="16"/>
  <c r="F41" i="16"/>
  <c r="L9" i="16"/>
  <c r="V106" i="16"/>
  <c r="F135" i="16"/>
  <c r="F136" i="16"/>
  <c r="D149" i="16"/>
  <c r="AP166" i="16" l="1"/>
  <c r="G70" i="16"/>
  <c r="Z222" i="16"/>
  <c r="V222" i="16"/>
  <c r="AA224" i="16"/>
  <c r="W224" i="16"/>
  <c r="E77" i="16"/>
  <c r="F88" i="16"/>
  <c r="H173" i="16"/>
  <c r="AG173" i="16" s="1"/>
  <c r="J168" i="16"/>
  <c r="AI168" i="16" s="1"/>
  <c r="U232" i="16"/>
  <c r="W231" i="16"/>
  <c r="AA231" i="16"/>
  <c r="J179" i="16"/>
  <c r="AI179" i="16" s="1"/>
  <c r="C90" i="16"/>
  <c r="E87" i="16"/>
  <c r="Z236" i="16"/>
  <c r="V236" i="16"/>
  <c r="AL196" i="16"/>
  <c r="B78" i="16"/>
  <c r="AM164" i="16"/>
  <c r="AJ204" i="16"/>
  <c r="H88" i="16"/>
  <c r="B165" i="16"/>
  <c r="AD165" i="16" s="1"/>
  <c r="F205" i="16"/>
  <c r="AF205" i="16" s="1"/>
  <c r="B89" i="16"/>
  <c r="B204" i="16"/>
  <c r="AD204" i="16" s="1"/>
  <c r="J175" i="16"/>
  <c r="AI175" i="16" s="1"/>
  <c r="AL211" i="16"/>
  <c r="B74" i="16"/>
  <c r="AB225" i="16"/>
  <c r="E75" i="16"/>
  <c r="F87" i="16"/>
  <c r="C73" i="16"/>
  <c r="Z227" i="16"/>
  <c r="V227" i="16"/>
  <c r="F195" i="16"/>
  <c r="AF195" i="16" s="1"/>
  <c r="AL204" i="16"/>
  <c r="H77" i="16"/>
  <c r="G85" i="16"/>
  <c r="H161" i="16"/>
  <c r="AL208" i="16"/>
  <c r="AK181" i="16"/>
  <c r="B75" i="16"/>
  <c r="AL193" i="16"/>
  <c r="B88" i="16"/>
  <c r="D164" i="16"/>
  <c r="AE164" i="16" s="1"/>
  <c r="F164" i="16"/>
  <c r="AF164" i="16" s="1"/>
  <c r="AL210" i="16"/>
  <c r="J178" i="16"/>
  <c r="AI178" i="16" s="1"/>
  <c r="F83" i="16"/>
  <c r="B82" i="16"/>
  <c r="W227" i="16"/>
  <c r="AA227" i="16"/>
  <c r="D169" i="16"/>
  <c r="AE169" i="16" s="1"/>
  <c r="B181" i="16"/>
  <c r="AD181" i="16" s="1"/>
  <c r="D210" i="16"/>
  <c r="AE210" i="16" s="1"/>
  <c r="V228" i="16"/>
  <c r="Z228" i="16"/>
  <c r="E88" i="16"/>
  <c r="F78" i="16"/>
  <c r="AB231" i="16"/>
  <c r="U230" i="16"/>
  <c r="AL200" i="16"/>
  <c r="B83" i="16"/>
  <c r="D195" i="16"/>
  <c r="AE195" i="16" s="1"/>
  <c r="AN169" i="16"/>
  <c r="AP173" i="16"/>
  <c r="AN176" i="16"/>
  <c r="F201" i="16"/>
  <c r="AF201" i="16" s="1"/>
  <c r="G90" i="16"/>
  <c r="D77" i="16"/>
  <c r="AK208" i="16"/>
  <c r="F170" i="16"/>
  <c r="AF170" i="16" s="1"/>
  <c r="B205" i="16"/>
  <c r="AD205" i="16" s="1"/>
  <c r="E70" i="16"/>
  <c r="AB226" i="16"/>
  <c r="J173" i="16"/>
  <c r="AI173" i="16" s="1"/>
  <c r="AL203" i="16"/>
  <c r="B170" i="16"/>
  <c r="AD170" i="16" s="1"/>
  <c r="H174" i="16"/>
  <c r="AG174" i="16" s="1"/>
  <c r="Z235" i="16"/>
  <c r="V235" i="16"/>
  <c r="F84" i="16"/>
  <c r="D89" i="16"/>
  <c r="AA233" i="16"/>
  <c r="W233" i="16"/>
  <c r="AL169" i="16"/>
  <c r="X222" i="16"/>
  <c r="H222" i="16"/>
  <c r="B161" i="16"/>
  <c r="H166" i="16"/>
  <c r="AG166" i="16" s="1"/>
  <c r="AK170" i="16"/>
  <c r="D191" i="16"/>
  <c r="AK176" i="16"/>
  <c r="B195" i="16"/>
  <c r="AD195" i="16" s="1"/>
  <c r="AB222" i="16"/>
  <c r="F211" i="16"/>
  <c r="AF211" i="16" s="1"/>
  <c r="J163" i="16"/>
  <c r="AI163" i="16" s="1"/>
  <c r="G89" i="16"/>
  <c r="G84" i="16"/>
  <c r="D72" i="16"/>
  <c r="U226" i="16"/>
  <c r="AC226" i="16" s="1"/>
  <c r="AJ205" i="16"/>
  <c r="D180" i="16"/>
  <c r="AE180" i="16" s="1"/>
  <c r="AM165" i="16"/>
  <c r="B179" i="16"/>
  <c r="D181" i="16"/>
  <c r="AE181" i="16" s="1"/>
  <c r="U238" i="16"/>
  <c r="Y238" i="16" s="1"/>
  <c r="AM169" i="16"/>
  <c r="B164" i="16"/>
  <c r="AD164" i="16" s="1"/>
  <c r="U224" i="16"/>
  <c r="X239" i="16"/>
  <c r="H239" i="16"/>
  <c r="F200" i="16"/>
  <c r="AF200" i="16" s="1"/>
  <c r="H75" i="16"/>
  <c r="H232" i="16"/>
  <c r="Y232" i="16" s="1"/>
  <c r="X232" i="16"/>
  <c r="AK178" i="16"/>
  <c r="V231" i="16"/>
  <c r="Z231" i="16"/>
  <c r="AK166" i="16"/>
  <c r="D200" i="16"/>
  <c r="AE200" i="16" s="1"/>
  <c r="H87" i="16"/>
  <c r="AN165" i="16"/>
  <c r="AN161" i="16" s="1"/>
  <c r="H231" i="16"/>
  <c r="AC231" i="16" s="1"/>
  <c r="X231" i="16"/>
  <c r="G74" i="16"/>
  <c r="D208" i="16"/>
  <c r="AE208" i="16" s="1"/>
  <c r="F208" i="16"/>
  <c r="AF208" i="16" s="1"/>
  <c r="F80" i="16"/>
  <c r="AP178" i="16"/>
  <c r="F178" i="16"/>
  <c r="AF178" i="16" s="1"/>
  <c r="D170" i="16"/>
  <c r="AE170" i="16" s="1"/>
  <c r="G79" i="16"/>
  <c r="H179" i="16"/>
  <c r="D205" i="16"/>
  <c r="AE205" i="16" s="1"/>
  <c r="B210" i="16"/>
  <c r="AD210" i="16" s="1"/>
  <c r="AB229" i="16"/>
  <c r="W226" i="16"/>
  <c r="AA226" i="16"/>
  <c r="H178" i="16"/>
  <c r="AG178" i="16" s="1"/>
  <c r="AB233" i="16"/>
  <c r="AK174" i="16"/>
  <c r="C79" i="16"/>
  <c r="AK164" i="16"/>
  <c r="H89" i="16"/>
  <c r="AN181" i="16"/>
  <c r="H73" i="16"/>
  <c r="B70" i="16"/>
  <c r="B178" i="16"/>
  <c r="AD178" i="16" s="1"/>
  <c r="AL170" i="16"/>
  <c r="AK201" i="16"/>
  <c r="F168" i="16"/>
  <c r="AF168" i="16" s="1"/>
  <c r="F194" i="16"/>
  <c r="AF194" i="16" s="1"/>
  <c r="G80" i="16"/>
  <c r="D79" i="16"/>
  <c r="AM166" i="16"/>
  <c r="D196" i="16"/>
  <c r="AE196" i="16" s="1"/>
  <c r="D174" i="16"/>
  <c r="AE174" i="16" s="1"/>
  <c r="W229" i="16"/>
  <c r="AA229" i="16"/>
  <c r="F179" i="16"/>
  <c r="D178" i="16"/>
  <c r="AE178" i="16" s="1"/>
  <c r="B90" i="16"/>
  <c r="AP176" i="16"/>
  <c r="B79" i="16"/>
  <c r="AB234" i="16"/>
  <c r="B73" i="16"/>
  <c r="H229" i="16"/>
  <c r="X229" i="16"/>
  <c r="B199" i="16"/>
  <c r="AD199" i="16" s="1"/>
  <c r="D176" i="16"/>
  <c r="AE176" i="16" s="1"/>
  <c r="AJ198" i="16"/>
  <c r="H234" i="16"/>
  <c r="Y234" i="16" s="1"/>
  <c r="X234" i="16"/>
  <c r="AK168" i="16"/>
  <c r="X238" i="16"/>
  <c r="H238" i="16"/>
  <c r="F176" i="16"/>
  <c r="AF176" i="16" s="1"/>
  <c r="AP180" i="16"/>
  <c r="AN173" i="16"/>
  <c r="D87" i="16"/>
  <c r="AN168" i="16"/>
  <c r="J170" i="16"/>
  <c r="AI170" i="16" s="1"/>
  <c r="B176" i="16"/>
  <c r="AD176" i="16" s="1"/>
  <c r="AA230" i="16"/>
  <c r="W230" i="16"/>
  <c r="AJ211" i="16"/>
  <c r="AK205" i="16"/>
  <c r="F161" i="16"/>
  <c r="F85" i="16"/>
  <c r="H165" i="16"/>
  <c r="AG165" i="16" s="1"/>
  <c r="AM170" i="16"/>
  <c r="B171" i="16"/>
  <c r="AD171" i="16" s="1"/>
  <c r="AL181" i="16"/>
  <c r="W238" i="16"/>
  <c r="AA238" i="16"/>
  <c r="AA239" i="16"/>
  <c r="W239" i="16"/>
  <c r="F175" i="16"/>
  <c r="AF175" i="16" s="1"/>
  <c r="D193" i="16"/>
  <c r="AE193" i="16" s="1"/>
  <c r="AN163" i="16"/>
  <c r="F204" i="16"/>
  <c r="AF204" i="16" s="1"/>
  <c r="AM168" i="16"/>
  <c r="F209" i="16"/>
  <c r="AF209" i="16" s="1"/>
  <c r="B85" i="16"/>
  <c r="AK198" i="16"/>
  <c r="Z237" i="16"/>
  <c r="V237" i="16"/>
  <c r="AA228" i="16"/>
  <c r="W228" i="16"/>
  <c r="H163" i="16"/>
  <c r="AG163" i="16" s="1"/>
  <c r="Z233" i="16"/>
  <c r="V233" i="16"/>
  <c r="AK195" i="16"/>
  <c r="E72" i="16"/>
  <c r="AL198" i="16"/>
  <c r="G83" i="16"/>
  <c r="AL176" i="16"/>
  <c r="AM173" i="16"/>
  <c r="B87" i="16"/>
  <c r="B193" i="16"/>
  <c r="AD193" i="16" s="1"/>
  <c r="X237" i="16"/>
  <c r="H237" i="16"/>
  <c r="U235" i="16"/>
  <c r="D171" i="16"/>
  <c r="AE171" i="16" s="1"/>
  <c r="AP165" i="16"/>
  <c r="H176" i="16"/>
  <c r="AG176" i="16" s="1"/>
  <c r="F169" i="16"/>
  <c r="AF169" i="16" s="1"/>
  <c r="B191" i="16"/>
  <c r="AN170" i="16"/>
  <c r="AP164" i="16"/>
  <c r="F196" i="16"/>
  <c r="AF196" i="16" s="1"/>
  <c r="D84" i="16"/>
  <c r="H227" i="16"/>
  <c r="X227" i="16"/>
  <c r="G77" i="16"/>
  <c r="F181" i="16"/>
  <c r="AF181" i="16" s="1"/>
  <c r="E82" i="16"/>
  <c r="AL166" i="16"/>
  <c r="D201" i="16"/>
  <c r="AE201" i="16" s="1"/>
  <c r="G73" i="16"/>
  <c r="J166" i="16"/>
  <c r="AI166" i="16" s="1"/>
  <c r="AB232" i="16"/>
  <c r="U228" i="16"/>
  <c r="AC228" i="16" s="1"/>
  <c r="J164" i="16"/>
  <c r="AI164" i="16" s="1"/>
  <c r="F90" i="16"/>
  <c r="B198" i="16"/>
  <c r="AD198" i="16" s="1"/>
  <c r="H169" i="16"/>
  <c r="AG169" i="16" s="1"/>
  <c r="AB227" i="16"/>
  <c r="V230" i="16"/>
  <c r="Z230" i="16"/>
  <c r="AK169" i="16"/>
  <c r="B72" i="16"/>
  <c r="H70" i="16"/>
  <c r="B180" i="16"/>
  <c r="AJ210" i="16"/>
  <c r="F77" i="16"/>
  <c r="H170" i="16"/>
  <c r="AG170" i="16" s="1"/>
  <c r="F166" i="16"/>
  <c r="AF166" i="16" s="1"/>
  <c r="G82" i="16"/>
  <c r="B169" i="16"/>
  <c r="AD169" i="16" s="1"/>
  <c r="H78" i="16"/>
  <c r="C84" i="16"/>
  <c r="H168" i="16"/>
  <c r="AG168" i="16" s="1"/>
  <c r="B163" i="16"/>
  <c r="AD163" i="16" s="1"/>
  <c r="AL164" i="16"/>
  <c r="D173" i="16"/>
  <c r="AE173" i="16" s="1"/>
  <c r="AB238" i="16"/>
  <c r="U225" i="16"/>
  <c r="F82" i="16"/>
  <c r="D211" i="16"/>
  <c r="AE211" i="16" s="1"/>
  <c r="AP170" i="16"/>
  <c r="D206" i="16"/>
  <c r="AE206" i="16" s="1"/>
  <c r="F198" i="16"/>
  <c r="AF198" i="16" s="1"/>
  <c r="F79" i="16"/>
  <c r="AP181" i="16"/>
  <c r="J169" i="16"/>
  <c r="AI169" i="16" s="1"/>
  <c r="F75" i="16"/>
  <c r="G75" i="16"/>
  <c r="H85" i="16"/>
  <c r="AL199" i="16"/>
  <c r="AB239" i="16"/>
  <c r="AJ199" i="16"/>
  <c r="AK211" i="16"/>
  <c r="AP179" i="16"/>
  <c r="F199" i="16"/>
  <c r="AF199" i="16" s="1"/>
  <c r="F191" i="16"/>
  <c r="H180" i="16"/>
  <c r="D168" i="16"/>
  <c r="AE168" i="16" s="1"/>
  <c r="AJ200" i="16"/>
  <c r="AL171" i="16"/>
  <c r="X230" i="16"/>
  <c r="H230" i="16"/>
  <c r="AC230" i="16" s="1"/>
  <c r="W234" i="16"/>
  <c r="AA234" i="16"/>
  <c r="X233" i="16"/>
  <c r="H233" i="16"/>
  <c r="AA236" i="16"/>
  <c r="W236" i="16"/>
  <c r="D70" i="16"/>
  <c r="B209" i="16"/>
  <c r="AD209" i="16" s="1"/>
  <c r="AJ206" i="16"/>
  <c r="X235" i="16"/>
  <c r="H235" i="16"/>
  <c r="X228" i="16"/>
  <c r="H228" i="16"/>
  <c r="AK171" i="16"/>
  <c r="AB228" i="16"/>
  <c r="B173" i="16"/>
  <c r="AD173" i="16" s="1"/>
  <c r="D73" i="16"/>
  <c r="B77" i="16"/>
  <c r="H164" i="16"/>
  <c r="AG164" i="16" s="1"/>
  <c r="B203" i="16"/>
  <c r="AD203" i="16" s="1"/>
  <c r="E90" i="16"/>
  <c r="AL194" i="16"/>
  <c r="W225" i="16"/>
  <c r="AA225" i="16"/>
  <c r="AK199" i="16"/>
  <c r="AN174" i="16"/>
  <c r="AK193" i="16"/>
  <c r="AJ194" i="16"/>
  <c r="F171" i="16"/>
  <c r="AF171" i="16" s="1"/>
  <c r="AP175" i="16"/>
  <c r="AP168" i="16"/>
  <c r="AK203" i="16"/>
  <c r="J165" i="16"/>
  <c r="AI165" i="16" s="1"/>
  <c r="AJ196" i="16"/>
  <c r="D80" i="16"/>
  <c r="J161" i="16"/>
  <c r="D75" i="16"/>
  <c r="AB230" i="16"/>
  <c r="AB235" i="16"/>
  <c r="F173" i="16"/>
  <c r="AF173" i="16" s="1"/>
  <c r="U239" i="16"/>
  <c r="AC239" i="16" s="1"/>
  <c r="H82" i="16"/>
  <c r="U234" i="16"/>
  <c r="Z232" i="16"/>
  <c r="V232" i="16"/>
  <c r="D85" i="16"/>
  <c r="B206" i="16"/>
  <c r="AD206" i="16" s="1"/>
  <c r="E80" i="16"/>
  <c r="U236" i="16"/>
  <c r="AM163" i="16"/>
  <c r="AL178" i="16"/>
  <c r="AK196" i="16"/>
  <c r="J176" i="16"/>
  <c r="AI176" i="16" s="1"/>
  <c r="AN178" i="16"/>
  <c r="D179" i="16"/>
  <c r="F70" i="16"/>
  <c r="B168" i="16"/>
  <c r="AD168" i="16" s="1"/>
  <c r="AK200" i="16"/>
  <c r="AK173" i="16"/>
  <c r="H226" i="16"/>
  <c r="X226" i="16"/>
  <c r="Z238" i="16"/>
  <c r="V238" i="16"/>
  <c r="B175" i="16"/>
  <c r="AD175" i="16" s="1"/>
  <c r="H79" i="16"/>
  <c r="F73" i="16"/>
  <c r="E74" i="16"/>
  <c r="AK194" i="16"/>
  <c r="AP169" i="16"/>
  <c r="AK163" i="16"/>
  <c r="F163" i="16"/>
  <c r="AF163" i="16" s="1"/>
  <c r="H175" i="16"/>
  <c r="AG175" i="16" s="1"/>
  <c r="F89" i="16"/>
  <c r="B84" i="16"/>
  <c r="E85" i="16"/>
  <c r="C74" i="16"/>
  <c r="AL175" i="16"/>
  <c r="AL209" i="16"/>
  <c r="AK165" i="16"/>
  <c r="AN171" i="16"/>
  <c r="C80" i="16"/>
  <c r="B166" i="16"/>
  <c r="AD166" i="16" s="1"/>
  <c r="D161" i="16"/>
  <c r="U233" i="16"/>
  <c r="AL173" i="16"/>
  <c r="AB236" i="16"/>
  <c r="AL195" i="16"/>
  <c r="D82" i="16"/>
  <c r="F180" i="16"/>
  <c r="AF180" i="16" s="1"/>
  <c r="C78" i="16"/>
  <c r="E78" i="16"/>
  <c r="U231" i="16"/>
  <c r="F74" i="16"/>
  <c r="AP163" i="16"/>
  <c r="D198" i="16"/>
  <c r="AE198" i="16" s="1"/>
  <c r="E73" i="16"/>
  <c r="C70" i="16"/>
  <c r="U222" i="16"/>
  <c r="AL174" i="16"/>
  <c r="AL168" i="16"/>
  <c r="AK206" i="16"/>
  <c r="D74" i="16"/>
  <c r="D90" i="16"/>
  <c r="AL205" i="16"/>
  <c r="B201" i="16"/>
  <c r="AD201" i="16" s="1"/>
  <c r="H74" i="16"/>
  <c r="AM181" i="16"/>
  <c r="AP171" i="16"/>
  <c r="X236" i="16"/>
  <c r="H236" i="16"/>
  <c r="F193" i="16"/>
  <c r="AF193" i="16" s="1"/>
  <c r="J171" i="16"/>
  <c r="AI171" i="16" s="1"/>
  <c r="AM178" i="16"/>
  <c r="B194" i="16"/>
  <c r="AD194" i="16" s="1"/>
  <c r="D203" i="16"/>
  <c r="AE203" i="16" s="1"/>
  <c r="F174" i="16"/>
  <c r="AF174" i="16" s="1"/>
  <c r="B174" i="16"/>
  <c r="AD174" i="16" s="1"/>
  <c r="AL201" i="16"/>
  <c r="H83" i="16"/>
  <c r="F210" i="16"/>
  <c r="AF210" i="16" s="1"/>
  <c r="J180" i="16"/>
  <c r="AI180" i="16" s="1"/>
  <c r="J181" i="16"/>
  <c r="AI181" i="16" s="1"/>
  <c r="B80" i="16"/>
  <c r="AK204" i="16"/>
  <c r="AA232" i="16"/>
  <c r="W232" i="16"/>
  <c r="F206" i="16"/>
  <c r="AF206" i="16" s="1"/>
  <c r="D209" i="16"/>
  <c r="AE209" i="16" s="1"/>
  <c r="H181" i="16"/>
  <c r="AG181" i="16" s="1"/>
  <c r="AK210" i="16"/>
  <c r="V224" i="16"/>
  <c r="Z224" i="16"/>
  <c r="AJ209" i="16"/>
  <c r="AM175" i="16"/>
  <c r="AJ193" i="16"/>
  <c r="B211" i="16"/>
  <c r="AD211" i="16" s="1"/>
  <c r="G72" i="16"/>
  <c r="G78" i="16"/>
  <c r="D83" i="16"/>
  <c r="AN166" i="16"/>
  <c r="Z225" i="16"/>
  <c r="V225" i="16"/>
  <c r="AN175" i="16"/>
  <c r="AJ201" i="16"/>
  <c r="AK175" i="16"/>
  <c r="B196" i="16"/>
  <c r="AD196" i="16" s="1"/>
  <c r="AP174" i="16"/>
  <c r="B208" i="16"/>
  <c r="AD208" i="16" s="1"/>
  <c r="C77" i="16"/>
  <c r="H72" i="16"/>
  <c r="D166" i="16"/>
  <c r="AE166" i="16" s="1"/>
  <c r="D88" i="16"/>
  <c r="AM171" i="16"/>
  <c r="AK209" i="16"/>
  <c r="F165" i="16"/>
  <c r="AF165" i="16" s="1"/>
  <c r="AJ195" i="16"/>
  <c r="B200" i="16"/>
  <c r="AD200" i="16" s="1"/>
  <c r="W235" i="16"/>
  <c r="AA235" i="16"/>
  <c r="G88" i="16"/>
  <c r="W222" i="16"/>
  <c r="AA222" i="16"/>
  <c r="AB237" i="16"/>
  <c r="D78" i="16"/>
  <c r="D163" i="16"/>
  <c r="AE163" i="16" s="1"/>
  <c r="D165" i="16"/>
  <c r="AE165" i="16" s="1"/>
  <c r="G87" i="16"/>
  <c r="H225" i="16"/>
  <c r="Y225" i="16" s="1"/>
  <c r="X225" i="16"/>
  <c r="Z229" i="16"/>
  <c r="V229" i="16"/>
  <c r="V226" i="16"/>
  <c r="Z226" i="16"/>
  <c r="H90" i="16"/>
  <c r="C88" i="16"/>
  <c r="D175" i="16"/>
  <c r="AE175" i="16" s="1"/>
  <c r="AL165" i="16"/>
  <c r="AN164" i="16"/>
  <c r="AM176" i="16"/>
  <c r="C72" i="16"/>
  <c r="E83" i="16"/>
  <c r="E89" i="16"/>
  <c r="F203" i="16"/>
  <c r="AF203" i="16" s="1"/>
  <c r="D204" i="16"/>
  <c r="AE204" i="16" s="1"/>
  <c r="J174" i="16"/>
  <c r="AI174" i="16" s="1"/>
  <c r="AM174" i="16"/>
  <c r="U237" i="16"/>
  <c r="Y237" i="16" s="1"/>
  <c r="V234" i="16"/>
  <c r="Z234" i="16"/>
  <c r="AA237" i="16"/>
  <c r="W237" i="16"/>
  <c r="Z239" i="16"/>
  <c r="V239" i="16"/>
  <c r="F72" i="16"/>
  <c r="C89" i="16"/>
  <c r="C83" i="16"/>
  <c r="E84" i="16"/>
  <c r="AB224" i="16"/>
  <c r="U227" i="16"/>
  <c r="Y227" i="16" s="1"/>
  <c r="AJ208" i="16"/>
  <c r="U229" i="16"/>
  <c r="Y229" i="16" s="1"/>
  <c r="H171" i="16"/>
  <c r="AG171" i="16" s="1"/>
  <c r="H80" i="16"/>
  <c r="E79" i="16"/>
  <c r="C82" i="16"/>
  <c r="C87" i="16"/>
  <c r="AL163" i="16"/>
  <c r="AJ203" i="16"/>
  <c r="AL206" i="16"/>
  <c r="C75" i="16"/>
  <c r="D199" i="16"/>
  <c r="AE199" i="16" s="1"/>
  <c r="H84" i="16"/>
  <c r="C85" i="16"/>
  <c r="D194" i="16"/>
  <c r="AE194" i="16" s="1"/>
  <c r="H224" i="16"/>
  <c r="X224" i="16"/>
  <c r="Y235" i="16"/>
  <c r="AC235" i="16"/>
  <c r="AC233" i="16"/>
  <c r="AC222" i="16"/>
  <c r="Y222" i="16"/>
  <c r="AC236" i="16" l="1"/>
  <c r="AC232" i="16"/>
  <c r="Y228" i="16"/>
  <c r="AP161" i="16"/>
  <c r="AC237" i="16"/>
  <c r="AE161" i="16"/>
  <c r="AC224" i="16"/>
  <c r="AF191" i="16"/>
  <c r="AM161" i="16"/>
  <c r="AE191" i="16"/>
  <c r="AL161" i="16"/>
  <c r="AK161" i="16"/>
  <c r="Y236" i="16"/>
  <c r="Y224" i="16"/>
  <c r="Y231" i="16"/>
  <c r="Y226" i="16"/>
  <c r="Y233" i="16"/>
  <c r="AD161" i="16"/>
  <c r="AC238" i="16"/>
  <c r="AJ191" i="16"/>
  <c r="AG161" i="16"/>
  <c r="AF161" i="16"/>
  <c r="Y230" i="16"/>
  <c r="AK191" i="16"/>
  <c r="AI161" i="16"/>
  <c r="AD191" i="16"/>
  <c r="AL191" i="16"/>
  <c r="AC234" i="16"/>
  <c r="Y239" i="16"/>
  <c r="AC225" i="16"/>
  <c r="AC229" i="16"/>
  <c r="AC227" i="16"/>
</calcChain>
</file>

<file path=xl/comments1.xml><?xml version="1.0" encoding="utf-8"?>
<comments xmlns="http://schemas.openxmlformats.org/spreadsheetml/2006/main">
  <authors>
    <author>jmarks</author>
  </authors>
  <commentList>
    <comment ref="C10" authorId="0" shapeId="0">
      <text>
        <r>
          <rPr>
            <b/>
            <sz val="10"/>
            <color indexed="81"/>
            <rFont val="Tahoma"/>
            <family val="2"/>
          </rPr>
          <t>jmarks:</t>
        </r>
        <r>
          <rPr>
            <sz val="10"/>
            <color indexed="81"/>
            <rFont val="Tahoma"/>
            <family val="2"/>
          </rPr>
          <t xml:space="preserve">
Formula for regional figure to use when all states report.</t>
        </r>
      </text>
    </comment>
    <comment ref="E10" authorId="0" shapeId="0">
      <text>
        <r>
          <rPr>
            <b/>
            <sz val="10"/>
            <color indexed="81"/>
            <rFont val="Tahoma"/>
            <family val="2"/>
          </rPr>
          <t>jmarks:</t>
        </r>
        <r>
          <rPr>
            <sz val="10"/>
            <color indexed="81"/>
            <rFont val="Tahoma"/>
            <family val="2"/>
          </rPr>
          <t xml:space="preserve">
Formula for regional figure to use when all states report.</t>
        </r>
      </text>
    </comment>
    <comment ref="G10" authorId="0" shapeId="0">
      <text>
        <r>
          <rPr>
            <b/>
            <sz val="10"/>
            <color indexed="81"/>
            <rFont val="Tahoma"/>
            <family val="2"/>
          </rPr>
          <t>jmarks:</t>
        </r>
        <r>
          <rPr>
            <sz val="10"/>
            <color indexed="81"/>
            <rFont val="Tahoma"/>
            <family val="2"/>
          </rPr>
          <t xml:space="preserve">
Formula for regional figure to use when all states report.</t>
        </r>
      </text>
    </comment>
    <comment ref="I10" authorId="0" shapeId="0">
      <text>
        <r>
          <rPr>
            <b/>
            <sz val="10"/>
            <color indexed="81"/>
            <rFont val="Tahoma"/>
            <family val="2"/>
          </rPr>
          <t>jmarks:</t>
        </r>
        <r>
          <rPr>
            <sz val="10"/>
            <color indexed="81"/>
            <rFont val="Tahoma"/>
            <family val="2"/>
          </rPr>
          <t xml:space="preserve">
Formula for regional figure to use when all states report.</t>
        </r>
      </text>
    </comment>
    <comment ref="K10" authorId="0" shapeId="0">
      <text>
        <r>
          <rPr>
            <b/>
            <sz val="10"/>
            <color indexed="81"/>
            <rFont val="Tahoma"/>
            <family val="2"/>
          </rPr>
          <t>jmarks:</t>
        </r>
        <r>
          <rPr>
            <sz val="10"/>
            <color indexed="81"/>
            <rFont val="Tahoma"/>
            <family val="2"/>
          </rPr>
          <t xml:space="preserve">
Formula for regional figure to use when all states report.</t>
        </r>
      </text>
    </comment>
    <comment ref="M10" authorId="0" shapeId="0">
      <text>
        <r>
          <rPr>
            <b/>
            <sz val="10"/>
            <color indexed="81"/>
            <rFont val="Tahoma"/>
            <family val="2"/>
          </rPr>
          <t>jmarks:</t>
        </r>
        <r>
          <rPr>
            <sz val="10"/>
            <color indexed="81"/>
            <rFont val="Tahoma"/>
            <family val="2"/>
          </rPr>
          <t xml:space="preserve">
Formula for regional figure to use when all states report.</t>
        </r>
      </text>
    </comment>
    <comment ref="O10" authorId="0" shapeId="0">
      <text>
        <r>
          <rPr>
            <b/>
            <sz val="10"/>
            <color indexed="81"/>
            <rFont val="Tahoma"/>
            <family val="2"/>
          </rPr>
          <t>jmarks:</t>
        </r>
        <r>
          <rPr>
            <sz val="10"/>
            <color indexed="81"/>
            <rFont val="Tahoma"/>
            <family val="2"/>
          </rPr>
          <t xml:space="preserve">
Formula for regional figure to use when all states report.</t>
        </r>
      </text>
    </comment>
    <comment ref="A162" authorId="0" shapeId="0">
      <text>
        <r>
          <rPr>
            <b/>
            <sz val="10"/>
            <color indexed="81"/>
            <rFont val="Tahoma"/>
            <family val="2"/>
          </rPr>
          <t>jmarks:</t>
        </r>
        <r>
          <rPr>
            <sz val="10"/>
            <color indexed="81"/>
            <rFont val="Tahoma"/>
            <family val="2"/>
          </rPr>
          <t xml:space="preserve">
Formulas for regional figures to use when all states report.</t>
        </r>
      </text>
    </comment>
    <comment ref="AE179" authorId="0" shapeId="0">
      <text>
        <r>
          <rPr>
            <b/>
            <sz val="8"/>
            <color indexed="81"/>
            <rFont val="Tahoma"/>
            <family val="2"/>
          </rPr>
          <t>jmarks:</t>
        </r>
        <r>
          <rPr>
            <sz val="8"/>
            <color indexed="81"/>
            <rFont val="Tahoma"/>
            <family val="2"/>
          </rPr>
          <t xml:space="preserve">
differs to match grouping of funding data</t>
        </r>
      </text>
    </comment>
    <comment ref="AF179" authorId="0" shapeId="0">
      <text>
        <r>
          <rPr>
            <b/>
            <sz val="8"/>
            <color indexed="81"/>
            <rFont val="Tahoma"/>
            <family val="2"/>
          </rPr>
          <t>jmarks:</t>
        </r>
        <r>
          <rPr>
            <sz val="8"/>
            <color indexed="81"/>
            <rFont val="Tahoma"/>
            <family val="2"/>
          </rPr>
          <t xml:space="preserve">
differs to match grouping of funding data</t>
        </r>
      </text>
    </comment>
    <comment ref="AG179" authorId="0" shapeId="0">
      <text>
        <r>
          <rPr>
            <b/>
            <sz val="8"/>
            <color indexed="81"/>
            <rFont val="Tahoma"/>
            <family val="2"/>
          </rPr>
          <t>jmarks:</t>
        </r>
        <r>
          <rPr>
            <sz val="8"/>
            <color indexed="81"/>
            <rFont val="Tahoma"/>
            <family val="2"/>
          </rPr>
          <t xml:space="preserve">
differs to match grouping of funding data</t>
        </r>
      </text>
    </comment>
    <comment ref="AL179" authorId="0" shapeId="0">
      <text>
        <r>
          <rPr>
            <b/>
            <sz val="8"/>
            <color indexed="81"/>
            <rFont val="Tahoma"/>
            <family val="2"/>
          </rPr>
          <t>jmarks:</t>
        </r>
        <r>
          <rPr>
            <sz val="8"/>
            <color indexed="81"/>
            <rFont val="Tahoma"/>
            <family val="2"/>
          </rPr>
          <t xml:space="preserve">
differs to match grouping of funding data</t>
        </r>
      </text>
    </comment>
    <comment ref="AM179" authorId="0" shapeId="0">
      <text>
        <r>
          <rPr>
            <b/>
            <sz val="8"/>
            <color indexed="81"/>
            <rFont val="Tahoma"/>
            <family val="2"/>
          </rPr>
          <t>jmarks:</t>
        </r>
        <r>
          <rPr>
            <sz val="8"/>
            <color indexed="81"/>
            <rFont val="Tahoma"/>
            <family val="2"/>
          </rPr>
          <t xml:space="preserve">
differs to match grouping of funding data</t>
        </r>
      </text>
    </comment>
    <comment ref="AN179" authorId="0" shapeId="0">
      <text>
        <r>
          <rPr>
            <b/>
            <sz val="8"/>
            <color indexed="81"/>
            <rFont val="Tahoma"/>
            <family val="2"/>
          </rPr>
          <t>jmarks:</t>
        </r>
        <r>
          <rPr>
            <sz val="8"/>
            <color indexed="81"/>
            <rFont val="Tahoma"/>
            <family val="2"/>
          </rPr>
          <t xml:space="preserve">
differs to match grouping of funding data</t>
        </r>
      </text>
    </comment>
    <comment ref="AG180" authorId="0" shapeId="0">
      <text>
        <r>
          <rPr>
            <b/>
            <sz val="8"/>
            <color indexed="81"/>
            <rFont val="Tahoma"/>
            <family val="2"/>
          </rPr>
          <t>lcowan:</t>
        </r>
        <r>
          <rPr>
            <sz val="8"/>
            <color indexed="81"/>
            <rFont val="Tahoma"/>
            <family val="2"/>
          </rPr>
          <t xml:space="preserve">
Since R.Bland is the only campus for which funding is identified, the R.B. FTE (10b) are put in this column.</t>
        </r>
      </text>
    </comment>
    <comment ref="AH180" authorId="0" shapeId="0">
      <text>
        <r>
          <rPr>
            <b/>
            <sz val="8"/>
            <color indexed="81"/>
            <rFont val="Tahoma"/>
            <family val="2"/>
          </rPr>
          <t>jmarks:</t>
        </r>
        <r>
          <rPr>
            <sz val="8"/>
            <color indexed="81"/>
            <rFont val="Tahoma"/>
            <family val="2"/>
          </rPr>
          <t xml:space="preserve">
differs to match grouping of funding dat</t>
        </r>
      </text>
    </comment>
    <comment ref="AN180" authorId="0" shapeId="0">
      <text>
        <r>
          <rPr>
            <b/>
            <sz val="8"/>
            <color indexed="81"/>
            <rFont val="Tahoma"/>
            <family val="2"/>
          </rPr>
          <t>lcowan:</t>
        </r>
        <r>
          <rPr>
            <sz val="8"/>
            <color indexed="81"/>
            <rFont val="Tahoma"/>
            <family val="2"/>
          </rPr>
          <t xml:space="preserve">
Since R.Bland is the only campus for which funding is identified, the R.B. FTE (10b) are put in this column.</t>
        </r>
      </text>
    </comment>
    <comment ref="A192" authorId="0" shapeId="0">
      <text>
        <r>
          <rPr>
            <b/>
            <sz val="10"/>
            <color indexed="81"/>
            <rFont val="Tahoma"/>
            <family val="2"/>
          </rPr>
          <t>jmarks:</t>
        </r>
        <r>
          <rPr>
            <sz val="10"/>
            <color indexed="81"/>
            <rFont val="Tahoma"/>
            <family val="2"/>
          </rPr>
          <t xml:space="preserve">
Formulas for regional figures to use when all states report.</t>
        </r>
      </text>
    </comment>
  </commentList>
</comments>
</file>

<file path=xl/comments2.xml><?xml version="1.0" encoding="utf-8"?>
<comments xmlns="http://schemas.openxmlformats.org/spreadsheetml/2006/main">
  <authors>
    <author>jmarks</author>
  </authors>
  <commentList>
    <comment ref="A1" authorId="0" shapeId="0">
      <text>
        <r>
          <rPr>
            <b/>
            <sz val="10"/>
            <color indexed="81"/>
            <rFont val="Tahoma"/>
            <family val="2"/>
          </rPr>
          <t>jmarks:</t>
        </r>
        <r>
          <rPr>
            <sz val="10"/>
            <color indexed="81"/>
            <rFont val="Tahoma"/>
            <family val="2"/>
          </rPr>
          <t xml:space="preserve">
This set of prior year tables are calculated based on institutional classification as of the current year.</t>
        </r>
      </text>
    </comment>
    <comment ref="C10" authorId="0" shapeId="0">
      <text>
        <r>
          <rPr>
            <b/>
            <sz val="10"/>
            <color indexed="81"/>
            <rFont val="Tahoma"/>
            <family val="2"/>
          </rPr>
          <t>jmarks:</t>
        </r>
        <r>
          <rPr>
            <sz val="10"/>
            <color indexed="81"/>
            <rFont val="Tahoma"/>
            <family val="2"/>
          </rPr>
          <t xml:space="preserve">
Formula for regional figure to use when all states report.</t>
        </r>
      </text>
    </comment>
    <comment ref="E10" authorId="0" shapeId="0">
      <text>
        <r>
          <rPr>
            <b/>
            <sz val="10"/>
            <color indexed="81"/>
            <rFont val="Tahoma"/>
            <family val="2"/>
          </rPr>
          <t>jmarks:</t>
        </r>
        <r>
          <rPr>
            <sz val="10"/>
            <color indexed="81"/>
            <rFont val="Tahoma"/>
            <family val="2"/>
          </rPr>
          <t xml:space="preserve">
Formula for regional figure to use when all states report.</t>
        </r>
      </text>
    </comment>
    <comment ref="G10" authorId="0" shapeId="0">
      <text>
        <r>
          <rPr>
            <b/>
            <sz val="10"/>
            <color indexed="81"/>
            <rFont val="Tahoma"/>
            <family val="2"/>
          </rPr>
          <t>jmarks:</t>
        </r>
        <r>
          <rPr>
            <sz val="10"/>
            <color indexed="81"/>
            <rFont val="Tahoma"/>
            <family val="2"/>
          </rPr>
          <t xml:space="preserve">
Formula for regional figure to use when all states report.</t>
        </r>
      </text>
    </comment>
    <comment ref="I10" authorId="0" shapeId="0">
      <text>
        <r>
          <rPr>
            <b/>
            <sz val="10"/>
            <color indexed="81"/>
            <rFont val="Tahoma"/>
            <family val="2"/>
          </rPr>
          <t>jmarks:</t>
        </r>
        <r>
          <rPr>
            <sz val="10"/>
            <color indexed="81"/>
            <rFont val="Tahoma"/>
            <family val="2"/>
          </rPr>
          <t xml:space="preserve">
Formula for regional figure to use when all states report.</t>
        </r>
      </text>
    </comment>
    <comment ref="K10" authorId="0" shapeId="0">
      <text>
        <r>
          <rPr>
            <b/>
            <sz val="10"/>
            <color indexed="81"/>
            <rFont val="Tahoma"/>
            <family val="2"/>
          </rPr>
          <t>jmarks:</t>
        </r>
        <r>
          <rPr>
            <sz val="10"/>
            <color indexed="81"/>
            <rFont val="Tahoma"/>
            <family val="2"/>
          </rPr>
          <t xml:space="preserve">
Formula for regional figure to use when all states report.</t>
        </r>
      </text>
    </comment>
    <comment ref="M10" authorId="0" shapeId="0">
      <text>
        <r>
          <rPr>
            <b/>
            <sz val="10"/>
            <color indexed="81"/>
            <rFont val="Tahoma"/>
            <family val="2"/>
          </rPr>
          <t>jmarks:</t>
        </r>
        <r>
          <rPr>
            <sz val="10"/>
            <color indexed="81"/>
            <rFont val="Tahoma"/>
            <family val="2"/>
          </rPr>
          <t xml:space="preserve">
Formula for regional figure to use when all states report.</t>
        </r>
      </text>
    </comment>
    <comment ref="O10" authorId="0" shapeId="0">
      <text>
        <r>
          <rPr>
            <b/>
            <sz val="10"/>
            <color indexed="81"/>
            <rFont val="Tahoma"/>
            <family val="2"/>
          </rPr>
          <t>jmarks:</t>
        </r>
        <r>
          <rPr>
            <sz val="10"/>
            <color indexed="81"/>
            <rFont val="Tahoma"/>
            <family val="2"/>
          </rPr>
          <t xml:space="preserve">
Formula for regional figure to use when all states report.</t>
        </r>
      </text>
    </comment>
    <comment ref="A161" authorId="0" shapeId="0">
      <text>
        <r>
          <rPr>
            <b/>
            <sz val="10"/>
            <color indexed="81"/>
            <rFont val="Tahoma"/>
            <family val="2"/>
          </rPr>
          <t>jmarks:</t>
        </r>
        <r>
          <rPr>
            <sz val="10"/>
            <color indexed="81"/>
            <rFont val="Tahoma"/>
            <family val="2"/>
          </rPr>
          <t xml:space="preserve">
Formulas for regional figures to use when all states report.</t>
        </r>
      </text>
    </comment>
    <comment ref="A191" authorId="0" shapeId="0">
      <text>
        <r>
          <rPr>
            <b/>
            <sz val="10"/>
            <color indexed="81"/>
            <rFont val="Tahoma"/>
            <family val="2"/>
          </rPr>
          <t>jmarks:</t>
        </r>
        <r>
          <rPr>
            <sz val="10"/>
            <color indexed="81"/>
            <rFont val="Tahoma"/>
            <family val="2"/>
          </rPr>
          <t xml:space="preserve">
Formulas for regional figures to use when all states report.</t>
        </r>
      </text>
    </comment>
  </commentList>
</comments>
</file>

<file path=xl/comments3.xml><?xml version="1.0" encoding="utf-8"?>
<comments xmlns="http://schemas.openxmlformats.org/spreadsheetml/2006/main">
  <authors>
    <author>mloverde</author>
    <author>jmarks</author>
    <author>Lisa Cowan</author>
    <author>Excel Validator</author>
    <author>Rachana Bhatt</author>
    <author>Lee, Cynthia M.</author>
    <author>mevilsiz</author>
  </authors>
  <commentList>
    <comment ref="Q4" authorId="0" shapeId="0">
      <text>
        <r>
          <rPr>
            <b/>
            <sz val="10"/>
            <color rgb="FF000000"/>
            <rFont val="Tahoma"/>
            <family val="2"/>
          </rPr>
          <t>jmarks: Formula must "fit" term code: /30 for semesters; /45 for quarters</t>
        </r>
      </text>
    </comment>
    <comment ref="V4" authorId="1" shapeId="0">
      <text>
        <r>
          <rPr>
            <b/>
            <sz val="10"/>
            <color rgb="FF000000"/>
            <rFont val="Tahoma"/>
            <family val="2"/>
          </rPr>
          <t>jmarks:</t>
        </r>
        <r>
          <rPr>
            <sz val="10"/>
            <color rgb="FF000000"/>
            <rFont val="Tahoma"/>
            <family val="2"/>
          </rPr>
          <t xml:space="preserve">
To perform weighted averages, totals can only be included when h.s. student data present.</t>
        </r>
      </text>
    </comment>
    <comment ref="AG4" authorId="0" shapeId="0">
      <text>
        <r>
          <rPr>
            <b/>
            <sz val="10"/>
            <color rgb="FF000000"/>
            <rFont val="Tahoma"/>
            <family val="2"/>
          </rPr>
          <t>jmarks: Formula must "fit" term code: /30 for semesters; /45 for quarters</t>
        </r>
      </text>
    </comment>
    <comment ref="AL4" authorId="1" shapeId="0">
      <text>
        <r>
          <rPr>
            <b/>
            <sz val="10"/>
            <color rgb="FF000000"/>
            <rFont val="Tahoma"/>
            <family val="2"/>
          </rPr>
          <t>jmarks:</t>
        </r>
        <r>
          <rPr>
            <sz val="10"/>
            <color rgb="FF000000"/>
            <rFont val="Tahoma"/>
            <family val="2"/>
          </rPr>
          <t xml:space="preserve">
To perform weighted averages, totals can only be included when h.s. student data present.</t>
        </r>
      </text>
    </comment>
    <comment ref="AW4" authorId="0" shapeId="0">
      <text>
        <r>
          <rPr>
            <b/>
            <sz val="10"/>
            <color rgb="FF000000"/>
            <rFont val="Tahoma"/>
            <family val="2"/>
          </rPr>
          <t>jmarks: Formula must "fit" term code: /30 for semesters; /45 for quarters</t>
        </r>
      </text>
    </comment>
    <comment ref="V6" authorId="1" shapeId="0">
      <text>
        <r>
          <rPr>
            <b/>
            <sz val="10"/>
            <color rgb="FF000000"/>
            <rFont val="Tahoma"/>
            <family val="2"/>
          </rPr>
          <t>jmarks:</t>
        </r>
        <r>
          <rPr>
            <sz val="10"/>
            <color rgb="FF000000"/>
            <rFont val="Tahoma"/>
            <family val="2"/>
          </rPr>
          <t xml:space="preserve">
To perform weighted averages, totals can only be included when h.s. student data present.</t>
        </r>
      </text>
    </comment>
    <comment ref="AL6" authorId="1" shapeId="0">
      <text>
        <r>
          <rPr>
            <b/>
            <sz val="10"/>
            <color rgb="FF000000"/>
            <rFont val="Tahoma"/>
            <family val="2"/>
          </rPr>
          <t>jmarks:</t>
        </r>
        <r>
          <rPr>
            <sz val="10"/>
            <color rgb="FF000000"/>
            <rFont val="Tahoma"/>
            <family val="2"/>
          </rPr>
          <t xml:space="preserve">
To perform weighted averages, totals can only be included when h.s. student data present.</t>
        </r>
      </text>
    </comment>
    <comment ref="B80" authorId="2" shapeId="0">
      <text>
        <r>
          <rPr>
            <b/>
            <sz val="9"/>
            <color rgb="FF000000"/>
            <rFont val="Tahoma"/>
            <family val="2"/>
          </rPr>
          <t>Lisa Cowan:</t>
        </r>
        <r>
          <rPr>
            <sz val="9"/>
            <color rgb="FF000000"/>
            <rFont val="Tahoma"/>
            <family val="2"/>
          </rPr>
          <t xml:space="preserve">
All of the Delaware Tech Campuses are now being reported a single college under the Terry Campus.</t>
        </r>
      </text>
    </comment>
    <comment ref="B120" authorId="3" shapeId="0">
      <text>
        <r>
          <rPr>
            <sz val="8"/>
            <color rgb="FF000000"/>
            <rFont val="Tahoma"/>
            <family val="2"/>
          </rPr>
          <t>Moderate Warning  AA003: Institution name is invalid.</t>
        </r>
        <r>
          <rPr>
            <sz val="8"/>
            <color rgb="FF000000"/>
            <rFont val="Tahoma"/>
            <family val="2"/>
          </rPr>
          <t>Moderate Warning  AA003: Institution name is invalid.</t>
        </r>
      </text>
    </comment>
    <comment ref="O120" authorId="3" shapeId="0">
      <text>
        <r>
          <rPr>
            <sz val="8"/>
            <color rgb="FF000000"/>
            <rFont val="Tahoma"/>
            <family val="2"/>
          </rPr>
          <t>Moderate Warning  AA008: Large Metric difference from prior year &gt;= 50%</t>
        </r>
        <r>
          <rPr>
            <sz val="8"/>
            <color rgb="FF000000"/>
            <rFont val="Tahoma"/>
            <family val="2"/>
          </rPr>
          <t>Moderate Warning  AA008: Large Metric difference from prior year &gt;= 50%</t>
        </r>
      </text>
    </comment>
    <comment ref="U120" authorId="3" shapeId="0">
      <text>
        <r>
          <rPr>
            <sz val="8"/>
            <color rgb="FF000000"/>
            <rFont val="Tahoma"/>
            <family val="2"/>
          </rPr>
          <t xml:space="preserve">Severe Warning  AA009: Substancial Metric difference from prior year &gt;=100% </t>
        </r>
        <r>
          <rPr>
            <sz val="8"/>
            <color rgb="FF000000"/>
            <rFont val="Tahoma"/>
            <family val="2"/>
          </rPr>
          <t xml:space="preserve">Severe Warning  AA009: Substancial Metric difference from prior year &gt;=100% </t>
        </r>
      </text>
    </comment>
    <comment ref="M121"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N121" authorId="4" shapeId="0">
      <text>
        <r>
          <rPr>
            <b/>
            <sz val="9"/>
            <color rgb="FF000000"/>
            <rFont val="Tahoma"/>
            <family val="2"/>
          </rPr>
          <t>Rachana Bhatt:</t>
        </r>
        <r>
          <rPr>
            <sz val="9"/>
            <color rgb="FF000000"/>
            <rFont val="Tahoma"/>
            <family val="2"/>
          </rPr>
          <t xml:space="preserve">
Revised Value. New value is 376144.5. Old value was 365990</t>
        </r>
      </text>
    </comment>
    <comment ref="U121"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AQ121"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AS121"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AU122"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U123"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AU123"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B124" authorId="2" shapeId="0">
      <text>
        <r>
          <rPr>
            <b/>
            <sz val="9"/>
            <color rgb="FF000000"/>
            <rFont val="Tahoma"/>
            <family val="2"/>
          </rPr>
          <t>Lisa Cowan:</t>
        </r>
        <r>
          <rPr>
            <sz val="9"/>
            <color rgb="FF000000"/>
            <rFont val="Tahoma"/>
            <family val="2"/>
          </rPr>
          <t xml:space="preserve">
Included Southern Polytechnic State University as of Fall 2015.</t>
        </r>
      </text>
    </comment>
    <comment ref="O124"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T124" authorId="4" shapeId="0">
      <text>
        <r>
          <rPr>
            <b/>
            <sz val="9"/>
            <color rgb="FF000000"/>
            <rFont val="Tahoma"/>
            <family val="2"/>
          </rPr>
          <t>Rachana Bhatt:</t>
        </r>
        <r>
          <rPr>
            <sz val="9"/>
            <color rgb="FF000000"/>
            <rFont val="Tahoma"/>
            <family val="2"/>
          </rPr>
          <t xml:space="preserve">
Revised value. New value is 7853. Old value was 7615
</t>
        </r>
      </text>
    </comment>
    <comment ref="AQ124"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AS124"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M125"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U125"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AS125"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K126"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U126" authorId="3" shapeId="0">
      <text>
        <r>
          <rPr>
            <sz val="8"/>
            <color rgb="FF000000"/>
            <rFont val="Tahoma"/>
            <family val="2"/>
          </rPr>
          <t xml:space="preserve">Severe Warning  AA009: Substancial Metric difference from prior year &gt;=100% </t>
        </r>
        <r>
          <rPr>
            <sz val="8"/>
            <color rgb="FF000000"/>
            <rFont val="Tahoma"/>
            <family val="2"/>
          </rPr>
          <t xml:space="preserve">Severe Warning  AA009: Substancial Metric difference from prior year &gt;=100% </t>
        </r>
      </text>
    </comment>
    <comment ref="AQ126"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AS126"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K127"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M127"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O127"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U127"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AQ127"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AS127"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B128" authorId="3" shapeId="0">
      <text>
        <r>
          <rPr>
            <sz val="8"/>
            <color rgb="FF000000"/>
            <rFont val="Tahoma"/>
            <family val="2"/>
          </rPr>
          <t>Moderate Warning  AA003: Institution name is invalid.</t>
        </r>
        <r>
          <rPr>
            <sz val="8"/>
            <color rgb="FF000000"/>
            <rFont val="Tahoma"/>
            <family val="2"/>
          </rPr>
          <t>Moderate Warning  AA003: Institution name is invalid.</t>
        </r>
      </text>
    </comment>
    <comment ref="U128" authorId="3" shapeId="0">
      <text>
        <r>
          <rPr>
            <sz val="8"/>
            <color rgb="FF000000"/>
            <rFont val="Tahoma"/>
            <family val="2"/>
          </rPr>
          <t>Moderate Warning  AA008: Large Metric difference from prior year &gt;= 50%</t>
        </r>
        <r>
          <rPr>
            <sz val="8"/>
            <color rgb="FF000000"/>
            <rFont val="Tahoma"/>
            <family val="2"/>
          </rPr>
          <t>Moderate Warning  AA008: Large Metric difference from prior year &gt;= 50%</t>
        </r>
      </text>
    </comment>
    <comment ref="AQ128"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AS128"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M129"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U129"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AS129"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AU129"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M130"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U130"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AQ130"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AS130"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AU130"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AQ131"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AS131"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M132"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U132"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U133"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K134"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O134"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U134"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AQ134"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AS134"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O135"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U135" authorId="3" shapeId="0">
      <text>
        <r>
          <rPr>
            <sz val="8"/>
            <color rgb="FF000000"/>
            <rFont val="Tahoma"/>
            <family val="2"/>
          </rPr>
          <t>Moderate Warning  AA008: Large Metric difference from prior year &gt;= 50%</t>
        </r>
        <r>
          <rPr>
            <sz val="8"/>
            <color rgb="FF000000"/>
            <rFont val="Tahoma"/>
            <family val="2"/>
          </rPr>
          <t>Moderate Warning  AA008: Large Metric difference from prior year &gt;= 50%</t>
        </r>
      </text>
    </comment>
    <comment ref="AQ135" authorId="3" shapeId="0">
      <text>
        <r>
          <rPr>
            <sz val="8"/>
            <color rgb="FF000000"/>
            <rFont val="Tahoma"/>
            <family val="2"/>
          </rPr>
          <t xml:space="preserve">Severe Warning  AA009: Substancial Metric difference from prior year &gt;=100% </t>
        </r>
        <r>
          <rPr>
            <sz val="8"/>
            <color rgb="FF000000"/>
            <rFont val="Tahoma"/>
            <family val="2"/>
          </rPr>
          <t xml:space="preserve">Severe Warning  AA009: Substancial Metric difference from prior year &gt;=100% </t>
        </r>
      </text>
    </comment>
    <comment ref="AS135"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AU135"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M136"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U136"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AQ136"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AS136"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AU136"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M137"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U137" authorId="3" shapeId="0">
      <text>
        <r>
          <rPr>
            <sz val="8"/>
            <color rgb="FF000000"/>
            <rFont val="Tahoma"/>
            <family val="2"/>
          </rPr>
          <t>Moderate Warning  AA008: Large Metric difference from prior year &gt;= 50%</t>
        </r>
        <r>
          <rPr>
            <sz val="8"/>
            <color rgb="FF000000"/>
            <rFont val="Tahoma"/>
            <family val="2"/>
          </rPr>
          <t>Moderate Warning  AA008: Large Metric difference from prior year &gt;= 50%</t>
        </r>
      </text>
    </comment>
    <comment ref="M138"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N138" authorId="4" shapeId="0">
      <text>
        <r>
          <rPr>
            <b/>
            <sz val="9"/>
            <color rgb="FF000000"/>
            <rFont val="Tahoma"/>
            <family val="2"/>
          </rPr>
          <t>Rachana Bhatt:</t>
        </r>
        <r>
          <rPr>
            <sz val="9"/>
            <color rgb="FF000000"/>
            <rFont val="Tahoma"/>
            <family val="2"/>
          </rPr>
          <t xml:space="preserve">
Revised value. New Value is 133658. Old value was 133169.</t>
        </r>
      </text>
    </comment>
    <comment ref="U138"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U139"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AQ139" authorId="3" shapeId="0">
      <text>
        <r>
          <rPr>
            <sz val="8"/>
            <color rgb="FF000000"/>
            <rFont val="Tahoma"/>
            <family val="2"/>
          </rPr>
          <t xml:space="preserve">Severe Warning  AA009: Substancial Metric difference from prior year &gt;=100% </t>
        </r>
        <r>
          <rPr>
            <sz val="8"/>
            <color rgb="FF000000"/>
            <rFont val="Tahoma"/>
            <family val="2"/>
          </rPr>
          <t xml:space="preserve">Severe Warning  AA009: Substancial Metric difference from prior year &gt;=100% </t>
        </r>
      </text>
    </comment>
    <comment ref="AS139" authorId="3" shapeId="0">
      <text>
        <r>
          <rPr>
            <sz val="8"/>
            <color rgb="FF000000"/>
            <rFont val="Tahoma"/>
            <family val="2"/>
          </rPr>
          <t xml:space="preserve">Severe Warning  AA009: Substancial Metric difference from prior year &gt;=100% </t>
        </r>
        <r>
          <rPr>
            <sz val="8"/>
            <color rgb="FF000000"/>
            <rFont val="Tahoma"/>
            <family val="2"/>
          </rPr>
          <t xml:space="preserve">Severe Warning  AA009: Substancial Metric difference from prior year &gt;=100% </t>
        </r>
      </text>
    </comment>
    <comment ref="AU139" authorId="3" shapeId="0">
      <text>
        <r>
          <rPr>
            <sz val="8"/>
            <color rgb="FF000000"/>
            <rFont val="Tahoma"/>
            <family val="2"/>
          </rPr>
          <t xml:space="preserve">Severe Warning  AA009: Substancial Metric difference from prior year &gt;=100% </t>
        </r>
        <r>
          <rPr>
            <sz val="8"/>
            <color rgb="FF000000"/>
            <rFont val="Tahoma"/>
            <family val="2"/>
          </rPr>
          <t xml:space="preserve">Severe Warning  AA009: Substancial Metric difference from prior year &gt;=100% </t>
        </r>
      </text>
    </comment>
    <comment ref="U140"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K141"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M141"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O141"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U141"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M142"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O142"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U142"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K143"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M143"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O143" authorId="3" shapeId="0">
      <text>
        <r>
          <rPr>
            <sz val="8"/>
            <color rgb="FF000000"/>
            <rFont val="Tahoma"/>
            <family val="2"/>
          </rPr>
          <t>Moderate Warning  AA008: Large Metric difference from prior year &gt;= 50%</t>
        </r>
        <r>
          <rPr>
            <sz val="8"/>
            <color rgb="FF000000"/>
            <rFont val="Tahoma"/>
            <family val="2"/>
          </rPr>
          <t>Moderate Warning  AA008: Large Metric difference from prior year &gt;= 50%</t>
        </r>
      </text>
    </comment>
    <comment ref="U143" authorId="3" shapeId="0">
      <text>
        <r>
          <rPr>
            <sz val="8"/>
            <color rgb="FF000000"/>
            <rFont val="Tahoma"/>
            <family val="2"/>
          </rPr>
          <t>Moderate Warning  AA008: Large Metric difference from prior year &gt;= 50%</t>
        </r>
        <r>
          <rPr>
            <sz val="8"/>
            <color rgb="FF000000"/>
            <rFont val="Tahoma"/>
            <family val="2"/>
          </rPr>
          <t>Moderate Warning  AA008: Large Metric difference from prior year &gt;= 50%</t>
        </r>
      </text>
    </comment>
    <comment ref="K144"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M144"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O144"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U144"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M145"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U145" authorId="3" shapeId="0">
      <text>
        <r>
          <rPr>
            <sz val="8"/>
            <color rgb="FF000000"/>
            <rFont val="Tahoma"/>
            <family val="2"/>
          </rPr>
          <t>Moderate Warning  AA008: Large Metric difference from prior year &gt;= 50%</t>
        </r>
        <r>
          <rPr>
            <sz val="8"/>
            <color rgb="FF000000"/>
            <rFont val="Tahoma"/>
            <family val="2"/>
          </rPr>
          <t>Moderate Warning  AA008: Large Metric difference from prior year &gt;= 50%</t>
        </r>
      </text>
    </comment>
    <comment ref="K146"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M146"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O146"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U146"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M147"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U147" authorId="3" shapeId="0">
      <text>
        <r>
          <rPr>
            <sz val="8"/>
            <color rgb="FF000000"/>
            <rFont val="Tahoma"/>
            <family val="2"/>
          </rPr>
          <t xml:space="preserve">Severe Warning  AA009: Substancial Metric difference from prior year &gt;=100% </t>
        </r>
        <r>
          <rPr>
            <sz val="8"/>
            <color rgb="FF000000"/>
            <rFont val="Tahoma"/>
            <family val="2"/>
          </rPr>
          <t xml:space="preserve">Severe Warning  AA009: Substancial Metric difference from prior year &gt;=100% </t>
        </r>
      </text>
    </comment>
    <comment ref="K148"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M148"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O148"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U148" authorId="3" shapeId="0">
      <text>
        <r>
          <rPr>
            <sz val="8"/>
            <color rgb="FF000000"/>
            <rFont val="Tahoma"/>
            <family val="2"/>
          </rPr>
          <t>Moderate Warning  AA008: Large Metric difference from prior year &gt;= 50%</t>
        </r>
        <r>
          <rPr>
            <sz val="8"/>
            <color rgb="FF000000"/>
            <rFont val="Tahoma"/>
            <family val="2"/>
          </rPr>
          <t>Moderate Warning  AA008: Large Metric difference from prior year &gt;= 50%</t>
        </r>
      </text>
    </comment>
    <comment ref="O149"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U149"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B154" authorId="5" shapeId="0">
      <text>
        <r>
          <rPr>
            <b/>
            <sz val="8"/>
            <color rgb="FF000000"/>
            <rFont val="Tahoma"/>
            <family val="2"/>
          </rPr>
          <t>Lee, Cynthia M.:</t>
        </r>
        <r>
          <rPr>
            <sz val="8"/>
            <color rgb="FF000000"/>
            <rFont val="Tahoma"/>
            <family val="2"/>
          </rPr>
          <t xml:space="preserve">
Central Georgia and Middle Georgia merged starting Fall Semester and became Central Georgia with a new IPEDS# 483045</t>
        </r>
      </text>
    </comment>
    <comment ref="C156" authorId="5" shapeId="0">
      <text>
        <r>
          <rPr>
            <b/>
            <sz val="8"/>
            <color rgb="FF000000"/>
            <rFont val="Tahoma"/>
            <family val="2"/>
          </rPr>
          <t>Lee, Cynthia M.:</t>
        </r>
        <r>
          <rPr>
            <sz val="8"/>
            <color rgb="FF000000"/>
            <rFont val="Tahoma"/>
            <family val="2"/>
          </rPr>
          <t xml:space="preserve">
Altamaha and Okefenokee merged in Fall 2014 to Coastal Pines Technical College
IPEDS # 485458</t>
        </r>
      </text>
    </comment>
    <comment ref="U172" authorId="3" shapeId="0">
      <text>
        <r>
          <rPr>
            <sz val="8"/>
            <color rgb="FF000000"/>
            <rFont val="Tahoma"/>
            <family val="2"/>
          </rPr>
          <t xml:space="preserve">Severe Warning  AA009: Substancial Metric difference from prior year &gt;=100% </t>
        </r>
        <r>
          <rPr>
            <sz val="8"/>
            <color rgb="FF000000"/>
            <rFont val="Tahoma"/>
            <family val="2"/>
          </rPr>
          <t xml:space="preserve">Severe Warning  AA009: Substancial Metric difference from prior year &gt;=100% </t>
        </r>
      </text>
    </comment>
    <comment ref="AQ172"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U173"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AQ173"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AS173"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U174"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AQ174"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AS174"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U175"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AU175"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U176"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AS176"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AU176"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U177"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U178"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AQ178"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K179"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M179"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U179"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AQ179"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AS179"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AU179"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K180"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O180" authorId="3" shapeId="0">
      <text>
        <r>
          <rPr>
            <sz val="8"/>
            <color rgb="FF000000"/>
            <rFont val="Tahoma"/>
            <family val="2"/>
          </rPr>
          <t>Moderate Warning  AA008: Large Metric difference from prior year &gt;= 50%</t>
        </r>
      </text>
    </comment>
    <comment ref="U180"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K181"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M181"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O181" authorId="3" shapeId="0">
      <text>
        <r>
          <rPr>
            <sz val="8"/>
            <color rgb="FF000000"/>
            <rFont val="Tahoma"/>
            <family val="2"/>
          </rPr>
          <t>Moderate Warning  AA008: Large Metric difference from prior year &gt;= 50%</t>
        </r>
        <r>
          <rPr>
            <sz val="8"/>
            <color rgb="FF000000"/>
            <rFont val="Tahoma"/>
            <family val="2"/>
          </rPr>
          <t xml:space="preserve">Low Warning  AA006: Metric difference from prior year &gt;= 5% </t>
        </r>
      </text>
    </comment>
    <comment ref="U181"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K182"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M182"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O182" authorId="3" shapeId="0">
      <text>
        <r>
          <rPr>
            <sz val="8"/>
            <color rgb="FF000000"/>
            <rFont val="Tahoma"/>
            <family val="2"/>
          </rPr>
          <t>Moderate Warning  AA008: Large Metric difference from prior year &gt;= 50%</t>
        </r>
      </text>
    </comment>
    <comment ref="U182"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O183" authorId="3" shapeId="0">
      <text>
        <r>
          <rPr>
            <sz val="8"/>
            <color rgb="FF000000"/>
            <rFont val="Tahoma"/>
            <family val="2"/>
          </rPr>
          <t>Moderate Warning  AA008: Large Metric difference from prior year &gt;= 50%</t>
        </r>
      </text>
    </comment>
    <comment ref="U183"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K184"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M184"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O184" authorId="3" shapeId="0">
      <text>
        <r>
          <rPr>
            <sz val="8"/>
            <color rgb="FF000000"/>
            <rFont val="Tahoma"/>
            <family val="2"/>
          </rPr>
          <t>Moderate Warning  AA008: Large Metric difference from prior year &gt;= 50%</t>
        </r>
      </text>
    </comment>
    <comment ref="U184"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M185"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O185" authorId="3" shapeId="0">
      <text>
        <r>
          <rPr>
            <sz val="8"/>
            <color rgb="FF000000"/>
            <rFont val="Tahoma"/>
            <family val="2"/>
          </rPr>
          <t>Moderate Warning  AA008: Large Metric difference from prior year &gt;= 50%</t>
        </r>
      </text>
    </comment>
    <comment ref="U185"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K186"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O186" authorId="3" shapeId="0">
      <text>
        <r>
          <rPr>
            <sz val="8"/>
            <color rgb="FF000000"/>
            <rFont val="Tahoma"/>
            <family val="2"/>
          </rPr>
          <t>Moderate Warning  AA008: Large Metric difference from prior year &gt;= 50%</t>
        </r>
        <r>
          <rPr>
            <sz val="8"/>
            <color rgb="FF000000"/>
            <rFont val="Tahoma"/>
            <family val="2"/>
          </rPr>
          <t xml:space="preserve">Low Warning  AA006: Metric difference from prior year &gt;= 5% </t>
        </r>
      </text>
    </comment>
    <comment ref="U186"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K187"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M187"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O187" authorId="3" shapeId="0">
      <text>
        <r>
          <rPr>
            <sz val="8"/>
            <color rgb="FF000000"/>
            <rFont val="Tahoma"/>
            <family val="2"/>
          </rPr>
          <t>Moderate Warning  AA008: Large Metric difference from prior year &gt;= 50%</t>
        </r>
        <r>
          <rPr>
            <sz val="8"/>
            <color rgb="FF000000"/>
            <rFont val="Tahoma"/>
            <family val="2"/>
          </rPr>
          <t xml:space="preserve">Low Warning  AA006: Metric difference from prior year &gt;= 5% </t>
        </r>
      </text>
    </comment>
    <comment ref="U187"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K188"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M188"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O188" authorId="3" shapeId="0">
      <text>
        <r>
          <rPr>
            <sz val="8"/>
            <color rgb="FF000000"/>
            <rFont val="Tahoma"/>
            <family val="2"/>
          </rPr>
          <t>Moderate Warning  AA008: Large Metric difference from prior year &gt;= 50%</t>
        </r>
        <r>
          <rPr>
            <sz val="8"/>
            <color rgb="FF000000"/>
            <rFont val="Tahoma"/>
            <family val="2"/>
          </rPr>
          <t xml:space="preserve">Low Warning  AA006: Metric difference from prior year &gt;= 5% </t>
        </r>
      </text>
    </comment>
    <comment ref="U188"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O189" authorId="3" shapeId="0">
      <text>
        <r>
          <rPr>
            <sz val="8"/>
            <color rgb="FF000000"/>
            <rFont val="Tahoma"/>
            <family val="2"/>
          </rPr>
          <t>Moderate Warning  AA008: Large Metric difference from prior year &gt;= 50%</t>
        </r>
      </text>
    </comment>
    <comment ref="U189"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K190"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O190" authorId="3" shapeId="0">
      <text>
        <r>
          <rPr>
            <sz val="8"/>
            <color rgb="FF000000"/>
            <rFont val="Tahoma"/>
            <family val="2"/>
          </rPr>
          <t>Moderate Warning  AA008: Large Metric difference from prior year &gt;= 50%</t>
        </r>
      </text>
    </comment>
    <comment ref="U190" authorId="3" shapeId="0">
      <text>
        <r>
          <rPr>
            <sz val="8"/>
            <color rgb="FF000000"/>
            <rFont val="Tahoma"/>
            <family val="2"/>
          </rPr>
          <t>Moderate Warning  AA008: Large Metric difference from prior year &gt;= 50%</t>
        </r>
        <r>
          <rPr>
            <sz val="8"/>
            <color rgb="FF000000"/>
            <rFont val="Tahoma"/>
            <family val="2"/>
          </rPr>
          <t>Moderate Warning  AA008: Large Metric difference from prior year &gt;= 50%</t>
        </r>
      </text>
    </comment>
    <comment ref="M191"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O191" authorId="3" shapeId="0">
      <text>
        <r>
          <rPr>
            <sz val="8"/>
            <color rgb="FF000000"/>
            <rFont val="Tahoma"/>
            <family val="2"/>
          </rPr>
          <t>Moderate Warning  AA008: Large Metric difference from prior year &gt;= 50%</t>
        </r>
        <r>
          <rPr>
            <sz val="8"/>
            <color rgb="FF000000"/>
            <rFont val="Tahoma"/>
            <family val="2"/>
          </rPr>
          <t xml:space="preserve">Low Warning  AA006: Metric difference from prior year &gt;= 5% </t>
        </r>
      </text>
    </comment>
    <comment ref="U191"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M192"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O192" authorId="3" shapeId="0">
      <text>
        <r>
          <rPr>
            <sz val="8"/>
            <color rgb="FF000000"/>
            <rFont val="Tahoma"/>
            <family val="2"/>
          </rPr>
          <t>Moderate Warning  AA008: Large Metric difference from prior year &gt;= 50%</t>
        </r>
      </text>
    </comment>
    <comment ref="U192"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K193"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O193" authorId="3" shapeId="0">
      <text>
        <r>
          <rPr>
            <sz val="8"/>
            <color rgb="FF000000"/>
            <rFont val="Tahoma"/>
            <family val="2"/>
          </rPr>
          <t>Moderate Warning  AA008: Large Metric difference from prior year &gt;= 50%</t>
        </r>
        <r>
          <rPr>
            <sz val="8"/>
            <color rgb="FF000000"/>
            <rFont val="Tahoma"/>
            <family val="2"/>
          </rPr>
          <t xml:space="preserve">Low Warning  AA006: Metric difference from prior year &gt;= 5% </t>
        </r>
      </text>
    </comment>
    <comment ref="U193"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K194"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M194"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O194" authorId="3" shapeId="0">
      <text>
        <r>
          <rPr>
            <sz val="8"/>
            <color rgb="FF000000"/>
            <rFont val="Tahoma"/>
            <family val="2"/>
          </rPr>
          <t>Moderate Warning  AA008: Large Metric difference from prior year &gt;= 50%</t>
        </r>
      </text>
    </comment>
    <comment ref="U194"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B195" authorId="6" shapeId="0">
      <text>
        <r>
          <rPr>
            <b/>
            <sz val="8"/>
            <color rgb="FF000000"/>
            <rFont val="Tahoma"/>
            <family val="2"/>
          </rPr>
          <t>mevilsiz:</t>
        </r>
        <r>
          <rPr>
            <sz val="8"/>
            <color rgb="FF000000"/>
            <rFont val="Tahoma"/>
            <family val="2"/>
          </rPr>
          <t xml:space="preserve">
Formerly Bowling Green Technical College</t>
        </r>
      </text>
    </comment>
    <comment ref="M195"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O195" authorId="3" shapeId="0">
      <text>
        <r>
          <rPr>
            <sz val="8"/>
            <color rgb="FF000000"/>
            <rFont val="Tahoma"/>
            <family val="2"/>
          </rPr>
          <t>Moderate Warning  AA008: Large Metric difference from prior year &gt;= 50%</t>
        </r>
      </text>
    </comment>
    <comment ref="U195" authorId="3" shapeId="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F197" authorId="1" shapeId="0">
      <text>
        <r>
          <rPr>
            <b/>
            <sz val="9"/>
            <color rgb="FF000000"/>
            <rFont val="Tahoma"/>
            <family val="2"/>
          </rPr>
          <t>jmarks:</t>
        </r>
        <r>
          <rPr>
            <sz val="9"/>
            <color rgb="FF000000"/>
            <rFont val="Tahoma"/>
            <family val="2"/>
          </rPr>
          <t xml:space="preserve">
But use same formulas as semester for FTE since each term is 8 hours for full-time</t>
        </r>
      </text>
    </comment>
    <comment ref="A275" authorId="1" shapeId="0">
      <text>
        <r>
          <rPr>
            <b/>
            <sz val="10"/>
            <color rgb="FF000000"/>
            <rFont val="Tahoma"/>
            <family val="2"/>
          </rPr>
          <t xml:space="preserve">jmarks: </t>
        </r>
        <r>
          <rPr>
            <sz val="10"/>
            <color rgb="FF000000"/>
            <rFont val="Tahoma"/>
            <family val="2"/>
          </rPr>
          <t>General note for all NC CCs: Beginning with the 2010-11 classfication new formulae were used to more accurately account for courses using contact hours rather than credit hours. The overall effect is to lower the calculated credit hour count and thus the FTE counts. This is, in effect, a recalibration and a number of instutitons have been reclassified as a result.</t>
        </r>
      </text>
    </comment>
  </commentList>
</comments>
</file>

<file path=xl/connections.xml><?xml version="1.0" encoding="utf-8"?>
<connections xmlns="http://schemas.openxmlformats.org/spreadsheetml/2006/main">
  <connection id="1" name="CH11ug1" type="6" refreshedVersion="4" background="1" saveData="1">
    <textPr codePage="437" sourceFile="\\THECB-AUVFS41\UserDoc$\MeadDD\My Documents\My SAS Files\SREB\QWK04245\Page4\CH11ug1.txt">
      <textFields>
        <textField/>
      </textFields>
    </textPr>
  </connection>
  <connection id="2" name="CH11ug2" type="6" refreshedVersion="4" background="1" saveData="1">
    <textPr codePage="437" sourceFile="\\THECB-AUVFS41\UserDoc$\MeadDD\My Documents\My SAS Files\SREB\QWK04245\Page4\CH11ug2.txt">
      <textFields>
        <textField/>
      </textFields>
    </textPr>
  </connection>
  <connection id="3" name="CH11ug3" type="6" refreshedVersion="4" background="1" saveData="1">
    <textPr codePage="437" sourceFile="\\THECB-AUVFS41\UserDoc$\MeadDD\My Documents\My SAS Files\SREB\QWK04245\Page4\CH11ug3.txt">
      <textFields>
        <textField/>
      </textFields>
    </textPr>
  </connection>
  <connection id="4" name="CH11ug4" type="6" refreshedVersion="4" background="1" saveData="1">
    <textPr codePage="437" sourceFile="\\THECB-AUVFS41\UserDoc$\MeadDD\My Documents\My SAS Files\SREB\QWK04245\Page4\CH11ug4.txt">
      <textFields>
        <textField/>
      </textFields>
    </textPr>
  </connection>
  <connection id="5" name="CH13ug1" type="6" refreshedVersion="5" background="1" saveData="1">
    <textPr codePage="437" sourceFile="Z:\Mead\SASdocs\SREB\QWK04869\Page4\Paste\CH13ug1.txt">
      <textFields>
        <textField/>
      </textFields>
    </textPr>
  </connection>
  <connection id="6" name="CH13ug2" type="6" refreshedVersion="5" background="1" saveData="1">
    <textPr codePage="437" sourceFile="Z:\Mead\SASdocs\SREB\QWK04869\Page4\Paste\CH13ug2.txt">
      <textFields>
        <textField/>
      </textFields>
    </textPr>
  </connection>
  <connection id="7" name="CH13ug3" type="6" refreshedVersion="5" background="1" saveData="1">
    <textPr codePage="437" sourceFile="Z:\Mead\SASdocs\SREB\QWK04869\Page4\Paste\CH13ug3.txt">
      <textFields>
        <textField/>
      </textFields>
    </textPr>
  </connection>
  <connection id="8" name="CH13ug4" type="6" refreshedVersion="5" background="1" saveData="1">
    <textPr codePage="437" sourceFile="Z:\Mead\SASdocs\SREB\QWK04869\Page4\Paste\CH13ug4.txt">
      <textFields>
        <textField/>
      </textFields>
    </textPr>
  </connection>
  <connection id="9" name="Dual11" type="6" refreshedVersion="4" background="1" saveData="1">
    <textPr codePage="437" sourceFile="\\THECB-AUVFS41\UserDoc$\MeadDD\My Documents\My SAS Files\SREB\QWK04245\Page4\Dual11.txt">
      <textFields>
        <textField/>
      </textFields>
    </textPr>
  </connection>
  <connection id="10" name="Dual13" type="6" refreshedVersion="5" background="1" saveData="1">
    <textPr codePage="437" sourceFile="Z:\Mead\SASdocs\SREB\QWK04869\Page4\Paste\Dual13.txt">
      <textFields>
        <textField/>
      </textFields>
    </textPr>
  </connection>
  <connection id="11" name="SCH13ug2" type="6" refreshedVersion="5" background="1" saveData="1">
    <textPr codePage="437" sourceFile="Z:\Mead\SASdocs\SREB\QWK04869\Page4\Paste\SCH13ug2.txt">
      <textFields>
        <textField/>
      </textFields>
    </textPr>
  </connection>
  <connection id="12" name="SCH13ug3" type="6" refreshedVersion="5" background="1" saveData="1">
    <textPr codePage="437" sourceFile="Z:\Mead\SASdocs\SREB\QWK04869\Page4\Paste\SCH13ug3.txt">
      <textFields>
        <textField/>
      </textFields>
    </textPr>
  </connection>
  <connection id="13" name="SCH13ug4" type="6" refreshedVersion="5" background="1" saveData="1">
    <textPr codePage="437" sourceFile="Z:\Mead\SASdocs\SREB\QWK04869\Page4\Paste\SCH13ug4.txt">
      <textFields>
        <textField/>
      </textFields>
    </textPr>
  </connection>
</connections>
</file>

<file path=xl/sharedStrings.xml><?xml version="1.0" encoding="utf-8"?>
<sst xmlns="http://schemas.openxmlformats.org/spreadsheetml/2006/main" count="3935" uniqueCount="1020">
  <si>
    <t xml:space="preserve">Part 4: Credit/Contact Hours </t>
  </si>
  <si>
    <r>
      <rPr>
        <b/>
        <sz val="10"/>
        <color rgb="FF000000"/>
        <rFont val="Arial"/>
        <family val="2"/>
      </rPr>
      <t xml:space="preserve">Data Columns:  </t>
    </r>
    <r>
      <rPr>
        <sz val="10"/>
        <color rgb="FF000000"/>
        <rFont val="Arial"/>
        <family val="2"/>
      </rPr>
      <t xml:space="preserve">White = New Data, Peach = Old Data, Purple/Grey = Calculated Data. </t>
    </r>
    <r>
      <rPr>
        <b/>
        <sz val="10"/>
        <color rgb="FF000000"/>
        <rFont val="Arial"/>
        <family val="2"/>
      </rPr>
      <t xml:space="preserve"> Please highlight changes in YELLOW</t>
    </r>
  </si>
  <si>
    <t>Undergraduate Credit Hours</t>
  </si>
  <si>
    <t>Calculated</t>
  </si>
  <si>
    <t>Undergraduate Contact Hours</t>
  </si>
  <si>
    <t>Graduate Credit Hours</t>
  </si>
  <si>
    <t>Grand Total</t>
  </si>
  <si>
    <t>Comments:  Please look for comments and answer questions; add comments as needed</t>
  </si>
  <si>
    <t>Semester or Quarter</t>
  </si>
  <si>
    <t>Winter</t>
  </si>
  <si>
    <t>Spring</t>
  </si>
  <si>
    <t>Summer</t>
  </si>
  <si>
    <t>Fall</t>
  </si>
  <si>
    <t>Total Hours</t>
  </si>
  <si>
    <t>FTE</t>
  </si>
  <si>
    <t>Hours taken by students still in high school (dual enrollment, joint enrollment, early college, etc.)</t>
  </si>
  <si>
    <t>Total Hours for HS % of Total Calculation</t>
  </si>
  <si>
    <t>Grand
Total FTE</t>
  </si>
  <si>
    <t>State</t>
  </si>
  <si>
    <t>Institution</t>
  </si>
  <si>
    <t>Classification Notes</t>
  </si>
  <si>
    <t>IPEDS #</t>
  </si>
  <si>
    <t>Category</t>
  </si>
  <si>
    <t>Note</t>
  </si>
  <si>
    <t>IPEDS ID #</t>
  </si>
  <si>
    <t>Old-Term Code</t>
  </si>
  <si>
    <t>New-Term Code</t>
  </si>
  <si>
    <t>old-Winter Undg SCH</t>
  </si>
  <si>
    <t>new-Winter Undg SCH</t>
  </si>
  <si>
    <t>old-Spring Undg SCH</t>
  </si>
  <si>
    <t>new-Spring Undg SCH</t>
  </si>
  <si>
    <t>old-Summer Undg SCH</t>
  </si>
  <si>
    <t>new-Summer Undg SCH</t>
  </si>
  <si>
    <t>old-Fall Undg SCH</t>
  </si>
  <si>
    <t>new-Fall Undg SCH</t>
  </si>
  <si>
    <t>Old-Total Undg SCH</t>
  </si>
  <si>
    <t>Old-Total Undg SCH FTE</t>
  </si>
  <si>
    <t>New-Total Undg SCH</t>
  </si>
  <si>
    <t>New-Total Undg SCH FTE</t>
  </si>
  <si>
    <t>Old-Total HS SCH</t>
  </si>
  <si>
    <t>New-Total HS SCH</t>
  </si>
  <si>
    <t>Old-Total Undg SCH2</t>
  </si>
  <si>
    <t>New-Total Undg SCH2</t>
  </si>
  <si>
    <t>old-Winter Undg CH</t>
  </si>
  <si>
    <t>new-Winter Undg CH</t>
  </si>
  <si>
    <t>old-Spring Undg CH</t>
  </si>
  <si>
    <t>new-Spring Undg CH</t>
  </si>
  <si>
    <t>old-Summer Undg CH</t>
  </si>
  <si>
    <t>new-Summer Undg CH</t>
  </si>
  <si>
    <t>old-Fall Undg CH</t>
  </si>
  <si>
    <t>new-Fall Undg CH</t>
  </si>
  <si>
    <t>Old-Total Undg CH</t>
  </si>
  <si>
    <t>Old-Total Undg CH FTE</t>
  </si>
  <si>
    <t>New-Total Undg CH</t>
  </si>
  <si>
    <t>New-Total Undg CH FTE</t>
  </si>
  <si>
    <t>Old-Total HS CH</t>
  </si>
  <si>
    <t>New-Total HS CH</t>
  </si>
  <si>
    <t>Old-Total Undg CH2</t>
  </si>
  <si>
    <t>New-Total Undg CH2</t>
  </si>
  <si>
    <t>old-Winter Grad SCH</t>
  </si>
  <si>
    <t>new-Winter Grad SCH</t>
  </si>
  <si>
    <t>old-Spring Grad SCH</t>
  </si>
  <si>
    <t>new-Spring Grad SCH</t>
  </si>
  <si>
    <t>old-Summer Grad SCH</t>
  </si>
  <si>
    <t>new-Summer Grad SCH</t>
  </si>
  <si>
    <t>old-Fall Grad SCH</t>
  </si>
  <si>
    <t>new-Fall Grad SCH</t>
  </si>
  <si>
    <t>Old-Total Grad SCH</t>
  </si>
  <si>
    <t>Old-Total Grad FTE</t>
  </si>
  <si>
    <t>New-Total Grad SCH</t>
  </si>
  <si>
    <t>New-Total Grad FTE</t>
  </si>
  <si>
    <t>Old Grand Total FTE</t>
  </si>
  <si>
    <t>New Grand Total FTE</t>
  </si>
  <si>
    <t>AL</t>
  </si>
  <si>
    <t>Auburn University</t>
  </si>
  <si>
    <t>sem</t>
  </si>
  <si>
    <t xml:space="preserve">University of Alabama </t>
  </si>
  <si>
    <t>University of Alabama at Birmingham</t>
  </si>
  <si>
    <t>University of Alabama in Huntsville</t>
  </si>
  <si>
    <t>Alabama Agricultural &amp; Mechanical University</t>
  </si>
  <si>
    <t xml:space="preserve">Jacksonville State University </t>
  </si>
  <si>
    <t>Troy University</t>
  </si>
  <si>
    <t>University of South Alabama</t>
  </si>
  <si>
    <t xml:space="preserve">Alabama State University </t>
  </si>
  <si>
    <t>Auburn University at Montgomery</t>
  </si>
  <si>
    <t>University of North Alabama</t>
  </si>
  <si>
    <t>University of Montevallo</t>
  </si>
  <si>
    <t>University of West Alabama</t>
  </si>
  <si>
    <t>Athens State University</t>
  </si>
  <si>
    <t>100812</t>
  </si>
  <si>
    <t>Jefferson State Community College</t>
  </si>
  <si>
    <t xml:space="preserve">John C. Calhoun State Community College </t>
  </si>
  <si>
    <t>Bevill State Community College</t>
  </si>
  <si>
    <t>Bishop State Community College</t>
  </si>
  <si>
    <t>Enterprise-Ozark Community College</t>
  </si>
  <si>
    <t>Gadsden State Community College</t>
  </si>
  <si>
    <t>George C. Wallace State Community College - Dothan</t>
  </si>
  <si>
    <t>James H. Faulkner State Community College</t>
  </si>
  <si>
    <t xml:space="preserve">Lawson State Community College </t>
  </si>
  <si>
    <t xml:space="preserve">Northeast Alabama State Community College </t>
  </si>
  <si>
    <t>Northwest-Shoals Community College</t>
  </si>
  <si>
    <t>Shelton State Community College</t>
  </si>
  <si>
    <t>Southern Union State Community College</t>
  </si>
  <si>
    <t>Wallace Community College - Hanceville</t>
  </si>
  <si>
    <t>Alabama Southern Community College</t>
  </si>
  <si>
    <t>Central Alabama Community College</t>
  </si>
  <si>
    <t xml:space="preserve">Chattahoochee Valley State Community College </t>
  </si>
  <si>
    <t>George Corley Wallace State Community College - Selma</t>
  </si>
  <si>
    <t>Jefferson Davis Community College</t>
  </si>
  <si>
    <t xml:space="preserve">Lurleen B. Wallace Community College </t>
  </si>
  <si>
    <t xml:space="preserve">Snead State Community College </t>
  </si>
  <si>
    <t xml:space="preserve">Trenholm State Technical College </t>
  </si>
  <si>
    <t xml:space="preserve">J.F. Drake State Technical College </t>
  </si>
  <si>
    <t xml:space="preserve">J.F. Ingram State Technical College </t>
  </si>
  <si>
    <t xml:space="preserve">Reid State Technical College </t>
  </si>
  <si>
    <t>AR</t>
  </si>
  <si>
    <t>University of Arkansas, Fayetteville</t>
  </si>
  <si>
    <t>University of Arkansas at Little Rock</t>
  </si>
  <si>
    <t>Arkansas State University</t>
  </si>
  <si>
    <t>Arkansas Tech University</t>
  </si>
  <si>
    <t xml:space="preserve">University of Central Arkansas </t>
  </si>
  <si>
    <t>Henderson State University</t>
  </si>
  <si>
    <t>Southern Arkansas University</t>
  </si>
  <si>
    <t>University of Arkansas at Monticello</t>
  </si>
  <si>
    <t>University of Arkansas at Fort Smith</t>
  </si>
  <si>
    <t>University of Arkansas at Pine Bluff</t>
  </si>
  <si>
    <t xml:space="preserve">Northwest Arkansas Community College </t>
  </si>
  <si>
    <t>Pulaski Technical College</t>
  </si>
  <si>
    <t>Arkansas State University-Beebe</t>
  </si>
  <si>
    <t>National Park College</t>
  </si>
  <si>
    <t>Arkansas Northeastern College</t>
  </si>
  <si>
    <t>Arkansas State University Mid-South</t>
  </si>
  <si>
    <t>Arkansas State University Mountain Home</t>
  </si>
  <si>
    <t>Arkansas State University-Newport</t>
  </si>
  <si>
    <t>Black River Technical College</t>
  </si>
  <si>
    <t>College of the Ouachitas</t>
  </si>
  <si>
    <t>Cossatot Community College of the University of Arkansas</t>
  </si>
  <si>
    <t xml:space="preserve">East Arkansas Community College </t>
  </si>
  <si>
    <t>North Arkansas College</t>
  </si>
  <si>
    <t xml:space="preserve">Ozarka College </t>
  </si>
  <si>
    <t>Phillips Community College of the Univ of Arkansas</t>
  </si>
  <si>
    <t xml:space="preserve">Rich Mountain Community College </t>
  </si>
  <si>
    <t>South Arkansas Community College</t>
  </si>
  <si>
    <t>Southeast Arkansas College</t>
  </si>
  <si>
    <t>Southern Arkansas University Tech</t>
  </si>
  <si>
    <t>University of Arkansas Community College at Batesville</t>
  </si>
  <si>
    <t>University of Arkansas Community College at Hope</t>
  </si>
  <si>
    <t>University of Arkansas Community College at Morrilton</t>
  </si>
  <si>
    <t>FL</t>
  </si>
  <si>
    <t xml:space="preserve">Florida Atlantic University </t>
  </si>
  <si>
    <t>Florida International University</t>
  </si>
  <si>
    <t xml:space="preserve">Florida State University </t>
  </si>
  <si>
    <t xml:space="preserve">University of Central Florida </t>
  </si>
  <si>
    <t>University of Florida</t>
  </si>
  <si>
    <t xml:space="preserve">University of South Florida </t>
  </si>
  <si>
    <t xml:space="preserve">Florida Agricultural &amp; Mechanical University </t>
  </si>
  <si>
    <t>University of North Florida</t>
  </si>
  <si>
    <t>University of West Florida</t>
  </si>
  <si>
    <t>Florida Gulf Coast University</t>
  </si>
  <si>
    <t>New College of Florida</t>
  </si>
  <si>
    <t>Eastern Florida State College</t>
  </si>
  <si>
    <t xml:space="preserve">Broward College </t>
  </si>
  <si>
    <t>College of Central Florida</t>
  </si>
  <si>
    <t xml:space="preserve">Chipola College </t>
  </si>
  <si>
    <t xml:space="preserve">Daytona State College </t>
  </si>
  <si>
    <t>Florida SouthWestern State College</t>
  </si>
  <si>
    <t>Florida State College at Jacksonville</t>
  </si>
  <si>
    <t xml:space="preserve">Florida Keys Community College </t>
  </si>
  <si>
    <t xml:space="preserve">Gulf Coast State College </t>
  </si>
  <si>
    <t xml:space="preserve">Hillsborough Community College </t>
  </si>
  <si>
    <t xml:space="preserve">Indian River State College </t>
  </si>
  <si>
    <t>Florida Gateway College</t>
  </si>
  <si>
    <t xml:space="preserve">Lake-Sumter State College </t>
  </si>
  <si>
    <t>State College of Florida, Manatee-Sarasota</t>
  </si>
  <si>
    <t xml:space="preserve">Miami Dade College </t>
  </si>
  <si>
    <t xml:space="preserve">North Florida Community College </t>
  </si>
  <si>
    <t>Northwest Florida State College</t>
  </si>
  <si>
    <t xml:space="preserve">Palm Beach State College </t>
  </si>
  <si>
    <t xml:space="preserve">Pasco-Hernando State College </t>
  </si>
  <si>
    <t xml:space="preserve">Pensacola State College </t>
  </si>
  <si>
    <t xml:space="preserve">Polk State College </t>
  </si>
  <si>
    <t xml:space="preserve">St. Johns River State College </t>
  </si>
  <si>
    <t xml:space="preserve">St. Petersburg College </t>
  </si>
  <si>
    <t xml:space="preserve">Santa Fe College </t>
  </si>
  <si>
    <t>Seminole State College of Florida</t>
  </si>
  <si>
    <t xml:space="preserve">South Florida State College </t>
  </si>
  <si>
    <t xml:space="preserve">Tallahassee Community College </t>
  </si>
  <si>
    <t xml:space="preserve">Valencia College </t>
  </si>
  <si>
    <t>GA</t>
  </si>
  <si>
    <t>Georgia State University (for Fall 2016 and the Dual Enrollment column, the credit hours reported are for GSU +GPC)</t>
  </si>
  <si>
    <t>139940</t>
  </si>
  <si>
    <t>University of Georgia</t>
  </si>
  <si>
    <t>139959</t>
  </si>
  <si>
    <t>Georgia Institute of Technology</t>
  </si>
  <si>
    <t>139755</t>
  </si>
  <si>
    <t>Georgia Southern University</t>
  </si>
  <si>
    <t>139931</t>
  </si>
  <si>
    <t>Kennesaw State University</t>
  </si>
  <si>
    <t>140164</t>
  </si>
  <si>
    <t>University of West Georgia</t>
  </si>
  <si>
    <t>141334</t>
  </si>
  <si>
    <t xml:space="preserve">Valdosta State University </t>
  </si>
  <si>
    <t>141264</t>
  </si>
  <si>
    <t xml:space="preserve">Albany State University </t>
  </si>
  <si>
    <t>138716</t>
  </si>
  <si>
    <t>Armstrong State University</t>
  </si>
  <si>
    <t>138789</t>
  </si>
  <si>
    <t>Clayton State University</t>
  </si>
  <si>
    <t>139311</t>
  </si>
  <si>
    <t>Columbus State University</t>
  </si>
  <si>
    <t>139366</t>
  </si>
  <si>
    <t>Fort Valley State University</t>
  </si>
  <si>
    <t>139719</t>
  </si>
  <si>
    <t>Georgia College and State University</t>
  </si>
  <si>
    <t>139861</t>
  </si>
  <si>
    <t>Georgia Regents University</t>
  </si>
  <si>
    <t>482149</t>
  </si>
  <si>
    <t>University of North Georgia</t>
  </si>
  <si>
    <t>Georgia Southwestern State University</t>
  </si>
  <si>
    <t>139764</t>
  </si>
  <si>
    <t>Savannah State University</t>
  </si>
  <si>
    <t>140960</t>
  </si>
  <si>
    <t xml:space="preserve">Dalton State College </t>
  </si>
  <si>
    <t>139463</t>
  </si>
  <si>
    <t>Georgia Gwinnett College</t>
  </si>
  <si>
    <t>447689</t>
  </si>
  <si>
    <t>Middle Georgia State College</t>
  </si>
  <si>
    <t xml:space="preserve">Abraham Baldwin Agricultural College </t>
  </si>
  <si>
    <t>138558</t>
  </si>
  <si>
    <t xml:space="preserve">College of Coastal Georgia </t>
  </si>
  <si>
    <t>139250</t>
  </si>
  <si>
    <t xml:space="preserve">Gordon State College </t>
  </si>
  <si>
    <t>139968</t>
  </si>
  <si>
    <t xml:space="preserve">Georgia Perimeter College </t>
  </si>
  <si>
    <t>244437</t>
  </si>
  <si>
    <t>Atlanta Metropolitan State College</t>
  </si>
  <si>
    <t>138901</t>
  </si>
  <si>
    <t xml:space="preserve">Bainbridge State College </t>
  </si>
  <si>
    <t>139010</t>
  </si>
  <si>
    <t xml:space="preserve">Darton State College </t>
  </si>
  <si>
    <t>138691</t>
  </si>
  <si>
    <t>East Georgia State College</t>
  </si>
  <si>
    <t>139621</t>
  </si>
  <si>
    <t>Georgia Highlands College</t>
  </si>
  <si>
    <t>139700</t>
  </si>
  <si>
    <t>South Georgia State College</t>
  </si>
  <si>
    <t>Albany Technical College</t>
  </si>
  <si>
    <t>Athens Technical College</t>
  </si>
  <si>
    <t>Atlanta Technical College</t>
  </si>
  <si>
    <t>Augusta Technical College</t>
  </si>
  <si>
    <t>Central Georgia Technical College</t>
  </si>
  <si>
    <t>Chattahoochee Technical College</t>
  </si>
  <si>
    <t>Coastal Pines Technical College</t>
  </si>
  <si>
    <t>Columbus Technical College</t>
  </si>
  <si>
    <t>Georgia Northwestern Technical College</t>
  </si>
  <si>
    <t>Georgia Piedmont Technical College</t>
  </si>
  <si>
    <t>Gwinnett Technical College</t>
  </si>
  <si>
    <t>Lanier Technical College</t>
  </si>
  <si>
    <t>North Georgia Technical College</t>
  </si>
  <si>
    <t>Oconee Fall Line Technical College</t>
  </si>
  <si>
    <t>Ogeechee Technical College</t>
  </si>
  <si>
    <t>Savannah Technical College</t>
  </si>
  <si>
    <t>South Georgia Technical College</t>
  </si>
  <si>
    <t>Southeastern Technical College</t>
  </si>
  <si>
    <t>Southern Crescent Technical College</t>
  </si>
  <si>
    <t>Southern Regional Technical College</t>
  </si>
  <si>
    <t>West Georgia Technical College</t>
  </si>
  <si>
    <t>Wiregrass Georgia Technical College</t>
  </si>
  <si>
    <t>KY</t>
  </si>
  <si>
    <t>University of Kentucky</t>
  </si>
  <si>
    <t>University of Louisville</t>
  </si>
  <si>
    <t xml:space="preserve">Eastern Kentucky University </t>
  </si>
  <si>
    <t xml:space="preserve">Morehead State University </t>
  </si>
  <si>
    <t xml:space="preserve">Murray State University </t>
  </si>
  <si>
    <t xml:space="preserve">Northern Kentucky University </t>
  </si>
  <si>
    <t xml:space="preserve">Western Kentucky University </t>
  </si>
  <si>
    <t xml:space="preserve">Kentucky State University </t>
  </si>
  <si>
    <t>Bluegrass Community and Technical College</t>
  </si>
  <si>
    <t xml:space="preserve">Jefferson Community and Technical College </t>
  </si>
  <si>
    <t>Ashland Community and Technical College</t>
  </si>
  <si>
    <t xml:space="preserve">Big Sandy Community and Technical College </t>
  </si>
  <si>
    <t xml:space="preserve">Elizabethtown Community and Technical College </t>
  </si>
  <si>
    <t>Hazard Community and Technical College</t>
  </si>
  <si>
    <t xml:space="preserve">Hopkinsville Community College </t>
  </si>
  <si>
    <t>Madisonville Community College</t>
  </si>
  <si>
    <t xml:space="preserve">Maysville Community and Technical College </t>
  </si>
  <si>
    <t xml:space="preserve">Owensboro Community and Technical College </t>
  </si>
  <si>
    <t xml:space="preserve">Somerset Community and Technical College </t>
  </si>
  <si>
    <t>Southeast Kentucky Community and Technical College</t>
  </si>
  <si>
    <t>West Kentucky Community and Technical College</t>
  </si>
  <si>
    <t xml:space="preserve">Henderson Community College </t>
  </si>
  <si>
    <t>Gateway Community and Technical College</t>
  </si>
  <si>
    <t>Southcentral Kentucky Community and Technical College</t>
  </si>
  <si>
    <t>MS</t>
  </si>
  <si>
    <t>Mississippi State University</t>
  </si>
  <si>
    <t>University of Southern Mississippi</t>
  </si>
  <si>
    <t xml:space="preserve">Jackson State University </t>
  </si>
  <si>
    <t>University of Mississippi</t>
  </si>
  <si>
    <t>Alcorn State University</t>
  </si>
  <si>
    <t>Delta State University</t>
  </si>
  <si>
    <t>Mississippi Valley State University</t>
  </si>
  <si>
    <t>Mississippi University for Women</t>
  </si>
  <si>
    <t xml:space="preserve">Hinds Community College </t>
  </si>
  <si>
    <t xml:space="preserve">Itawamba Community College </t>
  </si>
  <si>
    <t xml:space="preserve">Mississippi Gulf Coast Community College </t>
  </si>
  <si>
    <t xml:space="preserve">Northwest Mississippi Community College </t>
  </si>
  <si>
    <t xml:space="preserve">Copiah-Lincoln Community College </t>
  </si>
  <si>
    <t xml:space="preserve">East Central Community College </t>
  </si>
  <si>
    <t xml:space="preserve">East Mississippi Community College </t>
  </si>
  <si>
    <t xml:space="preserve">Holmes Community College </t>
  </si>
  <si>
    <t xml:space="preserve">Jones County Junior College </t>
  </si>
  <si>
    <t xml:space="preserve">Meridian Community College </t>
  </si>
  <si>
    <t xml:space="preserve">Mississippi Delta Community College </t>
  </si>
  <si>
    <t xml:space="preserve">Northeast Mississippi Community College </t>
  </si>
  <si>
    <t xml:space="preserve">Pearl River Community College </t>
  </si>
  <si>
    <t xml:space="preserve">Coahoma Community College </t>
  </si>
  <si>
    <t>Southwest Mississippi Community College</t>
  </si>
  <si>
    <t>NC</t>
  </si>
  <si>
    <t>Asheville-Buncombe Technical Community College</t>
  </si>
  <si>
    <t>Cape Fear Community College</t>
  </si>
  <si>
    <t xml:space="preserve">Central Piedmont Community College </t>
  </si>
  <si>
    <t>Fayetteville Technical Community College</t>
  </si>
  <si>
    <t>Forsyth Technical Community College</t>
  </si>
  <si>
    <t>Guilford Technical Community College</t>
  </si>
  <si>
    <t>Pitt Community College</t>
  </si>
  <si>
    <t>Rowan-Cabarrus Community College</t>
  </si>
  <si>
    <t>Wake Technical Community College</t>
  </si>
  <si>
    <t>Alamance Community College</t>
  </si>
  <si>
    <t>Caldwell Community College &amp; Technical Institute</t>
  </si>
  <si>
    <t>Catawba Valley Community College</t>
  </si>
  <si>
    <t>Central Carolina Commuity College</t>
  </si>
  <si>
    <t>Cleveland Community College</t>
  </si>
  <si>
    <t xml:space="preserve">Coastal Carolina Community College </t>
  </si>
  <si>
    <t xml:space="preserve">Craven Community College </t>
  </si>
  <si>
    <t xml:space="preserve">Davidson County Community College </t>
  </si>
  <si>
    <t>Durham Technical Community College</t>
  </si>
  <si>
    <t>Edgecombe Community College</t>
  </si>
  <si>
    <t xml:space="preserve">Gaston College </t>
  </si>
  <si>
    <t>Johnston Community College</t>
  </si>
  <si>
    <t xml:space="preserve">Lenoir Community College </t>
  </si>
  <si>
    <t xml:space="preserve">Mitchell Community College </t>
  </si>
  <si>
    <t>Nash Community College</t>
  </si>
  <si>
    <t>Randolph Community College</t>
  </si>
  <si>
    <t>Richmond Community College</t>
  </si>
  <si>
    <t>Robeson Community College</t>
  </si>
  <si>
    <t xml:space="preserve">Sandhills Community College </t>
  </si>
  <si>
    <t>Stanly Community College</t>
  </si>
  <si>
    <t xml:space="preserve">Surry Community College </t>
  </si>
  <si>
    <t xml:space="preserve">Vance-Granville Community College </t>
  </si>
  <si>
    <t>Wayne Community College</t>
  </si>
  <si>
    <t xml:space="preserve">Western Piedmont Community College </t>
  </si>
  <si>
    <t xml:space="preserve">Wilkes Community College </t>
  </si>
  <si>
    <t xml:space="preserve">Beaufort County Community College </t>
  </si>
  <si>
    <t>Bladen Community College</t>
  </si>
  <si>
    <t>Blue Ridge Community College</t>
  </si>
  <si>
    <t>Brunswick Community College</t>
  </si>
  <si>
    <t>Carteret Community College</t>
  </si>
  <si>
    <t>College of the Albemarle</t>
  </si>
  <si>
    <t xml:space="preserve">Halifax Community College </t>
  </si>
  <si>
    <t>Haywood Community College</t>
  </si>
  <si>
    <t xml:space="preserve">Isothermal Community College </t>
  </si>
  <si>
    <t>James Sprunt Community College</t>
  </si>
  <si>
    <t xml:space="preserve">Martin Community College </t>
  </si>
  <si>
    <t>Mayland Community College</t>
  </si>
  <si>
    <t>McDowell Technical Community College</t>
  </si>
  <si>
    <t>Montgomery Community College</t>
  </si>
  <si>
    <t>Pamlico Community College</t>
  </si>
  <si>
    <t>Piedmont Community College</t>
  </si>
  <si>
    <t>Roanoke-Chowan Community College</t>
  </si>
  <si>
    <t xml:space="preserve">Rockingham Community College </t>
  </si>
  <si>
    <t>Sampson Community College</t>
  </si>
  <si>
    <t>South Piedmont Community College</t>
  </si>
  <si>
    <t xml:space="preserve">Southeastern Community College </t>
  </si>
  <si>
    <t xml:space="preserve">Southwestern Community College </t>
  </si>
  <si>
    <t xml:space="preserve">Tri-County Community College </t>
  </si>
  <si>
    <t>Wilson Community College</t>
  </si>
  <si>
    <t xml:space="preserve">North Carolina State University </t>
  </si>
  <si>
    <t xml:space="preserve">University of North Carolina at Chapel Hill </t>
  </si>
  <si>
    <t>University of North Carolina at Charlotte</t>
  </si>
  <si>
    <t>University of North Carolina at Greensboro</t>
  </si>
  <si>
    <t xml:space="preserve">East Carolina University </t>
  </si>
  <si>
    <t xml:space="preserve">Appalachian State University </t>
  </si>
  <si>
    <t>North Carolina A&amp;T State University</t>
  </si>
  <si>
    <t xml:space="preserve">North Carolina Central University </t>
  </si>
  <si>
    <t>University of North Carolina at Wilmington</t>
  </si>
  <si>
    <t xml:space="preserve">Western Carolina University </t>
  </si>
  <si>
    <t xml:space="preserve">Fayetteville State University </t>
  </si>
  <si>
    <t>University of North Carolina at Pembroke</t>
  </si>
  <si>
    <t xml:space="preserve">Winston-Salem State University </t>
  </si>
  <si>
    <t xml:space="preserve">Elizabeth City State University </t>
  </si>
  <si>
    <t>University of North Carolina at Asheville</t>
  </si>
  <si>
    <t>OK</t>
  </si>
  <si>
    <t xml:space="preserve">Canadian Valley Technology Center                 </t>
  </si>
  <si>
    <t xml:space="preserve">Francis Tuttle Technology Center                  </t>
  </si>
  <si>
    <t xml:space="preserve">Metro Technology Centers                          </t>
  </si>
  <si>
    <t xml:space="preserve">Tulsa Technology Center-Lemley Campus             </t>
  </si>
  <si>
    <t xml:space="preserve">Autry Technology Center                           </t>
  </si>
  <si>
    <t xml:space="preserve">Caddo Kiowa Technology Center                     </t>
  </si>
  <si>
    <t xml:space="preserve">Central Technology Center                         </t>
  </si>
  <si>
    <t xml:space="preserve">Chisholm Trail Technology Center                  </t>
  </si>
  <si>
    <t xml:space="preserve">Eastern Oklahoma County Technology Center         </t>
  </si>
  <si>
    <t xml:space="preserve">Gordon Cooper Technology Center                   </t>
  </si>
  <si>
    <t xml:space="preserve">Great Plains Technology Center                    </t>
  </si>
  <si>
    <t xml:space="preserve">Green Country Technology Center                   </t>
  </si>
  <si>
    <t xml:space="preserve">High Plains Technology Center                     </t>
  </si>
  <si>
    <t xml:space="preserve">Indian Capital Technology Center-Muskogee         </t>
  </si>
  <si>
    <t xml:space="preserve">Indian Capital Technology Center-Sallisaw         </t>
  </si>
  <si>
    <t xml:space="preserve">Indian Capital Technology Center-Stilwell         </t>
  </si>
  <si>
    <t xml:space="preserve">Indian Capital Technology Center-Tahlequah        </t>
  </si>
  <si>
    <t xml:space="preserve">Kiamichi Technology Center-Atoka                  </t>
  </si>
  <si>
    <t xml:space="preserve">Kiamichi Technology Center-Durant                 </t>
  </si>
  <si>
    <t xml:space="preserve">Kiamichi Technology Center-Hugo                   </t>
  </si>
  <si>
    <t xml:space="preserve">Kiamichi Technology Center-Idabel                 </t>
  </si>
  <si>
    <t xml:space="preserve">Kiamichi Technology Center-McAlester              </t>
  </si>
  <si>
    <t xml:space="preserve">Kiamichi Technology Center-Poteau                 </t>
  </si>
  <si>
    <t xml:space="preserve">Kiamichi Technology Center-Spiro                  </t>
  </si>
  <si>
    <t xml:space="preserve">Kiamichi Technology Center-Stigler                </t>
  </si>
  <si>
    <t xml:space="preserve">Kiamichi Technology Center-Talihina               </t>
  </si>
  <si>
    <t xml:space="preserve">Meridian Technology Center                        </t>
  </si>
  <si>
    <t xml:space="preserve">Mid-America Technology Center                     </t>
  </si>
  <si>
    <t xml:space="preserve">Mid-Del Technology Center                         </t>
  </si>
  <si>
    <t xml:space="preserve">Moore Norman Technology Center                    </t>
  </si>
  <si>
    <t xml:space="preserve">Northeast Technology Center-Afton                 </t>
  </si>
  <si>
    <t>Northeast Technology Center-Claremore</t>
  </si>
  <si>
    <t xml:space="preserve">Northeast Technology Center-Kansas                </t>
  </si>
  <si>
    <t xml:space="preserve">Northeast Technology Center-Pryor                 </t>
  </si>
  <si>
    <t xml:space="preserve">Northwest Technology Center-Alva                  </t>
  </si>
  <si>
    <t xml:space="preserve">Northwest Technology Center-Fairview              </t>
  </si>
  <si>
    <t xml:space="preserve">Pioneer Technology Center                         </t>
  </si>
  <si>
    <t xml:space="preserve">Pontotoc Technology Center                        </t>
  </si>
  <si>
    <t xml:space="preserve">Red River Technology Center                       </t>
  </si>
  <si>
    <t xml:space="preserve">Southern Oklahoma Technology Center               </t>
  </si>
  <si>
    <t xml:space="preserve">Southwest Technology Center                       </t>
  </si>
  <si>
    <t xml:space="preserve">Tri County Technology Center                      </t>
  </si>
  <si>
    <t xml:space="preserve">Tulsa County Area Voc Tech School Dist 18-Peoria  </t>
  </si>
  <si>
    <t xml:space="preserve">Tulsa Technology Center-Broken Arrow Campus       </t>
  </si>
  <si>
    <r>
      <rPr>
        <sz val="10"/>
        <color rgb="FF000000"/>
        <rFont val="Arial"/>
        <family val="2"/>
      </rPr>
      <t xml:space="preserve">Tulsa Technology Center-Owasso </t>
    </r>
    <r>
      <rPr>
        <sz val="10"/>
        <color rgb="FFFF0000"/>
        <rFont val="Arial"/>
        <family val="2"/>
      </rPr>
      <t>NEW</t>
    </r>
  </si>
  <si>
    <t xml:space="preserve">Tulsa Technology Center-Riverside Campus          </t>
  </si>
  <si>
    <r>
      <rPr>
        <sz val="10"/>
        <color rgb="FF000000"/>
        <rFont val="Arial"/>
        <family val="2"/>
      </rPr>
      <t>Tulsa Technology Center-Sand Springs</t>
    </r>
    <r>
      <rPr>
        <sz val="10"/>
        <color rgb="FFFF0000"/>
        <rFont val="Arial"/>
        <family val="2"/>
      </rPr>
      <t xml:space="preserve"> NEW</t>
    </r>
  </si>
  <si>
    <t xml:space="preserve">Wes Watkins Technology Center                     </t>
  </si>
  <si>
    <t xml:space="preserve">Western Technology Center                         </t>
  </si>
  <si>
    <t>Oklahoma State University Main Campus</t>
  </si>
  <si>
    <t>University of Oklahoma Norman Campus</t>
  </si>
  <si>
    <t>Northeastern State University</t>
  </si>
  <si>
    <t>University of Central Oklahoma</t>
  </si>
  <si>
    <t xml:space="preserve">Southeastern Oklahoma State University </t>
  </si>
  <si>
    <t xml:space="preserve">Cameron University </t>
  </si>
  <si>
    <t xml:space="preserve">East Central University </t>
  </si>
  <si>
    <t>Langston University</t>
  </si>
  <si>
    <t xml:space="preserve">Northwestern Oklahoma State University </t>
  </si>
  <si>
    <t>Southwestern Oklahoma State University</t>
  </si>
  <si>
    <t xml:space="preserve">Oklahoma Panhandle State University </t>
  </si>
  <si>
    <t>Rogers State University</t>
  </si>
  <si>
    <t>University of Science and Arts of Oklahoma</t>
  </si>
  <si>
    <t xml:space="preserve">Oklahoma State University Technical Branch-Okmulgee </t>
  </si>
  <si>
    <t xml:space="preserve">Oklahoma State University-Oklahoma City </t>
  </si>
  <si>
    <t xml:space="preserve">Oklahoma City Community College </t>
  </si>
  <si>
    <t xml:space="preserve">Tulsa Community College </t>
  </si>
  <si>
    <t xml:space="preserve">Northern Oklahoma College </t>
  </si>
  <si>
    <t xml:space="preserve">Rose State College </t>
  </si>
  <si>
    <t>Carl Albert State College</t>
  </si>
  <si>
    <t xml:space="preserve">Connors State College </t>
  </si>
  <si>
    <t xml:space="preserve">Eastern Oklahoma State College </t>
  </si>
  <si>
    <t xml:space="preserve">Murray State College </t>
  </si>
  <si>
    <t xml:space="preserve">Northeastern Oklahoma A &amp; M College </t>
  </si>
  <si>
    <t>Redlands Community College</t>
  </si>
  <si>
    <t xml:space="preserve">Seminole State College </t>
  </si>
  <si>
    <t xml:space="preserve">Western Oklahoma State College </t>
  </si>
  <si>
    <t>TN</t>
  </si>
  <si>
    <t>University of Memphis</t>
  </si>
  <si>
    <t>University of Tennessee, Knoxville</t>
  </si>
  <si>
    <t xml:space="preserve">East Tennessee State University </t>
  </si>
  <si>
    <t xml:space="preserve">Tennessee State University </t>
  </si>
  <si>
    <t xml:space="preserve">Austin Peay State University </t>
  </si>
  <si>
    <t xml:space="preserve">Middle Tennessee State University </t>
  </si>
  <si>
    <t xml:space="preserve">Tennessee Technological University </t>
  </si>
  <si>
    <t>University of Tennessee at Chattanooga</t>
  </si>
  <si>
    <t>University of Tennessee at Martin</t>
  </si>
  <si>
    <t xml:space="preserve">Chattanooga State Technical Community College </t>
  </si>
  <si>
    <t>Nashville State Technical Community College</t>
  </si>
  <si>
    <t>Pellissippi State Technical Community College</t>
  </si>
  <si>
    <t>Southwest Tennessee Community College</t>
  </si>
  <si>
    <t xml:space="preserve">Volunteer State Community College </t>
  </si>
  <si>
    <t xml:space="preserve">Cleveland State Community College </t>
  </si>
  <si>
    <t xml:space="preserve">Columbia State Community College </t>
  </si>
  <si>
    <t xml:space="preserve">Dyersburg State Community College </t>
  </si>
  <si>
    <t xml:space="preserve">Jackson State Community College </t>
  </si>
  <si>
    <t xml:space="preserve">Motlow State Community College </t>
  </si>
  <si>
    <t>Northeast State Technical Community College</t>
  </si>
  <si>
    <t xml:space="preserve">Roane State Community College </t>
  </si>
  <si>
    <t xml:space="preserve">Walters State Community College </t>
  </si>
  <si>
    <t>Tennessee College of Applied Technology at Chattanooga</t>
  </si>
  <si>
    <t>219824B</t>
  </si>
  <si>
    <t>Tennessee College of Applied Technology at Athens</t>
  </si>
  <si>
    <t>Tennessee College of Applied Technology at Covington</t>
  </si>
  <si>
    <t>Tennessee College of Applied Technology at Crossville</t>
  </si>
  <si>
    <t>Tennessee College of Applied Technology at Crump</t>
  </si>
  <si>
    <t>Tennessee College of Applied Technology at Dickson</t>
  </si>
  <si>
    <t>Tennessee College of Applied Technology at Elizabethton</t>
  </si>
  <si>
    <t>Tennessee College of Applied Technology at Harriman</t>
  </si>
  <si>
    <t>Tennessee College of Applied Technology at Hartsville</t>
  </si>
  <si>
    <t>Tennessee College of Applied Technology at Hohenwald</t>
  </si>
  <si>
    <t>Tennessee College of Applied Technology at Jacksboro</t>
  </si>
  <si>
    <t>Tennessee College of Applied Technology at Jackson</t>
  </si>
  <si>
    <t>Tennessee College of Applied Technology at Knoxville</t>
  </si>
  <si>
    <t>Tennessee College of Applied Technology at Livingston</t>
  </si>
  <si>
    <t>Tennessee College of Applied Technology at McKenzie</t>
  </si>
  <si>
    <t>Tennessee College of Applied Technology at McMinnville</t>
  </si>
  <si>
    <t>Tennessee College of Applied Technology at Memphis</t>
  </si>
  <si>
    <t>Tennessee College of Applied Technology at Morristown</t>
  </si>
  <si>
    <t>Tennessee College of Applied Technology at Murfreesboro</t>
  </si>
  <si>
    <t>Tennessee College of Applied Technology at Nashville</t>
  </si>
  <si>
    <t>Tennessee College of Applied Technology at Newbern</t>
  </si>
  <si>
    <t>Tennessee College of Applied Technology at Oneida</t>
  </si>
  <si>
    <t>Tennessee College of Applied Technology at Paris</t>
  </si>
  <si>
    <t>Tennessee College of Applied Technology at Pulaski</t>
  </si>
  <si>
    <t>Tennessee College of Applied Technology at Ripley</t>
  </si>
  <si>
    <t>Tennessee College of Applied Technology at Shelbyville</t>
  </si>
  <si>
    <t>Tennessee College of Applied Technology at Whiteville</t>
  </si>
  <si>
    <t>WV</t>
  </si>
  <si>
    <t>West Virginia University</t>
  </si>
  <si>
    <t xml:space="preserve">Marshall University </t>
  </si>
  <si>
    <t>Fairmont State University</t>
  </si>
  <si>
    <t xml:space="preserve">Shepherd University </t>
  </si>
  <si>
    <t xml:space="preserve">Bluefield State College </t>
  </si>
  <si>
    <t xml:space="preserve">Concord University </t>
  </si>
  <si>
    <t xml:space="preserve">Glenville State College </t>
  </si>
  <si>
    <t>West Liberty University</t>
  </si>
  <si>
    <t xml:space="preserve">West Virginia State University </t>
  </si>
  <si>
    <t>West Virginia University at Parkersburg</t>
  </si>
  <si>
    <t>West Virginia University Institute of Technology</t>
  </si>
  <si>
    <t>Potomac State College of West Virginia University</t>
  </si>
  <si>
    <t>New River Community &amp; Technical College</t>
  </si>
  <si>
    <t>Pierpont Community &amp; Technical College</t>
  </si>
  <si>
    <t>Blue Ridge Community &amp; Technical College</t>
  </si>
  <si>
    <t>BridgeValley Community &amp; Technical College</t>
  </si>
  <si>
    <t>Eastern West Virginia Community &amp; Technical College</t>
  </si>
  <si>
    <t>Mountwest Community &amp; Technical College</t>
  </si>
  <si>
    <t xml:space="preserve">Southern West Virginia Community &amp; Technical College </t>
  </si>
  <si>
    <t>West Virginia Northern Community College</t>
  </si>
  <si>
    <t>DE</t>
  </si>
  <si>
    <t>University of Delaware</t>
  </si>
  <si>
    <t>130943</t>
  </si>
  <si>
    <t>Delaware State University</t>
  </si>
  <si>
    <t>130934</t>
  </si>
  <si>
    <t>Delaware Technical and Community College--Terry</t>
  </si>
  <si>
    <t>130907</t>
  </si>
  <si>
    <t>LA</t>
  </si>
  <si>
    <t>Louisiana State University and A&amp;M College</t>
  </si>
  <si>
    <t xml:space="preserve">Louisiana Tech University </t>
  </si>
  <si>
    <t>quar</t>
  </si>
  <si>
    <t>University of Louisiana at Lafayette</t>
  </si>
  <si>
    <t>University of New Orleans</t>
  </si>
  <si>
    <t xml:space="preserve">Southeastern Louisiana University </t>
  </si>
  <si>
    <t xml:space="preserve">Southern University and A&amp;M College at Baton Rouge </t>
  </si>
  <si>
    <t>University of Louisiana at Monroe</t>
  </si>
  <si>
    <t>Grambling State University</t>
  </si>
  <si>
    <t>Louisiana State University in Shreveport</t>
  </si>
  <si>
    <t>McNeese State University</t>
  </si>
  <si>
    <t xml:space="preserve">Nicholls State University </t>
  </si>
  <si>
    <t>Northwestern State University</t>
  </si>
  <si>
    <t>Southern University at New Orleans</t>
  </si>
  <si>
    <t>Louisiana State University at Alexandria</t>
  </si>
  <si>
    <t>Baton Rouge Community College</t>
  </si>
  <si>
    <t>Bossier Parish Community College</t>
  </si>
  <si>
    <t xml:space="preserve">Delgado Community College </t>
  </si>
  <si>
    <t>Louisiana Delta Community College</t>
  </si>
  <si>
    <t>South Louisiana Community College</t>
  </si>
  <si>
    <t>Southern University in Shreveport</t>
  </si>
  <si>
    <t>Louisiana State University at Eunice</t>
  </si>
  <si>
    <t>Nunez Community College</t>
  </si>
  <si>
    <t>River Parishes Community College</t>
  </si>
  <si>
    <t>Central LA Technical College</t>
  </si>
  <si>
    <t>L.E. Fletcher Technical Community College</t>
  </si>
  <si>
    <t>Northshore Technical College</t>
  </si>
  <si>
    <t>Northwest LA Technical College</t>
  </si>
  <si>
    <t>South Central LA Technical College</t>
  </si>
  <si>
    <t>Sowela Technical Community College</t>
  </si>
  <si>
    <t>MD</t>
  </si>
  <si>
    <t>University of Maryland College Park</t>
  </si>
  <si>
    <t>Morgan State University</t>
  </si>
  <si>
    <t>University of Maryland, Baltimore County</t>
  </si>
  <si>
    <t xml:space="preserve">Towson University </t>
  </si>
  <si>
    <t xml:space="preserve">Bowie State University </t>
  </si>
  <si>
    <t xml:space="preserve">Frostburg State University </t>
  </si>
  <si>
    <t xml:space="preserve">Salisbury University </t>
  </si>
  <si>
    <t>University of Baltimore</t>
  </si>
  <si>
    <t xml:space="preserve">University of Maryland Eastern Shore </t>
  </si>
  <si>
    <t>Coppin State University</t>
  </si>
  <si>
    <t>Saint Mary's College of Maryland</t>
  </si>
  <si>
    <t xml:space="preserve">Anne Arundel Community College </t>
  </si>
  <si>
    <t>College of Southern Maryland</t>
  </si>
  <si>
    <t>Community College of Baltimore County (all campuses)</t>
  </si>
  <si>
    <t xml:space="preserve">Howard Community College </t>
  </si>
  <si>
    <t>Montgomery College (all campuses)</t>
  </si>
  <si>
    <t xml:space="preserve">Prince George's Community College </t>
  </si>
  <si>
    <t>Allegany College of Maryland</t>
  </si>
  <si>
    <t>Baltimore City Community College</t>
  </si>
  <si>
    <t>Carroll Community College</t>
  </si>
  <si>
    <t xml:space="preserve">Frederick Community College </t>
  </si>
  <si>
    <t xml:space="preserve">Hagerstown Community College </t>
  </si>
  <si>
    <t xml:space="preserve">Harford Community College </t>
  </si>
  <si>
    <t xml:space="preserve">Wor-Wic Community College </t>
  </si>
  <si>
    <t xml:space="preserve">Cecil Community College </t>
  </si>
  <si>
    <t xml:space="preserve">Chesapeake College </t>
  </si>
  <si>
    <t xml:space="preserve">Garrett College </t>
  </si>
  <si>
    <t>SC</t>
  </si>
  <si>
    <t>Clemson University</t>
  </si>
  <si>
    <t>University of South Carolina-Columbia</t>
  </si>
  <si>
    <t>College of Charleston</t>
  </si>
  <si>
    <t xml:space="preserve">The Citadel, the Military College of South Carolina </t>
  </si>
  <si>
    <t xml:space="preserve">Winthrop University </t>
  </si>
  <si>
    <t>Coastal Carolina University</t>
  </si>
  <si>
    <t xml:space="preserve">Francis Marion University </t>
  </si>
  <si>
    <t xml:space="preserve">South Carolina State University </t>
  </si>
  <si>
    <t>Lander University</t>
  </si>
  <si>
    <t>University of South Carolina-Aiken</t>
  </si>
  <si>
    <t>University of South Carolina-Beaufort</t>
  </si>
  <si>
    <t>University of South Carolina-Upstate</t>
  </si>
  <si>
    <t xml:space="preserve">Florence-Darlington Technical College </t>
  </si>
  <si>
    <t xml:space="preserve">Greenville Technical College </t>
  </si>
  <si>
    <t xml:space="preserve">Horry-Georgetown Technical College </t>
  </si>
  <si>
    <t xml:space="preserve">Midlands Technical College </t>
  </si>
  <si>
    <t xml:space="preserve">Piedmont Technical College </t>
  </si>
  <si>
    <t xml:space="preserve">Tri-County Technical College </t>
  </si>
  <si>
    <t xml:space="preserve">Trident Technical College </t>
  </si>
  <si>
    <t xml:space="preserve">Aiken Technical College </t>
  </si>
  <si>
    <t xml:space="preserve">Central Carolina Technical College </t>
  </si>
  <si>
    <t xml:space="preserve">Orangeburg-Calhoun Technical College </t>
  </si>
  <si>
    <t xml:space="preserve">Spartanburg Community College </t>
  </si>
  <si>
    <t xml:space="preserve">York Technical College </t>
  </si>
  <si>
    <t xml:space="preserve">Denmark Technical College </t>
  </si>
  <si>
    <t xml:space="preserve">Northeastern Technical College </t>
  </si>
  <si>
    <t>Technical College of the Lowcountry</t>
  </si>
  <si>
    <t>University of South Carolina-Lancaster</t>
  </si>
  <si>
    <t>University of South Carolina-Salkehatchie</t>
  </si>
  <si>
    <t>University of South Carolina-Sumter</t>
  </si>
  <si>
    <t>University of South Carolina-Union</t>
  </si>
  <si>
    <t xml:space="preserve">Willamsburg Technical College </t>
  </si>
  <si>
    <t>TX</t>
  </si>
  <si>
    <t xml:space="preserve">Texas A&amp;M University </t>
  </si>
  <si>
    <t xml:space="preserve">Texas Tech University </t>
  </si>
  <si>
    <t>University of Houston</t>
  </si>
  <si>
    <t>University of North Texas</t>
  </si>
  <si>
    <t>University of Texas at Arlington</t>
  </si>
  <si>
    <t>University of Texas at Austin</t>
  </si>
  <si>
    <t>University of Texas at Dallas</t>
  </si>
  <si>
    <t>Texas Woman's University</t>
  </si>
  <si>
    <t>University of Texas at El Paso</t>
  </si>
  <si>
    <t>University of Texas at San Antonio</t>
  </si>
  <si>
    <t>Angelo State University</t>
  </si>
  <si>
    <t>Lamar University</t>
  </si>
  <si>
    <t>Midwestern State University</t>
  </si>
  <si>
    <t>Prairie View A&amp;M University</t>
  </si>
  <si>
    <t xml:space="preserve">Sam Houston State University </t>
  </si>
  <si>
    <t>Stephen F. Austin State University</t>
  </si>
  <si>
    <t xml:space="preserve">Sul Ross State University </t>
  </si>
  <si>
    <t>Tarleton State University</t>
  </si>
  <si>
    <t>Texas A&amp;M International University</t>
  </si>
  <si>
    <t>Texas A&amp;M University-Commerce</t>
  </si>
  <si>
    <t xml:space="preserve">Texas A&amp;M University-Corpus Christi </t>
  </si>
  <si>
    <t>Texas A&amp;M University-Kingsville</t>
  </si>
  <si>
    <t xml:space="preserve">Texas Southern University </t>
  </si>
  <si>
    <t>Texas State University</t>
  </si>
  <si>
    <t xml:space="preserve">University of Houston-Clear Lake </t>
  </si>
  <si>
    <t>University of Texas - Rio Grande Valley</t>
  </si>
  <si>
    <t>University of Texas at Tyler</t>
  </si>
  <si>
    <t>University of Texas of the Permian Basin</t>
  </si>
  <si>
    <t>West Texas A&amp;M University</t>
  </si>
  <si>
    <t>Texas A &amp; M University - Central Texas</t>
  </si>
  <si>
    <t>Texas A&amp;M -Texarkana</t>
  </si>
  <si>
    <t>University of Houston-Victoria</t>
  </si>
  <si>
    <t>Sul Ross State University-Rio Grande College</t>
  </si>
  <si>
    <t>228501B</t>
  </si>
  <si>
    <t>Texas A &amp; M University - San Antonio</t>
  </si>
  <si>
    <t>University of Houston-Downtown</t>
  </si>
  <si>
    <t>Texas A&amp;M University at Galveston</t>
  </si>
  <si>
    <t xml:space="preserve">Brazosport College </t>
  </si>
  <si>
    <t xml:space="preserve">Midland College </t>
  </si>
  <si>
    <t>South Texas College</t>
  </si>
  <si>
    <t xml:space="preserve">Amarillo College </t>
  </si>
  <si>
    <t xml:space="preserve">Austin Community College </t>
  </si>
  <si>
    <t xml:space="preserve">Blinn College </t>
  </si>
  <si>
    <t>Brookhaven College  (DCCCD)</t>
  </si>
  <si>
    <t xml:space="preserve">Central Texas College </t>
  </si>
  <si>
    <t>Collin County Community College District</t>
  </si>
  <si>
    <t xml:space="preserve">Del Mar College </t>
  </si>
  <si>
    <t>Eastfield College  (DCCCD)</t>
  </si>
  <si>
    <t>El Centro College  (DCCCD)</t>
  </si>
  <si>
    <t>El Paso County Community College District</t>
  </si>
  <si>
    <t>Houston Community College</t>
  </si>
  <si>
    <t xml:space="preserve">Laredo Community College </t>
  </si>
  <si>
    <t>Lone Star College System District</t>
  </si>
  <si>
    <t xml:space="preserve">McLennan Community College </t>
  </si>
  <si>
    <t xml:space="preserve">Navarro College </t>
  </si>
  <si>
    <t>North Central Texas Community College</t>
  </si>
  <si>
    <t>North Lake College  (DCCCD)</t>
  </si>
  <si>
    <t>Northwest Vista College (ACCD)</t>
  </si>
  <si>
    <t>Palo Alto College  (ACCD)</t>
  </si>
  <si>
    <t>Richland College  (DCCCD)</t>
  </si>
  <si>
    <t>San Antonio College (ACCD)</t>
  </si>
  <si>
    <t>San Jacinto College</t>
  </si>
  <si>
    <t xml:space="preserve">South Plains College </t>
  </si>
  <si>
    <t>St. Philip's College  (ACCD)</t>
  </si>
  <si>
    <t>Tarrant County College</t>
  </si>
  <si>
    <t>Trinity Valley Community College</t>
  </si>
  <si>
    <t xml:space="preserve">Tyler Junior College </t>
  </si>
  <si>
    <t xml:space="preserve">Alvin Community College </t>
  </si>
  <si>
    <t xml:space="preserve">Angelina College </t>
  </si>
  <si>
    <t>Cedar Valley College  (DCCCD)</t>
  </si>
  <si>
    <t>Cisco Junior College</t>
  </si>
  <si>
    <t>Coastal Bend College</t>
  </si>
  <si>
    <t>College of the Mainland</t>
  </si>
  <si>
    <t xml:space="preserve">Grayson County College </t>
  </si>
  <si>
    <t>Hill College</t>
  </si>
  <si>
    <t>Howard College (HCJCD)</t>
  </si>
  <si>
    <t xml:space="preserve">Kilgore College </t>
  </si>
  <si>
    <t>Lamar Institute of Technology</t>
  </si>
  <si>
    <t>Lamar State College-Port Arthur</t>
  </si>
  <si>
    <t xml:space="preserve">Lee College </t>
  </si>
  <si>
    <t>Mountain View College  (DCCCD)</t>
  </si>
  <si>
    <t xml:space="preserve">Northeast Texas Community College </t>
  </si>
  <si>
    <t xml:space="preserve">Odessa College </t>
  </si>
  <si>
    <t>Paris Junior College</t>
  </si>
  <si>
    <t xml:space="preserve">Southwest Texas Junior College </t>
  </si>
  <si>
    <t xml:space="preserve">Temple College </t>
  </si>
  <si>
    <t xml:space="preserve">Texarkana College </t>
  </si>
  <si>
    <t xml:space="preserve">Texas Southmost College </t>
  </si>
  <si>
    <t xml:space="preserve">Texas State Technical College-Harlingen </t>
  </si>
  <si>
    <t>Texas State Technical College-Waco</t>
  </si>
  <si>
    <t xml:space="preserve">Vernon College </t>
  </si>
  <si>
    <t xml:space="preserve">Victoria College </t>
  </si>
  <si>
    <t xml:space="preserve">Weatherford College </t>
  </si>
  <si>
    <t xml:space="preserve">Wharton County Junior College </t>
  </si>
  <si>
    <t xml:space="preserve">Clarendon College </t>
  </si>
  <si>
    <t xml:space="preserve">Frank Phillips College </t>
  </si>
  <si>
    <t xml:space="preserve">Galveston College </t>
  </si>
  <si>
    <t>Lamar State College-Orange</t>
  </si>
  <si>
    <t>Northeast Lakeview College (ACCD)</t>
  </si>
  <si>
    <t>???1</t>
  </si>
  <si>
    <t>Panola College</t>
  </si>
  <si>
    <t xml:space="preserve">Ranger College </t>
  </si>
  <si>
    <t>Southwest Collegiate Institute for the Deaf (HCJCD)</t>
  </si>
  <si>
    <t>Texas State Technical College-Marshall</t>
  </si>
  <si>
    <t>Texas State Technical College-West Texas</t>
  </si>
  <si>
    <t xml:space="preserve">Western Texas College </t>
  </si>
  <si>
    <t>Alamo Community College District (ACCD)</t>
  </si>
  <si>
    <t>Dallas County Community College District (DCCD)</t>
  </si>
  <si>
    <t>Howard County Community/Junior College District (HCJCD)</t>
  </si>
  <si>
    <t>University of North Texas at Dallas</t>
  </si>
  <si>
    <t>New fall 2009. No degrees yet granted.</t>
  </si>
  <si>
    <t>08b</t>
  </si>
  <si>
    <t>09b</t>
  </si>
  <si>
    <t>10b</t>
  </si>
  <si>
    <t>Texas State Technical College-North Texas</t>
  </si>
  <si>
    <t>New Fall 2016</t>
  </si>
  <si>
    <t>Texas State Technical College-Fort Bend</t>
  </si>
  <si>
    <t>VA</t>
  </si>
  <si>
    <t xml:space="preserve">George Mason University </t>
  </si>
  <si>
    <t xml:space="preserve">Old Dominion University </t>
  </si>
  <si>
    <t>University of Virginia</t>
  </si>
  <si>
    <t>Virginia Commonwealth University</t>
  </si>
  <si>
    <t xml:space="preserve">Virginia Tech </t>
  </si>
  <si>
    <t>College of William &amp; Mary</t>
  </si>
  <si>
    <t>James Madison University</t>
  </si>
  <si>
    <t xml:space="preserve">Longwood University </t>
  </si>
  <si>
    <t xml:space="preserve">Norfolk State University </t>
  </si>
  <si>
    <t>Radford University</t>
  </si>
  <si>
    <t xml:space="preserve">University of Mary Washington </t>
  </si>
  <si>
    <t xml:space="preserve">Virginia State University </t>
  </si>
  <si>
    <t>Christopher Newport University</t>
  </si>
  <si>
    <t xml:space="preserve">University of Virginia's College at Wise </t>
  </si>
  <si>
    <t>J.S. Reynolds Community College</t>
  </si>
  <si>
    <t>John Tyler Community College</t>
  </si>
  <si>
    <t xml:space="preserve">Northern Virginia Community College </t>
  </si>
  <si>
    <t xml:space="preserve">Thomas Nelson Community College </t>
  </si>
  <si>
    <t xml:space="preserve">Tidewater Community College </t>
  </si>
  <si>
    <t xml:space="preserve">Blue Ridge Community College </t>
  </si>
  <si>
    <t xml:space="preserve">Central Virginia Community College </t>
  </si>
  <si>
    <t xml:space="preserve">Danville Community College </t>
  </si>
  <si>
    <t>Germanna Community College</t>
  </si>
  <si>
    <t>Lord Fairfax Community College</t>
  </si>
  <si>
    <t xml:space="preserve">New River Community College </t>
  </si>
  <si>
    <t xml:space="preserve">Patrick Henry Community College </t>
  </si>
  <si>
    <t xml:space="preserve">Piedmont Virginia Community College </t>
  </si>
  <si>
    <t>Southside Virginia Community College</t>
  </si>
  <si>
    <t xml:space="preserve">Virginia Western Community College </t>
  </si>
  <si>
    <t xml:space="preserve">Wytheville Community College </t>
  </si>
  <si>
    <t xml:space="preserve">D.S. Lancaster Community College </t>
  </si>
  <si>
    <t>Eastern Shore Community College</t>
  </si>
  <si>
    <t>Mountain Empire Community College</t>
  </si>
  <si>
    <t>Paul D. Camp Community College</t>
  </si>
  <si>
    <t>Rappahannock Community College</t>
  </si>
  <si>
    <t xml:space="preserve">Richard Bland College </t>
  </si>
  <si>
    <t xml:space="preserve">Southwest Virginia Community College </t>
  </si>
  <si>
    <t xml:space="preserve">Virginia Highlands Community College </t>
  </si>
  <si>
    <t>All Community Colleges except R. Bland</t>
  </si>
  <si>
    <t>All CC - Bland</t>
  </si>
  <si>
    <t>all 8's</t>
  </si>
  <si>
    <t>all 9's</t>
  </si>
  <si>
    <t>Richard Bland College B</t>
  </si>
  <si>
    <t>All'10's except R.B.</t>
  </si>
  <si>
    <t>Row Labels</t>
  </si>
  <si>
    <t>Sum of Old-Total Undg SCH FTE</t>
  </si>
  <si>
    <t>Sum of New-Total Undg SCH FTE</t>
  </si>
  <si>
    <t>99 Total</t>
  </si>
  <si>
    <t>08b Total</t>
  </si>
  <si>
    <t>09b Total</t>
  </si>
  <si>
    <t>10b Total</t>
  </si>
  <si>
    <t>Total Sum of Old-Total Undg SCH FTE</t>
  </si>
  <si>
    <t>Total Sum of New-Total Undg SCH FTE</t>
  </si>
  <si>
    <t>Column Labels</t>
  </si>
  <si>
    <t>Sum of Old-Total Undg CH FTE</t>
  </si>
  <si>
    <t>Total Sum of Old-Total Undg CH FTE</t>
  </si>
  <si>
    <t>Sum of New-Total Undg CH FTE</t>
  </si>
  <si>
    <t>Total Sum of New-Total Undg CH FTE</t>
  </si>
  <si>
    <t>Sum of Old-Total Grad FTE</t>
  </si>
  <si>
    <t>Total Sum of Old-Total Grad FTE</t>
  </si>
  <si>
    <t>Sum of New-Total Grad FTE</t>
  </si>
  <si>
    <t>Total Sum of New-Total Grad FTE</t>
  </si>
  <si>
    <t>Sum of Old Grand Total FTE</t>
  </si>
  <si>
    <t>Total Sum of Old Grand Total FTE</t>
  </si>
  <si>
    <t>Sum of New Grand Total FTE</t>
  </si>
  <si>
    <t>Total Sum of New Grand Total FTE</t>
  </si>
  <si>
    <t>Sum of % Change Undergrad SCH FTE</t>
  </si>
  <si>
    <t>Total Sum of % Change Undergrad SCH FTE</t>
  </si>
  <si>
    <t>Sum of % Change Undergrad CH FTE</t>
  </si>
  <si>
    <t>Total Sum of % Change Undergrad CH FTE</t>
  </si>
  <si>
    <t>Sum of % Change Graduate FTE</t>
  </si>
  <si>
    <t>Total Sum of % Change Graduate FTE</t>
  </si>
  <si>
    <t>Sum of % Change Grand Total FTE</t>
  </si>
  <si>
    <t>Total Sum of % Change Grand Total FTE</t>
  </si>
  <si>
    <t>Four-Year Total</t>
  </si>
  <si>
    <t>Four-Year</t>
  </si>
  <si>
    <t>Two-Year</t>
  </si>
  <si>
    <t>Two-Year Total</t>
  </si>
  <si>
    <t>Technical</t>
  </si>
  <si>
    <t>Technical Total</t>
  </si>
  <si>
    <t>Values</t>
  </si>
  <si>
    <t>Table 80</t>
  </si>
  <si>
    <t>Full-Year Full-Time-Equivalent Undergraduate Enrollment</t>
  </si>
  <si>
    <t>OLD</t>
  </si>
  <si>
    <t>For use in FB_42_43</t>
  </si>
  <si>
    <t>For use in DE Highlights and Fact Book</t>
  </si>
  <si>
    <t>NEW</t>
  </si>
  <si>
    <t>All</t>
  </si>
  <si>
    <t>Four-Year 1</t>
  </si>
  <si>
    <t>All Four Year</t>
  </si>
  <si>
    <t>Total</t>
  </si>
  <si>
    <t>Percent by Students Still in High School</t>
  </si>
  <si>
    <r>
      <rPr>
        <b/>
        <sz val="10"/>
        <rFont val="Arial"/>
        <family val="2"/>
      </rPr>
      <t>Old</t>
    </r>
    <r>
      <rPr>
        <sz val="10"/>
        <rFont val="Arial"/>
        <family val="2"/>
      </rPr>
      <t xml:space="preserve"> % by H.S. Students</t>
    </r>
  </si>
  <si>
    <t>Points change</t>
  </si>
  <si>
    <t>Pct by Students Still in HS</t>
  </si>
  <si>
    <t>SREB states</t>
  </si>
  <si>
    <t>=+GETPIVOTDATA("Sum of Old-HS % of Total",'Pivot-HS Student % of Undergrad'!$A$3,"Category",1,"Category2","Four-Year")</t>
  </si>
  <si>
    <t>=+GETPIVOTDATA("Sum of Old-HS % of Total",'Pivot-HS Student % of Undergrad'!$A$3,"Category",2,"Category2","Four-Year")</t>
  </si>
  <si>
    <t>=+GETPIVOTDATA("Sum of Old-HS % of Total",'Pivot-HS Student % of Undergrad'!$A$3,"Category",3,"Category2","Four-Year")</t>
  </si>
  <si>
    <t>=+GETPIVOTDATA("Sum of Old-HS % of Total",'Pivot-HS Student % of Undergrad'!$A$3,"Category",4,"Category2","Four-Year")</t>
  </si>
  <si>
    <t>=+GETPIVOTDATA("Sum of Old-HS % of Total",'Pivot-HS Student % of Undergrad'!$A$3,"Category",5,"Category2","Four-Year")</t>
  </si>
  <si>
    <t>=+GETPIVOTDATA("Sum of Old-HS % of Total",'Pivot-HS Student % of Undergrad'!$A$3,"Category",6,"Category2","Four-Year")</t>
  </si>
  <si>
    <t>=+GETPIVOTDATA("Sum of Old-HS % of Total",'Pivot-HS Student % of Undergrad'!$A$3,"Category2","Four-Year")</t>
  </si>
  <si>
    <t>Alabama</t>
  </si>
  <si>
    <t>Arkansas</t>
  </si>
  <si>
    <t>Delaware</t>
  </si>
  <si>
    <t>Florida</t>
  </si>
  <si>
    <t>Georgia</t>
  </si>
  <si>
    <t>Kentucky</t>
  </si>
  <si>
    <t>Louisiana</t>
  </si>
  <si>
    <t>Maryland</t>
  </si>
  <si>
    <t>Mississippi</t>
  </si>
  <si>
    <t>North Carolina</t>
  </si>
  <si>
    <t>Oklahoma</t>
  </si>
  <si>
    <t>South Carolina</t>
  </si>
  <si>
    <t>Tennessee</t>
  </si>
  <si>
    <t>Texas</t>
  </si>
  <si>
    <t>Virginia</t>
  </si>
  <si>
    <t>West Virginia</t>
  </si>
  <si>
    <t>Notes: Full-year full-time-equivalent (FTE) undergraduate enrollment for 2015-16 is estimated by taking the credit hours from calendar year 2015 (i.e. winter, spring, summer and fall terms of 2015) and by dividing total undergraduate semester credit hours by 30 and total undergraduate quarter hours by 45.</t>
  </si>
  <si>
    <t>Table 81</t>
  </si>
  <si>
    <t>Full-Year Full-Time-Equivalent Graduate Enrollment</t>
  </si>
  <si>
    <t>Notes: Full-year full-time-equivalent (FTE) graduate enrollment for 2015-16 is estimated by taking the credit hours from calendar year 2015 (i.e. winter, spring, summer and fall terms of 2015) and by dividing total graduate semester credit hours by 24 and total graduate quarter hours by 36.</t>
  </si>
  <si>
    <t>Table 82</t>
  </si>
  <si>
    <t>Total Full-Year Full-Time-Equivalent Enrollment</t>
  </si>
  <si>
    <t>for use in Highlights and Fact Book</t>
  </si>
  <si>
    <t>Notes: Full-year full-time-equivalent (FTE) enrollment for 2015-16 is estimated by taking the credit hours from calendar year 2015 (i.e. winter, spring, summer and fall terms of 2015), and by dividing total undergraduate semester credit hours by 30; total undergraduate quarter hours by 45; total graduate semester credit hours by 24; and total graduate quarter hours by 36.</t>
  </si>
  <si>
    <t>Table 83</t>
  </si>
  <si>
    <t>Full-Year Full-Time-Equivalent Credit-Hour Enrollment</t>
  </si>
  <si>
    <t>Public Two-Year Colleges and Technical Institutes or Colleges, 2015-16</t>
  </si>
  <si>
    <t>Public Two-Year Colleges and Technical Institutes or Colleges</t>
  </si>
  <si>
    <t xml:space="preserve"> Two-Year</t>
  </si>
  <si>
    <t>Technical Institutes or Colleges</t>
  </si>
  <si>
    <t xml:space="preserve"> </t>
  </si>
  <si>
    <t>With Bachelor's</t>
  </si>
  <si>
    <t>Table 84</t>
  </si>
  <si>
    <t>Full-Year Full-Time-Equivalent Contact-Hour Enrollment</t>
  </si>
  <si>
    <t>Table 85</t>
  </si>
  <si>
    <t>Totals for Per FTE Funding Calculation</t>
  </si>
  <si>
    <t>w/ Bachelors</t>
  </si>
  <si>
    <t>w/ Bachelor's</t>
  </si>
  <si>
    <t>Two Year 1</t>
  </si>
  <si>
    <t>All Two Year</t>
  </si>
  <si>
    <t>Old Percent by H.S. Students</t>
  </si>
  <si>
    <t>Size Unknown</t>
  </si>
  <si>
    <t>=+GETPIVOTDATA("Sum of New-HS % of Total",'Pivot-HS Student % of Undergrad'!$A$3,"Category",7,"Category2","Two-Year")</t>
  </si>
  <si>
    <t>=+GETPIVOTDATA("Sum of New-HS % of Total",'Pivot-HS Student % of Undergrad'!$A$3,"Category",8,"Category2","Two-Year")</t>
  </si>
  <si>
    <t>=+GETPIVOTDATA("Sum of New-HS % of Total",'Pivot-HS Student % of Undergrad'!$A$3,"Category",9,"Category2","Two-Year")</t>
  </si>
  <si>
    <t>=+GETPIVOTDATA("Sum of New-HS % of Total",'Pivot-HS Student % of Undergrad'!$A$3,"Category",10,"Category2","Two-Year")</t>
  </si>
  <si>
    <t>=+GETPIVOTDATA("Sum of New-HS % of Total",'Pivot-HS Student % of Undergrad'!$A$3,"Category2","Group2")</t>
  </si>
  <si>
    <t>=+GETPIVOTDATA("Sum of Old-HS % of Total",'Pivot-HS Student % of Undergrad'!$A$3,"Category",7,"Category2","Two-Year")</t>
  </si>
  <si>
    <t>=+GETPIVOTDATA("Sum of Old-HS % of Total",'Pivot-HS Student % of Undergrad'!$A$3,"Category",8,"Category2","Two-Year")</t>
  </si>
  <si>
    <t>=+GETPIVOTDATA("Sum of Old-HS % of Total",'Pivot-HS Student % of Undergrad'!$A$3,"Category",9,"Category2","Two-Year")</t>
  </si>
  <si>
    <t>=+GETPIVOTDATA("Sum of Old-HS % of Total",'Pivot-HS Student % of Undergrad'!$A$3,"Category",10,"Category2","Two-Year")</t>
  </si>
  <si>
    <t>=+GETPIVOTDATA("Sum of Old-HS % of Total",'Pivot-HS Student % of Undergrad'!$A$3,"Category2","Two-Year")</t>
  </si>
  <si>
    <r>
      <t>Notes:  Full-year full-time-equivalent (FTE) undergraduate enrollment for 2015-16 is estimated by taking the credit hours from calendar year 2015 (i.e. winter, spring, summer and fall terms of 2015) and by dividing total undergraduate semester credit hours by 30; total undergraduate contact hours by 900 (the equivalent of a 30 hour week);</t>
    </r>
    <r>
      <rPr>
        <sz val="8"/>
        <color rgb="FFFF0000"/>
        <rFont val="Arial"/>
        <family val="2"/>
      </rPr>
      <t xml:space="preserve"> </t>
    </r>
    <r>
      <rPr>
        <sz val="8"/>
        <color theme="1"/>
        <rFont val="Arial"/>
        <family val="2"/>
      </rPr>
      <t>and total graduate semester credit hours by 24</t>
    </r>
    <r>
      <rPr>
        <sz val="8"/>
        <rFont val="Arial"/>
        <family val="2"/>
      </rPr>
      <t xml:space="preserve">. </t>
    </r>
  </si>
  <si>
    <t>Table 86</t>
  </si>
  <si>
    <t>Public Technical Institutes or Colleges, 2015-16</t>
  </si>
  <si>
    <t>Technical 1</t>
  </si>
  <si>
    <t>All Technical</t>
  </si>
  <si>
    <t>=+GETPIVOTDATA("Sum of New-HS % of Total",'Pivot-HS Student % of Undergrad'!$A$3,"Category",12,"Category2","Technical")</t>
  </si>
  <si>
    <t>=+GETPIVOTDATA("Sum of New-HS % of Total",'Pivot-HS Student % of Undergrad'!$A$3,"Category",13,"Category2","Technical")</t>
  </si>
  <si>
    <t>=+GETPIVOTDATA("Sum of New-HS % of Total",'Pivot-HS Student % of Undergrad'!$A$3,"Category2","Group3")</t>
  </si>
  <si>
    <t xml:space="preserve">Notes:  Full-year full-time-equivalent (FTE) undergraduate enrollment for 2015-16 is estimated by taking the credit hours from calendar year 2015 (i.e. winter, spring, summer and fall terms of 2015) and by dividing total undergraduate semester credit hours by 30; total undergraduate quarter hours by 45; total undergraduate contact hours by 900 (the equivalent of a 30 hour week); total graduate semester credit hours by 24; and total graduate quarter hours by 36. </t>
  </si>
  <si>
    <r>
      <t>………. "86B"</t>
    </r>
    <r>
      <rPr>
        <b/>
        <sz val="14"/>
        <color rgb="FFC00000"/>
        <rFont val="Arial"/>
        <family val="2"/>
      </rPr>
      <t>Discontinued but still used for summary info and Fact Book</t>
    </r>
    <r>
      <rPr>
        <b/>
        <sz val="14"/>
        <rFont val="Arial"/>
        <family val="2"/>
      </rPr>
      <t>-------see sections to right---------------&gt;&gt;&gt;&gt;&gt;&gt;&gt;&gt;</t>
    </r>
  </si>
  <si>
    <t>Public Four-Year Universities, Two-Year Colleges</t>
  </si>
  <si>
    <t xml:space="preserve"> and Technical Institutes or Colleges, 2015-16</t>
  </si>
  <si>
    <t>For use in FB 37 and DE Highlights</t>
  </si>
  <si>
    <t>Prior year for Highlights report</t>
  </si>
  <si>
    <t>#Change from prior year</t>
  </si>
  <si>
    <t>%Change from prior year</t>
  </si>
  <si>
    <t>TOTAL</t>
  </si>
  <si>
    <t>=+GETPIVOTDATA("Sum of New-Total Undg SCH FTE",'Pivot-HS Student % of Undergrad'!$A$3,"Category",1,"Category2","Four-Year")</t>
  </si>
  <si>
    <t>=+GETPIVOTDATA("Sum of New-Total Undg SCH FTE",'Pivot-HS Student % of Undergrad'!$A$3,"Category",2,"Category2","Four-Year")</t>
  </si>
  <si>
    <t>=+GETPIVOTDATA("Sum of New-Total Undg SCH FTE",'Pivot-HS Student % of Undergrad'!$A$3,"Category",3,"Category2","Four-Year")</t>
  </si>
  <si>
    <t>=+GETPIVOTDATA("Sum of New-Total Undg SCH FTE",'Pivot-HS Student % of Undergrad'!$A$3,"Category",4,"Category2","Four-Year")</t>
  </si>
  <si>
    <t>=+GETPIVOTDATA("Sum of New-Total Undg SCH FTE",'Pivot-HS Student % of Undergrad'!$A$3,"Category",5,"Category2","Four-Year")</t>
  </si>
  <si>
    <t>=+GETPIVOTDATA("Sum of New-Total Undg SCH FTE",'Pivot-HS Student % of Undergrad'!$A$3,"Category",6,"Category2","Four-Year")</t>
  </si>
  <si>
    <t>=+GETPIVOTDATA("Sum of New-Total Undg SCH FTE",'Pivot-HS Student % of Undergrad'!$A$3,"Category2","Group1")</t>
  </si>
  <si>
    <t>—</t>
  </si>
  <si>
    <t>Category2</t>
  </si>
  <si>
    <t>11 Total</t>
  </si>
  <si>
    <t>Data</t>
  </si>
  <si>
    <t>Sum of Old-Total UGH</t>
  </si>
  <si>
    <t>Sum of Old-Total HSH</t>
  </si>
  <si>
    <t>Sum of Old-HS % of Total</t>
  </si>
  <si>
    <t>Sum of New-Total UGH</t>
  </si>
  <si>
    <t>Sum of New-Total HSH</t>
  </si>
  <si>
    <t>Sum of New-HS % of Total</t>
  </si>
  <si>
    <t xml:space="preserve"> HS Percentage-point Change</t>
  </si>
  <si>
    <t>Total Sum of Old-Total UGH</t>
  </si>
  <si>
    <t>Total Sum of Old-Total HSH</t>
  </si>
  <si>
    <t>Total Sum of Old-HS % of Total</t>
  </si>
  <si>
    <t>Total Sum of New-Total UGH</t>
  </si>
  <si>
    <t>Total Sum of New-Total HSH</t>
  </si>
  <si>
    <t>Total Sum of New-HS % of Total</t>
  </si>
  <si>
    <t>Total  HS Percentage-point Change</t>
  </si>
  <si>
    <t>Do not use regional figures until all states participate in the H.S. hour survey.</t>
  </si>
  <si>
    <t>March 2018</t>
  </si>
  <si>
    <t>Public Four-Year Institutions, 2016-17</t>
  </si>
  <si>
    <t>Public Two-Year Colleges and Technical Institutes or Colleges, 2016-17</t>
  </si>
  <si>
    <t>Public Two-Year Colleges, 2016-17</t>
  </si>
  <si>
    <t>Met the criteria for Four-Year 1 in 2016-17.</t>
  </si>
  <si>
    <t>Met the criteria for Four-Year 2 in 2016-17.</t>
  </si>
  <si>
    <t>Met the criteria for Four-Year 3 in 2016-17.</t>
  </si>
  <si>
    <t>Reclassified: Met the criteria for Four-Year 3 in 2014-15 and 2015-16 and 2016-17.</t>
  </si>
  <si>
    <t>Reclassified: Met the criteria for Two-Year 3 in 2014-15, 2015-16, and 2016-17.</t>
  </si>
  <si>
    <t>Met the criteria for Two-Year 3 in 2015-16 and 2016-17.</t>
  </si>
  <si>
    <t>Met the criteria for Two-Year 2 in 2015-16 and 2016-17.</t>
  </si>
  <si>
    <t>Met the criteria for Four-Year 5 in 2016-17.</t>
  </si>
  <si>
    <t xml:space="preserve">Met the criteria for Two-Year 2 in 2015-16 and 2016-17. </t>
  </si>
  <si>
    <t xml:space="preserve">Met the criteria for Two-Year 2 in 2016-17. </t>
  </si>
  <si>
    <t xml:space="preserve">Met the criteria for Two-Year 3 in 2015-16 and 2016-17. </t>
  </si>
  <si>
    <t>Met the criteria for Two-Year 1 in 2015-16. Now meeting criteria for Technical Instituition or College 1 in 2016-17</t>
  </si>
  <si>
    <t xml:space="preserve">Met the criteria for Two-Year with Bachelor's in 2015-16 and 2016-17. </t>
  </si>
  <si>
    <t>Reclassified: Met the criteria for Two-Year with Bachelor's in 2014-15, 2015-16, and 2016-17.</t>
  </si>
  <si>
    <t>Met the criteria for Two-Year with Bachelor's in 2015-16 and 2016-17.</t>
  </si>
  <si>
    <t xml:space="preserve">Met the criteria for Two-Year with Bachelor's in 2016-17. </t>
  </si>
  <si>
    <t>Met the criteria for Four-Year 2 in 2015-16 and 2016-17.</t>
  </si>
  <si>
    <t>Met the criteria for Four-Year 4 in 2015-16 and 2016-17.</t>
  </si>
  <si>
    <t xml:space="preserve">Reclassified: Met the criteria for Four-Year 6 in 2014-15, 2015-16, and 2016-17. </t>
  </si>
  <si>
    <t xml:space="preserve">Reclassified: Met the criteria for Two-Year with Bachelor's in 2014-15 and 2015-16 and 2016-17. </t>
  </si>
  <si>
    <t>Reclassified: Met the criteria for Two-Year 3 in 2014-15 and 2015-16 and 2016-17.</t>
  </si>
  <si>
    <t>Met the criteria for Four-Year 3 in 2015-16 and 2016-17.</t>
  </si>
  <si>
    <t>Met the criteria for Two-Year 3 in 2016-17.</t>
  </si>
  <si>
    <t>Met the criteria for Four-Year 1 in 2015-16 and 2016-17.</t>
  </si>
  <si>
    <t>Met the criteria for Two-Year 1 in 2015-16 and 2016-17.</t>
  </si>
  <si>
    <t>Met the criteria for Two-Year 2 in 2016-17.</t>
  </si>
  <si>
    <t>Met the criteria for Four-Year 2 in  2016-17.</t>
  </si>
  <si>
    <t>Met the criteria for Technical Institute or College 2 in 2015-16 and 2016-17.</t>
  </si>
  <si>
    <t>Met the criteria for Four-Year 4 in 2016-17.</t>
  </si>
  <si>
    <t>Reclassified: Met the criteria for Two-Year 2 in 2014-15, 2015-16, and 2016-17.</t>
  </si>
  <si>
    <t>Reclassified: Met the criteria for Four-Year 1 in 2014-15, 2015-16, and 2016-17.</t>
  </si>
  <si>
    <t>Reclassified: Met the criteria for Four-Year 2 in 2014-15, 2015-16, and 2016-17.</t>
  </si>
  <si>
    <t>Reclassified: Met the criteria for Four-Year 5 in 2014-15, 2015-16, and 2016-17.</t>
  </si>
  <si>
    <t>Met the criteria for Two-Year 1 in 2016-17.</t>
  </si>
  <si>
    <t xml:space="preserve">Met the criteria for Two-Year 3 in 2016-17. </t>
  </si>
  <si>
    <t>RECLASSIFIED</t>
  </si>
  <si>
    <t>"8" minus "8b"</t>
  </si>
  <si>
    <t>"9" minus "9b"</t>
  </si>
  <si>
    <t>10 minus 10b</t>
  </si>
  <si>
    <t>OLD for funding</t>
  </si>
  <si>
    <t>New for funding</t>
  </si>
  <si>
    <t>=+GETPIVOTDATA("Sum of New-HS % of Total",'Pivot-HS Student % of Undergrad'!$A$3,"Category",1,"Category2","Four-Year")</t>
  </si>
  <si>
    <t>=+GETPIVOTDATA("Sum of New-HS % of Total",'Pivot-HS Student % of Undergrad'!$A$3,"Category",2,"Category2","Four-Year")</t>
  </si>
  <si>
    <t>=+GETPIVOTDATA("Sum of New-HS % of Total",'Pivot-HS Student % of Undergrad'!$A$3,"Category",3,"Category2","Four-Year")</t>
  </si>
  <si>
    <t>=+GETPIVOTDATA("Sum of New-HS % of Total",'Pivot-HS Student % of Undergrad'!$A$3,"Category",4,"Category2","Four-Year")</t>
  </si>
  <si>
    <t>=+GETPIVOTDATA("Sum of New-HS % of Total",'Pivot-HS Student % of Undergrad'!$A$3,"Category",5,"Category2","Four-Year")</t>
  </si>
  <si>
    <t>=+GETPIVOTDATA("Sum of New-HS % of Total",'Pivot-HS Student % of Undergrad'!$A$3,"Category",6,"Category2","Four-Year")</t>
  </si>
  <si>
    <t>=+GETPIVOTDATA("Sum of New-HS % of Total",'Pivot-HS Student % of Undergrad'!$A$3,"Category2","Group1")</t>
  </si>
  <si>
    <t>Notes: Full-year full-time-equivalent (FTE) undergraduate enrollment for 2014-15 is estimated by taking the credit hours from calendar year 2014 (i.e. winter, spring, summer and fall terms of 2014) and by dividing total undergraduate semester credit hours by 30 and total undergraduate quarter hours by 45.</t>
  </si>
  <si>
    <t>Notes: Full-year full-time-equivalent (FTE) undergraduate enrollment for 2014-15 is estimated by taking the credit hours from calendar year 2014 (i.e. winter, spring, summer and fall terms of 2014) and by dividing total graduate semester credit hours by 24 and total graduate quarter hours by 36.</t>
  </si>
  <si>
    <t>Notes: Full-year full-time-equivalent (FTE) undergraduate enrollment for 2014-15 is estimated by taking the credit hours from calendar year 2014 (i.e. winter, spring, summer and fall terms of 2014) and by dividing total undergraduate semester credit hours by 30; total undergraduate quarter hours by 45; total graduate semester hours by 24; and total graduate quarter hours by 36.</t>
  </si>
  <si>
    <t xml:space="preserve">Notes:  Full-year full-time-equivalent (FTE) undergraduate enrollment for 2014-15 is estimated by taking the credit hours from calendar year 2014 (i.e. winter, spring, summer and fall terms of 2014) and by dividing total undergraduate semester credit hours by 30; total undergraduate quarter hours by 45; total undergraduate contact hours by 900 (the equivalent of a 30 hour week); total graduate semester credit hours by 24; and total graduate quarter hours by 36. </t>
  </si>
  <si>
    <t>=+GETPIVOTDATA("Sum of Old-HS % of Total",'Pivot-HS Student % of Undergrad'!$A$3,"Category",12,"Category2","Technical")</t>
  </si>
  <si>
    <t>=+GETPIVOTDATA("Sum of Old-HS % of Total",'Pivot-HS Student % of Undergrad'!$A$3,"Category",13,"Category2","Technical")</t>
  </si>
  <si>
    <t>=+GETPIVOTDATA("Sum of Old-HS % of Total",'Pivot-HS Student % of Undergrad'!$A$3,"Category2","Group3")</t>
  </si>
  <si>
    <r>
      <t>……….</t>
    </r>
    <r>
      <rPr>
        <b/>
        <sz val="14"/>
        <color rgb="FFC00000"/>
        <rFont val="Arial"/>
        <family val="2"/>
      </rPr>
      <t>Discontinued but still used for summary info and Fact Book</t>
    </r>
    <r>
      <rPr>
        <b/>
        <sz val="14"/>
        <rFont val="Arial"/>
        <family val="2"/>
      </rPr>
      <t>-----</t>
    </r>
  </si>
  <si>
    <t>Public Four-Year Institutions, 2015-16</t>
  </si>
  <si>
    <t>Public Two-Year Colleges, 2015-16</t>
  </si>
  <si>
    <t>Public Technical Institutes or Colleges, 2016-17</t>
  </si>
  <si>
    <t xml:space="preserve"> and Technical Institutes or Colleges, 2016-17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</si>
</sst>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3" formatCode="_(* #,##0.00_);_(* \(#,##0.00\);_(* &quot;-&quot;??_);_(@_)"/>
    <numFmt numFmtId="164" formatCode="0_)"/>
    <numFmt numFmtId="165" formatCode="_(* #,##0_);_(* \(#,##0\);_(* &quot;-&quot;??_);_(@_)"/>
    <numFmt numFmtId="166" formatCode="General_)"/>
    <numFmt numFmtId="167" formatCode="###,###,###,###,##0"/>
    <numFmt numFmtId="168" formatCode="#,##0;#,##0"/>
    <numFmt numFmtId="169" formatCode="#,##0.0;#,##0.0"/>
    <numFmt numFmtId="170" formatCode="###0;###0"/>
    <numFmt numFmtId="171" formatCode="#,##0.0"/>
    <numFmt numFmtId="172" formatCode="0.0%"/>
    <numFmt numFmtId="173" formatCode="0.000"/>
    <numFmt numFmtId="174" formatCode="0.0"/>
    <numFmt numFmtId="175" formatCode="#,##0.000"/>
  </numFmts>
  <fonts count="102">
    <font>
      <sz val="8"/>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AGaramond"/>
      <family val="3"/>
    </font>
    <font>
      <sz val="12"/>
      <name val="AGaramond"/>
      <family val="1"/>
    </font>
    <font>
      <sz val="8"/>
      <name val="Arial"/>
      <family val="2"/>
    </font>
    <font>
      <sz val="10"/>
      <name val="Arial"/>
      <family val="2"/>
    </font>
    <font>
      <sz val="12"/>
      <name val="Arial"/>
      <family val="2"/>
    </font>
    <font>
      <b/>
      <sz val="14"/>
      <name val="Arial"/>
      <family val="2"/>
    </font>
    <font>
      <b/>
      <sz val="10"/>
      <name val="Arial"/>
      <family val="2"/>
    </font>
    <font>
      <sz val="10"/>
      <color indexed="8"/>
      <name val="Arial"/>
      <family val="2"/>
    </font>
    <font>
      <b/>
      <sz val="10"/>
      <color indexed="12"/>
      <name val="Arial"/>
      <family val="2"/>
    </font>
    <font>
      <sz val="10"/>
      <name val="Helv"/>
    </font>
    <font>
      <b/>
      <sz val="10"/>
      <color rgb="FFC00000"/>
      <name val="ARIAL"/>
      <family val="2"/>
    </font>
    <font>
      <sz val="10"/>
      <color rgb="FF0000FF"/>
      <name val="Arial"/>
      <family val="2"/>
    </font>
    <font>
      <b/>
      <sz val="10"/>
      <color theme="0"/>
      <name val="Arial"/>
      <family val="2"/>
    </font>
    <font>
      <b/>
      <sz val="10"/>
      <color rgb="FF0000FF"/>
      <name val="Arial"/>
      <family val="2"/>
    </font>
    <font>
      <b/>
      <sz val="12"/>
      <color rgb="FF0000FF"/>
      <name val="Arial"/>
      <family val="2"/>
    </font>
    <font>
      <b/>
      <sz val="14"/>
      <color theme="0"/>
      <name val="Arial"/>
      <family val="2"/>
    </font>
    <font>
      <sz val="10"/>
      <color theme="1"/>
      <name val="Arial"/>
      <family val="2"/>
    </font>
    <font>
      <sz val="11"/>
      <color indexed="8"/>
      <name val="Calibri"/>
      <family val="2"/>
    </font>
    <font>
      <sz val="10"/>
      <name val="Courier"/>
      <family val="3"/>
    </font>
    <font>
      <sz val="12"/>
      <name val="AGaramond"/>
      <family val="1"/>
    </font>
    <font>
      <sz val="10"/>
      <color rgb="FF000000"/>
      <name val="Times New Roman"/>
      <family val="1"/>
    </font>
    <font>
      <sz val="10"/>
      <color rgb="FF000000"/>
      <name val="Times New Roman"/>
      <family val="1"/>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2"/>
      <name val="AGaramond"/>
    </font>
    <font>
      <sz val="10"/>
      <name val="Arial"/>
      <family val="2"/>
    </font>
    <font>
      <sz val="11"/>
      <name val="Calibri"/>
      <family val="2"/>
    </font>
    <font>
      <sz val="10"/>
      <color rgb="FFFFFFFF"/>
      <name val="Arial"/>
      <family val="2"/>
    </font>
    <font>
      <sz val="10"/>
      <color rgb="FF9C0000"/>
      <name val="Arial"/>
      <family val="2"/>
    </font>
    <font>
      <b/>
      <sz val="10"/>
      <color rgb="FF000000"/>
      <name val="Arial"/>
      <family val="2"/>
    </font>
    <font>
      <sz val="10"/>
      <color rgb="FF000000"/>
      <name val="Arial"/>
      <family val="2"/>
    </font>
    <font>
      <b/>
      <sz val="10"/>
      <color rgb="FF000000"/>
      <name val="Tahoma"/>
      <family val="2"/>
    </font>
    <font>
      <sz val="10"/>
      <color rgb="FF000000"/>
      <name val="Tahoma"/>
      <family val="2"/>
    </font>
    <font>
      <sz val="8"/>
      <color rgb="FF000000"/>
      <name val="Tahoma"/>
      <family val="2"/>
    </font>
    <font>
      <sz val="10"/>
      <color indexed="12"/>
      <name val="Arial"/>
      <family val="2"/>
    </font>
    <font>
      <b/>
      <sz val="10"/>
      <color rgb="FFFF0000"/>
      <name val="Arial"/>
      <family val="2"/>
    </font>
    <font>
      <sz val="8"/>
      <color indexed="12"/>
      <name val="Arial"/>
      <family val="2"/>
    </font>
    <font>
      <sz val="8"/>
      <color rgb="FFFFFFFF"/>
      <name val="Arial"/>
      <family val="2"/>
    </font>
    <font>
      <sz val="8"/>
      <color rgb="FF9C0000"/>
      <name val="Arial"/>
      <family val="2"/>
    </font>
    <font>
      <sz val="11"/>
      <color rgb="FF9C0000"/>
      <name val="Calibri"/>
      <family val="2"/>
    </font>
    <font>
      <b/>
      <sz val="9"/>
      <color rgb="FF000000"/>
      <name val="Tahoma"/>
      <family val="2"/>
    </font>
    <font>
      <sz val="9"/>
      <color rgb="FF000000"/>
      <name val="Tahoma"/>
      <family val="2"/>
    </font>
    <font>
      <b/>
      <sz val="8"/>
      <color rgb="FF000000"/>
      <name val="Tahoma"/>
      <family val="2"/>
    </font>
    <font>
      <sz val="10"/>
      <color rgb="FFFF0000"/>
      <name val="Arial"/>
      <family val="2"/>
    </font>
    <font>
      <b/>
      <sz val="10"/>
      <color indexed="8"/>
      <name val="Arial"/>
      <family val="2"/>
    </font>
    <font>
      <sz val="10"/>
      <name val="Calibri"/>
      <family val="2"/>
    </font>
    <font>
      <sz val="8"/>
      <color theme="1"/>
      <name val="Arial"/>
      <family val="2"/>
    </font>
    <font>
      <sz val="14"/>
      <name val="Arial"/>
      <family val="2"/>
    </font>
    <font>
      <b/>
      <sz val="12"/>
      <name val="Arial"/>
      <family val="2"/>
    </font>
    <font>
      <sz val="10"/>
      <color indexed="16"/>
      <name val="Arial"/>
      <family val="2"/>
    </font>
    <font>
      <sz val="10"/>
      <color indexed="10"/>
      <name val="Arial"/>
      <family val="2"/>
    </font>
    <font>
      <b/>
      <sz val="9"/>
      <name val="Arial"/>
      <family val="2"/>
    </font>
    <font>
      <sz val="9"/>
      <name val="Arial"/>
      <family val="2"/>
    </font>
    <font>
      <sz val="10"/>
      <color indexed="17"/>
      <name val="Arial"/>
      <family val="2"/>
    </font>
    <font>
      <sz val="10"/>
      <color theme="0"/>
      <name val="Arial"/>
      <family val="2"/>
    </font>
    <font>
      <sz val="10"/>
      <color rgb="FFFFFF00"/>
      <name val="Arial"/>
      <family val="2"/>
    </font>
    <font>
      <b/>
      <sz val="9"/>
      <color indexed="12"/>
      <name val="Arial"/>
      <family val="2"/>
    </font>
    <font>
      <sz val="9"/>
      <color indexed="12"/>
      <name val="Arial"/>
      <family val="2"/>
    </font>
    <font>
      <sz val="10"/>
      <color rgb="FFC00000"/>
      <name val="Arial"/>
      <family val="2"/>
    </font>
    <font>
      <sz val="8"/>
      <color rgb="FFFF0000"/>
      <name val="Arial"/>
      <family val="2"/>
    </font>
    <font>
      <b/>
      <sz val="14"/>
      <color rgb="FFC00000"/>
      <name val="Arial"/>
      <family val="2"/>
    </font>
    <font>
      <b/>
      <sz val="10"/>
      <color indexed="81"/>
      <name val="Tahoma"/>
      <family val="2"/>
    </font>
    <font>
      <sz val="10"/>
      <color indexed="81"/>
      <name val="Tahoma"/>
      <family val="2"/>
    </font>
    <font>
      <b/>
      <sz val="8"/>
      <color indexed="81"/>
      <name val="Tahoma"/>
      <family val="2"/>
    </font>
    <font>
      <sz val="8"/>
      <color indexed="81"/>
      <name val="Tahoma"/>
      <family val="2"/>
    </font>
    <font>
      <b/>
      <sz val="11"/>
      <color theme="1"/>
      <name val="Calibri"/>
      <family val="2"/>
      <scheme val="minor"/>
    </font>
    <font>
      <b/>
      <sz val="11"/>
      <color rgb="FFC00000"/>
      <name val="Calibri"/>
      <family val="2"/>
      <scheme val="minor"/>
    </font>
  </fonts>
  <fills count="70">
    <fill>
      <patternFill patternType="none"/>
    </fill>
    <fill>
      <patternFill patternType="gray125"/>
    </fill>
    <fill>
      <patternFill patternType="solid">
        <fgColor indexed="13"/>
        <bgColor indexed="64"/>
      </patternFill>
    </fill>
    <fill>
      <patternFill patternType="solid">
        <fgColor theme="0" tint="-0.14999847407452621"/>
        <bgColor indexed="64"/>
      </patternFill>
    </fill>
    <fill>
      <patternFill patternType="solid">
        <fgColor theme="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rgb="FFB2A1C7"/>
        <bgColor indexed="64"/>
      </patternFill>
    </fill>
    <fill>
      <patternFill patternType="solid">
        <fgColor theme="0"/>
        <bgColor indexed="64"/>
      </patternFill>
    </fill>
    <fill>
      <patternFill patternType="solid">
        <fgColor rgb="FFC00000"/>
        <bgColor indexed="64"/>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99CC"/>
        <bgColor indexed="64"/>
      </patternFill>
    </fill>
    <fill>
      <patternFill patternType="solid">
        <fgColor rgb="FFFFFFFF"/>
        <bgColor rgb="FFFFFFFF"/>
      </patternFill>
    </fill>
    <fill>
      <patternFill patternType="solid">
        <fgColor rgb="FFFF0000"/>
        <bgColor rgb="FFFF0000"/>
      </patternFill>
    </fill>
    <fill>
      <patternFill patternType="solid">
        <fgColor rgb="FFFFC8C8"/>
        <bgColor rgb="FFFFC8C8"/>
      </patternFill>
    </fill>
    <fill>
      <patternFill patternType="solid">
        <fgColor indexed="47"/>
        <bgColor indexed="64"/>
      </patternFill>
    </fill>
    <fill>
      <patternFill patternType="solid">
        <fgColor indexed="47"/>
        <bgColor indexed="42"/>
      </patternFill>
    </fill>
    <fill>
      <patternFill patternType="solid">
        <fgColor rgb="FFFFCC99"/>
        <bgColor rgb="FFFFCC99"/>
      </patternFill>
    </fill>
    <fill>
      <patternFill patternType="solid">
        <fgColor indexed="42"/>
        <bgColor indexed="64"/>
      </patternFill>
    </fill>
    <fill>
      <patternFill patternType="solid">
        <fgColor rgb="FFFFFF00"/>
        <bgColor indexed="64"/>
      </patternFill>
    </fill>
    <fill>
      <patternFill patternType="solid">
        <fgColor indexed="15"/>
        <bgColor indexed="64"/>
      </patternFill>
    </fill>
    <fill>
      <patternFill patternType="solid">
        <fgColor rgb="FFFFFFFF"/>
        <bgColor indexed="64"/>
      </patternFill>
    </fill>
    <fill>
      <patternFill patternType="solid">
        <fgColor rgb="FF00ABEA"/>
        <bgColor rgb="FF00ABEA"/>
      </patternFill>
    </fill>
    <fill>
      <patternFill patternType="solid">
        <fgColor indexed="44"/>
        <bgColor indexed="42"/>
      </patternFill>
    </fill>
    <fill>
      <patternFill patternType="solid">
        <fgColor rgb="FFFF99CC"/>
        <bgColor rgb="FFFF99CC"/>
      </patternFill>
    </fill>
    <fill>
      <patternFill patternType="solid">
        <fgColor rgb="FF00FFFF"/>
        <bgColor indexed="64"/>
      </patternFill>
    </fill>
    <fill>
      <patternFill patternType="solid">
        <fgColor indexed="15"/>
        <bgColor indexed="42"/>
      </patternFill>
    </fill>
    <fill>
      <patternFill patternType="solid">
        <fgColor indexed="45"/>
        <bgColor indexed="42"/>
      </patternFill>
    </fill>
    <fill>
      <patternFill patternType="solid">
        <fgColor rgb="FFCC99FF"/>
        <bgColor rgb="FFCC99FF"/>
      </patternFill>
    </fill>
    <fill>
      <patternFill patternType="solid">
        <fgColor rgb="FFFFCC00"/>
        <bgColor indexed="64"/>
      </patternFill>
    </fill>
    <fill>
      <patternFill patternType="solid">
        <fgColor indexed="43"/>
        <bgColor indexed="42"/>
      </patternFill>
    </fill>
    <fill>
      <patternFill patternType="solid">
        <fgColor rgb="FFCCFFCC"/>
        <bgColor rgb="FFCCFFCC"/>
      </patternFill>
    </fill>
    <fill>
      <patternFill patternType="solid">
        <fgColor indexed="42"/>
        <bgColor indexed="42"/>
      </patternFill>
    </fill>
    <fill>
      <patternFill patternType="solid">
        <fgColor indexed="50"/>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rgb="FF92D050"/>
        <bgColor indexed="64"/>
      </patternFill>
    </fill>
    <fill>
      <patternFill patternType="solid">
        <fgColor theme="5" tint="0.59999389629810485"/>
        <bgColor indexed="64"/>
      </patternFill>
    </fill>
    <fill>
      <patternFill patternType="solid">
        <fgColor rgb="FFFFC000"/>
        <bgColor indexed="64"/>
      </patternFill>
    </fill>
    <fill>
      <patternFill patternType="solid">
        <fgColor theme="0" tint="-0.249977111117893"/>
        <bgColor indexed="64"/>
      </patternFill>
    </fill>
    <fill>
      <patternFill patternType="solid">
        <fgColor rgb="FFCCFFCC"/>
        <bgColor indexed="64"/>
      </patternFill>
    </fill>
    <fill>
      <patternFill patternType="solid">
        <fgColor rgb="FFFFCC99"/>
        <bgColor indexed="64"/>
      </patternFill>
    </fill>
    <fill>
      <patternFill patternType="solid">
        <fgColor rgb="FFFFFF99"/>
        <bgColor indexed="64"/>
      </patternFill>
    </fill>
    <fill>
      <patternFill patternType="solid">
        <fgColor rgb="FF99CCFF"/>
        <bgColor indexed="64"/>
      </patternFill>
    </fill>
    <fill>
      <patternFill patternType="solid">
        <fgColor rgb="FFCC99FF"/>
        <bgColor indexed="64"/>
      </patternFill>
    </fill>
    <fill>
      <patternFill patternType="solid">
        <fgColor rgb="FF00FFFF"/>
        <bgColor indexed="42"/>
      </patternFill>
    </fill>
    <fill>
      <patternFill patternType="solid">
        <fgColor rgb="FFFFFFCC"/>
        <bgColor indexed="64"/>
      </patternFill>
    </fill>
  </fills>
  <borders count="94">
    <border>
      <left/>
      <right/>
      <top/>
      <bottom/>
      <diagonal/>
    </border>
    <border>
      <left style="medium">
        <color auto="1"/>
      </left>
      <right style="medium">
        <color auto="1"/>
      </right>
      <top/>
      <bottom/>
      <diagonal/>
    </border>
    <border>
      <left style="thin">
        <color indexed="8"/>
      </left>
      <right/>
      <top style="thin">
        <color indexed="65"/>
      </top>
      <bottom/>
      <diagonal/>
    </border>
    <border>
      <left/>
      <right style="thin">
        <color auto="1"/>
      </right>
      <top/>
      <bottom style="thin">
        <color auto="1"/>
      </bottom>
      <diagonal/>
    </border>
    <border>
      <left/>
      <right/>
      <top style="thin">
        <color auto="1"/>
      </top>
      <bottom style="thin">
        <color auto="1"/>
      </bottom>
      <diagonal/>
    </border>
    <border>
      <left style="thin">
        <color auto="1"/>
      </left>
      <right/>
      <top/>
      <bottom/>
      <diagonal/>
    </border>
    <border>
      <left style="thin">
        <color auto="1"/>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double">
        <color auto="1"/>
      </left>
      <right/>
      <top style="thin">
        <color auto="1"/>
      </top>
      <bottom style="thin">
        <color auto="1"/>
      </bottom>
      <diagonal/>
    </border>
    <border>
      <left style="double">
        <color auto="1"/>
      </left>
      <right/>
      <top/>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medium">
        <color auto="1"/>
      </left>
      <right style="thin">
        <color auto="1"/>
      </right>
      <top/>
      <bottom style="double">
        <color auto="1"/>
      </bottom>
      <diagonal/>
    </border>
    <border>
      <left style="thin">
        <color auto="1"/>
      </left>
      <right style="thin">
        <color auto="1"/>
      </right>
      <top/>
      <bottom style="double">
        <color auto="1"/>
      </bottom>
      <diagonal/>
    </border>
    <border>
      <left style="thin">
        <color auto="1"/>
      </left>
      <right/>
      <top/>
      <bottom style="double">
        <color auto="1"/>
      </bottom>
      <diagonal/>
    </border>
    <border>
      <left/>
      <right style="medium">
        <color auto="1"/>
      </right>
      <top/>
      <bottom style="double">
        <color auto="1"/>
      </bottom>
      <diagonal/>
    </border>
    <border>
      <left style="double">
        <color auto="1"/>
      </left>
      <right style="thin">
        <color auto="1"/>
      </right>
      <top/>
      <bottom style="double">
        <color auto="1"/>
      </bottom>
      <diagonal/>
    </border>
    <border>
      <left style="thin">
        <color auto="1"/>
      </left>
      <right style="double">
        <color auto="1"/>
      </right>
      <top/>
      <bottom style="double">
        <color auto="1"/>
      </bottom>
      <diagonal/>
    </border>
    <border>
      <left style="medium">
        <color auto="1"/>
      </left>
      <right style="thin">
        <color auto="1"/>
      </right>
      <top/>
      <bottom/>
      <diagonal/>
    </border>
    <border>
      <left/>
      <right style="medium">
        <color auto="1"/>
      </right>
      <top/>
      <bottom/>
      <diagonal/>
    </border>
    <border>
      <left style="double">
        <color auto="1"/>
      </left>
      <right style="thin">
        <color auto="1"/>
      </right>
      <top/>
      <bottom/>
      <diagonal/>
    </border>
    <border>
      <left style="thin">
        <color auto="1"/>
      </left>
      <right style="double">
        <color auto="1"/>
      </right>
      <top/>
      <bottom/>
      <diagonal/>
    </border>
    <border>
      <left/>
      <right/>
      <top style="thin">
        <color auto="1"/>
      </top>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diagonal/>
    </border>
    <border>
      <left/>
      <right style="thin">
        <color auto="1"/>
      </right>
      <top style="thin">
        <color auto="1"/>
      </top>
      <bottom/>
      <diagonal/>
    </border>
    <border>
      <left style="medium">
        <color auto="1"/>
      </left>
      <right/>
      <top/>
      <bottom/>
      <diagonal/>
    </border>
    <border>
      <left style="thin">
        <color rgb="FF999999"/>
      </left>
      <right style="thin">
        <color rgb="FF999999"/>
      </right>
      <top style="thin">
        <color rgb="FF999999"/>
      </top>
      <bottom style="thin">
        <color rgb="FF999999"/>
      </bottom>
      <diagonal/>
    </border>
    <border>
      <left style="thin">
        <color rgb="FFE1E1E1"/>
      </left>
      <right style="thin">
        <color rgb="FFE1E1E1"/>
      </right>
      <top style="thin">
        <color rgb="FFE1E1E1"/>
      </top>
      <bottom style="thin">
        <color rgb="FFE1E1E1"/>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indexed="65"/>
      </left>
      <right/>
      <top style="thin">
        <color indexed="65"/>
      </top>
      <bottom/>
      <diagonal/>
    </border>
    <border>
      <left/>
      <right/>
      <top/>
      <bottom style="thin">
        <color indexed="8"/>
      </bottom>
      <diagonal/>
    </border>
    <border>
      <left style="thin">
        <color indexed="65"/>
      </left>
      <right/>
      <top style="thin">
        <color indexed="8"/>
      </top>
      <bottom/>
      <diagonal/>
    </border>
    <border>
      <left style="thin">
        <color indexed="64"/>
      </left>
      <right/>
      <top style="thin">
        <color indexed="8"/>
      </top>
      <bottom/>
      <diagonal/>
    </border>
    <border>
      <left style="thin">
        <color indexed="65"/>
      </left>
      <right style="thin">
        <color indexed="8"/>
      </right>
      <top style="thin">
        <color indexed="8"/>
      </top>
      <bottom/>
      <diagonal/>
    </border>
    <border>
      <left/>
      <right/>
      <top style="thin">
        <color indexed="8"/>
      </top>
      <bottom/>
      <diagonal/>
    </border>
    <border>
      <left style="thin">
        <color indexed="8"/>
      </left>
      <right/>
      <top style="thin">
        <color indexed="8"/>
      </top>
      <bottom/>
      <diagonal/>
    </border>
    <border>
      <left style="thin">
        <color indexed="8"/>
      </left>
      <right style="thin">
        <color indexed="8"/>
      </right>
      <top style="thin">
        <color indexed="8"/>
      </top>
      <bottom/>
      <diagonal/>
    </border>
    <border>
      <left style="thin">
        <color rgb="FF999999"/>
      </left>
      <right style="thin">
        <color rgb="FF999999"/>
      </right>
      <top style="thin">
        <color rgb="FF999999"/>
      </top>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style="thin">
        <color indexed="8"/>
      </left>
      <right/>
      <top style="thin">
        <color indexed="65"/>
      </top>
      <bottom style="thin">
        <color indexed="64"/>
      </bottom>
      <diagonal/>
    </border>
    <border>
      <left style="thin">
        <color indexed="8"/>
      </left>
      <right style="thin">
        <color indexed="8"/>
      </right>
      <top style="thin">
        <color indexed="65"/>
      </top>
      <bottom/>
      <diagonal/>
    </border>
    <border>
      <left style="thin">
        <color rgb="FF999999"/>
      </left>
      <right style="thin">
        <color rgb="FF999999"/>
      </right>
      <top style="thin">
        <color indexed="65"/>
      </top>
      <bottom/>
      <diagonal/>
    </border>
    <border>
      <left style="thin">
        <color indexed="8"/>
      </left>
      <right style="thin">
        <color indexed="64"/>
      </right>
      <top style="thin">
        <color indexed="8"/>
      </top>
      <bottom/>
      <diagonal/>
    </border>
    <border>
      <left style="thin">
        <color indexed="8"/>
      </left>
      <right style="thin">
        <color indexed="8"/>
      </right>
      <top/>
      <bottom/>
      <diagonal/>
    </border>
    <border>
      <left style="thin">
        <color indexed="8"/>
      </left>
      <right/>
      <top/>
      <bottom/>
      <diagonal/>
    </border>
    <border>
      <left style="thin">
        <color indexed="8"/>
      </left>
      <right style="thin">
        <color indexed="64"/>
      </right>
      <top/>
      <bottom/>
      <diagonal/>
    </border>
    <border>
      <left style="thin">
        <color rgb="FF999999"/>
      </left>
      <right/>
      <top/>
      <bottom/>
      <diagonal/>
    </border>
    <border>
      <left style="thin">
        <color rgb="FF999999"/>
      </left>
      <right style="thin">
        <color rgb="FF999999"/>
      </right>
      <top/>
      <bottom/>
      <diagonal/>
    </border>
    <border>
      <left style="thin">
        <color indexed="64"/>
      </left>
      <right/>
      <top/>
      <bottom/>
      <diagonal/>
    </border>
    <border>
      <left style="thin">
        <color indexed="8"/>
      </left>
      <right style="thin">
        <color indexed="8"/>
      </right>
      <top/>
      <bottom style="thin">
        <color indexed="64"/>
      </bottom>
      <diagonal/>
    </border>
    <border>
      <left style="thin">
        <color rgb="FF999999"/>
      </left>
      <right/>
      <top style="thin">
        <color rgb="FF999999"/>
      </top>
      <bottom style="thin">
        <color indexed="64"/>
      </bottom>
      <diagonal/>
    </border>
    <border>
      <left style="thin">
        <color rgb="FF999999"/>
      </left>
      <right style="thin">
        <color rgb="FF999999"/>
      </right>
      <top style="thin">
        <color rgb="FF999999"/>
      </top>
      <bottom style="thin">
        <color indexed="64"/>
      </bottom>
      <diagonal/>
    </border>
    <border>
      <left/>
      <right/>
      <top style="thin">
        <color indexed="64"/>
      </top>
      <bottom/>
      <diagonal/>
    </border>
    <border>
      <left style="thin">
        <color indexed="8"/>
      </left>
      <right/>
      <top/>
      <bottom style="thin">
        <color indexed="64"/>
      </bottom>
      <diagonal/>
    </border>
    <border>
      <left style="thin">
        <color indexed="8"/>
      </left>
      <right/>
      <top style="thin">
        <color indexed="64"/>
      </top>
      <bottom/>
      <diagonal/>
    </border>
    <border>
      <left style="thin">
        <color indexed="8"/>
      </left>
      <right style="thin">
        <color indexed="8"/>
      </right>
      <top style="thin">
        <color indexed="64"/>
      </top>
      <bottom/>
      <diagonal/>
    </border>
    <border>
      <left/>
      <right/>
      <top style="thin">
        <color indexed="8"/>
      </top>
      <bottom style="thin">
        <color indexed="8"/>
      </bottom>
      <diagonal/>
    </border>
    <border>
      <left style="thin">
        <color indexed="64"/>
      </left>
      <right/>
      <top style="thin">
        <color indexed="8"/>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8"/>
      </right>
      <top/>
      <bottom style="thin">
        <color indexed="64"/>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style="thin">
        <color indexed="64"/>
      </bottom>
      <diagonal/>
    </border>
    <border>
      <left/>
      <right style="thin">
        <color indexed="8"/>
      </right>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8"/>
      </bottom>
      <diagonal/>
    </border>
    <border>
      <left style="thin">
        <color indexed="64"/>
      </left>
      <right/>
      <top/>
      <bottom style="thin">
        <color indexed="8"/>
      </bottom>
      <diagonal/>
    </border>
    <border>
      <left style="thin">
        <color indexed="64"/>
      </left>
      <right/>
      <top style="thin">
        <color indexed="64"/>
      </top>
      <bottom/>
      <diagonal/>
    </border>
    <border>
      <left style="thin">
        <color indexed="64"/>
      </left>
      <right/>
      <top style="thin">
        <color indexed="8"/>
      </top>
      <bottom style="thin">
        <color indexed="8"/>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auto="1"/>
      </left>
      <right style="double">
        <color auto="1"/>
      </right>
      <top/>
      <bottom/>
      <diagonal/>
    </border>
  </borders>
  <cellStyleXfs count="51608">
    <xf numFmtId="3" fontId="0" fillId="0" borderId="0"/>
    <xf numFmtId="166" fontId="30" fillId="0" borderId="0"/>
    <xf numFmtId="166" fontId="30" fillId="0" borderId="0"/>
    <xf numFmtId="3" fontId="23" fillId="0" borderId="0"/>
    <xf numFmtId="3" fontId="23" fillId="0" borderId="0"/>
    <xf numFmtId="3" fontId="24" fillId="0" borderId="1" applyFont="0"/>
    <xf numFmtId="164" fontId="27" fillId="0" borderId="2" applyNumberFormat="0" applyFont="0" applyBorder="0" applyAlignment="0"/>
    <xf numFmtId="164" fontId="2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2" fillId="0" borderId="0" applyFont="0" applyFill="0" applyBorder="0" applyAlignment="0" applyProtection="0"/>
    <xf numFmtId="43" fontId="21" fillId="0" borderId="0" applyFont="0" applyFill="0" applyBorder="0" applyAlignment="0" applyProtection="0"/>
    <xf numFmtId="0" fontId="24" fillId="0" borderId="0"/>
    <xf numFmtId="0" fontId="24" fillId="0" borderId="0"/>
    <xf numFmtId="0" fontId="37" fillId="0" borderId="0"/>
    <xf numFmtId="9" fontId="37" fillId="0" borderId="0" applyFont="0" applyFill="0" applyBorder="0" applyAlignment="0" applyProtection="0"/>
    <xf numFmtId="9" fontId="22" fillId="0" borderId="0" applyFont="0" applyFill="0" applyBorder="0" applyAlignment="0" applyProtection="0"/>
    <xf numFmtId="164" fontId="22" fillId="0" borderId="0"/>
    <xf numFmtId="0" fontId="20" fillId="0" borderId="0"/>
    <xf numFmtId="0" fontId="37" fillId="0" borderId="0"/>
    <xf numFmtId="9" fontId="37" fillId="0" borderId="0" applyFont="0" applyFill="0" applyBorder="0" applyAlignment="0" applyProtection="0"/>
    <xf numFmtId="43" fontId="37" fillId="0" borderId="0" applyFont="0" applyFill="0" applyBorder="0" applyAlignment="0" applyProtection="0"/>
    <xf numFmtId="0" fontId="38" fillId="0" borderId="0"/>
    <xf numFmtId="0" fontId="38" fillId="0" borderId="0"/>
    <xf numFmtId="0" fontId="38" fillId="0" borderId="0"/>
    <xf numFmtId="0" fontId="38" fillId="0" borderId="0"/>
    <xf numFmtId="0" fontId="28" fillId="0" borderId="0"/>
    <xf numFmtId="0" fontId="28" fillId="0" borderId="0">
      <alignment vertical="top"/>
    </xf>
    <xf numFmtId="0" fontId="24" fillId="0" borderId="0"/>
    <xf numFmtId="0" fontId="24" fillId="0" borderId="0"/>
    <xf numFmtId="0" fontId="20" fillId="0" borderId="0"/>
    <xf numFmtId="43" fontId="2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0" fontId="39" fillId="0" borderId="0">
      <alignment horizontal="left" wrapText="1"/>
    </xf>
    <xf numFmtId="0" fontId="37" fillId="0" borderId="0"/>
    <xf numFmtId="0" fontId="25" fillId="0" borderId="0"/>
    <xf numFmtId="0" fontId="24" fillId="0" borderId="0"/>
    <xf numFmtId="0" fontId="24" fillId="0" borderId="0"/>
    <xf numFmtId="0" fontId="24" fillId="0" borderId="0"/>
    <xf numFmtId="0" fontId="20" fillId="0" borderId="0"/>
    <xf numFmtId="0" fontId="24" fillId="0" borderId="0"/>
    <xf numFmtId="0" fontId="24" fillId="0" borderId="0"/>
    <xf numFmtId="0" fontId="24" fillId="0" borderId="0"/>
    <xf numFmtId="0" fontId="24" fillId="0" borderId="0"/>
    <xf numFmtId="0" fontId="24" fillId="0" borderId="0"/>
    <xf numFmtId="0" fontId="24" fillId="0" borderId="0"/>
    <xf numFmtId="164" fontId="40" fillId="0" borderId="0"/>
    <xf numFmtId="164" fontId="40" fillId="0" borderId="0"/>
    <xf numFmtId="164" fontId="21" fillId="0" borderId="0"/>
    <xf numFmtId="9" fontId="21" fillId="0" borderId="0" applyFont="0" applyFill="0" applyBorder="0" applyAlignment="0" applyProtection="0"/>
    <xf numFmtId="43" fontId="21"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4" fontId="40" fillId="0" borderId="0"/>
    <xf numFmtId="0" fontId="19" fillId="0" borderId="0"/>
    <xf numFmtId="0" fontId="19" fillId="0" borderId="0"/>
    <xf numFmtId="0" fontId="19" fillId="0" borderId="0"/>
    <xf numFmtId="3" fontId="24" fillId="0" borderId="1" applyFont="0"/>
    <xf numFmtId="0" fontId="24" fillId="0" borderId="0"/>
    <xf numFmtId="0" fontId="24" fillId="0" borderId="0"/>
    <xf numFmtId="0" fontId="24" fillId="0" borderId="0"/>
    <xf numFmtId="0" fontId="24" fillId="0" borderId="0"/>
    <xf numFmtId="0" fontId="24" fillId="0" borderId="0"/>
    <xf numFmtId="43" fontId="22" fillId="0" borderId="0" applyFont="0" applyFill="0" applyBorder="0" applyAlignment="0" applyProtection="0"/>
    <xf numFmtId="0" fontId="19" fillId="0" borderId="0"/>
    <xf numFmtId="0" fontId="19" fillId="0" borderId="0"/>
    <xf numFmtId="0" fontId="19" fillId="0" borderId="0"/>
    <xf numFmtId="0" fontId="19" fillId="0" borderId="0"/>
    <xf numFmtId="0" fontId="37" fillId="0" borderId="0"/>
    <xf numFmtId="9" fontId="37"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3" fontId="23" fillId="0" borderId="0"/>
    <xf numFmtId="43" fontId="22" fillId="0" borderId="0" applyFont="0" applyFill="0" applyBorder="0" applyAlignment="0" applyProtection="0"/>
    <xf numFmtId="166" fontId="30" fillId="0" borderId="0"/>
    <xf numFmtId="0" fontId="37" fillId="0" borderId="0"/>
    <xf numFmtId="9" fontId="37" fillId="0" borderId="0" applyFont="0" applyFill="0" applyBorder="0" applyAlignment="0" applyProtection="0"/>
    <xf numFmtId="0" fontId="24"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164" fontId="40" fillId="0" borderId="0"/>
    <xf numFmtId="164" fontId="40" fillId="0" borderId="0"/>
    <xf numFmtId="164" fontId="40"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166" fontId="30" fillId="0" borderId="0"/>
    <xf numFmtId="0" fontId="24" fillId="0" borderId="0"/>
    <xf numFmtId="0" fontId="24" fillId="0" borderId="0"/>
    <xf numFmtId="0" fontId="24" fillId="0" borderId="0"/>
    <xf numFmtId="0" fontId="24"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164" fontId="40" fillId="0" borderId="0"/>
    <xf numFmtId="164" fontId="40"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166" fontId="30" fillId="0" borderId="0"/>
    <xf numFmtId="164" fontId="40"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166" fontId="30" fillId="0" borderId="0"/>
    <xf numFmtId="0" fontId="16" fillId="0" borderId="0"/>
    <xf numFmtId="0" fontId="16" fillId="0" borderId="0"/>
    <xf numFmtId="0" fontId="16" fillId="0" borderId="0"/>
    <xf numFmtId="9" fontId="21" fillId="0" borderId="0" applyFont="0" applyFill="0" applyBorder="0" applyAlignment="0" applyProtection="0"/>
    <xf numFmtId="0" fontId="16" fillId="0" borderId="0"/>
    <xf numFmtId="0" fontId="24"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24"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41" fillId="0" borderId="0"/>
    <xf numFmtId="0" fontId="15" fillId="0" borderId="0"/>
    <xf numFmtId="0" fontId="42" fillId="0" borderId="0"/>
    <xf numFmtId="0" fontId="15" fillId="0" borderId="0"/>
    <xf numFmtId="0" fontId="41" fillId="0" borderId="0"/>
    <xf numFmtId="0" fontId="15" fillId="0" borderId="0"/>
    <xf numFmtId="0" fontId="15" fillId="0" borderId="0"/>
    <xf numFmtId="164" fontId="40" fillId="0" borderId="0"/>
    <xf numFmtId="164" fontId="40"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4" fontId="22" fillId="0" borderId="0"/>
    <xf numFmtId="164" fontId="22" fillId="0" borderId="0"/>
    <xf numFmtId="164" fontId="22" fillId="0" borderId="0"/>
    <xf numFmtId="0" fontId="13" fillId="0" borderId="0"/>
    <xf numFmtId="0" fontId="13" fillId="0" borderId="0"/>
    <xf numFmtId="0" fontId="13" fillId="0" borderId="0"/>
    <xf numFmtId="0" fontId="13" fillId="0" borderId="0"/>
    <xf numFmtId="0" fontId="13"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25" applyNumberFormat="0" applyFont="0" applyAlignment="0" applyProtection="0"/>
    <xf numFmtId="0" fontId="38" fillId="11" borderId="0" applyNumberFormat="0" applyBorder="0" applyAlignment="0" applyProtection="0"/>
    <xf numFmtId="0" fontId="38" fillId="12"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8" fillId="19" borderId="0" applyNumberFormat="0" applyBorder="0" applyAlignment="0" applyProtection="0"/>
    <xf numFmtId="0" fontId="38" fillId="14" borderId="0" applyNumberFormat="0" applyBorder="0" applyAlignment="0" applyProtection="0"/>
    <xf numFmtId="0" fontId="38" fillId="17" borderId="0" applyNumberFormat="0" applyBorder="0" applyAlignment="0" applyProtection="0"/>
    <xf numFmtId="0" fontId="38" fillId="20" borderId="0" applyNumberFormat="0" applyBorder="0" applyAlignment="0" applyProtection="0"/>
    <xf numFmtId="0" fontId="43" fillId="21"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2"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43" fillId="25" borderId="0" applyNumberFormat="0" applyBorder="0" applyAlignment="0" applyProtection="0"/>
    <xf numFmtId="0" fontId="43" fillId="26" borderId="0" applyNumberFormat="0" applyBorder="0" applyAlignment="0" applyProtection="0"/>
    <xf numFmtId="0" fontId="43" fillId="27" borderId="0" applyNumberFormat="0" applyBorder="0" applyAlignment="0" applyProtection="0"/>
    <xf numFmtId="0" fontId="43" fillId="22" borderId="0" applyNumberFormat="0" applyBorder="0" applyAlignment="0" applyProtection="0"/>
    <xf numFmtId="0" fontId="43" fillId="23" borderId="0" applyNumberFormat="0" applyBorder="0" applyAlignment="0" applyProtection="0"/>
    <xf numFmtId="0" fontId="43" fillId="28" borderId="0" applyNumberFormat="0" applyBorder="0" applyAlignment="0" applyProtection="0"/>
    <xf numFmtId="0" fontId="44" fillId="12" borderId="0" applyNumberFormat="0" applyBorder="0" applyAlignment="0" applyProtection="0"/>
    <xf numFmtId="0" fontId="45" fillId="29" borderId="26" applyNumberFormat="0" applyAlignment="0" applyProtection="0"/>
    <xf numFmtId="0" fontId="46" fillId="30" borderId="27" applyNumberFormat="0" applyAlignment="0" applyProtection="0"/>
    <xf numFmtId="43" fontId="38" fillId="0" borderId="0" applyFont="0" applyFill="0" applyBorder="0" applyAlignment="0" applyProtection="0"/>
    <xf numFmtId="0" fontId="47" fillId="0" borderId="0" applyNumberFormat="0" applyFill="0" applyBorder="0" applyAlignment="0" applyProtection="0"/>
    <xf numFmtId="0" fontId="48" fillId="13" borderId="0" applyNumberFormat="0" applyBorder="0" applyAlignment="0" applyProtection="0"/>
    <xf numFmtId="0" fontId="49" fillId="0" borderId="28" applyNumberFormat="0" applyFill="0" applyAlignment="0" applyProtection="0"/>
    <xf numFmtId="0" fontId="50" fillId="0" borderId="29" applyNumberFormat="0" applyFill="0" applyAlignment="0" applyProtection="0"/>
    <xf numFmtId="0" fontId="51" fillId="0" borderId="30" applyNumberFormat="0" applyFill="0" applyAlignment="0" applyProtection="0"/>
    <xf numFmtId="0" fontId="51" fillId="0" borderId="0" applyNumberFormat="0" applyFill="0" applyBorder="0" applyAlignment="0" applyProtection="0"/>
    <xf numFmtId="0" fontId="52" fillId="16" borderId="26" applyNumberFormat="0" applyAlignment="0" applyProtection="0"/>
    <xf numFmtId="0" fontId="53" fillId="0" borderId="31" applyNumberFormat="0" applyFill="0" applyAlignment="0" applyProtection="0"/>
    <xf numFmtId="0" fontId="54" fillId="31" borderId="0" applyNumberFormat="0" applyBorder="0" applyAlignment="0" applyProtection="0"/>
    <xf numFmtId="0" fontId="38" fillId="0" borderId="0"/>
    <xf numFmtId="0" fontId="24" fillId="32" borderId="32" applyNumberFormat="0" applyFont="0" applyAlignment="0" applyProtection="0"/>
    <xf numFmtId="0" fontId="38" fillId="32" borderId="32" applyNumberFormat="0" applyFont="0" applyAlignment="0" applyProtection="0"/>
    <xf numFmtId="0" fontId="55" fillId="29" borderId="33" applyNumberFormat="0" applyAlignment="0" applyProtection="0"/>
    <xf numFmtId="9" fontId="24" fillId="0" borderId="0" applyFont="0" applyFill="0" applyBorder="0" applyAlignment="0" applyProtection="0"/>
    <xf numFmtId="9" fontId="38" fillId="0" borderId="0" applyFont="0" applyFill="0" applyBorder="0" applyAlignment="0" applyProtection="0"/>
    <xf numFmtId="0" fontId="56" fillId="0" borderId="0" applyNumberFormat="0" applyFill="0" applyBorder="0" applyAlignment="0" applyProtection="0"/>
    <xf numFmtId="0" fontId="57" fillId="0" borderId="34" applyNumberFormat="0" applyFill="0" applyAlignment="0" applyProtection="0"/>
    <xf numFmtId="0" fontId="58" fillId="0" borderId="0" applyNumberFormat="0" applyFill="0" applyBorder="0" applyAlignment="0" applyProtection="0"/>
    <xf numFmtId="0" fontId="38" fillId="32" borderId="32" applyNumberFormat="0" applyFont="0" applyAlignment="0" applyProtection="0"/>
    <xf numFmtId="0" fontId="24" fillId="32" borderId="32" applyNumberFormat="0" applyFont="0" applyAlignment="0" applyProtection="0"/>
    <xf numFmtId="0" fontId="52" fillId="16" borderId="26" applyNumberFormat="0" applyAlignment="0" applyProtection="0"/>
    <xf numFmtId="0" fontId="45" fillId="29" borderId="26" applyNumberFormat="0" applyAlignment="0" applyProtection="0"/>
    <xf numFmtId="0" fontId="55" fillId="29" borderId="33" applyNumberFormat="0" applyAlignment="0" applyProtection="0"/>
    <xf numFmtId="0" fontId="57" fillId="0" borderId="34" applyNumberFormat="0" applyFill="0" applyAlignment="0" applyProtection="0"/>
    <xf numFmtId="164" fontId="59"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59" fillId="0" borderId="0"/>
    <xf numFmtId="166" fontId="30"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64" fontId="22" fillId="0" borderId="0"/>
    <xf numFmtId="164" fontId="22" fillId="0" borderId="0"/>
    <xf numFmtId="164"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164" fontId="22" fillId="0" borderId="0"/>
    <xf numFmtId="164" fontId="22" fillId="0" borderId="0"/>
    <xf numFmtId="164" fontId="22"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64" fontId="22" fillId="0" borderId="0"/>
    <xf numFmtId="164" fontId="22"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164" fontId="22"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164" fontId="22" fillId="0" borderId="0"/>
    <xf numFmtId="164" fontId="22"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0" borderId="25" applyNumberFormat="0" applyFont="0" applyAlignment="0" applyProtection="0"/>
    <xf numFmtId="164" fontId="59"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0" borderId="25"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22" fillId="0" borderId="0"/>
    <xf numFmtId="164" fontId="22" fillId="0" borderId="0"/>
    <xf numFmtId="164" fontId="22" fillId="0" borderId="0"/>
    <xf numFmtId="0" fontId="11" fillId="0" borderId="0"/>
    <xf numFmtId="0" fontId="11" fillId="0" borderId="0"/>
    <xf numFmtId="0" fontId="11" fillId="0" borderId="0"/>
    <xf numFmtId="0" fontId="11" fillId="0" borderId="0"/>
    <xf numFmtId="0" fontId="11"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 fontId="2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10" borderId="25" applyNumberFormat="0" applyFont="0" applyAlignment="0" applyProtection="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 fontId="2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 fontId="23"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59" fillId="0" borderId="0"/>
    <xf numFmtId="164" fontId="59" fillId="0" borderId="0"/>
    <xf numFmtId="166" fontId="30" fillId="0" borderId="0"/>
    <xf numFmtId="166" fontId="30" fillId="0" borderId="0"/>
    <xf numFmtId="166" fontId="30" fillId="0" borderId="0"/>
    <xf numFmtId="164" fontId="59" fillId="0" borderId="0"/>
    <xf numFmtId="164" fontId="59" fillId="0" borderId="0"/>
    <xf numFmtId="164" fontId="59" fillId="0" borderId="0"/>
    <xf numFmtId="164"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4" fontId="59" fillId="0" borderId="0"/>
    <xf numFmtId="164" fontId="59" fillId="0" borderId="0"/>
    <xf numFmtId="164" fontId="5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164" fontId="5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10" borderId="25"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25"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10" borderId="25" applyNumberFormat="0" applyFont="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 fontId="2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25" applyNumberFormat="0" applyFont="0" applyAlignment="0" applyProtection="0"/>
    <xf numFmtId="3" fontId="23"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25"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25"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10" borderId="25" applyNumberFormat="0" applyFont="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 fontId="23" fillId="0" borderId="0"/>
    <xf numFmtId="164" fontId="59"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25"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25"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10" borderId="25" applyNumberFormat="0" applyFont="0" applyAlignment="0" applyProtection="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25"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25"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25"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10" borderId="25" applyNumberFormat="0" applyFont="0" applyAlignment="0" applyProtection="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0" fillId="0" borderId="0"/>
    <xf numFmtId="0" fontId="60" fillId="0" borderId="0"/>
    <xf numFmtId="0" fontId="60" fillId="0" borderId="0"/>
    <xf numFmtId="0" fontId="60" fillId="0" borderId="0"/>
    <xf numFmtId="0" fontId="60" fillId="0" borderId="0"/>
    <xf numFmtId="43"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1" fillId="0" borderId="0"/>
    <xf numFmtId="0" fontId="61" fillId="0" borderId="0"/>
    <xf numFmtId="0" fontId="61" fillId="0" borderId="0"/>
    <xf numFmtId="0" fontId="6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2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2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2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0" borderId="25"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0" borderId="25" applyNumberFormat="0" applyFont="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2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0" borderId="25"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2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2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2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0" borderId="25"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2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2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0" borderId="25"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2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2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2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0" borderId="25"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24" fillId="0" borderId="0"/>
    <xf numFmtId="0" fontId="24" fillId="0" borderId="0"/>
    <xf numFmtId="0" fontId="24"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3" fillId="0" borderId="0"/>
    <xf numFmtId="164" fontId="22" fillId="0" borderId="0"/>
    <xf numFmtId="164" fontId="21" fillId="0" borderId="0"/>
    <xf numFmtId="164" fontId="21" fillId="0" borderId="0"/>
    <xf numFmtId="164" fontId="21" fillId="0" borderId="0"/>
  </cellStyleXfs>
  <cellXfs count="773">
    <xf numFmtId="3" fontId="0" fillId="0" borderId="0" xfId="0"/>
    <xf numFmtId="49" fontId="24" fillId="44" borderId="0" xfId="0" applyNumberFormat="1" applyFont="1" applyFill="1" applyAlignment="1" applyProtection="1">
      <alignment horizontal="left"/>
      <protection locked="0"/>
    </xf>
    <xf numFmtId="1" fontId="31" fillId="42" borderId="0" xfId="0" applyNumberFormat="1" applyFont="1" applyFill="1" applyAlignment="1" applyProtection="1">
      <alignment horizontal="center"/>
      <protection locked="0"/>
    </xf>
    <xf numFmtId="49" fontId="31" fillId="42" borderId="0" xfId="0" applyNumberFormat="1" applyFont="1" applyFill="1" applyAlignment="1" applyProtection="1">
      <alignment horizontal="left"/>
      <protection locked="0"/>
    </xf>
    <xf numFmtId="167" fontId="61" fillId="34" borderId="38" xfId="0" applyNumberFormat="1" applyFont="1" applyFill="1" applyBorder="1" applyAlignment="1" applyProtection="1">
      <alignment horizontal="right"/>
    </xf>
    <xf numFmtId="167" fontId="61" fillId="43" borderId="38" xfId="0" applyNumberFormat="1" applyFont="1" applyFill="1" applyBorder="1" applyAlignment="1" applyProtection="1">
      <alignment horizontal="right"/>
    </xf>
    <xf numFmtId="1" fontId="24" fillId="42" borderId="0" xfId="0" applyNumberFormat="1" applyFont="1" applyFill="1" applyAlignment="1" applyProtection="1">
      <alignment horizontal="center"/>
      <protection locked="0"/>
    </xf>
    <xf numFmtId="49" fontId="27" fillId="42" borderId="0" xfId="0" applyNumberFormat="1" applyFont="1" applyFill="1" applyAlignment="1" applyProtection="1">
      <alignment horizontal="left"/>
      <protection locked="0"/>
    </xf>
    <xf numFmtId="49" fontId="24" fillId="42" borderId="0" xfId="0" applyNumberFormat="1" applyFont="1" applyFill="1" applyAlignment="1" applyProtection="1">
      <alignment horizontal="left"/>
      <protection locked="0"/>
    </xf>
    <xf numFmtId="49" fontId="24" fillId="42" borderId="0" xfId="0" applyNumberFormat="1" applyFont="1" applyFill="1" applyAlignment="1" applyProtection="1">
      <alignment horizontal="center"/>
      <protection locked="0"/>
    </xf>
    <xf numFmtId="165" fontId="37" fillId="8" borderId="0" xfId="0" applyNumberFormat="1" applyFont="1" applyFill="1" applyAlignment="1" applyProtection="1"/>
    <xf numFmtId="49" fontId="27" fillId="40" borderId="0" xfId="0" applyNumberFormat="1" applyFont="1" applyFill="1" applyAlignment="1" applyProtection="1">
      <alignment horizontal="left"/>
      <protection locked="0"/>
    </xf>
    <xf numFmtId="165" fontId="24" fillId="34" borderId="0" xfId="0" applyNumberFormat="1" applyFont="1" applyFill="1" applyAlignment="1" applyProtection="1"/>
    <xf numFmtId="3" fontId="69" fillId="41" borderId="11" xfId="0" applyNumberFormat="1" applyFont="1" applyFill="1" applyBorder="1" applyAlignment="1" applyProtection="1">
      <alignment horizontal="right"/>
      <protection locked="0"/>
    </xf>
    <xf numFmtId="165" fontId="37" fillId="0" borderId="0" xfId="0" applyNumberFormat="1" applyFont="1" applyFill="1" applyAlignment="1" applyProtection="1"/>
    <xf numFmtId="165" fontId="69" fillId="0" borderId="0" xfId="0" applyNumberFormat="1" applyFont="1" applyFill="1" applyAlignment="1" applyProtection="1"/>
    <xf numFmtId="165" fontId="69" fillId="0" borderId="11" xfId="0" applyNumberFormat="1" applyFont="1" applyFill="1" applyBorder="1" applyAlignment="1" applyProtection="1">
      <alignment horizontal="center"/>
      <protection locked="0"/>
    </xf>
    <xf numFmtId="1" fontId="24" fillId="40" borderId="0" xfId="0" applyNumberFormat="1" applyFont="1" applyFill="1" applyAlignment="1" applyProtection="1">
      <alignment horizontal="center"/>
      <protection locked="0"/>
    </xf>
    <xf numFmtId="49" fontId="31" fillId="40" borderId="0" xfId="0" applyNumberFormat="1" applyFont="1" applyFill="1" applyAlignment="1" applyProtection="1">
      <alignment horizontal="left"/>
      <protection locked="0"/>
    </xf>
    <xf numFmtId="49" fontId="24" fillId="40" borderId="0" xfId="0" applyNumberFormat="1" applyFont="1" applyFill="1" applyAlignment="1" applyProtection="1">
      <alignment horizontal="left"/>
      <protection locked="0"/>
    </xf>
    <xf numFmtId="49" fontId="24" fillId="40" borderId="0" xfId="0" applyNumberFormat="1" applyFont="1" applyFill="1" applyAlignment="1" applyProtection="1">
      <alignment horizontal="center"/>
      <protection locked="0"/>
    </xf>
    <xf numFmtId="49" fontId="24" fillId="39" borderId="0" xfId="0" applyNumberFormat="1" applyFont="1" applyFill="1" applyAlignment="1" applyProtection="1">
      <alignment horizontal="left"/>
      <protection locked="0"/>
    </xf>
    <xf numFmtId="49" fontId="24" fillId="37" borderId="0" xfId="0" applyNumberFormat="1" applyFont="1" applyFill="1" applyAlignment="1" applyProtection="1">
      <alignment horizontal="center"/>
      <protection locked="0"/>
    </xf>
    <xf numFmtId="164" fontId="24" fillId="39" borderId="0" xfId="0" applyNumberFormat="1" applyFont="1" applyFill="1" applyAlignment="1" applyProtection="1">
      <protection locked="0"/>
    </xf>
    <xf numFmtId="1" fontId="24" fillId="38" borderId="0" xfId="0" applyNumberFormat="1" applyFont="1" applyFill="1" applyAlignment="1" applyProtection="1">
      <alignment horizontal="center"/>
      <protection locked="0"/>
    </xf>
    <xf numFmtId="49" fontId="31" fillId="37" borderId="0" xfId="0" applyNumberFormat="1" applyFont="1" applyFill="1" applyAlignment="1" applyProtection="1">
      <alignment horizontal="left"/>
      <protection locked="0"/>
    </xf>
    <xf numFmtId="3" fontId="69" fillId="0" borderId="11" xfId="0" applyNumberFormat="1" applyFont="1" applyFill="1" applyBorder="1" applyAlignment="1" applyProtection="1">
      <alignment horizontal="right"/>
      <protection locked="0"/>
    </xf>
    <xf numFmtId="3" fontId="28" fillId="5" borderId="11" xfId="0" applyNumberFormat="1" applyFont="1" applyFill="1" applyBorder="1" applyAlignment="1" applyProtection="1">
      <alignment horizontal="right"/>
      <protection locked="0"/>
    </xf>
    <xf numFmtId="3" fontId="29" fillId="0" borderId="11" xfId="51603" applyFont="1" applyFill="1" applyBorder="1" applyAlignment="1">
      <alignment horizontal="center"/>
    </xf>
    <xf numFmtId="165" fontId="28" fillId="5" borderId="37" xfId="0" applyNumberFormat="1" applyFont="1" applyFill="1" applyBorder="1" applyAlignment="1" applyProtection="1">
      <alignment horizontal="center"/>
      <protection locked="0"/>
    </xf>
    <xf numFmtId="1" fontId="24" fillId="37" borderId="0" xfId="0" applyNumberFormat="1" applyFont="1" applyFill="1" applyAlignment="1" applyProtection="1">
      <alignment horizontal="center"/>
      <protection locked="0"/>
    </xf>
    <xf numFmtId="49" fontId="27" fillId="37" borderId="0" xfId="0" applyNumberFormat="1" applyFont="1" applyFill="1" applyAlignment="1" applyProtection="1">
      <alignment horizontal="left"/>
      <protection locked="0"/>
    </xf>
    <xf numFmtId="49" fontId="24" fillId="37" borderId="0" xfId="0" applyNumberFormat="1" applyFont="1" applyFill="1" applyAlignment="1" applyProtection="1">
      <alignment horizontal="left"/>
      <protection locked="0"/>
    </xf>
    <xf numFmtId="49" fontId="24" fillId="37" borderId="5" xfId="0" applyNumberFormat="1" applyFont="1" applyFill="1" applyBorder="1" applyAlignment="1" applyProtection="1">
      <alignment horizontal="center"/>
      <protection locked="0"/>
    </xf>
    <xf numFmtId="37" fontId="29" fillId="0" borderId="4" xfId="4" applyNumberFormat="1" applyFont="1" applyFill="1" applyBorder="1" applyAlignment="1" applyProtection="1">
      <alignment horizontal="center"/>
    </xf>
    <xf numFmtId="0" fontId="27" fillId="0" borderId="13" xfId="20" applyNumberFormat="1" applyFont="1" applyFill="1" applyBorder="1" applyAlignment="1" applyProtection="1">
      <alignment horizontal="center"/>
      <protection locked="0"/>
    </xf>
    <xf numFmtId="37" fontId="27" fillId="0" borderId="6" xfId="4" applyNumberFormat="1" applyFont="1" applyFill="1" applyBorder="1" applyAlignment="1" applyProtection="1">
      <alignment horizontal="centerContinuous" wrapText="1"/>
    </xf>
    <xf numFmtId="37" fontId="29" fillId="0" borderId="3" xfId="4" applyNumberFormat="1" applyFont="1" applyFill="1" applyBorder="1" applyAlignment="1" applyProtection="1">
      <alignment horizontal="centerContinuous" wrapText="1"/>
    </xf>
    <xf numFmtId="37" fontId="29" fillId="0" borderId="4" xfId="3" applyNumberFormat="1" applyFont="1" applyFill="1" applyBorder="1" applyAlignment="1" applyProtection="1">
      <alignment horizontal="centerContinuous" wrapText="1"/>
    </xf>
    <xf numFmtId="37" fontId="29" fillId="0" borderId="4" xfId="4" applyNumberFormat="1" applyFont="1" applyFill="1" applyBorder="1" applyAlignment="1" applyProtection="1">
      <alignment horizontal="centerContinuous"/>
    </xf>
    <xf numFmtId="37" fontId="29" fillId="0" borderId="7" xfId="4" applyNumberFormat="1" applyFont="1" applyFill="1" applyBorder="1" applyAlignment="1" applyProtection="1">
      <alignment horizontal="centerContinuous"/>
    </xf>
    <xf numFmtId="37" fontId="29" fillId="0" borderId="8" xfId="4" applyNumberFormat="1" applyFont="1" applyFill="1" applyBorder="1" applyAlignment="1" applyProtection="1">
      <alignment horizontal="centerContinuous"/>
    </xf>
    <xf numFmtId="3" fontId="27" fillId="0" borderId="7" xfId="4" applyFont="1" applyFill="1" applyBorder="1" applyAlignment="1">
      <alignment horizontal="centerContinuous"/>
    </xf>
    <xf numFmtId="3" fontId="27" fillId="0" borderId="4" xfId="4" applyFont="1" applyFill="1" applyBorder="1" applyAlignment="1">
      <alignment horizontal="centerContinuous"/>
    </xf>
    <xf numFmtId="3" fontId="26" fillId="0" borderId="7" xfId="4" applyFont="1" applyFill="1" applyBorder="1" applyAlignment="1">
      <alignment horizontal="centerContinuous"/>
    </xf>
    <xf numFmtId="165" fontId="29" fillId="0" borderId="4" xfId="20" applyNumberFormat="1" applyFont="1" applyFill="1" applyBorder="1" applyAlignment="1" applyProtection="1">
      <alignment horizontal="centerContinuous"/>
    </xf>
    <xf numFmtId="37" fontId="29" fillId="0" borderId="36" xfId="4" applyNumberFormat="1" applyFont="1" applyFill="1" applyBorder="1" applyAlignment="1" applyProtection="1">
      <alignment horizontal="center"/>
    </xf>
    <xf numFmtId="165" fontId="24" fillId="0" borderId="11" xfId="20" applyNumberFormat="1" applyFont="1" applyFill="1" applyBorder="1" applyAlignment="1" applyProtection="1">
      <alignment horizontal="center"/>
      <protection locked="0"/>
    </xf>
    <xf numFmtId="3" fontId="24" fillId="0" borderId="11" xfId="20" applyNumberFormat="1" applyFont="1" applyFill="1" applyBorder="1" applyAlignment="1" applyProtection="1">
      <alignment horizontal="right"/>
      <protection locked="0"/>
    </xf>
    <xf numFmtId="37" fontId="29" fillId="0" borderId="24" xfId="4" applyNumberFormat="1" applyFont="1" applyFill="1" applyBorder="1" applyAlignment="1" applyProtection="1">
      <alignment horizontal="centerContinuous"/>
    </xf>
    <xf numFmtId="3" fontId="27" fillId="0" borderId="35" xfId="0" applyNumberFormat="1" applyFont="1" applyFill="1" applyBorder="1" applyAlignment="1" applyProtection="1">
      <alignment horizontal="center"/>
    </xf>
    <xf numFmtId="3" fontId="27" fillId="0" borderId="4" xfId="0" applyNumberFormat="1" applyFont="1" applyFill="1" applyBorder="1" applyAlignment="1" applyProtection="1">
      <alignment horizontal="center"/>
    </xf>
    <xf numFmtId="3" fontId="62" fillId="35" borderId="11" xfId="0" applyNumberFormat="1" applyFont="1" applyFill="1" applyBorder="1" applyAlignment="1" applyProtection="1">
      <alignment horizontal="right"/>
      <protection locked="0"/>
    </xf>
    <xf numFmtId="3" fontId="63" fillId="36" borderId="11" xfId="0" applyNumberFormat="1" applyFont="1" applyFill="1" applyBorder="1" applyAlignment="1" applyProtection="1">
      <alignment horizontal="right"/>
      <protection locked="0"/>
    </xf>
    <xf numFmtId="0" fontId="0" fillId="0" borderId="0" xfId="0" applyNumberFormat="1" applyFill="1" applyAlignment="1" applyProtection="1"/>
    <xf numFmtId="3" fontId="24" fillId="0" borderId="0" xfId="0" applyNumberFormat="1" applyFont="1" applyFill="1" applyAlignment="1" applyProtection="1"/>
    <xf numFmtId="0" fontId="36" fillId="4" borderId="13" xfId="0" applyNumberFormat="1" applyFont="1" applyFill="1" applyBorder="1" applyAlignment="1" applyProtection="1">
      <alignment horizontal="left"/>
      <protection locked="0"/>
    </xf>
    <xf numFmtId="49" fontId="24" fillId="9" borderId="0" xfId="0" applyNumberFormat="1" applyFont="1" applyFill="1" applyAlignment="1" applyProtection="1">
      <alignment horizontal="left"/>
      <protection locked="0"/>
    </xf>
    <xf numFmtId="1" fontId="24" fillId="9" borderId="0" xfId="0" applyNumberFormat="1" applyFont="1" applyFill="1" applyAlignment="1" applyProtection="1">
      <alignment horizontal="center"/>
      <protection locked="0"/>
    </xf>
    <xf numFmtId="49" fontId="24" fillId="9" borderId="0" xfId="0" applyNumberFormat="1" applyFont="1" applyFill="1" applyAlignment="1" applyProtection="1">
      <alignment horizontal="center"/>
      <protection locked="0"/>
    </xf>
    <xf numFmtId="165" fontId="28" fillId="9" borderId="20" xfId="0" applyNumberFormat="1" applyFont="1" applyFill="1" applyBorder="1" applyAlignment="1" applyProtection="1">
      <alignment horizontal="center"/>
      <protection locked="0"/>
    </xf>
    <xf numFmtId="165" fontId="29" fillId="9" borderId="0" xfId="0" applyNumberFormat="1" applyFont="1" applyFill="1" applyAlignment="1" applyProtection="1">
      <alignment horizontal="center"/>
      <protection locked="0"/>
    </xf>
    <xf numFmtId="3" fontId="28" fillId="9" borderId="11" xfId="0" applyNumberFormat="1" applyFont="1" applyFill="1" applyBorder="1" applyAlignment="1" applyProtection="1">
      <alignment horizontal="right"/>
      <protection locked="0"/>
    </xf>
    <xf numFmtId="3" fontId="29" fillId="9" borderId="0" xfId="0" applyNumberFormat="1" applyFont="1" applyFill="1" applyAlignment="1" applyProtection="1">
      <alignment horizontal="right"/>
      <protection locked="0"/>
    </xf>
    <xf numFmtId="3" fontId="32" fillId="6" borderId="11" xfId="0" applyNumberFormat="1" applyFont="1" applyFill="1" applyBorder="1" applyAlignment="1" applyProtection="1">
      <alignment horizontal="right"/>
    </xf>
    <xf numFmtId="3" fontId="32" fillId="6" borderId="5" xfId="0" applyNumberFormat="1" applyFont="1" applyFill="1" applyBorder="1" applyAlignment="1" applyProtection="1">
      <alignment horizontal="right"/>
    </xf>
    <xf numFmtId="3" fontId="34" fillId="3" borderId="11" xfId="0" applyNumberFormat="1" applyFont="1" applyFill="1" applyBorder="1" applyAlignment="1" applyProtection="1">
      <alignment horizontal="right"/>
    </xf>
    <xf numFmtId="3" fontId="34" fillId="3" borderId="5" xfId="0" applyNumberFormat="1" applyFont="1" applyFill="1" applyBorder="1" applyAlignment="1" applyProtection="1">
      <alignment horizontal="right"/>
    </xf>
    <xf numFmtId="3" fontId="34" fillId="3" borderId="21" xfId="0" applyNumberFormat="1" applyFont="1" applyFill="1" applyBorder="1" applyAlignment="1" applyProtection="1">
      <alignment horizontal="right"/>
    </xf>
    <xf numFmtId="3" fontId="28" fillId="9" borderId="20" xfId="0" applyNumberFormat="1" applyFont="1" applyFill="1" applyBorder="1" applyAlignment="1" applyProtection="1">
      <alignment horizontal="right"/>
      <protection locked="0"/>
    </xf>
    <xf numFmtId="3" fontId="32" fillId="6" borderId="0" xfId="0" applyNumberFormat="1" applyFont="1" applyFill="1" applyAlignment="1" applyProtection="1">
      <alignment horizontal="right"/>
    </xf>
    <xf numFmtId="3" fontId="34" fillId="3" borderId="23" xfId="0" applyNumberFormat="1" applyFont="1" applyFill="1" applyBorder="1" applyAlignment="1" applyProtection="1">
      <alignment horizontal="right"/>
    </xf>
    <xf numFmtId="3" fontId="32" fillId="6" borderId="22" xfId="0" applyNumberFormat="1" applyFont="1" applyFill="1" applyBorder="1" applyAlignment="1" applyProtection="1">
      <alignment horizontal="right"/>
    </xf>
    <xf numFmtId="165" fontId="27" fillId="0" borderId="0" xfId="0" applyNumberFormat="1" applyFont="1" applyFill="1" applyAlignment="1" applyProtection="1">
      <alignment horizontal="left" vertical="top"/>
      <protection locked="0"/>
    </xf>
    <xf numFmtId="164" fontId="27" fillId="0" borderId="0" xfId="0" applyNumberFormat="1" applyFont="1" applyFill="1" applyAlignment="1" applyProtection="1">
      <alignment horizontal="left" vertical="top"/>
      <protection locked="0"/>
    </xf>
    <xf numFmtId="49" fontId="27" fillId="8" borderId="5" xfId="0" applyNumberFormat="1" applyFont="1" applyFill="1" applyBorder="1" applyAlignment="1" applyProtection="1">
      <alignment horizontal="left" vertical="top"/>
      <protection locked="0"/>
    </xf>
    <xf numFmtId="49" fontId="27" fillId="8" borderId="0" xfId="0" applyNumberFormat="1" applyFont="1" applyFill="1" applyAlignment="1" applyProtection="1">
      <alignment horizontal="left" vertical="top"/>
      <protection locked="0"/>
    </xf>
    <xf numFmtId="37" fontId="27" fillId="7" borderId="7" xfId="0" applyNumberFormat="1" applyFont="1" applyFill="1" applyBorder="1" applyAlignment="1" applyProtection="1">
      <alignment horizontal="center" wrapText="1"/>
    </xf>
    <xf numFmtId="37" fontId="29" fillId="3" borderId="7" xfId="0" applyNumberFormat="1" applyFont="1" applyFill="1" applyBorder="1" applyAlignment="1" applyProtection="1">
      <alignment horizontal="center" wrapText="1"/>
    </xf>
    <xf numFmtId="37" fontId="29" fillId="3" borderId="12" xfId="0" applyNumberFormat="1" applyFont="1" applyFill="1" applyBorder="1" applyAlignment="1" applyProtection="1">
      <alignment horizontal="center" wrapText="1"/>
    </xf>
    <xf numFmtId="0" fontId="34" fillId="6" borderId="18" xfId="0" applyNumberFormat="1" applyFont="1" applyFill="1" applyBorder="1" applyAlignment="1" applyProtection="1">
      <alignment horizontal="centerContinuous"/>
    </xf>
    <xf numFmtId="0" fontId="34" fillId="3" borderId="15" xfId="0" applyNumberFormat="1" applyFont="1" applyFill="1" applyBorder="1" applyAlignment="1" applyProtection="1">
      <alignment horizontal="centerContinuous"/>
    </xf>
    <xf numFmtId="0" fontId="33" fillId="4" borderId="13" xfId="0" applyNumberFormat="1" applyFont="1" applyFill="1" applyBorder="1" applyAlignment="1" applyProtection="1">
      <alignment horizontal="center"/>
      <protection locked="0"/>
    </xf>
    <xf numFmtId="0" fontId="33" fillId="4" borderId="13" xfId="0" applyNumberFormat="1" applyFont="1" applyFill="1" applyBorder="1" applyAlignment="1" applyProtection="1">
      <alignment horizontal="left" wrapText="1"/>
      <protection locked="0"/>
    </xf>
    <xf numFmtId="1" fontId="33" fillId="4" borderId="13" xfId="0" applyNumberFormat="1" applyFont="1" applyFill="1" applyBorder="1" applyAlignment="1" applyProtection="1">
      <alignment horizontal="center"/>
      <protection locked="0"/>
    </xf>
    <xf numFmtId="0" fontId="27" fillId="5" borderId="14" xfId="0" applyNumberFormat="1" applyFont="1" applyFill="1" applyBorder="1" applyAlignment="1" applyProtection="1">
      <alignment horizontal="center"/>
      <protection locked="0"/>
    </xf>
    <xf numFmtId="0" fontId="34" fillId="6" borderId="15" xfId="0" applyNumberFormat="1" applyFont="1" applyFill="1" applyBorder="1" applyAlignment="1" applyProtection="1">
      <alignment horizontal="center"/>
      <protection locked="0"/>
    </xf>
    <xf numFmtId="0" fontId="34" fillId="6" borderId="16" xfId="0" applyNumberFormat="1" applyFont="1" applyFill="1" applyBorder="1" applyAlignment="1" applyProtection="1">
      <alignment horizontal="center"/>
      <protection locked="0"/>
    </xf>
    <xf numFmtId="0" fontId="34" fillId="3" borderId="15" xfId="0" applyNumberFormat="1" applyFont="1" applyFill="1" applyBorder="1" applyAlignment="1" applyProtection="1">
      <alignment horizontal="center"/>
      <protection locked="0"/>
    </xf>
    <xf numFmtId="0" fontId="34" fillId="3" borderId="16" xfId="0" applyNumberFormat="1" applyFont="1" applyFill="1" applyBorder="1" applyAlignment="1" applyProtection="1">
      <alignment horizontal="center"/>
      <protection locked="0"/>
    </xf>
    <xf numFmtId="0" fontId="34" fillId="3" borderId="17" xfId="0" applyNumberFormat="1" applyFont="1" applyFill="1" applyBorder="1" applyAlignment="1" applyProtection="1">
      <alignment horizontal="center"/>
      <protection locked="0"/>
    </xf>
    <xf numFmtId="0" fontId="34" fillId="6" borderId="15" xfId="0" applyNumberFormat="1" applyFont="1" applyFill="1" applyBorder="1" applyAlignment="1" applyProtection="1">
      <alignment horizontal="center"/>
    </xf>
    <xf numFmtId="0" fontId="34" fillId="6" borderId="16" xfId="0" applyNumberFormat="1" applyFont="1" applyFill="1" applyBorder="1" applyAlignment="1" applyProtection="1">
      <alignment horizontal="center"/>
    </xf>
    <xf numFmtId="0" fontId="34" fillId="3" borderId="15" xfId="0" applyNumberFormat="1" applyFont="1" applyFill="1" applyBorder="1" applyAlignment="1" applyProtection="1">
      <alignment horizontal="center"/>
    </xf>
    <xf numFmtId="0" fontId="34" fillId="3" borderId="16" xfId="0" applyNumberFormat="1" applyFont="1" applyFill="1" applyBorder="1" applyAlignment="1" applyProtection="1">
      <alignment horizontal="center"/>
    </xf>
    <xf numFmtId="0" fontId="34" fillId="3" borderId="19" xfId="0" applyNumberFormat="1" applyFont="1" applyFill="1" applyBorder="1" applyAlignment="1" applyProtection="1">
      <alignment horizontal="center"/>
    </xf>
    <xf numFmtId="0" fontId="34" fillId="6" borderId="18" xfId="0" applyNumberFormat="1" applyFont="1" applyFill="1" applyBorder="1" applyAlignment="1" applyProtection="1">
      <alignment horizontal="center"/>
    </xf>
    <xf numFmtId="3" fontId="24" fillId="2" borderId="0" xfId="0" applyNumberFormat="1" applyFont="1" applyFill="1" applyAlignment="1" applyProtection="1">
      <alignment wrapText="1"/>
    </xf>
    <xf numFmtId="0" fontId="24" fillId="2" borderId="0" xfId="0" applyNumberFormat="1" applyFont="1" applyFill="1" applyAlignment="1" applyProtection="1">
      <alignment horizontal="center" wrapText="1"/>
    </xf>
    <xf numFmtId="3" fontId="24" fillId="2" borderId="0" xfId="0" applyNumberFormat="1" applyFont="1" applyFill="1" applyAlignment="1" applyProtection="1">
      <alignment horizontal="center" wrapText="1"/>
    </xf>
    <xf numFmtId="37" fontId="24" fillId="2" borderId="0" xfId="0" applyNumberFormat="1" applyFont="1" applyFill="1" applyAlignment="1" applyProtection="1">
      <alignment horizontal="center" wrapText="1"/>
    </xf>
    <xf numFmtId="165" fontId="24" fillId="2" borderId="0" xfId="0" applyNumberFormat="1" applyFont="1" applyFill="1" applyAlignment="1" applyProtection="1">
      <alignment horizontal="center" wrapText="1"/>
    </xf>
    <xf numFmtId="3" fontId="24" fillId="2" borderId="10" xfId="0" applyNumberFormat="1" applyFont="1" applyFill="1" applyBorder="1" applyAlignment="1" applyProtection="1">
      <alignment horizontal="center" wrapText="1"/>
    </xf>
    <xf numFmtId="49" fontId="24" fillId="12" borderId="0" xfId="0" applyNumberFormat="1" applyFont="1" applyFill="1" applyAlignment="1" applyProtection="1">
      <alignment horizontal="center"/>
      <protection locked="0"/>
    </xf>
    <xf numFmtId="49" fontId="24" fillId="12" borderId="0" xfId="0" applyNumberFormat="1" applyFont="1" applyFill="1" applyAlignment="1" applyProtection="1">
      <alignment horizontal="left"/>
      <protection locked="0"/>
    </xf>
    <xf numFmtId="49" fontId="27" fillId="12" borderId="0" xfId="0" applyNumberFormat="1" applyFont="1" applyFill="1" applyAlignment="1" applyProtection="1">
      <alignment horizontal="left"/>
      <protection locked="0"/>
    </xf>
    <xf numFmtId="1" fontId="24" fillId="12" borderId="0" xfId="0" applyNumberFormat="1" applyFont="1" applyFill="1" applyAlignment="1" applyProtection="1">
      <alignment horizontal="center"/>
      <protection locked="0"/>
    </xf>
    <xf numFmtId="165" fontId="24" fillId="5" borderId="37" xfId="0" applyNumberFormat="1" applyFont="1" applyFill="1" applyBorder="1" applyAlignment="1" applyProtection="1">
      <alignment horizontal="center"/>
      <protection locked="0"/>
    </xf>
    <xf numFmtId="3" fontId="24" fillId="5" borderId="11" xfId="0" applyNumberFormat="1" applyFont="1" applyFill="1" applyBorder="1" applyAlignment="1" applyProtection="1">
      <alignment horizontal="right"/>
      <protection locked="0"/>
    </xf>
    <xf numFmtId="3" fontId="24" fillId="34" borderId="11" xfId="0" applyNumberFormat="1" applyFont="1" applyFill="1" applyBorder="1" applyAlignment="1" applyProtection="1">
      <alignment horizontal="right"/>
      <protection locked="0"/>
    </xf>
    <xf numFmtId="49" fontId="27" fillId="33" borderId="0" xfId="0" applyNumberFormat="1" applyFont="1" applyFill="1" applyAlignment="1" applyProtection="1">
      <alignment horizontal="left"/>
      <protection locked="0"/>
    </xf>
    <xf numFmtId="3" fontId="24" fillId="12" borderId="0" xfId="0" applyNumberFormat="1" applyFont="1" applyFill="1" applyAlignment="1" applyProtection="1">
      <protection locked="0"/>
    </xf>
    <xf numFmtId="49" fontId="31" fillId="33" borderId="0" xfId="0" applyNumberFormat="1" applyFont="1" applyFill="1" applyAlignment="1" applyProtection="1">
      <alignment horizontal="left"/>
      <protection locked="0"/>
    </xf>
    <xf numFmtId="1" fontId="31" fillId="12" borderId="0" xfId="0" applyNumberFormat="1" applyFont="1" applyFill="1" applyAlignment="1" applyProtection="1">
      <alignment horizontal="center"/>
      <protection locked="0"/>
    </xf>
    <xf numFmtId="3" fontId="24" fillId="0" borderId="0" xfId="0" applyNumberFormat="1" applyFont="1" applyFill="1" applyAlignment="1" applyProtection="1">
      <alignment horizontal="center"/>
    </xf>
    <xf numFmtId="3" fontId="0" fillId="0" borderId="0" xfId="0" applyNumberFormat="1" applyFill="1" applyAlignment="1" applyProtection="1"/>
    <xf numFmtId="0" fontId="24" fillId="0" borderId="0" xfId="0" applyNumberFormat="1" applyFont="1" applyFill="1" applyAlignment="1" applyProtection="1">
      <alignment horizontal="center"/>
    </xf>
    <xf numFmtId="3" fontId="28" fillId="0" borderId="0" xfId="0" applyNumberFormat="1" applyFont="1" applyFill="1" applyAlignment="1" applyProtection="1">
      <alignment horizontal="center"/>
    </xf>
    <xf numFmtId="3" fontId="29" fillId="0" borderId="0" xfId="0" applyNumberFormat="1" applyFont="1" applyFill="1" applyAlignment="1" applyProtection="1">
      <alignment horizontal="center"/>
    </xf>
    <xf numFmtId="3" fontId="28" fillId="0" borderId="0" xfId="0" applyNumberFormat="1" applyFont="1" applyFill="1" applyAlignment="1" applyProtection="1"/>
    <xf numFmtId="3" fontId="29" fillId="0" borderId="0" xfId="0" applyNumberFormat="1" applyFont="1" applyFill="1" applyAlignment="1" applyProtection="1"/>
    <xf numFmtId="0" fontId="24" fillId="0" borderId="0" xfId="0" applyNumberFormat="1" applyFont="1" applyFill="1" applyAlignment="1" applyProtection="1">
      <alignment horizontal="center"/>
      <protection locked="0"/>
    </xf>
    <xf numFmtId="3" fontId="24" fillId="0" borderId="0" xfId="0" applyNumberFormat="1" applyFont="1" applyFill="1" applyAlignment="1" applyProtection="1">
      <alignment wrapText="1"/>
    </xf>
    <xf numFmtId="49" fontId="24" fillId="17" borderId="5" xfId="0" applyNumberFormat="1" applyFont="1" applyFill="1" applyBorder="1" applyAlignment="1" applyProtection="1">
      <alignment horizontal="center"/>
      <protection locked="0"/>
    </xf>
    <xf numFmtId="49" fontId="63" fillId="36" borderId="0" xfId="0" applyNumberFormat="1" applyFont="1" applyFill="1" applyAlignment="1" applyProtection="1">
      <alignment horizontal="left"/>
      <protection locked="0"/>
    </xf>
    <xf numFmtId="49" fontId="27" fillId="17" borderId="0" xfId="0" applyNumberFormat="1" applyFont="1" applyFill="1" applyAlignment="1" applyProtection="1">
      <alignment horizontal="left"/>
      <protection locked="0"/>
    </xf>
    <xf numFmtId="49" fontId="24" fillId="17" borderId="0" xfId="0" applyNumberFormat="1" applyFont="1" applyFill="1" applyAlignment="1" applyProtection="1">
      <alignment horizontal="center"/>
      <protection locked="0"/>
    </xf>
    <xf numFmtId="1" fontId="24" fillId="17" borderId="0" xfId="0" applyNumberFormat="1" applyFont="1" applyFill="1" applyAlignment="1" applyProtection="1">
      <alignment horizontal="center"/>
      <protection locked="0"/>
    </xf>
    <xf numFmtId="168" fontId="71" fillId="0" borderId="39" xfId="0" applyNumberFormat="1" applyFont="1" applyFill="1" applyBorder="1" applyAlignment="1" applyProtection="1">
      <alignment horizontal="center" vertical="top" wrapText="1"/>
    </xf>
    <xf numFmtId="4" fontId="71" fillId="0" borderId="39" xfId="0" applyNumberFormat="1" applyFont="1" applyFill="1" applyBorder="1" applyAlignment="1" applyProtection="1">
      <alignment horizontal="center" vertical="top" wrapText="1"/>
    </xf>
    <xf numFmtId="4" fontId="63" fillId="36" borderId="11" xfId="0" applyNumberFormat="1" applyFont="1" applyFill="1" applyBorder="1" applyAlignment="1" applyProtection="1">
      <alignment horizontal="right"/>
      <protection locked="0"/>
    </xf>
    <xf numFmtId="168" fontId="72" fillId="35" borderId="39" xfId="0" applyNumberFormat="1" applyFont="1" applyFill="1" applyBorder="1" applyAlignment="1" applyProtection="1">
      <alignment horizontal="center" vertical="top" wrapText="1"/>
    </xf>
    <xf numFmtId="49" fontId="24" fillId="17" borderId="0" xfId="0" applyNumberFormat="1" applyFont="1" applyFill="1" applyAlignment="1" applyProtection="1">
      <alignment horizontal="left"/>
      <protection locked="0"/>
    </xf>
    <xf numFmtId="169" fontId="71" fillId="0" borderId="39" xfId="0" applyNumberFormat="1" applyFont="1" applyFill="1" applyBorder="1" applyAlignment="1" applyProtection="1">
      <alignment horizontal="center" vertical="top" wrapText="1"/>
    </xf>
    <xf numFmtId="4" fontId="0" fillId="34" borderId="39" xfId="0" applyNumberFormat="1" applyFill="1" applyBorder="1" applyAlignment="1" applyProtection="1">
      <alignment horizontal="center" vertical="top" wrapText="1"/>
    </xf>
    <xf numFmtId="4" fontId="69" fillId="0" borderId="11" xfId="0" applyNumberFormat="1" applyFont="1" applyFill="1" applyBorder="1" applyAlignment="1" applyProtection="1">
      <alignment horizontal="right"/>
      <protection locked="0"/>
    </xf>
    <xf numFmtId="170" fontId="0" fillId="34" borderId="39" xfId="0" applyNumberFormat="1" applyFill="1" applyBorder="1" applyAlignment="1" applyProtection="1">
      <alignment horizontal="center" vertical="top" wrapText="1"/>
    </xf>
    <xf numFmtId="168" fontId="0" fillId="34" borderId="39" xfId="0" applyNumberFormat="1" applyFill="1" applyBorder="1" applyAlignment="1" applyProtection="1">
      <alignment horizontal="center" vertical="top" wrapText="1"/>
    </xf>
    <xf numFmtId="49" fontId="31" fillId="17" borderId="0" xfId="0" applyNumberFormat="1" applyFont="1" applyFill="1" applyAlignment="1" applyProtection="1">
      <alignment horizontal="left"/>
      <protection locked="0"/>
    </xf>
    <xf numFmtId="3" fontId="32" fillId="5" borderId="11" xfId="0" applyNumberFormat="1" applyFont="1" applyFill="1" applyBorder="1" applyAlignment="1" applyProtection="1">
      <alignment horizontal="right"/>
      <protection locked="0"/>
    </xf>
    <xf numFmtId="4" fontId="24" fillId="34" borderId="11" xfId="0" applyNumberFormat="1" applyFont="1" applyFill="1" applyBorder="1" applyAlignment="1" applyProtection="1">
      <alignment horizontal="right"/>
      <protection locked="0"/>
    </xf>
    <xf numFmtId="168" fontId="73" fillId="36" borderId="39" xfId="0" applyNumberFormat="1" applyFont="1" applyFill="1" applyBorder="1" applyAlignment="1" applyProtection="1">
      <alignment horizontal="center" vertical="top" wrapText="1"/>
    </xf>
    <xf numFmtId="1" fontId="31" fillId="17" borderId="0" xfId="0" applyNumberFormat="1" applyFont="1" applyFill="1" applyAlignment="1" applyProtection="1">
      <alignment horizontal="center"/>
      <protection locked="0"/>
    </xf>
    <xf numFmtId="170" fontId="71" fillId="0" borderId="39" xfId="0" applyNumberFormat="1" applyFont="1" applyFill="1" applyBorder="1" applyAlignment="1" applyProtection="1">
      <alignment horizontal="center" vertical="top" wrapText="1"/>
    </xf>
    <xf numFmtId="0" fontId="24" fillId="17" borderId="0" xfId="0" applyNumberFormat="1" applyFont="1" applyFill="1" applyAlignment="1" applyProtection="1">
      <alignment horizontal="center"/>
      <protection locked="0"/>
    </xf>
    <xf numFmtId="3" fontId="24" fillId="17" borderId="0" xfId="0" applyNumberFormat="1" applyFont="1" applyFill="1" applyAlignment="1" applyProtection="1">
      <protection locked="0"/>
    </xf>
    <xf numFmtId="3" fontId="74" fillId="36" borderId="0" xfId="0" applyNumberFormat="1" applyFont="1" applyFill="1" applyAlignment="1" applyProtection="1">
      <alignment horizontal="center"/>
    </xf>
    <xf numFmtId="1" fontId="24" fillId="45" borderId="0" xfId="0" applyNumberFormat="1" applyFont="1" applyFill="1" applyAlignment="1" applyProtection="1">
      <alignment horizontal="center"/>
      <protection locked="0"/>
    </xf>
    <xf numFmtId="49" fontId="24" fillId="12" borderId="5" xfId="0" applyNumberFormat="1" applyFont="1" applyFill="1" applyBorder="1" applyAlignment="1" applyProtection="1">
      <alignment horizontal="center"/>
      <protection locked="0"/>
    </xf>
    <xf numFmtId="3" fontId="69" fillId="0" borderId="0" xfId="0" applyNumberFormat="1" applyFont="1" applyFill="1" applyAlignment="1" applyProtection="1"/>
    <xf numFmtId="3" fontId="24" fillId="34" borderId="0" xfId="0" applyNumberFormat="1" applyFont="1" applyFill="1" applyAlignment="1" applyProtection="1"/>
    <xf numFmtId="49" fontId="24" fillId="46" borderId="0" xfId="0" applyNumberFormat="1" applyFont="1" applyFill="1" applyAlignment="1" applyProtection="1">
      <alignment horizontal="left"/>
      <protection locked="0"/>
    </xf>
    <xf numFmtId="1" fontId="24" fillId="46" borderId="0" xfId="0" applyNumberFormat="1" applyFont="1" applyFill="1" applyAlignment="1" applyProtection="1">
      <alignment horizontal="center"/>
      <protection locked="0"/>
    </xf>
    <xf numFmtId="49" fontId="24" fillId="33" borderId="0" xfId="0" applyNumberFormat="1" applyFont="1" applyFill="1" applyAlignment="1" applyProtection="1">
      <alignment horizontal="left"/>
      <protection locked="0"/>
    </xf>
    <xf numFmtId="3" fontId="32" fillId="0" borderId="0" xfId="0" applyNumberFormat="1" applyFont="1" applyFill="1" applyAlignment="1" applyProtection="1"/>
    <xf numFmtId="49" fontId="24" fillId="40" borderId="5" xfId="0" applyNumberFormat="1" applyFont="1" applyFill="1" applyBorder="1" applyAlignment="1" applyProtection="1">
      <alignment horizontal="center"/>
      <protection locked="0"/>
    </xf>
    <xf numFmtId="0" fontId="24" fillId="40" borderId="0" xfId="0" applyNumberFormat="1" applyFont="1" applyFill="1" applyAlignment="1" applyProtection="1">
      <alignment horizontal="center"/>
      <protection locked="0"/>
    </xf>
    <xf numFmtId="49" fontId="24" fillId="42" borderId="5" xfId="0" applyNumberFormat="1" applyFont="1" applyFill="1" applyBorder="1" applyAlignment="1" applyProtection="1">
      <alignment horizontal="center"/>
      <protection locked="0"/>
    </xf>
    <xf numFmtId="49" fontId="24" fillId="47" borderId="0" xfId="0" applyNumberFormat="1" applyFont="1" applyFill="1" applyAlignment="1" applyProtection="1">
      <alignment horizontal="left"/>
      <protection locked="0"/>
    </xf>
    <xf numFmtId="1" fontId="24" fillId="48" borderId="0" xfId="0" applyNumberFormat="1" applyFont="1" applyFill="1" applyAlignment="1" applyProtection="1">
      <alignment horizontal="center"/>
      <protection locked="0"/>
    </xf>
    <xf numFmtId="0" fontId="24" fillId="42" borderId="0" xfId="0" applyNumberFormat="1" applyFont="1" applyFill="1" applyAlignment="1" applyProtection="1">
      <alignment horizontal="center"/>
      <protection locked="0"/>
    </xf>
    <xf numFmtId="3" fontId="28" fillId="5" borderId="11" xfId="0" applyNumberFormat="1" applyFont="1" applyFill="1" applyBorder="1" applyAlignment="1" applyProtection="1"/>
    <xf numFmtId="3" fontId="28" fillId="41" borderId="11" xfId="0" applyNumberFormat="1" applyFont="1" applyFill="1" applyBorder="1" applyAlignment="1" applyProtection="1">
      <alignment horizontal="right"/>
      <protection locked="0"/>
    </xf>
    <xf numFmtId="3" fontId="71" fillId="0" borderId="0" xfId="0" applyNumberFormat="1" applyFont="1" applyFill="1" applyAlignment="1" applyProtection="1"/>
    <xf numFmtId="3" fontId="0" fillId="34" borderId="0" xfId="0" applyNumberFormat="1" applyFill="1" applyAlignment="1" applyProtection="1"/>
    <xf numFmtId="3" fontId="27" fillId="17" borderId="0" xfId="0" applyNumberFormat="1" applyFont="1" applyFill="1" applyAlignment="1" applyProtection="1">
      <protection locked="0"/>
    </xf>
    <xf numFmtId="49" fontId="24" fillId="14" borderId="5" xfId="0" applyNumberFormat="1" applyFont="1" applyFill="1" applyBorder="1" applyAlignment="1" applyProtection="1">
      <alignment horizontal="center"/>
      <protection locked="0"/>
    </xf>
    <xf numFmtId="49" fontId="24" fillId="14" borderId="0" xfId="0" applyNumberFormat="1" applyFont="1" applyFill="1" applyAlignment="1" applyProtection="1">
      <alignment horizontal="left"/>
      <protection locked="0"/>
    </xf>
    <xf numFmtId="49" fontId="27" fillId="14" borderId="0" xfId="0" applyNumberFormat="1" applyFont="1" applyFill="1" applyAlignment="1" applyProtection="1">
      <alignment horizontal="left"/>
      <protection locked="0"/>
    </xf>
    <xf numFmtId="1" fontId="24" fillId="14" borderId="0" xfId="0" applyNumberFormat="1" applyFont="1" applyFill="1" applyAlignment="1" applyProtection="1">
      <alignment horizontal="center"/>
      <protection locked="0"/>
    </xf>
    <xf numFmtId="49" fontId="31" fillId="14" borderId="0" xfId="0" applyNumberFormat="1" applyFont="1" applyFill="1" applyAlignment="1" applyProtection="1">
      <alignment horizontal="left"/>
      <protection locked="0"/>
    </xf>
    <xf numFmtId="49" fontId="24" fillId="37" borderId="0" xfId="0" applyNumberFormat="1" applyFont="1" applyFill="1" applyAlignment="1" applyProtection="1">
      <protection locked="0"/>
    </xf>
    <xf numFmtId="1" fontId="31" fillId="37" borderId="0" xfId="0" applyNumberFormat="1" applyFont="1" applyFill="1" applyAlignment="1" applyProtection="1">
      <alignment horizontal="center"/>
      <protection locked="0"/>
    </xf>
    <xf numFmtId="0" fontId="24" fillId="37" borderId="0" xfId="0" applyNumberFormat="1" applyFont="1" applyFill="1" applyAlignment="1" applyProtection="1">
      <alignment horizontal="center"/>
      <protection locked="0"/>
    </xf>
    <xf numFmtId="49" fontId="24" fillId="34" borderId="0" xfId="0" applyNumberFormat="1" applyFont="1" applyFill="1" applyAlignment="1" applyProtection="1">
      <alignment horizontal="left"/>
      <protection locked="0"/>
    </xf>
    <xf numFmtId="1" fontId="24" fillId="34" borderId="0" xfId="0" applyNumberFormat="1" applyFont="1" applyFill="1" applyAlignment="1" applyProtection="1">
      <alignment horizontal="center"/>
      <protection locked="0"/>
    </xf>
    <xf numFmtId="49" fontId="31" fillId="12" borderId="0" xfId="0" applyNumberFormat="1" applyFont="1" applyFill="1" applyAlignment="1" applyProtection="1">
      <alignment horizontal="left"/>
      <protection locked="0"/>
    </xf>
    <xf numFmtId="1" fontId="24" fillId="49" borderId="0" xfId="0" applyNumberFormat="1" applyFont="1" applyFill="1" applyAlignment="1" applyProtection="1">
      <alignment horizontal="center"/>
      <protection locked="0"/>
    </xf>
    <xf numFmtId="49" fontId="24" fillId="31" borderId="5" xfId="0" applyNumberFormat="1" applyFont="1" applyFill="1" applyBorder="1" applyAlignment="1" applyProtection="1">
      <alignment horizontal="center"/>
      <protection locked="0"/>
    </xf>
    <xf numFmtId="49" fontId="24" fillId="31" borderId="0" xfId="0" applyNumberFormat="1" applyFont="1" applyFill="1" applyAlignment="1" applyProtection="1">
      <alignment horizontal="left"/>
      <protection locked="0"/>
    </xf>
    <xf numFmtId="49" fontId="27" fillId="31" borderId="0" xfId="0" applyNumberFormat="1" applyFont="1" applyFill="1" applyAlignment="1" applyProtection="1">
      <alignment horizontal="left"/>
      <protection locked="0"/>
    </xf>
    <xf numFmtId="1" fontId="24" fillId="31" borderId="0" xfId="0" applyNumberFormat="1" applyFont="1" applyFill="1" applyAlignment="1" applyProtection="1">
      <alignment horizontal="center"/>
      <protection locked="0"/>
    </xf>
    <xf numFmtId="49" fontId="31" fillId="31" borderId="0" xfId="0" applyNumberFormat="1" applyFont="1" applyFill="1" applyAlignment="1" applyProtection="1">
      <alignment horizontal="left"/>
      <protection locked="0"/>
    </xf>
    <xf numFmtId="1" fontId="31" fillId="31" borderId="0" xfId="0" applyNumberFormat="1" applyFont="1" applyFill="1" applyAlignment="1" applyProtection="1">
      <alignment horizontal="center"/>
      <protection locked="0"/>
    </xf>
    <xf numFmtId="49" fontId="24" fillId="31" borderId="0" xfId="0" applyNumberFormat="1" applyFont="1" applyFill="1" applyAlignment="1" applyProtection="1">
      <alignment horizontal="center"/>
      <protection locked="0"/>
    </xf>
    <xf numFmtId="49" fontId="24" fillId="14" borderId="0" xfId="0" applyNumberFormat="1" applyFont="1" applyFill="1" applyAlignment="1" applyProtection="1">
      <alignment horizontal="center"/>
      <protection locked="0"/>
    </xf>
    <xf numFmtId="0" fontId="24" fillId="14" borderId="0" xfId="0" applyNumberFormat="1" applyFont="1" applyFill="1" applyAlignment="1" applyProtection="1">
      <alignment horizontal="center"/>
      <protection locked="0"/>
    </xf>
    <xf numFmtId="1" fontId="31" fillId="14" borderId="0" xfId="0" applyNumberFormat="1" applyFont="1" applyFill="1" applyAlignment="1" applyProtection="1">
      <alignment horizontal="center"/>
      <protection locked="0"/>
    </xf>
    <xf numFmtId="49" fontId="24" fillId="14" borderId="0" xfId="0" applyNumberFormat="1" applyFont="1" applyFill="1" applyAlignment="1" applyProtection="1">
      <protection locked="0"/>
    </xf>
    <xf numFmtId="164" fontId="24" fillId="14" borderId="0" xfId="0" applyNumberFormat="1" applyFont="1" applyFill="1" applyAlignment="1" applyProtection="1">
      <protection locked="0"/>
    </xf>
    <xf numFmtId="49" fontId="24" fillId="50" borderId="0" xfId="0" applyNumberFormat="1" applyFont="1" applyFill="1" applyAlignment="1" applyProtection="1">
      <alignment horizontal="left"/>
      <protection locked="0"/>
    </xf>
    <xf numFmtId="1" fontId="24" fillId="50" borderId="0" xfId="0" applyNumberFormat="1" applyFont="1" applyFill="1" applyAlignment="1" applyProtection="1">
      <alignment horizontal="center"/>
      <protection locked="0"/>
    </xf>
    <xf numFmtId="165" fontId="32" fillId="5" borderId="37" xfId="0" applyNumberFormat="1" applyFont="1" applyFill="1" applyBorder="1" applyAlignment="1" applyProtection="1">
      <alignment horizontal="center"/>
      <protection locked="0"/>
    </xf>
    <xf numFmtId="165" fontId="32" fillId="0" borderId="11" xfId="20" applyNumberFormat="1" applyFont="1" applyFill="1" applyBorder="1" applyAlignment="1" applyProtection="1">
      <alignment horizontal="center"/>
      <protection locked="0"/>
    </xf>
    <xf numFmtId="49" fontId="24" fillId="31" borderId="0" xfId="0" applyNumberFormat="1" applyFont="1" applyFill="1" applyAlignment="1" applyProtection="1">
      <protection locked="0"/>
    </xf>
    <xf numFmtId="0" fontId="24" fillId="31" borderId="0" xfId="0" applyNumberFormat="1" applyFont="1" applyFill="1" applyAlignment="1" applyProtection="1">
      <protection locked="0"/>
    </xf>
    <xf numFmtId="3" fontId="32" fillId="0" borderId="11" xfId="20" applyNumberFormat="1" applyFont="1" applyFill="1" applyBorder="1" applyAlignment="1" applyProtection="1">
      <alignment horizontal="right"/>
      <protection locked="0"/>
    </xf>
    <xf numFmtId="49" fontId="24" fillId="20" borderId="5" xfId="0" applyNumberFormat="1" applyFont="1" applyFill="1" applyBorder="1" applyAlignment="1" applyProtection="1">
      <alignment horizontal="center"/>
      <protection locked="0"/>
    </xf>
    <xf numFmtId="49" fontId="24" fillId="20" borderId="0" xfId="0" applyNumberFormat="1" applyFont="1" applyFill="1" applyAlignment="1" applyProtection="1">
      <alignment horizontal="left"/>
      <protection locked="0"/>
    </xf>
    <xf numFmtId="49" fontId="27" fillId="20" borderId="0" xfId="0" applyNumberFormat="1" applyFont="1" applyFill="1" applyAlignment="1" applyProtection="1">
      <alignment horizontal="left"/>
      <protection locked="0"/>
    </xf>
    <xf numFmtId="1" fontId="24" fillId="20" borderId="0" xfId="0" applyNumberFormat="1" applyFont="1" applyFill="1" applyAlignment="1" applyProtection="1">
      <alignment horizontal="center"/>
      <protection locked="0"/>
    </xf>
    <xf numFmtId="165" fontId="69" fillId="0" borderId="37" xfId="0" applyNumberFormat="1" applyFont="1" applyFill="1" applyBorder="1" applyAlignment="1" applyProtection="1">
      <alignment horizontal="center"/>
      <protection locked="0"/>
    </xf>
    <xf numFmtId="165" fontId="70" fillId="5" borderId="37" xfId="0" applyNumberFormat="1" applyFont="1" applyFill="1" applyBorder="1" applyAlignment="1" applyProtection="1">
      <alignment horizontal="center"/>
      <protection locked="0"/>
    </xf>
    <xf numFmtId="165" fontId="70" fillId="0" borderId="37" xfId="20" applyNumberFormat="1" applyFont="1" applyFill="1" applyBorder="1" applyAlignment="1" applyProtection="1">
      <alignment horizontal="center"/>
      <protection locked="0"/>
    </xf>
    <xf numFmtId="165" fontId="28" fillId="41" borderId="0" xfId="0" applyNumberFormat="1" applyFont="1" applyFill="1" applyAlignment="1" applyProtection="1"/>
    <xf numFmtId="49" fontId="31" fillId="20" borderId="0" xfId="0" applyNumberFormat="1" applyFont="1" applyFill="1" applyAlignment="1" applyProtection="1">
      <alignment horizontal="left"/>
      <protection locked="0"/>
    </xf>
    <xf numFmtId="3" fontId="24" fillId="20" borderId="0" xfId="0" applyNumberFormat="1" applyFont="1" applyFill="1" applyAlignment="1" applyProtection="1">
      <protection locked="0"/>
    </xf>
    <xf numFmtId="3" fontId="27" fillId="20" borderId="0" xfId="0" applyNumberFormat="1" applyFont="1" applyFill="1" applyAlignment="1" applyProtection="1">
      <protection locked="0"/>
    </xf>
    <xf numFmtId="3" fontId="24" fillId="20" borderId="0" xfId="0" applyNumberFormat="1" applyFont="1" applyFill="1" applyAlignment="1" applyProtection="1">
      <alignment horizontal="center"/>
      <protection locked="0"/>
    </xf>
    <xf numFmtId="1" fontId="24" fillId="51" borderId="0" xfId="0" applyNumberFormat="1" applyFont="1" applyFill="1" applyAlignment="1" applyProtection="1">
      <alignment horizontal="center"/>
      <protection locked="0"/>
    </xf>
    <xf numFmtId="1" fontId="31" fillId="20" borderId="0" xfId="0" applyNumberFormat="1" applyFont="1" applyFill="1" applyAlignment="1" applyProtection="1">
      <alignment horizontal="center"/>
      <protection locked="0"/>
    </xf>
    <xf numFmtId="49" fontId="24" fillId="51" borderId="5" xfId="0" applyNumberFormat="1" applyFont="1" applyFill="1" applyBorder="1" applyAlignment="1" applyProtection="1">
      <alignment horizontal="center"/>
      <protection locked="0"/>
    </xf>
    <xf numFmtId="49" fontId="24" fillId="51" borderId="0" xfId="0" applyNumberFormat="1" applyFont="1" applyFill="1" applyAlignment="1" applyProtection="1">
      <alignment horizontal="left"/>
      <protection locked="0"/>
    </xf>
    <xf numFmtId="49" fontId="27" fillId="51" borderId="0" xfId="0" applyNumberFormat="1" applyFont="1" applyFill="1" applyAlignment="1" applyProtection="1">
      <alignment horizontal="left"/>
      <protection locked="0"/>
    </xf>
    <xf numFmtId="49" fontId="24" fillId="20" borderId="5" xfId="0" applyNumberFormat="1" applyFont="1" applyFill="1" applyBorder="1" applyAlignment="1" applyProtection="1">
      <alignment horizontal="center" vertical="center"/>
      <protection locked="0"/>
    </xf>
    <xf numFmtId="49" fontId="24" fillId="20" borderId="0" xfId="0" applyNumberFormat="1" applyFont="1" applyFill="1" applyAlignment="1" applyProtection="1">
      <alignment horizontal="left" vertical="center"/>
      <protection locked="0"/>
    </xf>
    <xf numFmtId="49" fontId="31" fillId="20" borderId="0" xfId="0" applyNumberFormat="1" applyFont="1" applyFill="1" applyAlignment="1" applyProtection="1">
      <alignment horizontal="left" vertical="center"/>
      <protection locked="0"/>
    </xf>
    <xf numFmtId="1" fontId="24" fillId="20" borderId="0" xfId="0" applyNumberFormat="1" applyFont="1" applyFill="1" applyAlignment="1" applyProtection="1">
      <alignment horizontal="center" vertical="center"/>
      <protection locked="0"/>
    </xf>
    <xf numFmtId="165" fontId="28" fillId="5" borderId="37" xfId="0" applyNumberFormat="1" applyFont="1" applyFill="1" applyBorder="1" applyAlignment="1" applyProtection="1">
      <alignment horizontal="center" vertical="center"/>
      <protection locked="0"/>
    </xf>
    <xf numFmtId="165" fontId="69" fillId="0" borderId="37" xfId="0" applyNumberFormat="1" applyFont="1" applyFill="1" applyBorder="1" applyAlignment="1" applyProtection="1">
      <alignment horizontal="center" vertical="center"/>
      <protection locked="0"/>
    </xf>
    <xf numFmtId="3" fontId="28" fillId="5" borderId="11" xfId="0" applyNumberFormat="1" applyFont="1" applyFill="1" applyBorder="1" applyAlignment="1" applyProtection="1">
      <alignment horizontal="right" vertical="center"/>
      <protection locked="0"/>
    </xf>
    <xf numFmtId="165" fontId="69" fillId="0" borderId="0" xfId="0" applyNumberFormat="1" applyFont="1" applyFill="1" applyAlignment="1" applyProtection="1">
      <alignment vertical="center"/>
    </xf>
    <xf numFmtId="165" fontId="24" fillId="34" borderId="0" xfId="0" applyNumberFormat="1" applyFont="1" applyFill="1" applyAlignment="1" applyProtection="1">
      <alignment vertical="center"/>
    </xf>
    <xf numFmtId="3" fontId="32" fillId="6" borderId="11" xfId="0" applyNumberFormat="1" applyFont="1" applyFill="1" applyBorder="1" applyAlignment="1" applyProtection="1">
      <alignment horizontal="right" vertical="center"/>
    </xf>
    <xf numFmtId="3" fontId="32" fillId="6" borderId="5" xfId="0" applyNumberFormat="1" applyFont="1" applyFill="1" applyBorder="1" applyAlignment="1" applyProtection="1">
      <alignment horizontal="right" vertical="center"/>
    </xf>
    <xf numFmtId="3" fontId="34" fillId="3" borderId="11" xfId="0" applyNumberFormat="1" applyFont="1" applyFill="1" applyBorder="1" applyAlignment="1" applyProtection="1">
      <alignment horizontal="right" vertical="center"/>
    </xf>
    <xf numFmtId="3" fontId="34" fillId="3" borderId="5" xfId="0" applyNumberFormat="1" applyFont="1" applyFill="1" applyBorder="1" applyAlignment="1" applyProtection="1">
      <alignment horizontal="right" vertical="center"/>
    </xf>
    <xf numFmtId="3" fontId="34" fillId="3" borderId="21" xfId="0" applyNumberFormat="1" applyFont="1" applyFill="1" applyBorder="1" applyAlignment="1" applyProtection="1">
      <alignment horizontal="right" vertical="center"/>
    </xf>
    <xf numFmtId="3" fontId="69" fillId="0" borderId="0" xfId="0" applyNumberFormat="1" applyFont="1" applyFill="1" applyAlignment="1" applyProtection="1">
      <alignment vertical="center"/>
    </xf>
    <xf numFmtId="3" fontId="24" fillId="34" borderId="0" xfId="0" applyNumberFormat="1" applyFont="1" applyFill="1" applyAlignment="1" applyProtection="1">
      <alignment vertical="center"/>
    </xf>
    <xf numFmtId="3" fontId="32" fillId="6" borderId="0" xfId="0" applyNumberFormat="1" applyFont="1" applyFill="1" applyAlignment="1" applyProtection="1">
      <alignment horizontal="right" vertical="center"/>
    </xf>
    <xf numFmtId="3" fontId="34" fillId="3" borderId="23" xfId="0" applyNumberFormat="1" applyFont="1" applyFill="1" applyBorder="1" applyAlignment="1" applyProtection="1">
      <alignment horizontal="right" vertical="center"/>
    </xf>
    <xf numFmtId="3" fontId="32" fillId="6" borderId="22" xfId="0" applyNumberFormat="1" applyFont="1" applyFill="1" applyBorder="1" applyAlignment="1" applyProtection="1">
      <alignment horizontal="right" vertical="center"/>
    </xf>
    <xf numFmtId="3" fontId="24" fillId="0" borderId="0" xfId="0" applyNumberFormat="1" applyFont="1" applyFill="1" applyAlignment="1" applyProtection="1">
      <alignment vertical="center"/>
    </xf>
    <xf numFmtId="3" fontId="24" fillId="34" borderId="11" xfId="0" applyNumberFormat="1" applyFont="1" applyFill="1" applyBorder="1" applyAlignment="1" applyProtection="1">
      <alignment horizontal="right" wrapText="1"/>
    </xf>
    <xf numFmtId="3" fontId="24" fillId="0" borderId="11" xfId="0" applyNumberFormat="1" applyFont="1" applyFill="1" applyBorder="1" applyAlignment="1" applyProtection="1">
      <alignment horizontal="right" wrapText="1"/>
    </xf>
    <xf numFmtId="1" fontId="24" fillId="52" borderId="0" xfId="0" applyNumberFormat="1" applyFont="1" applyFill="1" applyAlignment="1" applyProtection="1">
      <alignment horizontal="center"/>
      <protection locked="0"/>
    </xf>
    <xf numFmtId="164" fontId="24" fillId="31" borderId="0" xfId="0" applyNumberFormat="1" applyFont="1" applyFill="1" applyAlignment="1" applyProtection="1">
      <protection locked="0"/>
    </xf>
    <xf numFmtId="3" fontId="37" fillId="0" borderId="0" xfId="0" applyNumberFormat="1" applyFont="1" applyFill="1" applyAlignment="1" applyProtection="1"/>
    <xf numFmtId="49" fontId="24" fillId="53" borderId="0" xfId="0" applyNumberFormat="1" applyFont="1" applyFill="1" applyAlignment="1" applyProtection="1">
      <alignment horizontal="left"/>
      <protection locked="0"/>
    </xf>
    <xf numFmtId="37" fontId="24" fillId="53" borderId="0" xfId="0" applyNumberFormat="1" applyFont="1" applyFill="1" applyAlignment="1" applyProtection="1">
      <protection locked="0"/>
    </xf>
    <xf numFmtId="1" fontId="24" fillId="41" borderId="0" xfId="0" applyNumberFormat="1" applyFont="1" applyFill="1" applyAlignment="1" applyProtection="1">
      <alignment horizontal="center"/>
      <protection locked="0"/>
    </xf>
    <xf numFmtId="49" fontId="24" fillId="40" borderId="0" xfId="0" applyNumberFormat="1" applyFont="1" applyFill="1" applyAlignment="1" applyProtection="1">
      <protection locked="0"/>
    </xf>
    <xf numFmtId="1" fontId="24" fillId="54" borderId="0" xfId="0" applyNumberFormat="1" applyFont="1" applyFill="1" applyAlignment="1" applyProtection="1">
      <alignment horizontal="center"/>
      <protection locked="0"/>
    </xf>
    <xf numFmtId="49" fontId="24" fillId="53" borderId="0" xfId="0" applyNumberFormat="1" applyFont="1" applyFill="1" applyAlignment="1" applyProtection="1">
      <protection locked="0"/>
    </xf>
    <xf numFmtId="49" fontId="24" fillId="29" borderId="0" xfId="0" applyNumberFormat="1" applyFont="1" applyFill="1" applyAlignment="1" applyProtection="1">
      <protection locked="0"/>
    </xf>
    <xf numFmtId="3" fontId="24" fillId="40" borderId="0" xfId="0" applyNumberFormat="1" applyFont="1" applyFill="1" applyAlignment="1" applyProtection="1">
      <protection locked="0"/>
    </xf>
    <xf numFmtId="49" fontId="24" fillId="55" borderId="0" xfId="0" applyNumberFormat="1" applyFont="1" applyFill="1" applyAlignment="1" applyProtection="1">
      <protection locked="0"/>
    </xf>
    <xf numFmtId="49" fontId="24" fillId="23" borderId="0" xfId="0" applyNumberFormat="1" applyFont="1" applyFill="1" applyAlignment="1" applyProtection="1">
      <protection locked="0"/>
    </xf>
    <xf numFmtId="1" fontId="31" fillId="40" borderId="0" xfId="0" applyNumberFormat="1" applyFont="1" applyFill="1" applyAlignment="1" applyProtection="1">
      <alignment horizontal="center"/>
      <protection locked="0"/>
    </xf>
    <xf numFmtId="49" fontId="24" fillId="56" borderId="0" xfId="0" applyNumberFormat="1" applyFont="1" applyFill="1" applyAlignment="1" applyProtection="1">
      <protection locked="0"/>
    </xf>
    <xf numFmtId="49" fontId="24" fillId="57" borderId="0" xfId="0" applyNumberFormat="1" applyFont="1" applyFill="1" applyAlignment="1" applyProtection="1">
      <protection locked="0"/>
    </xf>
    <xf numFmtId="49" fontId="24" fillId="58" borderId="0" xfId="0" applyNumberFormat="1" applyFont="1" applyFill="1" applyAlignment="1" applyProtection="1">
      <protection locked="0"/>
    </xf>
    <xf numFmtId="0" fontId="24" fillId="34" borderId="0" xfId="0" applyNumberFormat="1" applyFont="1" applyFill="1" applyAlignment="1" applyProtection="1">
      <alignment horizontal="center"/>
      <protection locked="0"/>
    </xf>
    <xf numFmtId="165" fontId="28" fillId="5" borderId="11" xfId="0" applyNumberFormat="1" applyFont="1" applyFill="1" applyBorder="1" applyAlignment="1" applyProtection="1">
      <alignment horizontal="right"/>
      <protection locked="0"/>
    </xf>
    <xf numFmtId="3" fontId="69" fillId="0" borderId="11" xfId="0" applyNumberFormat="1" applyFont="1" applyFill="1" applyBorder="1" applyAlignment="1" applyProtection="1">
      <alignment horizontal="right"/>
    </xf>
    <xf numFmtId="3" fontId="24" fillId="34" borderId="11" xfId="0" applyNumberFormat="1" applyFont="1" applyFill="1" applyBorder="1" applyAlignment="1" applyProtection="1">
      <alignment horizontal="right"/>
    </xf>
    <xf numFmtId="165" fontId="69" fillId="0" borderId="11" xfId="0" applyNumberFormat="1" applyFont="1" applyFill="1" applyBorder="1" applyAlignment="1" applyProtection="1">
      <alignment horizontal="right"/>
    </xf>
    <xf numFmtId="49" fontId="27" fillId="55" borderId="0" xfId="0" applyNumberFormat="1" applyFont="1" applyFill="1" applyAlignment="1" applyProtection="1">
      <protection locked="0"/>
    </xf>
    <xf numFmtId="49" fontId="24" fillId="34" borderId="0" xfId="0" applyNumberFormat="1" applyFont="1" applyFill="1" applyAlignment="1" applyProtection="1">
      <alignment horizontal="center"/>
      <protection locked="0"/>
    </xf>
    <xf numFmtId="165" fontId="32" fillId="5" borderId="11" xfId="0" applyNumberFormat="1" applyFont="1" applyFill="1" applyBorder="1" applyAlignment="1" applyProtection="1">
      <alignment horizontal="right"/>
      <protection locked="0"/>
    </xf>
    <xf numFmtId="3" fontId="32" fillId="0" borderId="11" xfId="20" applyNumberFormat="1" applyFont="1" applyFill="1" applyBorder="1" applyAlignment="1" applyProtection="1">
      <alignment horizontal="right"/>
    </xf>
    <xf numFmtId="49" fontId="27" fillId="29" borderId="0" xfId="0" applyNumberFormat="1" applyFont="1" applyFill="1" applyAlignment="1" applyProtection="1">
      <protection locked="0"/>
    </xf>
    <xf numFmtId="49" fontId="27" fillId="56" borderId="0" xfId="0" applyNumberFormat="1" applyFont="1" applyFill="1" applyAlignment="1" applyProtection="1">
      <protection locked="0"/>
    </xf>
    <xf numFmtId="49" fontId="27" fillId="23" borderId="0" xfId="0" applyNumberFormat="1" applyFont="1" applyFill="1" applyAlignment="1" applyProtection="1">
      <protection locked="0"/>
    </xf>
    <xf numFmtId="49" fontId="27" fillId="57" borderId="0" xfId="0" applyNumberFormat="1" applyFont="1" applyFill="1" applyAlignment="1" applyProtection="1">
      <protection locked="0"/>
    </xf>
    <xf numFmtId="49" fontId="27" fillId="58" borderId="0" xfId="0" applyNumberFormat="1" applyFont="1" applyFill="1" applyAlignment="1" applyProtection="1">
      <protection locked="0"/>
    </xf>
    <xf numFmtId="3" fontId="69" fillId="34" borderId="11" xfId="0" applyNumberFormat="1" applyFont="1" applyFill="1" applyBorder="1" applyAlignment="1" applyProtection="1">
      <alignment horizontal="right"/>
      <protection locked="0"/>
    </xf>
    <xf numFmtId="0" fontId="24" fillId="31" borderId="0" xfId="0" applyNumberFormat="1" applyFont="1" applyFill="1" applyAlignment="1" applyProtection="1">
      <alignment horizontal="center"/>
      <protection locked="0"/>
    </xf>
    <xf numFmtId="3" fontId="24" fillId="0" borderId="0" xfId="0" applyFont="1" applyFill="1" applyBorder="1"/>
    <xf numFmtId="3" fontId="24" fillId="0" borderId="0" xfId="0" applyFont="1" applyFill="1"/>
    <xf numFmtId="3" fontId="24" fillId="0" borderId="44" xfId="0" applyFont="1" applyFill="1" applyBorder="1"/>
    <xf numFmtId="3" fontId="24" fillId="62" borderId="0" xfId="0" applyFont="1" applyFill="1" applyBorder="1"/>
    <xf numFmtId="165" fontId="24" fillId="0" borderId="45" xfId="0" applyNumberFormat="1" applyFont="1" applyFill="1" applyBorder="1"/>
    <xf numFmtId="165" fontId="24" fillId="0" borderId="46" xfId="0" applyNumberFormat="1" applyFont="1" applyFill="1" applyBorder="1"/>
    <xf numFmtId="165" fontId="24" fillId="0" borderId="47" xfId="0" applyNumberFormat="1" applyFont="1" applyFill="1" applyBorder="1"/>
    <xf numFmtId="165" fontId="24" fillId="0" borderId="48" xfId="0" applyNumberFormat="1" applyFont="1" applyFill="1" applyBorder="1"/>
    <xf numFmtId="165" fontId="24" fillId="62" borderId="45" xfId="0" applyNumberFormat="1" applyFont="1" applyFill="1" applyBorder="1"/>
    <xf numFmtId="165" fontId="24" fillId="62" borderId="47" xfId="0" applyNumberFormat="1" applyFont="1" applyFill="1" applyBorder="1"/>
    <xf numFmtId="165" fontId="24" fillId="0" borderId="41" xfId="0" applyNumberFormat="1" applyFont="1" applyFill="1" applyBorder="1"/>
    <xf numFmtId="165" fontId="24" fillId="0" borderId="42" xfId="0" applyNumberFormat="1" applyFont="1" applyFill="1" applyBorder="1"/>
    <xf numFmtId="165" fontId="24" fillId="0" borderId="0" xfId="0" applyNumberFormat="1" applyFont="1" applyFill="1" applyBorder="1"/>
    <xf numFmtId="3" fontId="0" fillId="0" borderId="0" xfId="0" applyFill="1"/>
    <xf numFmtId="165" fontId="24" fillId="0" borderId="49" xfId="0" applyNumberFormat="1" applyFont="1" applyFill="1" applyBorder="1" applyAlignment="1"/>
    <xf numFmtId="165" fontId="24" fillId="0" borderId="45" xfId="0" applyNumberFormat="1" applyFont="1" applyFill="1" applyBorder="1" applyAlignment="1"/>
    <xf numFmtId="165" fontId="24" fillId="0" borderId="49" xfId="0" applyNumberFormat="1" applyFont="1" applyFill="1" applyBorder="1"/>
    <xf numFmtId="165" fontId="24" fillId="0" borderId="49" xfId="0" applyNumberFormat="1" applyFont="1" applyFill="1" applyBorder="1" applyAlignment="1">
      <alignment wrapText="1"/>
    </xf>
    <xf numFmtId="165" fontId="24" fillId="62" borderId="49" xfId="0" applyNumberFormat="1" applyFont="1" applyFill="1" applyBorder="1"/>
    <xf numFmtId="165" fontId="24" fillId="62" borderId="50" xfId="0" applyNumberFormat="1" applyFont="1" applyFill="1" applyBorder="1"/>
    <xf numFmtId="165" fontId="24" fillId="0" borderId="40" xfId="0" applyNumberFormat="1" applyFont="1" applyFill="1" applyBorder="1"/>
    <xf numFmtId="165" fontId="24" fillId="0" borderId="51" xfId="0" applyNumberFormat="1" applyFont="1" applyFill="1" applyBorder="1"/>
    <xf numFmtId="165" fontId="24" fillId="0" borderId="50" xfId="0" applyNumberFormat="1" applyFont="1" applyFill="1" applyBorder="1"/>
    <xf numFmtId="165" fontId="24" fillId="0" borderId="52" xfId="0" applyNumberFormat="1" applyFont="1" applyFill="1" applyBorder="1"/>
    <xf numFmtId="165" fontId="24" fillId="0" borderId="53" xfId="0" applyNumberFormat="1" applyFont="1" applyFill="1" applyBorder="1"/>
    <xf numFmtId="165" fontId="24" fillId="0" borderId="54" xfId="0" applyNumberFormat="1" applyFont="1" applyFill="1" applyBorder="1" applyAlignment="1">
      <alignment wrapText="1"/>
    </xf>
    <xf numFmtId="165" fontId="24" fillId="0" borderId="52" xfId="0" applyNumberFormat="1" applyFont="1" applyFill="1" applyBorder="1" applyAlignment="1">
      <alignment horizontal="right"/>
    </xf>
    <xf numFmtId="165" fontId="24" fillId="0" borderId="53" xfId="0" applyNumberFormat="1" applyFont="1" applyFill="1" applyBorder="1" applyAlignment="1">
      <alignment horizontal="right"/>
    </xf>
    <xf numFmtId="165" fontId="24" fillId="0" borderId="2" xfId="0" applyNumberFormat="1" applyFont="1" applyFill="1" applyBorder="1"/>
    <xf numFmtId="165" fontId="24" fillId="62" borderId="2" xfId="0" applyNumberFormat="1" applyFont="1" applyFill="1" applyBorder="1"/>
    <xf numFmtId="165" fontId="24" fillId="62" borderId="52" xfId="0" applyNumberFormat="1" applyFont="1" applyFill="1" applyBorder="1"/>
    <xf numFmtId="165" fontId="24" fillId="62" borderId="54" xfId="0" applyNumberFormat="1" applyFont="1" applyFill="1" applyBorder="1"/>
    <xf numFmtId="165" fontId="24" fillId="62" borderId="55" xfId="0" applyNumberFormat="1" applyFont="1" applyFill="1" applyBorder="1"/>
    <xf numFmtId="165" fontId="24" fillId="0" borderId="56" xfId="0" applyNumberFormat="1" applyFont="1" applyFill="1" applyBorder="1"/>
    <xf numFmtId="165" fontId="27" fillId="0" borderId="49" xfId="0" applyNumberFormat="1" applyFont="1" applyFill="1" applyBorder="1" applyAlignment="1"/>
    <xf numFmtId="165" fontId="24" fillId="62" borderId="57" xfId="0" applyNumberFormat="1" applyFont="1" applyFill="1" applyBorder="1"/>
    <xf numFmtId="165" fontId="27" fillId="0" borderId="2" xfId="0" applyNumberFormat="1" applyFont="1" applyFill="1" applyBorder="1" applyAlignment="1"/>
    <xf numFmtId="165" fontId="24" fillId="0" borderId="58" xfId="0" applyNumberFormat="1" applyFont="1" applyFill="1" applyBorder="1"/>
    <xf numFmtId="165" fontId="24" fillId="0" borderId="59" xfId="0" applyNumberFormat="1" applyFont="1" applyFill="1" applyBorder="1"/>
    <xf numFmtId="165" fontId="24" fillId="0" borderId="0" xfId="0" applyNumberFormat="1" applyFont="1" applyFill="1"/>
    <xf numFmtId="165" fontId="24" fillId="62" borderId="59" xfId="0" applyNumberFormat="1" applyFont="1" applyFill="1" applyBorder="1"/>
    <xf numFmtId="165" fontId="24" fillId="62" borderId="60" xfId="0" applyNumberFormat="1" applyFont="1" applyFill="1" applyBorder="1"/>
    <xf numFmtId="165" fontId="24" fillId="0" borderId="61" xfId="0" applyNumberFormat="1" applyFont="1" applyFill="1" applyBorder="1"/>
    <xf numFmtId="165" fontId="24" fillId="0" borderId="62" xfId="0" applyNumberFormat="1" applyFont="1" applyFill="1" applyBorder="1"/>
    <xf numFmtId="171" fontId="27" fillId="0" borderId="58" xfId="0" applyNumberFormat="1" applyFont="1" applyFill="1" applyBorder="1" applyAlignment="1">
      <alignment horizontal="right"/>
    </xf>
    <xf numFmtId="172" fontId="27" fillId="0" borderId="59" xfId="0" applyNumberFormat="1" applyFont="1" applyFill="1" applyBorder="1" applyAlignment="1">
      <alignment horizontal="right"/>
    </xf>
    <xf numFmtId="172" fontId="27" fillId="0" borderId="0" xfId="0" applyNumberFormat="1" applyFont="1" applyFill="1" applyAlignment="1">
      <alignment horizontal="right"/>
    </xf>
    <xf numFmtId="172" fontId="27" fillId="0" borderId="63" xfId="0" applyNumberFormat="1" applyFont="1" applyFill="1" applyBorder="1" applyAlignment="1">
      <alignment horizontal="right"/>
    </xf>
    <xf numFmtId="172" fontId="27" fillId="62" borderId="59" xfId="0" applyNumberFormat="1" applyFont="1" applyFill="1" applyBorder="1" applyAlignment="1">
      <alignment horizontal="right"/>
    </xf>
    <xf numFmtId="172" fontId="27" fillId="62" borderId="60" xfId="0" applyNumberFormat="1" applyFont="1" applyFill="1" applyBorder="1" applyAlignment="1">
      <alignment horizontal="right"/>
    </xf>
    <xf numFmtId="171" fontId="27" fillId="0" borderId="61" xfId="0" applyNumberFormat="1" applyFont="1" applyFill="1" applyBorder="1" applyAlignment="1">
      <alignment horizontal="right"/>
    </xf>
    <xf numFmtId="171" fontId="27" fillId="0" borderId="62" xfId="0" applyNumberFormat="1" applyFont="1" applyFill="1" applyBorder="1" applyAlignment="1">
      <alignment horizontal="right"/>
    </xf>
    <xf numFmtId="172" fontId="27" fillId="0" borderId="0" xfId="0" applyNumberFormat="1" applyFont="1" applyFill="1" applyBorder="1" applyAlignment="1">
      <alignment horizontal="right"/>
    </xf>
    <xf numFmtId="165" fontId="24" fillId="0" borderId="63" xfId="0" applyNumberFormat="1" applyFont="1" applyFill="1" applyBorder="1"/>
    <xf numFmtId="165" fontId="24" fillId="62" borderId="58" xfId="0" applyNumberFormat="1" applyFont="1" applyFill="1" applyBorder="1"/>
    <xf numFmtId="165" fontId="27" fillId="0" borderId="54" xfId="0" applyNumberFormat="1" applyFont="1" applyFill="1" applyBorder="1" applyAlignment="1"/>
    <xf numFmtId="165" fontId="27" fillId="0" borderId="64" xfId="0" applyNumberFormat="1" applyFont="1" applyFill="1" applyBorder="1" applyAlignment="1">
      <alignment horizontal="right"/>
    </xf>
    <xf numFmtId="43" fontId="24" fillId="0" borderId="0" xfId="0" applyNumberFormat="1" applyFont="1" applyFill="1"/>
    <xf numFmtId="43" fontId="24" fillId="0" borderId="59" xfId="0" applyNumberFormat="1" applyFont="1" applyFill="1" applyBorder="1"/>
    <xf numFmtId="171" fontId="79" fillId="0" borderId="0" xfId="0" applyNumberFormat="1" applyFont="1" applyFill="1" applyBorder="1" applyAlignment="1"/>
    <xf numFmtId="3" fontId="79" fillId="0" borderId="0" xfId="0" applyNumberFormat="1" applyFont="1" applyFill="1" applyBorder="1" applyAlignment="1"/>
    <xf numFmtId="3" fontId="31" fillId="0" borderId="0" xfId="0" applyFont="1" applyFill="1" applyBorder="1"/>
    <xf numFmtId="171" fontId="31" fillId="0" borderId="0" xfId="0" applyNumberFormat="1" applyFont="1" applyFill="1" applyBorder="1" applyAlignment="1"/>
    <xf numFmtId="165" fontId="24" fillId="0" borderId="57" xfId="0" applyNumberFormat="1" applyFont="1" applyFill="1" applyBorder="1"/>
    <xf numFmtId="165" fontId="24" fillId="0" borderId="60" xfId="0" applyNumberFormat="1" applyFont="1" applyFill="1" applyBorder="1"/>
    <xf numFmtId="172" fontId="27" fillId="0" borderId="60" xfId="0" applyNumberFormat="1" applyFont="1" applyFill="1" applyBorder="1" applyAlignment="1">
      <alignment horizontal="right"/>
    </xf>
    <xf numFmtId="171" fontId="27" fillId="0" borderId="40" xfId="0" applyNumberFormat="1" applyFont="1" applyFill="1" applyBorder="1" applyAlignment="1"/>
    <xf numFmtId="171" fontId="27" fillId="0" borderId="51" xfId="0" applyNumberFormat="1" applyFont="1" applyFill="1" applyBorder="1" applyAlignment="1"/>
    <xf numFmtId="171" fontId="27" fillId="0" borderId="40" xfId="0" applyNumberFormat="1" applyFont="1" applyFill="1" applyBorder="1" applyAlignment="1">
      <alignment horizontal="right"/>
    </xf>
    <xf numFmtId="171" fontId="27" fillId="0" borderId="51" xfId="0" applyNumberFormat="1" applyFont="1" applyFill="1" applyBorder="1" applyAlignment="1">
      <alignment horizontal="right"/>
    </xf>
    <xf numFmtId="165" fontId="24" fillId="0" borderId="65" xfId="0" applyNumberFormat="1" applyFont="1" applyFill="1" applyBorder="1"/>
    <xf numFmtId="165" fontId="24" fillId="0" borderId="66" xfId="0" applyNumberFormat="1" applyFont="1" applyFill="1" applyBorder="1"/>
    <xf numFmtId="3" fontId="24" fillId="0" borderId="67" xfId="0" applyFont="1" applyFill="1" applyBorder="1"/>
    <xf numFmtId="3" fontId="24" fillId="0" borderId="0" xfId="0" applyFont="1" applyFill="1" applyBorder="1" applyAlignment="1"/>
    <xf numFmtId="3" fontId="80" fillId="0" borderId="0" xfId="0" applyFont="1" applyFill="1"/>
    <xf numFmtId="171" fontId="24" fillId="0" borderId="0" xfId="0" applyNumberFormat="1" applyFont="1" applyFill="1"/>
    <xf numFmtId="3" fontId="24" fillId="0" borderId="0" xfId="0" applyFont="1"/>
    <xf numFmtId="3" fontId="24" fillId="0" borderId="49" xfId="0" applyFont="1" applyFill="1" applyBorder="1"/>
    <xf numFmtId="3" fontId="24" fillId="0" borderId="45" xfId="0" applyFont="1" applyFill="1" applyBorder="1"/>
    <xf numFmtId="3" fontId="24" fillId="62" borderId="45" xfId="0" applyFont="1" applyFill="1" applyBorder="1"/>
    <xf numFmtId="3" fontId="24" fillId="62" borderId="47" xfId="0" applyFont="1" applyFill="1" applyBorder="1"/>
    <xf numFmtId="3" fontId="24" fillId="0" borderId="41" xfId="0" applyFont="1" applyFill="1" applyBorder="1"/>
    <xf numFmtId="3" fontId="24" fillId="0" borderId="42" xfId="0" applyFont="1" applyFill="1" applyBorder="1"/>
    <xf numFmtId="3" fontId="24" fillId="0" borderId="2" xfId="0" applyFont="1" applyFill="1" applyBorder="1"/>
    <xf numFmtId="3" fontId="24" fillId="0" borderId="43" xfId="0" applyFont="1" applyFill="1" applyBorder="1"/>
    <xf numFmtId="3" fontId="24" fillId="62" borderId="49" xfId="0" applyFont="1" applyFill="1" applyBorder="1"/>
    <xf numFmtId="3" fontId="24" fillId="62" borderId="50" xfId="0" applyFont="1" applyFill="1" applyBorder="1"/>
    <xf numFmtId="3" fontId="24" fillId="0" borderId="40" xfId="0" applyFont="1" applyBorder="1"/>
    <xf numFmtId="3" fontId="24" fillId="0" borderId="51" xfId="0" applyFont="1" applyBorder="1"/>
    <xf numFmtId="3" fontId="24" fillId="0" borderId="48" xfId="0" applyFont="1" applyFill="1" applyBorder="1"/>
    <xf numFmtId="3" fontId="24" fillId="62" borderId="2" xfId="0" applyFont="1" applyFill="1" applyBorder="1"/>
    <xf numFmtId="3" fontId="24" fillId="62" borderId="55" xfId="0" applyFont="1" applyFill="1" applyBorder="1"/>
    <xf numFmtId="3" fontId="24" fillId="0" borderId="56" xfId="0" applyFont="1" applyBorder="1"/>
    <xf numFmtId="3" fontId="27" fillId="0" borderId="49" xfId="0" applyFont="1" applyFill="1" applyBorder="1"/>
    <xf numFmtId="3" fontId="24" fillId="0" borderId="49" xfId="0" applyNumberFormat="1" applyFont="1" applyFill="1" applyBorder="1"/>
    <xf numFmtId="3" fontId="24" fillId="0" borderId="48" xfId="0" applyNumberFormat="1" applyFont="1" applyFill="1" applyBorder="1"/>
    <xf numFmtId="3" fontId="24" fillId="62" borderId="49" xfId="0" applyNumberFormat="1" applyFont="1" applyFill="1" applyBorder="1"/>
    <xf numFmtId="3" fontId="24" fillId="62" borderId="50" xfId="0" applyNumberFormat="1" applyFont="1" applyFill="1" applyBorder="1"/>
    <xf numFmtId="3" fontId="24" fillId="0" borderId="40" xfId="0" applyNumberFormat="1" applyFont="1" applyBorder="1"/>
    <xf numFmtId="3" fontId="24" fillId="0" borderId="51" xfId="0" applyNumberFormat="1" applyFont="1" applyBorder="1"/>
    <xf numFmtId="3" fontId="27" fillId="0" borderId="2" xfId="0" applyFont="1" applyFill="1" applyBorder="1"/>
    <xf numFmtId="3" fontId="24" fillId="0" borderId="59" xfId="0" applyFont="1" applyFill="1" applyBorder="1"/>
    <xf numFmtId="3" fontId="24" fillId="0" borderId="59" xfId="0" applyNumberFormat="1" applyFont="1" applyFill="1" applyBorder="1"/>
    <xf numFmtId="3" fontId="24" fillId="0" borderId="0" xfId="0" applyNumberFormat="1" applyFont="1" applyFill="1"/>
    <xf numFmtId="3" fontId="24" fillId="62" borderId="59" xfId="0" applyNumberFormat="1" applyFont="1" applyFill="1" applyBorder="1"/>
    <xf numFmtId="3" fontId="24" fillId="62" borderId="58" xfId="0" applyNumberFormat="1" applyFont="1" applyFill="1" applyBorder="1"/>
    <xf numFmtId="3" fontId="24" fillId="0" borderId="61" xfId="0" applyNumberFormat="1" applyFont="1" applyBorder="1"/>
    <xf numFmtId="3" fontId="24" fillId="0" borderId="62" xfId="0" applyNumberFormat="1" applyFont="1" applyBorder="1"/>
    <xf numFmtId="172" fontId="27" fillId="0" borderId="59" xfId="0" applyNumberFormat="1" applyFont="1" applyFill="1" applyBorder="1"/>
    <xf numFmtId="172" fontId="27" fillId="0" borderId="0" xfId="0" applyNumberFormat="1" applyFont="1" applyFill="1"/>
    <xf numFmtId="172" fontId="27" fillId="62" borderId="59" xfId="0" applyNumberFormat="1" applyFont="1" applyFill="1" applyBorder="1"/>
    <xf numFmtId="172" fontId="27" fillId="62" borderId="58" xfId="0" applyNumberFormat="1" applyFont="1" applyFill="1" applyBorder="1"/>
    <xf numFmtId="172" fontId="27" fillId="0" borderId="68" xfId="0" applyNumberFormat="1" applyFont="1" applyFill="1" applyBorder="1"/>
    <xf numFmtId="172" fontId="27" fillId="62" borderId="68" xfId="0" applyNumberFormat="1" applyFont="1" applyFill="1" applyBorder="1"/>
    <xf numFmtId="172" fontId="27" fillId="62" borderId="64" xfId="0" applyNumberFormat="1" applyFont="1" applyFill="1" applyBorder="1"/>
    <xf numFmtId="3" fontId="27" fillId="0" borderId="54" xfId="0" applyFont="1" applyFill="1" applyBorder="1"/>
    <xf numFmtId="3" fontId="31" fillId="0" borderId="59" xfId="0" applyFont="1" applyFill="1" applyBorder="1"/>
    <xf numFmtId="172" fontId="31" fillId="0" borderId="69" xfId="0" applyNumberFormat="1" applyFont="1" applyFill="1" applyBorder="1"/>
    <xf numFmtId="172" fontId="31" fillId="0" borderId="67" xfId="0" applyNumberFormat="1" applyFont="1" applyFill="1" applyBorder="1"/>
    <xf numFmtId="172" fontId="31" fillId="62" borderId="69" xfId="0" applyNumberFormat="1" applyFont="1" applyFill="1" applyBorder="1"/>
    <xf numFmtId="172" fontId="31" fillId="62" borderId="70" xfId="0" applyNumberFormat="1" applyFont="1" applyFill="1" applyBorder="1"/>
    <xf numFmtId="172" fontId="27" fillId="0" borderId="40" xfId="0" applyNumberFormat="1" applyFont="1" applyBorder="1"/>
    <xf numFmtId="172" fontId="27" fillId="0" borderId="51" xfId="0" applyNumberFormat="1" applyFont="1" applyBorder="1"/>
    <xf numFmtId="3" fontId="24" fillId="0" borderId="65" xfId="0" applyNumberFormat="1" applyFont="1" applyBorder="1"/>
    <xf numFmtId="3" fontId="24" fillId="0" borderId="66" xfId="0" applyNumberFormat="1" applyFont="1" applyBorder="1"/>
    <xf numFmtId="3" fontId="70" fillId="8" borderId="59" xfId="0" applyFont="1" applyFill="1" applyBorder="1"/>
    <xf numFmtId="37" fontId="26" fillId="0" borderId="0" xfId="0" applyNumberFormat="1" applyFont="1" applyAlignment="1" applyProtection="1">
      <alignment horizontal="centerContinuous"/>
    </xf>
    <xf numFmtId="3" fontId="82" fillId="0" borderId="0" xfId="0" applyFont="1" applyAlignment="1">
      <alignment horizontal="centerContinuous"/>
    </xf>
    <xf numFmtId="3" fontId="82" fillId="0" borderId="0" xfId="0" applyFont="1" applyFill="1" applyAlignment="1">
      <alignment horizontal="centerContinuous"/>
    </xf>
    <xf numFmtId="3" fontId="82" fillId="0" borderId="0" xfId="0" applyFont="1" applyFill="1" applyBorder="1" applyAlignment="1">
      <alignment horizontal="centerContinuous"/>
    </xf>
    <xf numFmtId="3" fontId="25" fillId="0" borderId="0" xfId="0" applyFont="1" applyAlignment="1">
      <alignment horizontal="centerContinuous"/>
    </xf>
    <xf numFmtId="3" fontId="24" fillId="0" borderId="0" xfId="0" applyFont="1" applyAlignment="1">
      <alignment horizontal="centerContinuous"/>
    </xf>
    <xf numFmtId="3" fontId="83" fillId="0" borderId="0" xfId="0" applyFont="1" applyAlignment="1">
      <alignment horizontal="centerContinuous"/>
    </xf>
    <xf numFmtId="3" fontId="83" fillId="0" borderId="0" xfId="0" applyFont="1" applyFill="1" applyAlignment="1">
      <alignment horizontal="centerContinuous"/>
    </xf>
    <xf numFmtId="3" fontId="83" fillId="0" borderId="0" xfId="0" applyFont="1" applyFill="1" applyBorder="1" applyAlignment="1">
      <alignment horizontal="centerContinuous"/>
    </xf>
    <xf numFmtId="3" fontId="84" fillId="0" borderId="0" xfId="0" applyFont="1" applyAlignment="1">
      <alignment horizontal="centerContinuous"/>
    </xf>
    <xf numFmtId="37" fontId="83" fillId="0" borderId="0" xfId="0" applyNumberFormat="1" applyFont="1" applyFill="1" applyAlignment="1" applyProtection="1">
      <alignment horizontal="centerContinuous"/>
    </xf>
    <xf numFmtId="3" fontId="24" fillId="0" borderId="0" xfId="0" applyFont="1" applyFill="1" applyAlignment="1">
      <alignment horizontal="centerContinuous"/>
    </xf>
    <xf numFmtId="3" fontId="24" fillId="0" borderId="0" xfId="0" applyFont="1" applyFill="1" applyBorder="1" applyAlignment="1">
      <alignment horizontal="centerContinuous"/>
    </xf>
    <xf numFmtId="3" fontId="85" fillId="0" borderId="0" xfId="0" applyFont="1" applyAlignment="1">
      <alignment horizontal="centerContinuous"/>
    </xf>
    <xf numFmtId="3" fontId="24" fillId="0" borderId="0" xfId="0" applyNumberFormat="1" applyFont="1"/>
    <xf numFmtId="3" fontId="24" fillId="0" borderId="0" xfId="0" applyNumberFormat="1" applyFont="1" applyFill="1" applyBorder="1"/>
    <xf numFmtId="3" fontId="69" fillId="0" borderId="0" xfId="0" applyFont="1"/>
    <xf numFmtId="3" fontId="31" fillId="0" borderId="0" xfId="0" applyFont="1"/>
    <xf numFmtId="37" fontId="27" fillId="0" borderId="48" xfId="0" applyNumberFormat="1" applyFont="1" applyBorder="1" applyAlignment="1" applyProtection="1">
      <alignment horizontal="centerContinuous"/>
    </xf>
    <xf numFmtId="37" fontId="86" fillId="0" borderId="71" xfId="0" applyNumberFormat="1" applyFont="1" applyBorder="1" applyAlignment="1" applyProtection="1">
      <alignment horizontal="centerContinuous"/>
    </xf>
    <xf numFmtId="3" fontId="87" fillId="0" borderId="71" xfId="0" applyFont="1" applyBorder="1" applyAlignment="1">
      <alignment horizontal="centerContinuous"/>
    </xf>
    <xf numFmtId="3" fontId="87" fillId="0" borderId="48" xfId="0" applyFont="1" applyFill="1" applyBorder="1" applyAlignment="1">
      <alignment horizontal="centerContinuous"/>
    </xf>
    <xf numFmtId="3" fontId="87" fillId="0" borderId="53" xfId="0" applyFont="1" applyFill="1" applyBorder="1" applyAlignment="1">
      <alignment horizontal="centerContinuous"/>
    </xf>
    <xf numFmtId="3" fontId="32" fillId="0" borderId="0" xfId="0" applyFont="1"/>
    <xf numFmtId="37" fontId="27" fillId="0" borderId="53" xfId="0" applyNumberFormat="1" applyFont="1" applyBorder="1" applyAlignment="1" applyProtection="1">
      <alignment horizontal="center"/>
    </xf>
    <xf numFmtId="37" fontId="86" fillId="0" borderId="53" xfId="0" applyNumberFormat="1" applyFont="1" applyBorder="1" applyAlignment="1" applyProtection="1">
      <alignment horizontal="centerContinuous"/>
    </xf>
    <xf numFmtId="37" fontId="86" fillId="0" borderId="72" xfId="0" applyNumberFormat="1" applyFont="1" applyBorder="1" applyAlignment="1" applyProtection="1">
      <alignment horizontal="centerContinuous"/>
    </xf>
    <xf numFmtId="37" fontId="86" fillId="0" borderId="73" xfId="0" applyNumberFormat="1" applyFont="1" applyBorder="1" applyAlignment="1" applyProtection="1">
      <alignment horizontal="centerContinuous" wrapText="1"/>
    </xf>
    <xf numFmtId="37" fontId="86" fillId="0" borderId="73" xfId="0" applyNumberFormat="1" applyFont="1" applyFill="1" applyBorder="1" applyAlignment="1" applyProtection="1">
      <alignment horizontal="centerContinuous" wrapText="1"/>
    </xf>
    <xf numFmtId="37" fontId="24" fillId="0" borderId="0" xfId="0" quotePrefix="1" applyNumberFormat="1" applyFont="1" applyAlignment="1">
      <alignment horizontal="left"/>
    </xf>
    <xf numFmtId="3" fontId="24" fillId="0" borderId="73" xfId="0" applyFont="1" applyBorder="1"/>
    <xf numFmtId="3" fontId="24" fillId="0" borderId="74" xfId="0" applyFont="1" applyBorder="1"/>
    <xf numFmtId="3" fontId="24" fillId="0" borderId="75" xfId="0" applyFont="1" applyBorder="1" applyAlignment="1">
      <alignment horizontal="center"/>
    </xf>
    <xf numFmtId="37" fontId="27" fillId="0" borderId="73" xfId="0" applyNumberFormat="1" applyFont="1" applyBorder="1" applyAlignment="1" applyProtection="1">
      <alignment horizontal="center"/>
    </xf>
    <xf numFmtId="37" fontId="86" fillId="0" borderId="73" xfId="0" applyNumberFormat="1" applyFont="1" applyBorder="1" applyAlignment="1" applyProtection="1">
      <alignment horizontal="center"/>
    </xf>
    <xf numFmtId="37" fontId="86" fillId="0" borderId="73" xfId="0" applyNumberFormat="1" applyFont="1" applyBorder="1" applyAlignment="1" applyProtection="1">
      <alignment horizontal="center" wrapText="1"/>
    </xf>
    <xf numFmtId="37" fontId="86" fillId="0" borderId="74" xfId="0" applyNumberFormat="1" applyFont="1" applyBorder="1" applyAlignment="1" applyProtection="1">
      <alignment horizontal="center"/>
    </xf>
    <xf numFmtId="37" fontId="86" fillId="0" borderId="73" xfId="0" applyNumberFormat="1" applyFont="1" applyFill="1" applyBorder="1" applyAlignment="1" applyProtection="1">
      <alignment horizontal="center" wrapText="1"/>
    </xf>
    <xf numFmtId="37" fontId="24" fillId="0" borderId="0" xfId="0" quotePrefix="1" applyNumberFormat="1" applyFont="1" applyBorder="1" applyAlignment="1">
      <alignment horizontal="left"/>
    </xf>
    <xf numFmtId="3" fontId="27" fillId="0" borderId="75" xfId="0" applyFont="1" applyBorder="1"/>
    <xf numFmtId="3" fontId="24" fillId="0" borderId="75" xfId="0" applyFont="1" applyBorder="1" applyAlignment="1">
      <alignment horizontal="right" wrapText="1"/>
    </xf>
    <xf numFmtId="3" fontId="24" fillId="0" borderId="76" xfId="0" applyFont="1" applyBorder="1" applyAlignment="1">
      <alignment horizontal="right" wrapText="1"/>
    </xf>
    <xf numFmtId="3" fontId="24" fillId="0" borderId="75" xfId="0" applyFont="1" applyBorder="1" applyAlignment="1">
      <alignment wrapText="1"/>
    </xf>
    <xf numFmtId="37" fontId="24" fillId="0" borderId="0" xfId="0" quotePrefix="1" applyNumberFormat="1" applyFont="1" applyAlignment="1">
      <alignment horizontal="right"/>
    </xf>
    <xf numFmtId="172" fontId="24" fillId="0" borderId="0" xfId="26" quotePrefix="1" applyNumberFormat="1" applyFont="1" applyBorder="1" applyAlignment="1">
      <alignment horizontal="right"/>
    </xf>
    <xf numFmtId="37" fontId="24" fillId="0" borderId="63" xfId="0" quotePrefix="1" applyNumberFormat="1" applyFont="1" applyBorder="1" applyAlignment="1">
      <alignment horizontal="right"/>
    </xf>
    <xf numFmtId="37" fontId="24" fillId="0" borderId="63" xfId="0" applyNumberFormat="1" applyFont="1" applyBorder="1" applyAlignment="1">
      <alignment horizontal="right"/>
    </xf>
    <xf numFmtId="10" fontId="24" fillId="0" borderId="67" xfId="26" applyNumberFormat="1" applyFont="1" applyBorder="1"/>
    <xf numFmtId="2" fontId="88" fillId="41" borderId="77" xfId="20" applyNumberFormat="1" applyFont="1" applyFill="1" applyBorder="1" applyAlignment="1">
      <alignment horizontal="center"/>
    </xf>
    <xf numFmtId="10" fontId="24" fillId="0" borderId="63" xfId="26" applyNumberFormat="1" applyFont="1" applyBorder="1"/>
    <xf numFmtId="3" fontId="24" fillId="0" borderId="78" xfId="0" applyFont="1" applyBorder="1"/>
    <xf numFmtId="37" fontId="89" fillId="0" borderId="0" xfId="0" quotePrefix="1" applyNumberFormat="1" applyFont="1" applyAlignment="1">
      <alignment horizontal="right"/>
    </xf>
    <xf numFmtId="172" fontId="89" fillId="0" borderId="0" xfId="26" quotePrefix="1" applyNumberFormat="1" applyFont="1" applyBorder="1" applyAlignment="1">
      <alignment horizontal="right"/>
    </xf>
    <xf numFmtId="37" fontId="89" fillId="0" borderId="63" xfId="0" quotePrefix="1" applyNumberFormat="1" applyFont="1" applyBorder="1" applyAlignment="1">
      <alignment horizontal="right"/>
    </xf>
    <xf numFmtId="10" fontId="89" fillId="0" borderId="0" xfId="26" quotePrefix="1" applyNumberFormat="1" applyFont="1" applyBorder="1"/>
    <xf numFmtId="2" fontId="88" fillId="41" borderId="78" xfId="26" applyNumberFormat="1" applyFont="1" applyFill="1" applyBorder="1" applyAlignment="1">
      <alignment horizontal="center"/>
    </xf>
    <xf numFmtId="10" fontId="89" fillId="0" borderId="63" xfId="26" quotePrefix="1" applyNumberFormat="1" applyFont="1" applyBorder="1"/>
    <xf numFmtId="37" fontId="24" fillId="0" borderId="0" xfId="0" applyNumberFormat="1" applyFont="1" applyAlignment="1">
      <alignment horizontal="right"/>
    </xf>
    <xf numFmtId="172" fontId="24" fillId="0" borderId="0" xfId="26" applyNumberFormat="1" applyFont="1" applyBorder="1" applyAlignment="1">
      <alignment horizontal="right"/>
    </xf>
    <xf numFmtId="10" fontId="24" fillId="0" borderId="0" xfId="26" applyNumberFormat="1" applyFont="1" applyBorder="1"/>
    <xf numFmtId="2" fontId="88" fillId="41" borderId="78" xfId="20" applyNumberFormat="1" applyFont="1" applyFill="1" applyBorder="1" applyAlignment="1">
      <alignment horizontal="center"/>
    </xf>
    <xf numFmtId="4" fontId="90" fillId="0" borderId="0" xfId="0" applyNumberFormat="1" applyFont="1"/>
    <xf numFmtId="173" fontId="88" fillId="41" borderId="78" xfId="20" applyNumberFormat="1" applyFont="1" applyFill="1" applyBorder="1" applyAlignment="1">
      <alignment horizontal="center"/>
    </xf>
    <xf numFmtId="3" fontId="24" fillId="0" borderId="78" xfId="0" applyFont="1" applyFill="1" applyBorder="1"/>
    <xf numFmtId="10" fontId="24" fillId="0" borderId="0" xfId="26" applyNumberFormat="1" applyFont="1" applyBorder="1" applyAlignment="1">
      <alignment horizontal="right"/>
    </xf>
    <xf numFmtId="3" fontId="24" fillId="0" borderId="0" xfId="0" applyFont="1" applyBorder="1"/>
    <xf numFmtId="3" fontId="24" fillId="0" borderId="75" xfId="0" applyFont="1" applyBorder="1"/>
    <xf numFmtId="37" fontId="24" fillId="0" borderId="75" xfId="0" applyNumberFormat="1" applyFont="1" applyBorder="1" applyAlignment="1">
      <alignment horizontal="right"/>
    </xf>
    <xf numFmtId="172" fontId="24" fillId="0" borderId="75" xfId="26" applyNumberFormat="1" applyFont="1" applyBorder="1" applyAlignment="1">
      <alignment horizontal="right"/>
    </xf>
    <xf numFmtId="37" fontId="24" fillId="0" borderId="76" xfId="0" applyNumberFormat="1" applyFont="1" applyBorder="1" applyAlignment="1">
      <alignment horizontal="right"/>
    </xf>
    <xf numFmtId="172" fontId="24" fillId="0" borderId="79" xfId="26" applyNumberFormat="1" applyFont="1" applyBorder="1" applyAlignment="1">
      <alignment horizontal="right"/>
    </xf>
    <xf numFmtId="10" fontId="24" fillId="0" borderId="75" xfId="26" applyNumberFormat="1" applyFont="1" applyBorder="1"/>
    <xf numFmtId="2" fontId="88" fillId="41" borderId="79" xfId="20" applyNumberFormat="1" applyFont="1" applyFill="1" applyBorder="1" applyAlignment="1">
      <alignment horizontal="center"/>
    </xf>
    <xf numFmtId="10" fontId="24" fillId="0" borderId="76" xfId="26" applyNumberFormat="1" applyFont="1" applyBorder="1"/>
    <xf numFmtId="3" fontId="24" fillId="0" borderId="79" xfId="0" applyFont="1" applyBorder="1"/>
    <xf numFmtId="4" fontId="90" fillId="0" borderId="75" xfId="0" applyNumberFormat="1" applyFont="1" applyBorder="1"/>
    <xf numFmtId="4" fontId="90" fillId="0" borderId="76" xfId="0" applyNumberFormat="1" applyFont="1" applyBorder="1"/>
    <xf numFmtId="37" fontId="0" fillId="0" borderId="0" xfId="0" applyNumberFormat="1" applyFont="1" applyAlignment="1" applyProtection="1">
      <alignment horizontal="left"/>
    </xf>
    <xf numFmtId="3" fontId="23" fillId="0" borderId="0" xfId="0" applyNumberFormat="1" applyFont="1"/>
    <xf numFmtId="3" fontId="23" fillId="0" borderId="0" xfId="0" applyNumberFormat="1" applyFont="1" applyFill="1"/>
    <xf numFmtId="3" fontId="23" fillId="0" borderId="0" xfId="0" applyNumberFormat="1" applyFont="1" applyFill="1" applyBorder="1"/>
    <xf numFmtId="3" fontId="23" fillId="0" borderId="0" xfId="0" applyFont="1"/>
    <xf numFmtId="17" fontId="0" fillId="0" borderId="0" xfId="0" quotePrefix="1" applyNumberFormat="1" applyFill="1" applyAlignment="1">
      <alignment horizontal="right"/>
    </xf>
    <xf numFmtId="37" fontId="83" fillId="0" borderId="0" xfId="0" applyNumberFormat="1" applyFont="1" applyAlignment="1" applyProtection="1">
      <alignment horizontal="centerContinuous"/>
    </xf>
    <xf numFmtId="39" fontId="83" fillId="0" borderId="0" xfId="0" applyNumberFormat="1" applyFont="1" applyAlignment="1" applyProtection="1">
      <alignment horizontal="centerContinuous"/>
    </xf>
    <xf numFmtId="37" fontId="86" fillId="0" borderId="48" xfId="0" applyNumberFormat="1" applyFont="1" applyFill="1" applyBorder="1" applyProtection="1"/>
    <xf numFmtId="37" fontId="86" fillId="0" borderId="53" xfId="0" applyNumberFormat="1" applyFont="1" applyBorder="1" applyAlignment="1" applyProtection="1">
      <alignment horizontal="center"/>
    </xf>
    <xf numFmtId="37" fontId="86" fillId="0" borderId="53" xfId="0" applyNumberFormat="1" applyFont="1" applyBorder="1" applyAlignment="1" applyProtection="1">
      <alignment horizontal="right"/>
    </xf>
    <xf numFmtId="37" fontId="86" fillId="0" borderId="80" xfId="0" applyNumberFormat="1" applyFont="1" applyBorder="1" applyAlignment="1" applyProtection="1">
      <alignment horizontal="right"/>
    </xf>
    <xf numFmtId="37" fontId="86" fillId="0" borderId="53" xfId="0" applyNumberFormat="1" applyFont="1" applyFill="1" applyBorder="1" applyAlignment="1" applyProtection="1">
      <alignment horizontal="right"/>
    </xf>
    <xf numFmtId="3" fontId="24" fillId="0" borderId="0" xfId="20" applyNumberFormat="1" applyFont="1" applyAlignment="1">
      <alignment horizontal="right"/>
    </xf>
    <xf numFmtId="3" fontId="24" fillId="0" borderId="78" xfId="20" applyNumberFormat="1" applyFont="1" applyBorder="1" applyAlignment="1">
      <alignment horizontal="right"/>
    </xf>
    <xf numFmtId="3" fontId="24" fillId="0" borderId="0" xfId="20" applyNumberFormat="1" applyFont="1" applyFill="1" applyAlignment="1">
      <alignment horizontal="right"/>
    </xf>
    <xf numFmtId="3" fontId="24" fillId="0" borderId="0" xfId="20" applyNumberFormat="1" applyFont="1" applyBorder="1" applyAlignment="1">
      <alignment horizontal="right"/>
    </xf>
    <xf numFmtId="3" fontId="24" fillId="0" borderId="0" xfId="20" applyNumberFormat="1" applyFont="1" applyFill="1" applyBorder="1" applyAlignment="1">
      <alignment horizontal="right"/>
    </xf>
    <xf numFmtId="3" fontId="84" fillId="0" borderId="0" xfId="0" applyFont="1"/>
    <xf numFmtId="3" fontId="24" fillId="0" borderId="75" xfId="20" applyNumberFormat="1" applyFont="1" applyBorder="1" applyAlignment="1">
      <alignment horizontal="right"/>
    </xf>
    <xf numFmtId="3" fontId="24" fillId="0" borderId="79" xfId="20" applyNumberFormat="1" applyFont="1" applyBorder="1" applyAlignment="1">
      <alignment horizontal="right"/>
    </xf>
    <xf numFmtId="3" fontId="24" fillId="0" borderId="75" xfId="20" applyNumberFormat="1" applyFont="1" applyFill="1" applyBorder="1" applyAlignment="1">
      <alignment horizontal="right"/>
    </xf>
    <xf numFmtId="37" fontId="24" fillId="0" borderId="0" xfId="0" applyNumberFormat="1" applyFont="1" applyBorder="1" applyAlignment="1">
      <alignment horizontal="right"/>
    </xf>
    <xf numFmtId="37" fontId="24" fillId="0" borderId="0" xfId="0" applyNumberFormat="1" applyFont="1" applyFill="1" applyBorder="1" applyAlignment="1">
      <alignment horizontal="right"/>
    </xf>
    <xf numFmtId="37" fontId="0" fillId="0" borderId="0" xfId="0" applyNumberFormat="1" applyBorder="1" applyAlignment="1" applyProtection="1">
      <alignment vertical="top" wrapText="1"/>
    </xf>
    <xf numFmtId="37" fontId="23" fillId="0" borderId="0" xfId="0" applyNumberFormat="1" applyFont="1" applyAlignment="1" applyProtection="1">
      <alignment horizontal="left"/>
    </xf>
    <xf numFmtId="49" fontId="0" fillId="0" borderId="0" xfId="0" applyNumberFormat="1" applyFill="1" applyAlignment="1">
      <alignment horizontal="right"/>
    </xf>
    <xf numFmtId="37" fontId="26" fillId="0" borderId="0" xfId="0" applyNumberFormat="1" applyFont="1" applyFill="1" applyAlignment="1" applyProtection="1">
      <alignment horizontal="centerContinuous"/>
    </xf>
    <xf numFmtId="37" fontId="25" fillId="0" borderId="0" xfId="0" applyNumberFormat="1" applyFont="1" applyAlignment="1" applyProtection="1">
      <alignment horizontal="centerContinuous"/>
    </xf>
    <xf numFmtId="37" fontId="91" fillId="0" borderId="71" xfId="0" applyNumberFormat="1" applyFont="1" applyBorder="1" applyAlignment="1" applyProtection="1">
      <alignment horizontal="center"/>
    </xf>
    <xf numFmtId="3" fontId="92" fillId="0" borderId="71" xfId="0" applyFont="1" applyBorder="1" applyAlignment="1">
      <alignment horizontal="center"/>
    </xf>
    <xf numFmtId="3" fontId="92" fillId="0" borderId="48" xfId="0" applyFont="1" applyFill="1" applyBorder="1" applyAlignment="1">
      <alignment horizontal="center"/>
    </xf>
    <xf numFmtId="37" fontId="91" fillId="0" borderId="53" xfId="0" applyNumberFormat="1" applyFont="1" applyBorder="1" applyAlignment="1" applyProtection="1">
      <alignment horizontal="right"/>
    </xf>
    <xf numFmtId="37" fontId="91" fillId="0" borderId="71" xfId="0" applyNumberFormat="1" applyFont="1" applyBorder="1" applyAlignment="1" applyProtection="1">
      <alignment horizontal="right"/>
    </xf>
    <xf numFmtId="37" fontId="91" fillId="0" borderId="81" xfId="0" applyNumberFormat="1" applyFont="1" applyFill="1" applyBorder="1" applyAlignment="1" applyProtection="1">
      <alignment horizontal="right"/>
    </xf>
    <xf numFmtId="37" fontId="26" fillId="0" borderId="0" xfId="0" applyNumberFormat="1" applyFont="1" applyAlignment="1" applyProtection="1">
      <alignment horizontal="center"/>
    </xf>
    <xf numFmtId="37" fontId="26" fillId="0" borderId="0" xfId="0" applyNumberFormat="1" applyFont="1" applyFill="1" applyBorder="1" applyAlignment="1" applyProtection="1">
      <alignment horizontal="center"/>
    </xf>
    <xf numFmtId="37" fontId="83" fillId="0" borderId="0" xfId="0" applyNumberFormat="1" applyFont="1" applyAlignment="1" applyProtection="1">
      <alignment horizontal="center"/>
    </xf>
    <xf numFmtId="37" fontId="83" fillId="0" borderId="0" xfId="0" applyNumberFormat="1" applyFont="1" applyFill="1" applyBorder="1" applyAlignment="1" applyProtection="1">
      <alignment horizontal="center"/>
    </xf>
    <xf numFmtId="37" fontId="83" fillId="0" borderId="0" xfId="0" applyNumberFormat="1" applyFont="1" applyAlignment="1" applyProtection="1">
      <alignment horizontal="left"/>
    </xf>
    <xf numFmtId="3" fontId="24" fillId="0" borderId="0" xfId="0" applyFont="1" applyAlignment="1">
      <alignment horizontal="left"/>
    </xf>
    <xf numFmtId="37" fontId="27" fillId="0" borderId="48" xfId="0" applyNumberFormat="1" applyFont="1" applyBorder="1" applyProtection="1"/>
    <xf numFmtId="37" fontId="86" fillId="0" borderId="48" xfId="0" applyNumberFormat="1" applyFont="1" applyBorder="1" applyAlignment="1" applyProtection="1">
      <alignment horizontal="centerContinuous"/>
    </xf>
    <xf numFmtId="3" fontId="87" fillId="0" borderId="82" xfId="0" applyFont="1" applyBorder="1" applyAlignment="1">
      <alignment horizontal="centerContinuous"/>
    </xf>
    <xf numFmtId="37" fontId="86" fillId="0" borderId="49" xfId="0" applyNumberFormat="1" applyFont="1" applyBorder="1" applyAlignment="1" applyProtection="1">
      <alignment horizontal="centerContinuous"/>
    </xf>
    <xf numFmtId="3" fontId="24" fillId="0" borderId="71" xfId="0" applyFont="1" applyFill="1" applyBorder="1" applyAlignment="1">
      <alignment horizontal="centerContinuous"/>
    </xf>
    <xf numFmtId="37" fontId="86" fillId="0" borderId="49" xfId="0" applyNumberFormat="1" applyFont="1" applyBorder="1" applyAlignment="1" applyProtection="1">
      <alignment horizontal="centerContinuous" vertical="center"/>
    </xf>
    <xf numFmtId="3" fontId="87" fillId="0" borderId="48" xfId="0" applyFont="1" applyBorder="1" applyAlignment="1">
      <alignment horizontal="centerContinuous" vertical="center"/>
    </xf>
    <xf numFmtId="3" fontId="24" fillId="0" borderId="71" xfId="0" applyFont="1" applyBorder="1" applyAlignment="1">
      <alignment horizontal="centerContinuous" vertical="center"/>
    </xf>
    <xf numFmtId="3" fontId="24" fillId="0" borderId="0" xfId="0" applyFont="1" applyBorder="1" applyAlignment="1">
      <alignment horizontal="centerContinuous"/>
    </xf>
    <xf numFmtId="37" fontId="86" fillId="0" borderId="53" xfId="0" applyNumberFormat="1" applyFont="1" applyBorder="1" applyAlignment="1" applyProtection="1">
      <alignment horizontal="center" wrapText="1"/>
    </xf>
    <xf numFmtId="37" fontId="86" fillId="0" borderId="83" xfId="0" applyNumberFormat="1" applyFont="1" applyBorder="1" applyAlignment="1" applyProtection="1">
      <alignment horizontal="right"/>
    </xf>
    <xf numFmtId="37" fontId="86" fillId="0" borderId="81" xfId="0" applyNumberFormat="1" applyFont="1" applyBorder="1" applyAlignment="1" applyProtection="1">
      <alignment horizontal="center" wrapText="1"/>
    </xf>
    <xf numFmtId="37" fontId="86" fillId="0" borderId="71" xfId="0" applyNumberFormat="1" applyFont="1" applyFill="1" applyBorder="1" applyAlignment="1" applyProtection="1">
      <alignment horizontal="right"/>
    </xf>
    <xf numFmtId="37" fontId="86" fillId="0" borderId="0" xfId="0" applyNumberFormat="1" applyFont="1" applyFill="1" applyBorder="1" applyAlignment="1" applyProtection="1">
      <alignment horizontal="right"/>
    </xf>
    <xf numFmtId="37" fontId="86" fillId="0" borderId="71" xfId="0" applyNumberFormat="1" applyFont="1" applyBorder="1" applyAlignment="1" applyProtection="1">
      <alignment horizontal="right"/>
    </xf>
    <xf numFmtId="37" fontId="86" fillId="0" borderId="0" xfId="0" applyNumberFormat="1" applyFont="1" applyBorder="1" applyAlignment="1" applyProtection="1">
      <alignment horizontal="right"/>
    </xf>
    <xf numFmtId="37" fontId="24" fillId="0" borderId="84" xfId="0" applyNumberFormat="1" applyFont="1" applyBorder="1" applyAlignment="1">
      <alignment horizontal="right"/>
    </xf>
    <xf numFmtId="37" fontId="24" fillId="0" borderId="59" xfId="0" applyNumberFormat="1" applyFont="1" applyBorder="1" applyAlignment="1">
      <alignment horizontal="right"/>
    </xf>
    <xf numFmtId="37" fontId="24" fillId="0" borderId="80" xfId="0" applyNumberFormat="1" applyFont="1" applyBorder="1" applyAlignment="1">
      <alignment horizontal="right"/>
    </xf>
    <xf numFmtId="37" fontId="24" fillId="0" borderId="68" xfId="0" applyNumberFormat="1" applyFont="1" applyBorder="1" applyAlignment="1">
      <alignment horizontal="right"/>
    </xf>
    <xf numFmtId="37" fontId="24" fillId="0" borderId="75" xfId="0" applyNumberFormat="1" applyFont="1" applyFill="1" applyBorder="1" applyAlignment="1">
      <alignment horizontal="right"/>
    </xf>
    <xf numFmtId="3" fontId="24" fillId="0" borderId="75" xfId="0" applyFont="1" applyFill="1" applyBorder="1"/>
    <xf numFmtId="37" fontId="23" fillId="0" borderId="0" xfId="0" applyNumberFormat="1" applyFont="1" applyBorder="1" applyAlignment="1" applyProtection="1">
      <alignment horizontal="left" vertical="top" wrapText="1"/>
    </xf>
    <xf numFmtId="37" fontId="23" fillId="0" borderId="0" xfId="0" applyNumberFormat="1" applyFont="1" applyFill="1" applyBorder="1" applyAlignment="1" applyProtection="1">
      <alignment horizontal="left" vertical="top" wrapText="1"/>
    </xf>
    <xf numFmtId="49" fontId="23" fillId="0" borderId="0" xfId="0" quotePrefix="1" applyNumberFormat="1" applyFont="1" applyFill="1" applyBorder="1" applyAlignment="1">
      <alignment horizontal="right"/>
    </xf>
    <xf numFmtId="39" fontId="25" fillId="0" borderId="0" xfId="0" applyNumberFormat="1" applyFont="1" applyAlignment="1" applyProtection="1">
      <alignment horizontal="left"/>
    </xf>
    <xf numFmtId="3" fontId="25" fillId="0" borderId="0" xfId="0" applyFont="1" applyFill="1" applyAlignment="1">
      <alignment horizontal="centerContinuous"/>
    </xf>
    <xf numFmtId="37" fontId="27" fillId="0" borderId="48" xfId="0" applyNumberFormat="1" applyFont="1" applyBorder="1" applyAlignment="1" applyProtection="1">
      <alignment horizontal="center"/>
    </xf>
    <xf numFmtId="37" fontId="86" fillId="0" borderId="48" xfId="0" applyNumberFormat="1" applyFont="1" applyBorder="1" applyAlignment="1" applyProtection="1">
      <alignment horizontal="center"/>
    </xf>
    <xf numFmtId="3" fontId="87" fillId="0" borderId="71" xfId="0" applyFont="1" applyBorder="1" applyAlignment="1">
      <alignment horizontal="center"/>
    </xf>
    <xf numFmtId="37" fontId="86" fillId="0" borderId="49" xfId="0" applyNumberFormat="1" applyFont="1" applyBorder="1" applyAlignment="1" applyProtection="1">
      <alignment horizontal="center"/>
    </xf>
    <xf numFmtId="3" fontId="87" fillId="0" borderId="48" xfId="0" applyFont="1" applyFill="1" applyBorder="1" applyAlignment="1">
      <alignment horizontal="center"/>
    </xf>
    <xf numFmtId="3" fontId="24" fillId="0" borderId="71" xfId="0" applyFont="1" applyFill="1" applyBorder="1" applyAlignment="1">
      <alignment horizontal="center"/>
    </xf>
    <xf numFmtId="3" fontId="87" fillId="0" borderId="48" xfId="0" applyFont="1" applyBorder="1" applyAlignment="1">
      <alignment horizontal="centerContinuous"/>
    </xf>
    <xf numFmtId="3" fontId="24" fillId="0" borderId="71" xfId="0" applyFont="1" applyBorder="1" applyAlignment="1">
      <alignment horizontal="centerContinuous"/>
    </xf>
    <xf numFmtId="3" fontId="24" fillId="0" borderId="0" xfId="0" applyNumberFormat="1" applyFont="1" applyAlignment="1">
      <alignment horizontal="right"/>
    </xf>
    <xf numFmtId="3" fontId="24" fillId="0" borderId="78" xfId="0" applyNumberFormat="1" applyFont="1" applyBorder="1" applyAlignment="1">
      <alignment horizontal="right"/>
    </xf>
    <xf numFmtId="3" fontId="24" fillId="0" borderId="0" xfId="0" applyNumberFormat="1" applyFont="1" applyFill="1" applyAlignment="1">
      <alignment horizontal="right"/>
    </xf>
    <xf numFmtId="3" fontId="24" fillId="0" borderId="0" xfId="0" applyNumberFormat="1" applyFont="1" applyBorder="1" applyAlignment="1">
      <alignment horizontal="right"/>
    </xf>
    <xf numFmtId="3" fontId="24" fillId="0" borderId="59" xfId="0" applyFont="1" applyBorder="1"/>
    <xf numFmtId="3" fontId="24" fillId="0" borderId="0" xfId="0" applyNumberFormat="1" applyFont="1" applyFill="1" applyBorder="1" applyAlignment="1">
      <alignment horizontal="right"/>
    </xf>
    <xf numFmtId="4" fontId="24" fillId="0" borderId="0" xfId="0" applyNumberFormat="1" applyFont="1" applyBorder="1" applyAlignment="1">
      <alignment horizontal="right"/>
    </xf>
    <xf numFmtId="4" fontId="24" fillId="0" borderId="78" xfId="0" applyNumberFormat="1" applyFont="1" applyBorder="1" applyAlignment="1">
      <alignment horizontal="right"/>
    </xf>
    <xf numFmtId="3" fontId="24" fillId="0" borderId="75" xfId="0" applyNumberFormat="1" applyFont="1" applyBorder="1" applyAlignment="1">
      <alignment horizontal="right"/>
    </xf>
    <xf numFmtId="3" fontId="24" fillId="0" borderId="79" xfId="0" applyNumberFormat="1" applyFont="1" applyBorder="1" applyAlignment="1">
      <alignment horizontal="right"/>
    </xf>
    <xf numFmtId="3" fontId="24" fillId="0" borderId="75" xfId="0" applyNumberFormat="1" applyFont="1" applyFill="1" applyBorder="1" applyAlignment="1">
      <alignment horizontal="right"/>
    </xf>
    <xf numFmtId="3" fontId="69" fillId="0" borderId="0" xfId="0" applyFont="1" applyFill="1"/>
    <xf numFmtId="37" fontId="26" fillId="0" borderId="0" xfId="0" applyNumberFormat="1" applyFont="1" applyFill="1" applyAlignment="1" applyProtection="1">
      <alignment horizontal="center"/>
    </xf>
    <xf numFmtId="3" fontId="24" fillId="40" borderId="0" xfId="0" applyFont="1" applyFill="1"/>
    <xf numFmtId="3" fontId="24" fillId="0" borderId="75" xfId="0" applyNumberFormat="1" applyFont="1" applyBorder="1"/>
    <xf numFmtId="3" fontId="24" fillId="0" borderId="75" xfId="0" applyNumberFormat="1" applyFont="1" applyFill="1" applyBorder="1"/>
    <xf numFmtId="3" fontId="31" fillId="0" borderId="75" xfId="0" applyFont="1" applyBorder="1"/>
    <xf numFmtId="3" fontId="31" fillId="40" borderId="0" xfId="0" applyFont="1" applyFill="1"/>
    <xf numFmtId="3" fontId="69" fillId="63" borderId="76" xfId="0" applyFont="1" applyFill="1" applyBorder="1"/>
    <xf numFmtId="3" fontId="31" fillId="63" borderId="0" xfId="0" applyFont="1" applyFill="1"/>
    <xf numFmtId="3" fontId="69" fillId="63" borderId="0" xfId="0" applyFont="1" applyFill="1"/>
    <xf numFmtId="37" fontId="86" fillId="0" borderId="53" xfId="0" applyNumberFormat="1" applyFont="1" applyBorder="1" applyAlignment="1" applyProtection="1">
      <alignment horizontal="centerContinuous" wrapText="1"/>
    </xf>
    <xf numFmtId="37" fontId="86" fillId="0" borderId="72" xfId="0" applyNumberFormat="1" applyFont="1" applyBorder="1" applyAlignment="1" applyProtection="1">
      <alignment horizontal="right"/>
    </xf>
    <xf numFmtId="37" fontId="86" fillId="0" borderId="74" xfId="0" applyNumberFormat="1" applyFont="1" applyBorder="1" applyAlignment="1" applyProtection="1">
      <alignment horizontal="right"/>
    </xf>
    <xf numFmtId="37" fontId="86" fillId="0" borderId="75" xfId="0" applyNumberFormat="1" applyFont="1" applyBorder="1" applyAlignment="1" applyProtection="1">
      <alignment horizontal="center" wrapText="1"/>
    </xf>
    <xf numFmtId="37" fontId="86" fillId="40" borderId="48" xfId="0" applyNumberFormat="1" applyFont="1" applyFill="1" applyBorder="1" applyAlignment="1" applyProtection="1">
      <alignment horizontal="centerContinuous"/>
    </xf>
    <xf numFmtId="3" fontId="87" fillId="40" borderId="71" xfId="0" applyFont="1" applyFill="1" applyBorder="1" applyAlignment="1">
      <alignment horizontal="centerContinuous"/>
    </xf>
    <xf numFmtId="3" fontId="69" fillId="63" borderId="63" xfId="0" applyFont="1" applyFill="1" applyBorder="1"/>
    <xf numFmtId="37" fontId="91" fillId="63" borderId="48" xfId="0" applyNumberFormat="1" applyFont="1" applyFill="1" applyBorder="1" applyAlignment="1" applyProtection="1">
      <alignment horizontal="centerContinuous"/>
    </xf>
    <xf numFmtId="3" fontId="92" fillId="63" borderId="71" xfId="0" applyFont="1" applyFill="1" applyBorder="1" applyAlignment="1">
      <alignment horizontal="centerContinuous"/>
    </xf>
    <xf numFmtId="37" fontId="27" fillId="0" borderId="75" xfId="0" applyNumberFormat="1" applyFont="1" applyBorder="1" applyAlignment="1" applyProtection="1">
      <alignment horizontal="center"/>
    </xf>
    <xf numFmtId="37" fontId="86" fillId="0" borderId="76" xfId="0" applyNumberFormat="1" applyFont="1" applyBorder="1" applyAlignment="1" applyProtection="1">
      <alignment horizontal="center" wrapText="1"/>
    </xf>
    <xf numFmtId="3" fontId="29" fillId="0" borderId="85" xfId="0" applyFont="1" applyBorder="1" applyAlignment="1">
      <alignment vertical="center"/>
    </xf>
    <xf numFmtId="37" fontId="86" fillId="40" borderId="53" xfId="0" applyNumberFormat="1" applyFont="1" applyFill="1" applyBorder="1" applyAlignment="1" applyProtection="1">
      <alignment horizontal="center" wrapText="1"/>
    </xf>
    <xf numFmtId="37" fontId="86" fillId="63" borderId="53" xfId="0" applyNumberFormat="1" applyFont="1" applyFill="1" applyBorder="1" applyAlignment="1" applyProtection="1">
      <alignment horizontal="right"/>
    </xf>
    <xf numFmtId="37" fontId="86" fillId="40" borderId="53" xfId="0" applyNumberFormat="1" applyFont="1" applyFill="1" applyBorder="1" applyAlignment="1" applyProtection="1">
      <alignment horizontal="right"/>
    </xf>
    <xf numFmtId="3" fontId="29" fillId="63" borderId="86" xfId="0" applyFont="1" applyFill="1" applyBorder="1" applyAlignment="1">
      <alignment vertical="center"/>
    </xf>
    <xf numFmtId="37" fontId="91" fillId="63" borderId="53" xfId="0" applyNumberFormat="1" applyFont="1" applyFill="1" applyBorder="1" applyAlignment="1" applyProtection="1">
      <alignment horizontal="center" wrapText="1"/>
    </xf>
    <xf numFmtId="37" fontId="91" fillId="63" borderId="53" xfId="0" applyNumberFormat="1" applyFont="1" applyFill="1" applyBorder="1" applyAlignment="1" applyProtection="1">
      <alignment horizontal="right"/>
    </xf>
    <xf numFmtId="3" fontId="24" fillId="0" borderId="63" xfId="0" applyNumberFormat="1" applyFont="1" applyBorder="1" applyAlignment="1">
      <alignment horizontal="right"/>
    </xf>
    <xf numFmtId="3" fontId="24" fillId="0" borderId="63" xfId="0" applyNumberFormat="1" applyFont="1" applyFill="1" applyBorder="1" applyAlignment="1">
      <alignment horizontal="right"/>
    </xf>
    <xf numFmtId="10" fontId="24" fillId="0" borderId="67" xfId="26" quotePrefix="1" applyNumberFormat="1" applyFont="1" applyBorder="1"/>
    <xf numFmtId="10" fontId="88" fillId="41" borderId="0" xfId="26" applyNumberFormat="1" applyFont="1" applyFill="1" applyBorder="1" applyAlignment="1">
      <alignment horizontal="center"/>
    </xf>
    <xf numFmtId="3" fontId="24" fillId="40" borderId="0" xfId="0" applyFont="1" applyFill="1" applyAlignment="1">
      <alignment vertical="center"/>
    </xf>
    <xf numFmtId="3" fontId="69" fillId="63" borderId="0" xfId="0" applyNumberFormat="1" applyFont="1" applyFill="1" applyAlignment="1">
      <alignment horizontal="right"/>
    </xf>
    <xf numFmtId="3" fontId="24" fillId="0" borderId="0" xfId="0" applyFont="1" applyAlignment="1">
      <alignment vertical="center"/>
    </xf>
    <xf numFmtId="3" fontId="89" fillId="0" borderId="0" xfId="0" applyFont="1"/>
    <xf numFmtId="3" fontId="89" fillId="0" borderId="0" xfId="0" applyNumberFormat="1" applyFont="1" applyAlignment="1">
      <alignment horizontal="right"/>
    </xf>
    <xf numFmtId="172" fontId="89" fillId="0" borderId="0" xfId="26" quotePrefix="1" applyNumberFormat="1" applyFont="1" applyAlignment="1">
      <alignment vertical="center"/>
    </xf>
    <xf numFmtId="3" fontId="89" fillId="0" borderId="63" xfId="0" applyNumberFormat="1" applyFont="1" applyBorder="1" applyAlignment="1">
      <alignment horizontal="right"/>
    </xf>
    <xf numFmtId="172" fontId="89" fillId="0" borderId="0" xfId="26" quotePrefix="1" applyNumberFormat="1" applyFont="1" applyFill="1" applyAlignment="1">
      <alignment vertical="center"/>
    </xf>
    <xf numFmtId="3" fontId="89" fillId="0" borderId="63" xfId="0" applyFont="1" applyBorder="1"/>
    <xf numFmtId="10" fontId="89" fillId="41" borderId="0" xfId="26" quotePrefix="1" applyNumberFormat="1" applyFont="1" applyFill="1" applyBorder="1" applyAlignment="1">
      <alignment horizontal="center"/>
    </xf>
    <xf numFmtId="3" fontId="69" fillId="63" borderId="0" xfId="0" applyNumberFormat="1" applyFont="1" applyFill="1" applyBorder="1" applyAlignment="1">
      <alignment horizontal="right"/>
    </xf>
    <xf numFmtId="172" fontId="24" fillId="0" borderId="0" xfId="26" applyNumberFormat="1" applyFont="1"/>
    <xf numFmtId="174" fontId="88" fillId="41" borderId="0" xfId="26" applyNumberFormat="1" applyFont="1" applyFill="1" applyBorder="1" applyAlignment="1">
      <alignment horizontal="center"/>
    </xf>
    <xf numFmtId="3" fontId="69" fillId="63" borderId="78" xfId="0" applyNumberFormat="1" applyFont="1" applyFill="1" applyBorder="1" applyAlignment="1">
      <alignment horizontal="right"/>
    </xf>
    <xf numFmtId="171" fontId="90" fillId="0" borderId="0" xfId="0" applyNumberFormat="1" applyFont="1" applyAlignment="1">
      <alignment vertical="center"/>
    </xf>
    <xf numFmtId="175" fontId="24" fillId="0" borderId="0" xfId="0" applyNumberFormat="1" applyFont="1"/>
    <xf numFmtId="10" fontId="24" fillId="0" borderId="63" xfId="0" applyNumberFormat="1" applyFont="1" applyBorder="1"/>
    <xf numFmtId="172" fontId="24" fillId="0" borderId="0" xfId="26" applyNumberFormat="1" applyFont="1" applyBorder="1"/>
    <xf numFmtId="3" fontId="93" fillId="40" borderId="0" xfId="0" applyFont="1" applyFill="1" applyAlignment="1">
      <alignment vertical="center"/>
    </xf>
    <xf numFmtId="3" fontId="93" fillId="63" borderId="0" xfId="0" applyFont="1" applyFill="1" applyAlignment="1">
      <alignment vertical="center"/>
    </xf>
    <xf numFmtId="3" fontId="24" fillId="40" borderId="0" xfId="0" applyFont="1" applyFill="1" applyBorder="1" applyAlignment="1">
      <alignment vertical="center"/>
    </xf>
    <xf numFmtId="172" fontId="24" fillId="0" borderId="75" xfId="26" applyNumberFormat="1" applyFont="1" applyBorder="1"/>
    <xf numFmtId="3" fontId="24" fillId="0" borderId="76" xfId="0" applyNumberFormat="1" applyFont="1" applyBorder="1" applyAlignment="1">
      <alignment horizontal="right"/>
    </xf>
    <xf numFmtId="3" fontId="24" fillId="40" borderId="0" xfId="0" applyFont="1" applyFill="1" applyBorder="1"/>
    <xf numFmtId="3" fontId="32" fillId="63" borderId="76" xfId="0" applyFont="1" applyFill="1" applyBorder="1"/>
    <xf numFmtId="3" fontId="69" fillId="63" borderId="75" xfId="0" applyNumberFormat="1" applyFont="1" applyFill="1" applyBorder="1" applyAlignment="1">
      <alignment horizontal="right"/>
    </xf>
    <xf numFmtId="3" fontId="69" fillId="63" borderId="79" xfId="0" applyNumberFormat="1" applyFont="1" applyFill="1" applyBorder="1" applyAlignment="1">
      <alignment horizontal="right"/>
    </xf>
    <xf numFmtId="171" fontId="90" fillId="0" borderId="75" xfId="0" applyNumberFormat="1" applyFont="1" applyBorder="1" applyAlignment="1">
      <alignment vertical="center"/>
    </xf>
    <xf numFmtId="3" fontId="27" fillId="40" borderId="0" xfId="0" applyFont="1" applyFill="1"/>
    <xf numFmtId="3" fontId="29" fillId="40" borderId="0" xfId="0" applyFont="1" applyFill="1"/>
    <xf numFmtId="37" fontId="86" fillId="0" borderId="87" xfId="0" applyNumberFormat="1" applyFont="1" applyBorder="1" applyAlignment="1" applyProtection="1">
      <alignment horizontal="center" wrapText="1"/>
    </xf>
    <xf numFmtId="37" fontId="86" fillId="0" borderId="88" xfId="0" applyNumberFormat="1" applyFont="1" applyFill="1" applyBorder="1" applyAlignment="1" applyProtection="1">
      <alignment horizontal="right"/>
    </xf>
    <xf numFmtId="37" fontId="86" fillId="0" borderId="76" xfId="0" applyNumberFormat="1" applyFont="1" applyFill="1" applyBorder="1" applyAlignment="1" applyProtection="1">
      <alignment horizontal="right"/>
    </xf>
    <xf numFmtId="3" fontId="24" fillId="0" borderId="67" xfId="0" applyFont="1" applyBorder="1"/>
    <xf numFmtId="3" fontId="24" fillId="0" borderId="89" xfId="0" applyFont="1" applyBorder="1"/>
    <xf numFmtId="37" fontId="86" fillId="40" borderId="46" xfId="0" applyNumberFormat="1" applyFont="1" applyFill="1" applyBorder="1" applyAlignment="1" applyProtection="1">
      <alignment horizontal="centerContinuous"/>
    </xf>
    <xf numFmtId="3" fontId="87" fillId="40" borderId="48" xfId="0" applyFont="1" applyFill="1" applyBorder="1" applyAlignment="1">
      <alignment horizontal="centerContinuous"/>
    </xf>
    <xf numFmtId="3" fontId="24" fillId="40" borderId="48" xfId="0" applyFont="1" applyFill="1" applyBorder="1" applyAlignment="1">
      <alignment horizontal="centerContinuous"/>
    </xf>
    <xf numFmtId="3" fontId="24" fillId="40" borderId="71" xfId="0" applyFont="1" applyFill="1" applyBorder="1" applyAlignment="1">
      <alignment horizontal="centerContinuous"/>
    </xf>
    <xf numFmtId="3" fontId="24" fillId="0" borderId="0" xfId="0" applyFont="1" applyFill="1" applyBorder="1" applyAlignment="1">
      <alignment horizontal="right" wrapText="1"/>
    </xf>
    <xf numFmtId="37" fontId="86" fillId="40" borderId="90" xfId="0" applyNumberFormat="1" applyFont="1" applyFill="1" applyBorder="1" applyAlignment="1" applyProtection="1">
      <alignment horizontal="center" wrapText="1"/>
    </xf>
    <xf numFmtId="37" fontId="86" fillId="40" borderId="71" xfId="0" applyNumberFormat="1" applyFont="1" applyFill="1" applyBorder="1" applyAlignment="1" applyProtection="1">
      <alignment horizontal="right"/>
    </xf>
    <xf numFmtId="172" fontId="24" fillId="0" borderId="0" xfId="26" applyNumberFormat="1" applyFont="1" applyFill="1" applyBorder="1"/>
    <xf numFmtId="2" fontId="88" fillId="0" borderId="0" xfId="26" applyNumberFormat="1" applyFont="1" applyFill="1" applyBorder="1" applyAlignment="1">
      <alignment horizontal="center"/>
    </xf>
    <xf numFmtId="3" fontId="24" fillId="40" borderId="63" xfId="0" applyFont="1" applyFill="1" applyBorder="1" applyAlignment="1">
      <alignment vertical="center"/>
    </xf>
    <xf numFmtId="3" fontId="89" fillId="0" borderId="0" xfId="0" applyFont="1" applyBorder="1"/>
    <xf numFmtId="3" fontId="89" fillId="0" borderId="63" xfId="0" applyFont="1" applyFill="1" applyBorder="1"/>
    <xf numFmtId="174" fontId="88" fillId="0" borderId="0" xfId="26" applyNumberFormat="1" applyFont="1" applyFill="1" applyBorder="1" applyAlignment="1">
      <alignment horizontal="center"/>
    </xf>
    <xf numFmtId="3" fontId="24" fillId="40" borderId="59" xfId="0" applyFont="1" applyFill="1" applyBorder="1" applyAlignment="1">
      <alignment vertical="center"/>
    </xf>
    <xf numFmtId="171" fontId="90" fillId="0" borderId="0" xfId="0" applyNumberFormat="1" applyFont="1"/>
    <xf numFmtId="173" fontId="88" fillId="0" borderId="0" xfId="26" applyNumberFormat="1" applyFont="1" applyFill="1" applyBorder="1" applyAlignment="1">
      <alignment horizontal="center"/>
    </xf>
    <xf numFmtId="3" fontId="24" fillId="0" borderId="76" xfId="0" applyNumberFormat="1" applyFont="1" applyFill="1" applyBorder="1" applyAlignment="1">
      <alignment horizontal="right"/>
    </xf>
    <xf numFmtId="3" fontId="24" fillId="40" borderId="75" xfId="0" applyFont="1" applyFill="1" applyBorder="1"/>
    <xf numFmtId="3" fontId="24" fillId="40" borderId="76" xfId="0" applyFont="1" applyFill="1" applyBorder="1" applyAlignment="1">
      <alignment vertical="center"/>
    </xf>
    <xf numFmtId="3" fontId="24" fillId="40" borderId="75" xfId="0" applyFont="1" applyFill="1" applyBorder="1" applyAlignment="1">
      <alignment vertical="center"/>
    </xf>
    <xf numFmtId="3" fontId="24" fillId="40" borderId="68" xfId="0" applyFont="1" applyFill="1" applyBorder="1" applyAlignment="1">
      <alignment vertical="center"/>
    </xf>
    <xf numFmtId="37" fontId="26" fillId="0" borderId="0" xfId="0" applyNumberFormat="1" applyFont="1" applyAlignment="1" applyProtection="1"/>
    <xf numFmtId="3" fontId="82" fillId="0" borderId="0" xfId="0" applyFont="1" applyBorder="1" applyAlignment="1">
      <alignment horizontal="centerContinuous"/>
    </xf>
    <xf numFmtId="3" fontId="83" fillId="0" borderId="0" xfId="0" applyFont="1" applyBorder="1" applyAlignment="1">
      <alignment horizontal="centerContinuous"/>
    </xf>
    <xf numFmtId="37" fontId="83" fillId="0" borderId="0" xfId="0" applyNumberFormat="1" applyFont="1" applyBorder="1" applyAlignment="1" applyProtection="1">
      <alignment horizontal="centerContinuous"/>
    </xf>
    <xf numFmtId="3" fontId="24" fillId="0" borderId="0" xfId="0" applyNumberFormat="1" applyFont="1" applyBorder="1"/>
    <xf numFmtId="3" fontId="29" fillId="37" borderId="0" xfId="0" applyFont="1" applyFill="1"/>
    <xf numFmtId="3" fontId="24" fillId="37" borderId="0" xfId="0" applyFont="1" applyFill="1"/>
    <xf numFmtId="3" fontId="24" fillId="37" borderId="78" xfId="0" applyFont="1" applyFill="1" applyBorder="1"/>
    <xf numFmtId="3" fontId="27" fillId="37" borderId="63" xfId="0" applyFont="1" applyFill="1" applyBorder="1"/>
    <xf numFmtId="3" fontId="24" fillId="37" borderId="0" xfId="0" applyFont="1" applyFill="1" applyBorder="1"/>
    <xf numFmtId="37" fontId="27" fillId="0" borderId="53" xfId="0" applyNumberFormat="1" applyFont="1" applyBorder="1" applyProtection="1"/>
    <xf numFmtId="37" fontId="86" fillId="0" borderId="73" xfId="0" applyNumberFormat="1" applyFont="1" applyBorder="1" applyAlignment="1" applyProtection="1">
      <alignment horizontal="centerContinuous"/>
    </xf>
    <xf numFmtId="37" fontId="86" fillId="0" borderId="74" xfId="0" applyNumberFormat="1" applyFont="1" applyBorder="1" applyAlignment="1" applyProtection="1">
      <alignment horizontal="centerContinuous"/>
    </xf>
    <xf numFmtId="37" fontId="86" fillId="0" borderId="0" xfId="0" applyNumberFormat="1" applyFont="1" applyBorder="1" applyAlignment="1" applyProtection="1">
      <alignment horizontal="centerContinuous" wrapText="1"/>
    </xf>
    <xf numFmtId="37" fontId="86" fillId="37" borderId="73" xfId="0" applyNumberFormat="1" applyFont="1" applyFill="1" applyBorder="1" applyAlignment="1" applyProtection="1">
      <alignment horizontal="centerContinuous"/>
    </xf>
    <xf numFmtId="37" fontId="86" fillId="37" borderId="73" xfId="0" applyNumberFormat="1" applyFont="1" applyFill="1" applyBorder="1" applyAlignment="1" applyProtection="1">
      <alignment horizontal="centerContinuous" wrapText="1"/>
    </xf>
    <xf numFmtId="37" fontId="86" fillId="37" borderId="91" xfId="0" applyNumberFormat="1" applyFont="1" applyFill="1" applyBorder="1" applyAlignment="1" applyProtection="1">
      <alignment horizontal="centerContinuous" wrapText="1"/>
    </xf>
    <xf numFmtId="37" fontId="86" fillId="37" borderId="74" xfId="0" applyNumberFormat="1" applyFont="1" applyFill="1" applyBorder="1" applyAlignment="1" applyProtection="1">
      <alignment horizontal="centerContinuous"/>
    </xf>
    <xf numFmtId="37" fontId="24" fillId="0" borderId="0" xfId="0" quotePrefix="1" applyNumberFormat="1" applyFont="1" applyBorder="1" applyAlignment="1">
      <alignment horizontal="right"/>
    </xf>
    <xf numFmtId="37" fontId="24" fillId="0" borderId="0" xfId="0" applyNumberFormat="1" applyFont="1" applyBorder="1" applyAlignment="1">
      <alignment horizontal="center"/>
    </xf>
    <xf numFmtId="3" fontId="24" fillId="0" borderId="63" xfId="0" applyFont="1" applyBorder="1"/>
    <xf numFmtId="3" fontId="24" fillId="0" borderId="0" xfId="0" applyFont="1" applyFill="1" applyBorder="1" applyAlignment="1">
      <alignment horizontal="right"/>
    </xf>
    <xf numFmtId="165" fontId="24" fillId="37" borderId="77" xfId="20" applyNumberFormat="1" applyFont="1" applyFill="1" applyBorder="1"/>
    <xf numFmtId="3" fontId="24" fillId="37" borderId="63" xfId="20" applyNumberFormat="1" applyFont="1" applyFill="1" applyBorder="1"/>
    <xf numFmtId="3" fontId="24" fillId="37" borderId="0" xfId="20" applyNumberFormat="1" applyFont="1" applyFill="1" applyBorder="1"/>
    <xf numFmtId="3" fontId="24" fillId="37" borderId="0" xfId="20" applyNumberFormat="1" applyFont="1" applyFill="1"/>
    <xf numFmtId="172" fontId="24" fillId="37" borderId="63" xfId="26" applyNumberFormat="1" applyFont="1" applyFill="1" applyBorder="1"/>
    <xf numFmtId="172" fontId="24" fillId="37" borderId="0" xfId="26" applyNumberFormat="1" applyFont="1" applyFill="1" applyBorder="1"/>
    <xf numFmtId="172" fontId="24" fillId="37" borderId="0" xfId="26" applyNumberFormat="1" applyFont="1" applyFill="1"/>
    <xf numFmtId="165" fontId="24" fillId="37" borderId="78" xfId="20" applyNumberFormat="1" applyFont="1" applyFill="1" applyBorder="1"/>
    <xf numFmtId="37" fontId="24" fillId="0" borderId="75" xfId="0" applyNumberFormat="1" applyFont="1" applyBorder="1" applyAlignment="1">
      <alignment horizontal="center"/>
    </xf>
    <xf numFmtId="3" fontId="24" fillId="0" borderId="76" xfId="0" applyFont="1" applyBorder="1"/>
    <xf numFmtId="165" fontId="24" fillId="37" borderId="79" xfId="20" applyNumberFormat="1" applyFont="1" applyFill="1" applyBorder="1"/>
    <xf numFmtId="3" fontId="24" fillId="37" borderId="76" xfId="20" applyNumberFormat="1" applyFont="1" applyFill="1" applyBorder="1"/>
    <xf numFmtId="3" fontId="24" fillId="37" borderId="75" xfId="20" applyNumberFormat="1" applyFont="1" applyFill="1" applyBorder="1"/>
    <xf numFmtId="3" fontId="24" fillId="37" borderId="79" xfId="20" applyNumberFormat="1" applyFont="1" applyFill="1" applyBorder="1"/>
    <xf numFmtId="172" fontId="24" fillId="37" borderId="76" xfId="26" applyNumberFormat="1" applyFont="1" applyFill="1" applyBorder="1"/>
    <xf numFmtId="172" fontId="24" fillId="37" borderId="75" xfId="26" applyNumberFormat="1" applyFont="1" applyFill="1" applyBorder="1"/>
    <xf numFmtId="37" fontId="24" fillId="0" borderId="67" xfId="0" applyNumberFormat="1" applyFont="1" applyBorder="1" applyAlignment="1">
      <alignment horizontal="right"/>
    </xf>
    <xf numFmtId="37" fontId="24" fillId="0" borderId="67" xfId="0" applyNumberFormat="1" applyFont="1" applyFill="1" applyBorder="1" applyAlignment="1">
      <alignment horizontal="right"/>
    </xf>
    <xf numFmtId="3" fontId="85" fillId="0" borderId="0" xfId="0" applyFont="1"/>
    <xf numFmtId="3" fontId="0" fillId="33" borderId="0" xfId="0" applyFill="1"/>
    <xf numFmtId="3" fontId="100" fillId="33" borderId="0" xfId="0" applyFont="1" applyFill="1"/>
    <xf numFmtId="3" fontId="101" fillId="33" borderId="0" xfId="0" applyFont="1" applyFill="1"/>
    <xf numFmtId="3" fontId="100" fillId="64" borderId="0" xfId="0" applyFont="1" applyFill="1"/>
    <xf numFmtId="3" fontId="100" fillId="65" borderId="0" xfId="0" applyFont="1" applyFill="1"/>
    <xf numFmtId="3" fontId="100" fillId="47" borderId="0" xfId="0" applyFont="1" applyFill="1"/>
    <xf numFmtId="3" fontId="101" fillId="47" borderId="0" xfId="0" applyFont="1" applyFill="1"/>
    <xf numFmtId="3" fontId="100" fillId="63" borderId="0" xfId="0" applyFont="1" applyFill="1"/>
    <xf numFmtId="3" fontId="100" fillId="66" borderId="0" xfId="0" applyFont="1" applyFill="1"/>
    <xf numFmtId="3" fontId="101" fillId="66" borderId="0" xfId="0" applyFont="1" applyFill="1"/>
    <xf numFmtId="1" fontId="31" fillId="45" borderId="0" xfId="0" applyNumberFormat="1" applyFont="1" applyFill="1" applyAlignment="1" applyProtection="1">
      <alignment horizontal="center"/>
      <protection locked="0"/>
    </xf>
    <xf numFmtId="3" fontId="101" fillId="64" borderId="0" xfId="0" applyFont="1" applyFill="1"/>
    <xf numFmtId="3" fontId="100" fillId="51" borderId="0" xfId="0" applyFont="1" applyFill="1"/>
    <xf numFmtId="3" fontId="101" fillId="65" borderId="0" xfId="0" applyFont="1" applyFill="1"/>
    <xf numFmtId="3" fontId="100" fillId="67" borderId="0" xfId="0" applyFont="1" applyFill="1"/>
    <xf numFmtId="3" fontId="101" fillId="51" borderId="0" xfId="0" applyFont="1" applyFill="1"/>
    <xf numFmtId="3" fontId="101" fillId="63" borderId="0" xfId="0" applyFont="1" applyFill="1"/>
    <xf numFmtId="1" fontId="31" fillId="54" borderId="0" xfId="0" applyNumberFormat="1" applyFont="1" applyFill="1" applyAlignment="1" applyProtection="1">
      <alignment horizontal="center"/>
      <protection locked="0"/>
    </xf>
    <xf numFmtId="3" fontId="101" fillId="67" borderId="0" xfId="0" applyFont="1" applyFill="1"/>
    <xf numFmtId="0" fontId="95" fillId="4" borderId="13" xfId="0" applyNumberFormat="1" applyFont="1" applyFill="1" applyBorder="1" applyAlignment="1" applyProtection="1">
      <alignment horizontal="left"/>
      <protection locked="0"/>
    </xf>
    <xf numFmtId="49" fontId="27" fillId="42" borderId="0" xfId="51604" applyNumberFormat="1" applyFont="1" applyFill="1" applyBorder="1" applyAlignment="1" applyProtection="1">
      <alignment horizontal="left"/>
      <protection locked="0"/>
    </xf>
    <xf numFmtId="49" fontId="31" fillId="42" borderId="0" xfId="51604" applyNumberFormat="1" applyFont="1" applyFill="1" applyBorder="1" applyAlignment="1" applyProtection="1">
      <alignment horizontal="left"/>
      <protection locked="0"/>
    </xf>
    <xf numFmtId="49" fontId="24" fillId="42" borderId="0" xfId="51605" applyNumberFormat="1" applyFont="1" applyFill="1" applyBorder="1" applyAlignment="1" applyProtection="1">
      <alignment horizontal="center"/>
      <protection locked="0"/>
    </xf>
    <xf numFmtId="49" fontId="24" fillId="42" borderId="0" xfId="51605" applyNumberFormat="1" applyFont="1" applyFill="1" applyBorder="1" applyAlignment="1" applyProtection="1">
      <alignment horizontal="left"/>
      <protection locked="0"/>
    </xf>
    <xf numFmtId="1" fontId="24" fillId="42" borderId="0" xfId="51605" applyNumberFormat="1" applyFont="1" applyFill="1" applyBorder="1" applyAlignment="1" applyProtection="1">
      <alignment horizontal="center"/>
      <protection locked="0"/>
    </xf>
    <xf numFmtId="1" fontId="24" fillId="42" borderId="0" xfId="51606" applyNumberFormat="1" applyFont="1" applyFill="1" applyBorder="1" applyAlignment="1" applyProtection="1">
      <alignment horizontal="center"/>
      <protection locked="0"/>
    </xf>
    <xf numFmtId="165" fontId="24" fillId="5" borderId="37" xfId="20" applyNumberFormat="1" applyFont="1" applyFill="1" applyBorder="1" applyAlignment="1" applyProtection="1">
      <alignment horizontal="center"/>
      <protection locked="0"/>
    </xf>
    <xf numFmtId="165" fontId="24" fillId="0" borderId="92" xfId="20" applyNumberFormat="1" applyFont="1" applyFill="1" applyBorder="1" applyAlignment="1" applyProtection="1">
      <alignment horizontal="center"/>
      <protection locked="0"/>
    </xf>
    <xf numFmtId="165" fontId="24" fillId="5" borderId="92" xfId="20" applyNumberFormat="1" applyFont="1" applyFill="1" applyBorder="1" applyAlignment="1" applyProtection="1">
      <alignment horizontal="right"/>
      <protection locked="0"/>
    </xf>
    <xf numFmtId="3" fontId="24" fillId="0" borderId="92" xfId="20" applyNumberFormat="1" applyFont="1" applyFill="1" applyBorder="1" applyAlignment="1" applyProtection="1">
      <alignment horizontal="right"/>
    </xf>
    <xf numFmtId="3" fontId="37" fillId="0" borderId="0" xfId="0" applyNumberFormat="1" applyFont="1"/>
    <xf numFmtId="3" fontId="32" fillId="6" borderId="92" xfId="20" applyNumberFormat="1" applyFont="1" applyFill="1" applyBorder="1" applyAlignment="1" applyProtection="1">
      <alignment horizontal="right"/>
    </xf>
    <xf numFmtId="3" fontId="32" fillId="6" borderId="63" xfId="20" applyNumberFormat="1" applyFont="1" applyFill="1" applyBorder="1" applyAlignment="1" applyProtection="1">
      <alignment horizontal="right"/>
    </xf>
    <xf numFmtId="3" fontId="34" fillId="3" borderId="92" xfId="20" applyNumberFormat="1" applyFont="1" applyFill="1" applyBorder="1" applyAlignment="1" applyProtection="1">
      <alignment horizontal="right"/>
    </xf>
    <xf numFmtId="3" fontId="34" fillId="3" borderId="63" xfId="20" applyNumberFormat="1" applyFont="1" applyFill="1" applyBorder="1" applyAlignment="1" applyProtection="1">
      <alignment horizontal="right"/>
    </xf>
    <xf numFmtId="3" fontId="24" fillId="5" borderId="92" xfId="20" applyNumberFormat="1" applyFont="1" applyFill="1" applyBorder="1" applyAlignment="1" applyProtection="1">
      <alignment horizontal="right"/>
      <protection locked="0"/>
    </xf>
    <xf numFmtId="0" fontId="37" fillId="0" borderId="0" xfId="26037" applyFont="1" applyFill="1"/>
    <xf numFmtId="3" fontId="34" fillId="3" borderId="21" xfId="20" applyNumberFormat="1" applyFont="1" applyFill="1" applyBorder="1" applyAlignment="1" applyProtection="1">
      <alignment horizontal="right"/>
    </xf>
    <xf numFmtId="3" fontId="32" fillId="6" borderId="0" xfId="20" applyNumberFormat="1" applyFont="1" applyFill="1" applyBorder="1" applyAlignment="1" applyProtection="1">
      <alignment horizontal="right"/>
    </xf>
    <xf numFmtId="3" fontId="34" fillId="3" borderId="93" xfId="20" applyNumberFormat="1" applyFont="1" applyFill="1" applyBorder="1" applyAlignment="1" applyProtection="1">
      <alignment horizontal="right"/>
    </xf>
    <xf numFmtId="3" fontId="32" fillId="6" borderId="22" xfId="20" applyNumberFormat="1" applyFont="1" applyFill="1" applyBorder="1" applyAlignment="1" applyProtection="1">
      <alignment horizontal="right"/>
    </xf>
    <xf numFmtId="3" fontId="24" fillId="0" borderId="0" xfId="51603" applyFont="1" applyFill="1" applyBorder="1"/>
    <xf numFmtId="49" fontId="24" fillId="42" borderId="0" xfId="51604" applyNumberFormat="1" applyFont="1" applyFill="1" applyBorder="1" applyAlignment="1" applyProtection="1">
      <alignment horizontal="left"/>
      <protection locked="0"/>
    </xf>
    <xf numFmtId="1" fontId="31" fillId="42" borderId="0" xfId="51606" applyNumberFormat="1" applyFont="1" applyFill="1" applyBorder="1" applyAlignment="1" applyProtection="1">
      <alignment horizontal="center"/>
      <protection locked="0"/>
    </xf>
    <xf numFmtId="1" fontId="24" fillId="42" borderId="0" xfId="51604" applyNumberFormat="1" applyFont="1" applyFill="1" applyBorder="1" applyAlignment="1" applyProtection="1">
      <alignment horizontal="center"/>
      <protection locked="0"/>
    </xf>
    <xf numFmtId="0" fontId="24" fillId="42" borderId="0" xfId="51604" applyNumberFormat="1" applyFont="1" applyFill="1" applyBorder="1" applyAlignment="1" applyProtection="1">
      <alignment horizontal="center"/>
      <protection locked="0"/>
    </xf>
    <xf numFmtId="0" fontId="37" fillId="0" borderId="0" xfId="26038" applyFont="1" applyFill="1"/>
    <xf numFmtId="164" fontId="24" fillId="42" borderId="0" xfId="51604" applyFont="1" applyFill="1" applyBorder="1" applyProtection="1">
      <protection locked="0"/>
    </xf>
    <xf numFmtId="49" fontId="24" fillId="3" borderId="0" xfId="20" applyNumberFormat="1" applyFont="1" applyFill="1" applyBorder="1" applyAlignment="1" applyProtection="1">
      <protection locked="0"/>
    </xf>
    <xf numFmtId="49" fontId="31" fillId="42" borderId="0" xfId="51607" applyNumberFormat="1" applyFont="1" applyFill="1" applyBorder="1" applyAlignment="1" applyProtection="1">
      <alignment horizontal="left"/>
      <protection locked="0"/>
    </xf>
    <xf numFmtId="49" fontId="24" fillId="42" borderId="0" xfId="20" applyNumberFormat="1" applyFont="1" applyFill="1" applyBorder="1" applyAlignment="1" applyProtection="1">
      <alignment horizontal="center"/>
      <protection locked="0"/>
    </xf>
    <xf numFmtId="49" fontId="24" fillId="59" borderId="0" xfId="20" applyNumberFormat="1" applyFont="1" applyFill="1" applyBorder="1" applyAlignment="1" applyProtection="1">
      <protection locked="0"/>
    </xf>
    <xf numFmtId="0" fontId="24" fillId="68" borderId="0" xfId="20" applyNumberFormat="1" applyFont="1" applyFill="1" applyBorder="1" applyAlignment="1" applyProtection="1">
      <alignment horizontal="center"/>
      <protection locked="0"/>
    </xf>
    <xf numFmtId="165" fontId="32" fillId="5" borderId="92" xfId="20" applyNumberFormat="1" applyFont="1" applyFill="1" applyBorder="1" applyAlignment="1" applyProtection="1">
      <alignment horizontal="right"/>
      <protection locked="0"/>
    </xf>
    <xf numFmtId="3" fontId="32" fillId="0" borderId="0" xfId="0" applyNumberFormat="1" applyFont="1"/>
    <xf numFmtId="0" fontId="37" fillId="0" borderId="0" xfId="26039" applyFont="1" applyFill="1"/>
    <xf numFmtId="49" fontId="24" fillId="60" borderId="0" xfId="20" applyNumberFormat="1" applyFont="1" applyFill="1" applyBorder="1" applyAlignment="1" applyProtection="1">
      <protection locked="0"/>
    </xf>
    <xf numFmtId="49" fontId="24" fillId="60" borderId="0" xfId="20" applyNumberFormat="1" applyFont="1" applyFill="1" applyBorder="1" applyAlignment="1" applyProtection="1">
      <alignment horizontal="right"/>
      <protection locked="0"/>
    </xf>
    <xf numFmtId="49" fontId="24" fillId="68" borderId="0" xfId="20" applyNumberFormat="1" applyFont="1" applyFill="1" applyBorder="1" applyAlignment="1" applyProtection="1">
      <alignment horizontal="center"/>
      <protection locked="0"/>
    </xf>
    <xf numFmtId="3" fontId="32" fillId="5" borderId="92" xfId="20" applyNumberFormat="1" applyFont="1" applyFill="1" applyBorder="1" applyAlignment="1" applyProtection="1">
      <alignment horizontal="right"/>
      <protection locked="0"/>
    </xf>
    <xf numFmtId="49" fontId="24" fillId="69" borderId="0" xfId="20" applyNumberFormat="1" applyFont="1" applyFill="1" applyBorder="1" applyAlignment="1" applyProtection="1">
      <protection locked="0"/>
    </xf>
    <xf numFmtId="49" fontId="24" fillId="69" borderId="0" xfId="20" applyNumberFormat="1" applyFont="1" applyFill="1" applyBorder="1" applyAlignment="1" applyProtection="1">
      <alignment horizontal="right"/>
      <protection locked="0"/>
    </xf>
    <xf numFmtId="49" fontId="24" fillId="61" borderId="0" xfId="20" applyNumberFormat="1" applyFont="1" applyFill="1" applyBorder="1" applyAlignment="1" applyProtection="1">
      <protection locked="0"/>
    </xf>
    <xf numFmtId="49" fontId="24" fillId="61" borderId="0" xfId="20" applyNumberFormat="1" applyFont="1" applyFill="1" applyBorder="1" applyAlignment="1" applyProtection="1">
      <alignment horizontal="right"/>
      <protection locked="0"/>
    </xf>
    <xf numFmtId="37" fontId="26" fillId="0" borderId="0" xfId="0" applyNumberFormat="1" applyFont="1" applyAlignment="1" applyProtection="1">
      <alignment horizontal="center"/>
    </xf>
    <xf numFmtId="37" fontId="83" fillId="0" borderId="0" xfId="0" applyNumberFormat="1" applyFont="1" applyAlignment="1" applyProtection="1">
      <alignment horizontal="center"/>
    </xf>
    <xf numFmtId="3" fontId="87" fillId="0" borderId="53" xfId="0" applyFont="1" applyFill="1" applyBorder="1" applyAlignment="1">
      <alignment horizontal="center"/>
    </xf>
    <xf numFmtId="37" fontId="23" fillId="0" borderId="0" xfId="0" applyNumberFormat="1" applyFont="1" applyBorder="1" applyAlignment="1" applyProtection="1">
      <alignment vertical="top" wrapText="1"/>
    </xf>
    <xf numFmtId="37" fontId="26" fillId="0" borderId="0" xfId="0" applyNumberFormat="1" applyFont="1" applyAlignment="1" applyProtection="1">
      <alignment horizontal="left"/>
    </xf>
    <xf numFmtId="37" fontId="0" fillId="0" borderId="67" xfId="0" applyNumberFormat="1" applyBorder="1" applyAlignment="1" applyProtection="1">
      <alignment horizontal="left" vertical="top" wrapText="1"/>
    </xf>
    <xf numFmtId="37" fontId="26" fillId="0" borderId="0" xfId="0" applyNumberFormat="1" applyFont="1" applyAlignment="1" applyProtection="1">
      <alignment horizontal="center"/>
    </xf>
    <xf numFmtId="37" fontId="83" fillId="0" borderId="0" xfId="0" applyNumberFormat="1" applyFont="1" applyAlignment="1" applyProtection="1">
      <alignment horizontal="center"/>
    </xf>
    <xf numFmtId="37" fontId="83" fillId="0" borderId="0" xfId="0" applyNumberFormat="1" applyFont="1" applyFill="1" applyAlignment="1" applyProtection="1">
      <alignment horizontal="center"/>
    </xf>
    <xf numFmtId="37" fontId="0" fillId="0" borderId="0" xfId="0" applyNumberFormat="1" applyBorder="1" applyAlignment="1" applyProtection="1">
      <alignment horizontal="left" vertical="top" wrapText="1"/>
    </xf>
    <xf numFmtId="3" fontId="23" fillId="0" borderId="0" xfId="0" applyFont="1" applyBorder="1" applyAlignment="1">
      <alignment wrapText="1"/>
    </xf>
    <xf numFmtId="3" fontId="0" fillId="0" borderId="0" xfId="0" applyAlignment="1">
      <alignment wrapText="1"/>
    </xf>
    <xf numFmtId="37" fontId="86" fillId="0" borderId="71" xfId="0" applyNumberFormat="1" applyFont="1" applyBorder="1" applyAlignment="1" applyProtection="1">
      <alignment horizontal="center"/>
    </xf>
    <xf numFmtId="3" fontId="87" fillId="0" borderId="71" xfId="0" applyFont="1" applyBorder="1" applyAlignment="1">
      <alignment horizontal="center"/>
    </xf>
    <xf numFmtId="3" fontId="23" fillId="0" borderId="0" xfId="0" applyFont="1" applyBorder="1"/>
    <xf numFmtId="37" fontId="23" fillId="0" borderId="67" xfId="0" applyNumberFormat="1" applyFont="1" applyBorder="1" applyAlignment="1" applyProtection="1">
      <alignment horizontal="left" vertical="top" wrapText="1"/>
    </xf>
    <xf numFmtId="3" fontId="0" fillId="0" borderId="67" xfId="0" applyBorder="1" applyAlignment="1">
      <alignment horizontal="left" vertical="top" wrapText="1"/>
    </xf>
    <xf numFmtId="37" fontId="0" fillId="0" borderId="0" xfId="0" applyNumberFormat="1" applyFont="1" applyBorder="1" applyAlignment="1" applyProtection="1">
      <alignment horizontal="left" vertical="top" wrapText="1"/>
    </xf>
    <xf numFmtId="3" fontId="23" fillId="0" borderId="0" xfId="0" applyFont="1" applyAlignment="1"/>
    <xf numFmtId="165" fontId="35" fillId="0" borderId="9" xfId="20" applyNumberFormat="1" applyFont="1" applyFill="1" applyBorder="1" applyAlignment="1" applyProtection="1">
      <alignment horizontal="center"/>
      <protection locked="0"/>
    </xf>
    <xf numFmtId="165" fontId="35" fillId="0" borderId="8" xfId="20" applyNumberFormat="1" applyFont="1" applyFill="1" applyBorder="1" applyAlignment="1" applyProtection="1">
      <alignment horizontal="center"/>
      <protection locked="0"/>
    </xf>
  </cellXfs>
  <cellStyles count="51608">
    <cellStyle name="20% - Accent1 2" xfId="986"/>
    <cellStyle name="20% - Accent2 2" xfId="987"/>
    <cellStyle name="20% - Accent3 2" xfId="988"/>
    <cellStyle name="20% - Accent4 2" xfId="989"/>
    <cellStyle name="20% - Accent5 2" xfId="990"/>
    <cellStyle name="20% - Accent6 2" xfId="991"/>
    <cellStyle name="40% - Accent1 2" xfId="992"/>
    <cellStyle name="40% - Accent2 2" xfId="993"/>
    <cellStyle name="40% - Accent3 2" xfId="994"/>
    <cellStyle name="40% - Accent4 2" xfId="995"/>
    <cellStyle name="40% - Accent5 2" xfId="996"/>
    <cellStyle name="40% - Accent6 2" xfId="997"/>
    <cellStyle name="60% - Accent1 2" xfId="998"/>
    <cellStyle name="60% - Accent2 2" xfId="999"/>
    <cellStyle name="60% - Accent3 2" xfId="1000"/>
    <cellStyle name="60% - Accent4 2" xfId="1001"/>
    <cellStyle name="60% - Accent5 2" xfId="1002"/>
    <cellStyle name="60% - Accent6 2" xfId="1003"/>
    <cellStyle name="Accent1 2" xfId="1004"/>
    <cellStyle name="Accent2 2" xfId="1005"/>
    <cellStyle name="Accent3 2" xfId="1006"/>
    <cellStyle name="Accent4 2" xfId="1007"/>
    <cellStyle name="Accent5 2" xfId="1008"/>
    <cellStyle name="Accent6 2" xfId="1009"/>
    <cellStyle name="Bad 2" xfId="1010"/>
    <cellStyle name="Calculation 2" xfId="1011"/>
    <cellStyle name="Calculation 3" xfId="1035"/>
    <cellStyle name="Check Cell 2" xfId="1012"/>
    <cellStyle name="Comma 2" xfId="20"/>
    <cellStyle name="Comma 2 2" xfId="104"/>
    <cellStyle name="Comma 2 3" xfId="62"/>
    <cellStyle name="Comma 2 4" xfId="1013"/>
    <cellStyle name="Comma 3" xfId="41"/>
    <cellStyle name="Comma 3 2" xfId="21"/>
    <cellStyle name="Comma 4" xfId="31"/>
    <cellStyle name="Comma 5" xfId="42"/>
    <cellStyle name="Comma 5 10" xfId="305"/>
    <cellStyle name="Comma 5 10 10" xfId="26234"/>
    <cellStyle name="Comma 5 10 11" xfId="26025"/>
    <cellStyle name="Comma 5 10 11 2" xfId="51578"/>
    <cellStyle name="Comma 5 10 2" xfId="620"/>
    <cellStyle name="Comma 5 10 2 2" xfId="3106"/>
    <cellStyle name="Comma 5 10 2 2 2" xfId="12249"/>
    <cellStyle name="Comma 5 10 2 2 2 2" xfId="22467"/>
    <cellStyle name="Comma 5 10 2 2 2 2 2" xfId="48020"/>
    <cellStyle name="Comma 5 10 2 2 2 3" xfId="37804"/>
    <cellStyle name="Comma 5 10 2 2 3" xfId="8671"/>
    <cellStyle name="Comma 5 10 2 2 3 2" xfId="34228"/>
    <cellStyle name="Comma 5 10 2 2 4" xfId="17460"/>
    <cellStyle name="Comma 5 10 2 2 4 2" xfId="43013"/>
    <cellStyle name="Comma 5 10 2 2 5" xfId="28950"/>
    <cellStyle name="Comma 5 10 2 3" xfId="4435"/>
    <cellStyle name="Comma 5 10 2 3 2" xfId="13273"/>
    <cellStyle name="Comma 5 10 2 3 2 2" xfId="23524"/>
    <cellStyle name="Comma 5 10 2 3 2 2 2" xfId="49077"/>
    <cellStyle name="Comma 5 10 2 3 2 3" xfId="38828"/>
    <cellStyle name="Comma 5 10 2 3 3" xfId="9694"/>
    <cellStyle name="Comma 5 10 2 3 3 2" xfId="35251"/>
    <cellStyle name="Comma 5 10 2 3 4" xfId="18517"/>
    <cellStyle name="Comma 5 10 2 3 4 2" xfId="44070"/>
    <cellStyle name="Comma 5 10 2 3 5" xfId="30007"/>
    <cellStyle name="Comma 5 10 2 4" xfId="2215"/>
    <cellStyle name="Comma 5 10 2 4 2" xfId="11580"/>
    <cellStyle name="Comma 5 10 2 4 2 2" xfId="37135"/>
    <cellStyle name="Comma 5 10 2 4 3" xfId="21584"/>
    <cellStyle name="Comma 5 10 2 4 3 2" xfId="47137"/>
    <cellStyle name="Comma 5 10 2 4 4" xfId="28067"/>
    <cellStyle name="Comma 5 10 2 5" xfId="5891"/>
    <cellStyle name="Comma 5 10 2 5 2" xfId="14718"/>
    <cellStyle name="Comma 5 10 2 5 2 2" xfId="40273"/>
    <cellStyle name="Comma 5 10 2 5 3" xfId="24969"/>
    <cellStyle name="Comma 5 10 2 5 3 2" xfId="50522"/>
    <cellStyle name="Comma 5 10 2 5 4" xfId="31452"/>
    <cellStyle name="Comma 5 10 2 6" xfId="7335"/>
    <cellStyle name="Comma 5 10 2 6 2" xfId="20066"/>
    <cellStyle name="Comma 5 10 2 6 2 2" xfId="45619"/>
    <cellStyle name="Comma 5 10 2 6 3" xfId="32892"/>
    <cellStyle name="Comma 5 10 2 7" xfId="16577"/>
    <cellStyle name="Comma 5 10 2 7 2" xfId="42130"/>
    <cellStyle name="Comma 5 10 2 8" xfId="26549"/>
    <cellStyle name="Comma 5 10 3" xfId="1077"/>
    <cellStyle name="Comma 5 10 3 2" xfId="3506"/>
    <cellStyle name="Comma 5 10 3 2 2" xfId="12642"/>
    <cellStyle name="Comma 5 10 3 2 2 2" xfId="22861"/>
    <cellStyle name="Comma 5 10 3 2 2 2 2" xfId="48414"/>
    <cellStyle name="Comma 5 10 3 2 2 3" xfId="38197"/>
    <cellStyle name="Comma 5 10 3 2 3" xfId="9064"/>
    <cellStyle name="Comma 5 10 3 2 3 2" xfId="34621"/>
    <cellStyle name="Comma 5 10 3 2 4" xfId="17854"/>
    <cellStyle name="Comma 5 10 3 2 4 2" xfId="43407"/>
    <cellStyle name="Comma 5 10 3 2 5" xfId="29344"/>
    <cellStyle name="Comma 5 10 3 3" xfId="4784"/>
    <cellStyle name="Comma 5 10 3 3 2" xfId="13621"/>
    <cellStyle name="Comma 5 10 3 3 2 2" xfId="23872"/>
    <cellStyle name="Comma 5 10 3 3 2 2 2" xfId="49425"/>
    <cellStyle name="Comma 5 10 3 3 2 3" xfId="39176"/>
    <cellStyle name="Comma 5 10 3 3 3" xfId="10042"/>
    <cellStyle name="Comma 5 10 3 3 3 2" xfId="35599"/>
    <cellStyle name="Comma 5 10 3 3 4" xfId="18865"/>
    <cellStyle name="Comma 5 10 3 3 4 2" xfId="44418"/>
    <cellStyle name="Comma 5 10 3 3 5" xfId="30355"/>
    <cellStyle name="Comma 5 10 3 4" xfId="2583"/>
    <cellStyle name="Comma 5 10 3 4 2" xfId="11947"/>
    <cellStyle name="Comma 5 10 3 4 2 2" xfId="37502"/>
    <cellStyle name="Comma 5 10 3 4 3" xfId="21951"/>
    <cellStyle name="Comma 5 10 3 4 3 2" xfId="47504"/>
    <cellStyle name="Comma 5 10 3 4 4" xfId="28434"/>
    <cellStyle name="Comma 5 10 3 5" xfId="6239"/>
    <cellStyle name="Comma 5 10 3 5 2" xfId="15066"/>
    <cellStyle name="Comma 5 10 3 5 2 2" xfId="40621"/>
    <cellStyle name="Comma 5 10 3 5 3" xfId="25317"/>
    <cellStyle name="Comma 5 10 3 5 3 2" xfId="50870"/>
    <cellStyle name="Comma 5 10 3 5 4" xfId="31800"/>
    <cellStyle name="Comma 5 10 3 6" xfId="7685"/>
    <cellStyle name="Comma 5 10 3 6 2" xfId="20460"/>
    <cellStyle name="Comma 5 10 3 6 2 2" xfId="46013"/>
    <cellStyle name="Comma 5 10 3 6 3" xfId="33242"/>
    <cellStyle name="Comma 5 10 3 7" xfId="16944"/>
    <cellStyle name="Comma 5 10 3 7 2" xfId="42497"/>
    <cellStyle name="Comma 5 10 3 8" xfId="26943"/>
    <cellStyle name="Comma 5 10 4" xfId="2791"/>
    <cellStyle name="Comma 5 10 4 2" xfId="5169"/>
    <cellStyle name="Comma 5 10 4 2 2" xfId="14006"/>
    <cellStyle name="Comma 5 10 4 2 2 2" xfId="24257"/>
    <cellStyle name="Comma 5 10 4 2 2 2 2" xfId="49810"/>
    <cellStyle name="Comma 5 10 4 2 2 3" xfId="39561"/>
    <cellStyle name="Comma 5 10 4 2 3" xfId="10427"/>
    <cellStyle name="Comma 5 10 4 2 3 2" xfId="35984"/>
    <cellStyle name="Comma 5 10 4 2 4" xfId="19250"/>
    <cellStyle name="Comma 5 10 4 2 4 2" xfId="44803"/>
    <cellStyle name="Comma 5 10 4 2 5" xfId="30740"/>
    <cellStyle name="Comma 5 10 4 3" xfId="6624"/>
    <cellStyle name="Comma 5 10 4 3 2" xfId="15451"/>
    <cellStyle name="Comma 5 10 4 3 2 2" xfId="41006"/>
    <cellStyle name="Comma 5 10 4 3 3" xfId="25702"/>
    <cellStyle name="Comma 5 10 4 3 3 2" xfId="51255"/>
    <cellStyle name="Comma 5 10 4 3 4" xfId="32185"/>
    <cellStyle name="Comma 5 10 4 4" xfId="8070"/>
    <cellStyle name="Comma 5 10 4 4 2" xfId="22152"/>
    <cellStyle name="Comma 5 10 4 4 2 2" xfId="47705"/>
    <cellStyle name="Comma 5 10 4 4 3" xfId="33627"/>
    <cellStyle name="Comma 5 10 4 5" xfId="17145"/>
    <cellStyle name="Comma 5 10 4 5 2" xfId="42698"/>
    <cellStyle name="Comma 5 10 4 6" xfId="28635"/>
    <cellStyle name="Comma 5 10 5" xfId="4123"/>
    <cellStyle name="Comma 5 10 5 2" xfId="12961"/>
    <cellStyle name="Comma 5 10 5 2 2" xfId="23212"/>
    <cellStyle name="Comma 5 10 5 2 2 2" xfId="48765"/>
    <cellStyle name="Comma 5 10 5 2 3" xfId="38516"/>
    <cellStyle name="Comma 5 10 5 3" xfId="9382"/>
    <cellStyle name="Comma 5 10 5 3 2" xfId="34939"/>
    <cellStyle name="Comma 5 10 5 4" xfId="18205"/>
    <cellStyle name="Comma 5 10 5 4 2" xfId="43758"/>
    <cellStyle name="Comma 5 10 5 5" xfId="29695"/>
    <cellStyle name="Comma 5 10 6" xfId="1900"/>
    <cellStyle name="Comma 5 10 6 2" xfId="11265"/>
    <cellStyle name="Comma 5 10 6 2 2" xfId="36820"/>
    <cellStyle name="Comma 5 10 6 3" xfId="21269"/>
    <cellStyle name="Comma 5 10 6 3 2" xfId="46822"/>
    <cellStyle name="Comma 5 10 6 4" xfId="27752"/>
    <cellStyle name="Comma 5 10 7" xfId="5581"/>
    <cellStyle name="Comma 5 10 7 2" xfId="14408"/>
    <cellStyle name="Comma 5 10 7 2 2" xfId="39963"/>
    <cellStyle name="Comma 5 10 7 3" xfId="24659"/>
    <cellStyle name="Comma 5 10 7 3 2" xfId="50212"/>
    <cellStyle name="Comma 5 10 7 4" xfId="31142"/>
    <cellStyle name="Comma 5 10 8" xfId="7025"/>
    <cellStyle name="Comma 5 10 8 2" xfId="19751"/>
    <cellStyle name="Comma 5 10 8 2 2" xfId="45304"/>
    <cellStyle name="Comma 5 10 8 3" xfId="32582"/>
    <cellStyle name="Comma 5 10 9" xfId="16262"/>
    <cellStyle name="Comma 5 10 9 2" xfId="41815"/>
    <cellStyle name="Comma 5 11" xfId="619"/>
    <cellStyle name="Comma 5 11 2" xfId="3105"/>
    <cellStyle name="Comma 5 11 2 2" xfId="12248"/>
    <cellStyle name="Comma 5 11 2 2 2" xfId="22466"/>
    <cellStyle name="Comma 5 11 2 2 2 2" xfId="48019"/>
    <cellStyle name="Comma 5 11 2 2 3" xfId="37803"/>
    <cellStyle name="Comma 5 11 2 3" xfId="8670"/>
    <cellStyle name="Comma 5 11 2 3 2" xfId="34227"/>
    <cellStyle name="Comma 5 11 2 4" xfId="17459"/>
    <cellStyle name="Comma 5 11 2 4 2" xfId="43012"/>
    <cellStyle name="Comma 5 11 2 5" xfId="28949"/>
    <cellStyle name="Comma 5 11 3" xfId="4434"/>
    <cellStyle name="Comma 5 11 3 2" xfId="13272"/>
    <cellStyle name="Comma 5 11 3 2 2" xfId="23523"/>
    <cellStyle name="Comma 5 11 3 2 2 2" xfId="49076"/>
    <cellStyle name="Comma 5 11 3 2 3" xfId="38827"/>
    <cellStyle name="Comma 5 11 3 3" xfId="9693"/>
    <cellStyle name="Comma 5 11 3 3 2" xfId="35250"/>
    <cellStyle name="Comma 5 11 3 4" xfId="18516"/>
    <cellStyle name="Comma 5 11 3 4 2" xfId="44069"/>
    <cellStyle name="Comma 5 11 3 5" xfId="30006"/>
    <cellStyle name="Comma 5 11 4" xfId="2214"/>
    <cellStyle name="Comma 5 11 4 2" xfId="11579"/>
    <cellStyle name="Comma 5 11 4 2 2" xfId="37134"/>
    <cellStyle name="Comma 5 11 4 3" xfId="21583"/>
    <cellStyle name="Comma 5 11 4 3 2" xfId="47136"/>
    <cellStyle name="Comma 5 11 4 4" xfId="28066"/>
    <cellStyle name="Comma 5 11 5" xfId="5890"/>
    <cellStyle name="Comma 5 11 5 2" xfId="14717"/>
    <cellStyle name="Comma 5 11 5 2 2" xfId="40272"/>
    <cellStyle name="Comma 5 11 5 3" xfId="24968"/>
    <cellStyle name="Comma 5 11 5 3 2" xfId="50521"/>
    <cellStyle name="Comma 5 11 5 4" xfId="31451"/>
    <cellStyle name="Comma 5 11 6" xfId="7334"/>
    <cellStyle name="Comma 5 11 6 2" xfId="20065"/>
    <cellStyle name="Comma 5 11 6 2 2" xfId="45618"/>
    <cellStyle name="Comma 5 11 6 3" xfId="32891"/>
    <cellStyle name="Comma 5 11 7" xfId="16576"/>
    <cellStyle name="Comma 5 11 7 2" xfId="42129"/>
    <cellStyle name="Comma 5 11 8" xfId="26548"/>
    <cellStyle name="Comma 5 12" xfId="1045"/>
    <cellStyle name="Comma 5 12 2" xfId="3474"/>
    <cellStyle name="Comma 5 12 2 2" xfId="12610"/>
    <cellStyle name="Comma 5 12 2 2 2" xfId="22829"/>
    <cellStyle name="Comma 5 12 2 2 2 2" xfId="48382"/>
    <cellStyle name="Comma 5 12 2 2 3" xfId="38165"/>
    <cellStyle name="Comma 5 12 2 3" xfId="9032"/>
    <cellStyle name="Comma 5 12 2 3 2" xfId="34589"/>
    <cellStyle name="Comma 5 12 2 4" xfId="17822"/>
    <cellStyle name="Comma 5 12 2 4 2" xfId="43375"/>
    <cellStyle name="Comma 5 12 2 5" xfId="29312"/>
    <cellStyle name="Comma 5 12 3" xfId="4783"/>
    <cellStyle name="Comma 5 12 3 2" xfId="13620"/>
    <cellStyle name="Comma 5 12 3 2 2" xfId="23871"/>
    <cellStyle name="Comma 5 12 3 2 2 2" xfId="49424"/>
    <cellStyle name="Comma 5 12 3 2 3" xfId="39175"/>
    <cellStyle name="Comma 5 12 3 3" xfId="10041"/>
    <cellStyle name="Comma 5 12 3 3 2" xfId="35598"/>
    <cellStyle name="Comma 5 12 3 4" xfId="18864"/>
    <cellStyle name="Comma 5 12 3 4 2" xfId="44417"/>
    <cellStyle name="Comma 5 12 3 5" xfId="30354"/>
    <cellStyle name="Comma 5 12 4" xfId="1709"/>
    <cellStyle name="Comma 5 12 4 2" xfId="11086"/>
    <cellStyle name="Comma 5 12 4 2 2" xfId="36641"/>
    <cellStyle name="Comma 5 12 4 3" xfId="21090"/>
    <cellStyle name="Comma 5 12 4 3 2" xfId="46643"/>
    <cellStyle name="Comma 5 12 4 4" xfId="27573"/>
    <cellStyle name="Comma 5 12 5" xfId="6238"/>
    <cellStyle name="Comma 5 12 5 2" xfId="15065"/>
    <cellStyle name="Comma 5 12 5 2 2" xfId="40620"/>
    <cellStyle name="Comma 5 12 5 3" xfId="25316"/>
    <cellStyle name="Comma 5 12 5 3 2" xfId="50869"/>
    <cellStyle name="Comma 5 12 5 4" xfId="31799"/>
    <cellStyle name="Comma 5 12 6" xfId="7684"/>
    <cellStyle name="Comma 5 12 6 2" xfId="20428"/>
    <cellStyle name="Comma 5 12 6 2 2" xfId="45981"/>
    <cellStyle name="Comma 5 12 6 3" xfId="33241"/>
    <cellStyle name="Comma 5 12 7" xfId="16083"/>
    <cellStyle name="Comma 5 12 7 2" xfId="41636"/>
    <cellStyle name="Comma 5 12 8" xfId="26911"/>
    <cellStyle name="Comma 5 13" xfId="2609"/>
    <cellStyle name="Comma 5 13 2" xfId="5137"/>
    <cellStyle name="Comma 5 13 2 2" xfId="13974"/>
    <cellStyle name="Comma 5 13 2 2 2" xfId="24225"/>
    <cellStyle name="Comma 5 13 2 2 2 2" xfId="49778"/>
    <cellStyle name="Comma 5 13 2 2 3" xfId="39529"/>
    <cellStyle name="Comma 5 13 2 3" xfId="10395"/>
    <cellStyle name="Comma 5 13 2 3 2" xfId="35952"/>
    <cellStyle name="Comma 5 13 2 4" xfId="19218"/>
    <cellStyle name="Comma 5 13 2 4 2" xfId="44771"/>
    <cellStyle name="Comma 5 13 2 5" xfId="30708"/>
    <cellStyle name="Comma 5 13 3" xfId="6592"/>
    <cellStyle name="Comma 5 13 3 2" xfId="15419"/>
    <cellStyle name="Comma 5 13 3 2 2" xfId="40974"/>
    <cellStyle name="Comma 5 13 3 3" xfId="25670"/>
    <cellStyle name="Comma 5 13 3 3 2" xfId="51223"/>
    <cellStyle name="Comma 5 13 3 4" xfId="32153"/>
    <cellStyle name="Comma 5 13 4" xfId="8038"/>
    <cellStyle name="Comma 5 13 4 2" xfId="21973"/>
    <cellStyle name="Comma 5 13 4 2 2" xfId="47526"/>
    <cellStyle name="Comma 5 13 4 3" xfId="33595"/>
    <cellStyle name="Comma 5 13 5" xfId="16966"/>
    <cellStyle name="Comma 5 13 5 2" xfId="42519"/>
    <cellStyle name="Comma 5 13 6" xfId="28456"/>
    <cellStyle name="Comma 5 14" xfId="4091"/>
    <cellStyle name="Comma 5 14 2" xfId="5549"/>
    <cellStyle name="Comma 5 14 2 2" xfId="14376"/>
    <cellStyle name="Comma 5 14 2 2 2" xfId="39931"/>
    <cellStyle name="Comma 5 14 2 3" xfId="24627"/>
    <cellStyle name="Comma 5 14 2 3 2" xfId="50180"/>
    <cellStyle name="Comma 5 14 2 4" xfId="31110"/>
    <cellStyle name="Comma 5 14 3" xfId="6993"/>
    <cellStyle name="Comma 5 14 3 2" xfId="23180"/>
    <cellStyle name="Comma 5 14 3 2 2" xfId="48733"/>
    <cellStyle name="Comma 5 14 3 3" xfId="32550"/>
    <cellStyle name="Comma 5 14 4" xfId="18173"/>
    <cellStyle name="Comma 5 14 4 2" xfId="43726"/>
    <cellStyle name="Comma 5 14 5" xfId="29663"/>
    <cellStyle name="Comma 5 15" xfId="1397"/>
    <cellStyle name="Comma 5 15 2" xfId="10774"/>
    <cellStyle name="Comma 5 15 2 2" xfId="36329"/>
    <cellStyle name="Comma 5 15 3" xfId="20778"/>
    <cellStyle name="Comma 5 15 3 2" xfId="46331"/>
    <cellStyle name="Comma 5 15 4" xfId="27261"/>
    <cellStyle name="Comma 5 16" xfId="5509"/>
    <cellStyle name="Comma 5 16 2" xfId="14336"/>
    <cellStyle name="Comma 5 16 2 2" xfId="39891"/>
    <cellStyle name="Comma 5 16 3" xfId="24587"/>
    <cellStyle name="Comma 5 16 3 2" xfId="50140"/>
    <cellStyle name="Comma 5 16 4" xfId="31070"/>
    <cellStyle name="Comma 5 17" xfId="6948"/>
    <cellStyle name="Comma 5 17 2" xfId="19573"/>
    <cellStyle name="Comma 5 17 2 2" xfId="45126"/>
    <cellStyle name="Comma 5 17 3" xfId="32506"/>
    <cellStyle name="Comma 5 18" xfId="15771"/>
    <cellStyle name="Comma 5 18 2" xfId="41324"/>
    <cellStyle name="Comma 5 19" xfId="26056"/>
    <cellStyle name="Comma 5 2" xfId="43"/>
    <cellStyle name="Comma 5 2 10" xfId="621"/>
    <cellStyle name="Comma 5 2 10 2" xfId="3107"/>
    <cellStyle name="Comma 5 2 10 2 2" xfId="12250"/>
    <cellStyle name="Comma 5 2 10 2 2 2" xfId="22468"/>
    <cellStyle name="Comma 5 2 10 2 2 2 2" xfId="48021"/>
    <cellStyle name="Comma 5 2 10 2 2 3" xfId="37805"/>
    <cellStyle name="Comma 5 2 10 2 3" xfId="8672"/>
    <cellStyle name="Comma 5 2 10 2 3 2" xfId="34229"/>
    <cellStyle name="Comma 5 2 10 2 4" xfId="17461"/>
    <cellStyle name="Comma 5 2 10 2 4 2" xfId="43014"/>
    <cellStyle name="Comma 5 2 10 2 5" xfId="28951"/>
    <cellStyle name="Comma 5 2 10 3" xfId="4436"/>
    <cellStyle name="Comma 5 2 10 3 2" xfId="13274"/>
    <cellStyle name="Comma 5 2 10 3 2 2" xfId="23525"/>
    <cellStyle name="Comma 5 2 10 3 2 2 2" xfId="49078"/>
    <cellStyle name="Comma 5 2 10 3 2 3" xfId="38829"/>
    <cellStyle name="Comma 5 2 10 3 3" xfId="9695"/>
    <cellStyle name="Comma 5 2 10 3 3 2" xfId="35252"/>
    <cellStyle name="Comma 5 2 10 3 4" xfId="18518"/>
    <cellStyle name="Comma 5 2 10 3 4 2" xfId="44071"/>
    <cellStyle name="Comma 5 2 10 3 5" xfId="30008"/>
    <cellStyle name="Comma 5 2 10 4" xfId="2216"/>
    <cellStyle name="Comma 5 2 10 4 2" xfId="11581"/>
    <cellStyle name="Comma 5 2 10 4 2 2" xfId="37136"/>
    <cellStyle name="Comma 5 2 10 4 3" xfId="21585"/>
    <cellStyle name="Comma 5 2 10 4 3 2" xfId="47138"/>
    <cellStyle name="Comma 5 2 10 4 4" xfId="28068"/>
    <cellStyle name="Comma 5 2 10 5" xfId="5892"/>
    <cellStyle name="Comma 5 2 10 5 2" xfId="14719"/>
    <cellStyle name="Comma 5 2 10 5 2 2" xfId="40274"/>
    <cellStyle name="Comma 5 2 10 5 3" xfId="24970"/>
    <cellStyle name="Comma 5 2 10 5 3 2" xfId="50523"/>
    <cellStyle name="Comma 5 2 10 5 4" xfId="31453"/>
    <cellStyle name="Comma 5 2 10 6" xfId="7336"/>
    <cellStyle name="Comma 5 2 10 6 2" xfId="20067"/>
    <cellStyle name="Comma 5 2 10 6 2 2" xfId="45620"/>
    <cellStyle name="Comma 5 2 10 6 3" xfId="32893"/>
    <cellStyle name="Comma 5 2 10 7" xfId="16578"/>
    <cellStyle name="Comma 5 2 10 7 2" xfId="42131"/>
    <cellStyle name="Comma 5 2 10 8" xfId="26550"/>
    <cellStyle name="Comma 5 2 11" xfId="1046"/>
    <cellStyle name="Comma 5 2 11 2" xfId="3475"/>
    <cellStyle name="Comma 5 2 11 2 2" xfId="12611"/>
    <cellStyle name="Comma 5 2 11 2 2 2" xfId="22830"/>
    <cellStyle name="Comma 5 2 11 2 2 2 2" xfId="48383"/>
    <cellStyle name="Comma 5 2 11 2 2 3" xfId="38166"/>
    <cellStyle name="Comma 5 2 11 2 3" xfId="9033"/>
    <cellStyle name="Comma 5 2 11 2 3 2" xfId="34590"/>
    <cellStyle name="Comma 5 2 11 2 4" xfId="17823"/>
    <cellStyle name="Comma 5 2 11 2 4 2" xfId="43376"/>
    <cellStyle name="Comma 5 2 11 2 5" xfId="29313"/>
    <cellStyle name="Comma 5 2 11 3" xfId="4785"/>
    <cellStyle name="Comma 5 2 11 3 2" xfId="13622"/>
    <cellStyle name="Comma 5 2 11 3 2 2" xfId="23873"/>
    <cellStyle name="Comma 5 2 11 3 2 2 2" xfId="49426"/>
    <cellStyle name="Comma 5 2 11 3 2 3" xfId="39177"/>
    <cellStyle name="Comma 5 2 11 3 3" xfId="10043"/>
    <cellStyle name="Comma 5 2 11 3 3 2" xfId="35600"/>
    <cellStyle name="Comma 5 2 11 3 4" xfId="18866"/>
    <cellStyle name="Comma 5 2 11 3 4 2" xfId="44419"/>
    <cellStyle name="Comma 5 2 11 3 5" xfId="30356"/>
    <cellStyle name="Comma 5 2 11 4" xfId="1710"/>
    <cellStyle name="Comma 5 2 11 4 2" xfId="11087"/>
    <cellStyle name="Comma 5 2 11 4 2 2" xfId="36642"/>
    <cellStyle name="Comma 5 2 11 4 3" xfId="21091"/>
    <cellStyle name="Comma 5 2 11 4 3 2" xfId="46644"/>
    <cellStyle name="Comma 5 2 11 4 4" xfId="27574"/>
    <cellStyle name="Comma 5 2 11 5" xfId="6240"/>
    <cellStyle name="Comma 5 2 11 5 2" xfId="15067"/>
    <cellStyle name="Comma 5 2 11 5 2 2" xfId="40622"/>
    <cellStyle name="Comma 5 2 11 5 3" xfId="25318"/>
    <cellStyle name="Comma 5 2 11 5 3 2" xfId="50871"/>
    <cellStyle name="Comma 5 2 11 5 4" xfId="31801"/>
    <cellStyle name="Comma 5 2 11 6" xfId="7686"/>
    <cellStyle name="Comma 5 2 11 6 2" xfId="20429"/>
    <cellStyle name="Comma 5 2 11 6 2 2" xfId="45982"/>
    <cellStyle name="Comma 5 2 11 6 3" xfId="33243"/>
    <cellStyle name="Comma 5 2 11 7" xfId="16084"/>
    <cellStyle name="Comma 5 2 11 7 2" xfId="41637"/>
    <cellStyle name="Comma 5 2 11 8" xfId="26912"/>
    <cellStyle name="Comma 5 2 12" xfId="2610"/>
    <cellStyle name="Comma 5 2 12 2" xfId="5138"/>
    <cellStyle name="Comma 5 2 12 2 2" xfId="13975"/>
    <cellStyle name="Comma 5 2 12 2 2 2" xfId="24226"/>
    <cellStyle name="Comma 5 2 12 2 2 2 2" xfId="49779"/>
    <cellStyle name="Comma 5 2 12 2 2 3" xfId="39530"/>
    <cellStyle name="Comma 5 2 12 2 3" xfId="10396"/>
    <cellStyle name="Comma 5 2 12 2 3 2" xfId="35953"/>
    <cellStyle name="Comma 5 2 12 2 4" xfId="19219"/>
    <cellStyle name="Comma 5 2 12 2 4 2" xfId="44772"/>
    <cellStyle name="Comma 5 2 12 2 5" xfId="30709"/>
    <cellStyle name="Comma 5 2 12 3" xfId="6593"/>
    <cellStyle name="Comma 5 2 12 3 2" xfId="15420"/>
    <cellStyle name="Comma 5 2 12 3 2 2" xfId="40975"/>
    <cellStyle name="Comma 5 2 12 3 3" xfId="25671"/>
    <cellStyle name="Comma 5 2 12 3 3 2" xfId="51224"/>
    <cellStyle name="Comma 5 2 12 3 4" xfId="32154"/>
    <cellStyle name="Comma 5 2 12 4" xfId="8039"/>
    <cellStyle name="Comma 5 2 12 4 2" xfId="21974"/>
    <cellStyle name="Comma 5 2 12 4 2 2" xfId="47527"/>
    <cellStyle name="Comma 5 2 12 4 3" xfId="33596"/>
    <cellStyle name="Comma 5 2 12 5" xfId="16967"/>
    <cellStyle name="Comma 5 2 12 5 2" xfId="42520"/>
    <cellStyle name="Comma 5 2 12 6" xfId="28457"/>
    <cellStyle name="Comma 5 2 13" xfId="4092"/>
    <cellStyle name="Comma 5 2 13 2" xfId="5550"/>
    <cellStyle name="Comma 5 2 13 2 2" xfId="14377"/>
    <cellStyle name="Comma 5 2 13 2 2 2" xfId="39932"/>
    <cellStyle name="Comma 5 2 13 2 3" xfId="24628"/>
    <cellStyle name="Comma 5 2 13 2 3 2" xfId="50181"/>
    <cellStyle name="Comma 5 2 13 2 4" xfId="31111"/>
    <cellStyle name="Comma 5 2 13 3" xfId="6994"/>
    <cellStyle name="Comma 5 2 13 3 2" xfId="23181"/>
    <cellStyle name="Comma 5 2 13 3 2 2" xfId="48734"/>
    <cellStyle name="Comma 5 2 13 3 3" xfId="32551"/>
    <cellStyle name="Comma 5 2 13 4" xfId="18174"/>
    <cellStyle name="Comma 5 2 13 4 2" xfId="43727"/>
    <cellStyle name="Comma 5 2 13 5" xfId="29664"/>
    <cellStyle name="Comma 5 2 14" xfId="1398"/>
    <cellStyle name="Comma 5 2 14 2" xfId="10775"/>
    <cellStyle name="Comma 5 2 14 2 2" xfId="36330"/>
    <cellStyle name="Comma 5 2 14 3" xfId="20779"/>
    <cellStyle name="Comma 5 2 14 3 2" xfId="46332"/>
    <cellStyle name="Comma 5 2 14 4" xfId="27262"/>
    <cellStyle name="Comma 5 2 15" xfId="5510"/>
    <cellStyle name="Comma 5 2 15 2" xfId="14337"/>
    <cellStyle name="Comma 5 2 15 2 2" xfId="39892"/>
    <cellStyle name="Comma 5 2 15 3" xfId="24588"/>
    <cellStyle name="Comma 5 2 15 3 2" xfId="50141"/>
    <cellStyle name="Comma 5 2 15 4" xfId="31071"/>
    <cellStyle name="Comma 5 2 16" xfId="6949"/>
    <cellStyle name="Comma 5 2 16 2" xfId="19574"/>
    <cellStyle name="Comma 5 2 16 2 2" xfId="45127"/>
    <cellStyle name="Comma 5 2 16 3" xfId="32507"/>
    <cellStyle name="Comma 5 2 17" xfId="15772"/>
    <cellStyle name="Comma 5 2 17 2" xfId="41325"/>
    <cellStyle name="Comma 5 2 18" xfId="26057"/>
    <cellStyle name="Comma 5 2 2" xfId="114"/>
    <cellStyle name="Comma 5 2 2 10" xfId="4104"/>
    <cellStyle name="Comma 5 2 2 10 2" xfId="5562"/>
    <cellStyle name="Comma 5 2 2 10 2 2" xfId="14389"/>
    <cellStyle name="Comma 5 2 2 10 2 2 2" xfId="39944"/>
    <cellStyle name="Comma 5 2 2 10 2 3" xfId="24640"/>
    <cellStyle name="Comma 5 2 2 10 2 3 2" xfId="50193"/>
    <cellStyle name="Comma 5 2 2 10 2 4" xfId="31123"/>
    <cellStyle name="Comma 5 2 2 10 3" xfId="7006"/>
    <cellStyle name="Comma 5 2 2 10 3 2" xfId="23193"/>
    <cellStyle name="Comma 5 2 2 10 3 2 2" xfId="48746"/>
    <cellStyle name="Comma 5 2 2 10 3 3" xfId="32563"/>
    <cellStyle name="Comma 5 2 2 10 4" xfId="18186"/>
    <cellStyle name="Comma 5 2 2 10 4 2" xfId="43739"/>
    <cellStyle name="Comma 5 2 2 10 5" xfId="29676"/>
    <cellStyle name="Comma 5 2 2 11" xfId="1423"/>
    <cellStyle name="Comma 5 2 2 11 2" xfId="10800"/>
    <cellStyle name="Comma 5 2 2 11 2 2" xfId="36355"/>
    <cellStyle name="Comma 5 2 2 11 3" xfId="20804"/>
    <cellStyle name="Comma 5 2 2 11 3 2" xfId="46357"/>
    <cellStyle name="Comma 5 2 2 11 4" xfId="27287"/>
    <cellStyle name="Comma 5 2 2 12" xfId="5532"/>
    <cellStyle name="Comma 5 2 2 12 2" xfId="14359"/>
    <cellStyle name="Comma 5 2 2 12 2 2" xfId="39914"/>
    <cellStyle name="Comma 5 2 2 12 3" xfId="24610"/>
    <cellStyle name="Comma 5 2 2 12 3 2" xfId="50163"/>
    <cellStyle name="Comma 5 2 2 12 4" xfId="31093"/>
    <cellStyle name="Comma 5 2 2 13" xfId="6976"/>
    <cellStyle name="Comma 5 2 2 13 2" xfId="19587"/>
    <cellStyle name="Comma 5 2 2 13 2 2" xfId="45140"/>
    <cellStyle name="Comma 5 2 2 13 3" xfId="32533"/>
    <cellStyle name="Comma 5 2 2 14" xfId="15797"/>
    <cellStyle name="Comma 5 2 2 14 2" xfId="41350"/>
    <cellStyle name="Comma 5 2 2 15" xfId="26070"/>
    <cellStyle name="Comma 5 2 2 2" xfId="158"/>
    <cellStyle name="Comma 5 2 2 2 10" xfId="5664"/>
    <cellStyle name="Comma 5 2 2 2 10 2" xfId="14491"/>
    <cellStyle name="Comma 5 2 2 2 10 2 2" xfId="40046"/>
    <cellStyle name="Comma 5 2 2 2 10 3" xfId="24742"/>
    <cellStyle name="Comma 5 2 2 2 10 3 2" xfId="50295"/>
    <cellStyle name="Comma 5 2 2 2 10 4" xfId="31225"/>
    <cellStyle name="Comma 5 2 2 2 11" xfId="7108"/>
    <cellStyle name="Comma 5 2 2 2 11 2" xfId="19617"/>
    <cellStyle name="Comma 5 2 2 2 11 2 2" xfId="45170"/>
    <cellStyle name="Comma 5 2 2 2 11 3" xfId="32665"/>
    <cellStyle name="Comma 5 2 2 2 12" xfId="15854"/>
    <cellStyle name="Comma 5 2 2 2 12 2" xfId="41407"/>
    <cellStyle name="Comma 5 2 2 2 13" xfId="26100"/>
    <cellStyle name="Comma 5 2 2 2 2" xfId="270"/>
    <cellStyle name="Comma 5 2 2 2 2 10" xfId="16058"/>
    <cellStyle name="Comma 5 2 2 2 2 10 2" xfId="41611"/>
    <cellStyle name="Comma 5 2 2 2 2 11" xfId="26204"/>
    <cellStyle name="Comma 5 2 2 2 2 2" xfId="592"/>
    <cellStyle name="Comma 5 2 2 2 2 2 2" xfId="3078"/>
    <cellStyle name="Comma 5 2 2 2 2 2 2 2" xfId="12225"/>
    <cellStyle name="Comma 5 2 2 2 2 2 2 2 2" xfId="22439"/>
    <cellStyle name="Comma 5 2 2 2 2 2 2 2 2 2" xfId="47992"/>
    <cellStyle name="Comma 5 2 2 2 2 2 2 2 3" xfId="37780"/>
    <cellStyle name="Comma 5 2 2 2 2 2 2 3" xfId="8647"/>
    <cellStyle name="Comma 5 2 2 2 2 2 2 3 2" xfId="34204"/>
    <cellStyle name="Comma 5 2 2 2 2 2 2 4" xfId="17432"/>
    <cellStyle name="Comma 5 2 2 2 2 2 2 4 2" xfId="42985"/>
    <cellStyle name="Comma 5 2 2 2 2 2 2 5" xfId="28922"/>
    <cellStyle name="Comma 5 2 2 2 2 2 3" xfId="4439"/>
    <cellStyle name="Comma 5 2 2 2 2 2 3 2" xfId="13277"/>
    <cellStyle name="Comma 5 2 2 2 2 2 3 2 2" xfId="23528"/>
    <cellStyle name="Comma 5 2 2 2 2 2 3 2 2 2" xfId="49081"/>
    <cellStyle name="Comma 5 2 2 2 2 2 3 2 3" xfId="38832"/>
    <cellStyle name="Comma 5 2 2 2 2 2 3 3" xfId="9698"/>
    <cellStyle name="Comma 5 2 2 2 2 2 3 3 2" xfId="35255"/>
    <cellStyle name="Comma 5 2 2 2 2 2 3 4" xfId="18521"/>
    <cellStyle name="Comma 5 2 2 2 2 2 3 4 2" xfId="44074"/>
    <cellStyle name="Comma 5 2 2 2 2 2 3 5" xfId="30011"/>
    <cellStyle name="Comma 5 2 2 2 2 2 4" xfId="2187"/>
    <cellStyle name="Comma 5 2 2 2 2 2 4 2" xfId="11552"/>
    <cellStyle name="Comma 5 2 2 2 2 2 4 2 2" xfId="37107"/>
    <cellStyle name="Comma 5 2 2 2 2 2 4 3" xfId="21556"/>
    <cellStyle name="Comma 5 2 2 2 2 2 4 3 2" xfId="47109"/>
    <cellStyle name="Comma 5 2 2 2 2 2 4 4" xfId="28039"/>
    <cellStyle name="Comma 5 2 2 2 2 2 5" xfId="5895"/>
    <cellStyle name="Comma 5 2 2 2 2 2 5 2" xfId="14722"/>
    <cellStyle name="Comma 5 2 2 2 2 2 5 2 2" xfId="40277"/>
    <cellStyle name="Comma 5 2 2 2 2 2 5 3" xfId="24973"/>
    <cellStyle name="Comma 5 2 2 2 2 2 5 3 2" xfId="50526"/>
    <cellStyle name="Comma 5 2 2 2 2 2 5 4" xfId="31456"/>
    <cellStyle name="Comma 5 2 2 2 2 2 6" xfId="7339"/>
    <cellStyle name="Comma 5 2 2 2 2 2 6 2" xfId="20038"/>
    <cellStyle name="Comma 5 2 2 2 2 2 6 2 2" xfId="45591"/>
    <cellStyle name="Comma 5 2 2 2 2 2 6 3" xfId="32896"/>
    <cellStyle name="Comma 5 2 2 2 2 2 7" xfId="16549"/>
    <cellStyle name="Comma 5 2 2 2 2 2 7 2" xfId="42102"/>
    <cellStyle name="Comma 5 2 2 2 2 2 8" xfId="26521"/>
    <cellStyle name="Comma 5 2 2 2 2 3" xfId="624"/>
    <cellStyle name="Comma 5 2 2 2 2 3 2" xfId="3110"/>
    <cellStyle name="Comma 5 2 2 2 2 3 2 2" xfId="12253"/>
    <cellStyle name="Comma 5 2 2 2 2 3 2 2 2" xfId="22471"/>
    <cellStyle name="Comma 5 2 2 2 2 3 2 2 2 2" xfId="48024"/>
    <cellStyle name="Comma 5 2 2 2 2 3 2 2 3" xfId="37808"/>
    <cellStyle name="Comma 5 2 2 2 2 3 2 3" xfId="8675"/>
    <cellStyle name="Comma 5 2 2 2 2 3 2 3 2" xfId="34232"/>
    <cellStyle name="Comma 5 2 2 2 2 3 2 4" xfId="17464"/>
    <cellStyle name="Comma 5 2 2 2 2 3 2 4 2" xfId="43017"/>
    <cellStyle name="Comma 5 2 2 2 2 3 2 5" xfId="28954"/>
    <cellStyle name="Comma 5 2 2 2 2 3 3" xfId="4788"/>
    <cellStyle name="Comma 5 2 2 2 2 3 3 2" xfId="13625"/>
    <cellStyle name="Comma 5 2 2 2 2 3 3 2 2" xfId="23876"/>
    <cellStyle name="Comma 5 2 2 2 2 3 3 2 2 2" xfId="49429"/>
    <cellStyle name="Comma 5 2 2 2 2 3 3 2 3" xfId="39180"/>
    <cellStyle name="Comma 5 2 2 2 2 3 3 3" xfId="10046"/>
    <cellStyle name="Comma 5 2 2 2 2 3 3 3 2" xfId="35603"/>
    <cellStyle name="Comma 5 2 2 2 2 3 3 4" xfId="18869"/>
    <cellStyle name="Comma 5 2 2 2 2 3 3 4 2" xfId="44422"/>
    <cellStyle name="Comma 5 2 2 2 2 3 3 5" xfId="30359"/>
    <cellStyle name="Comma 5 2 2 2 2 3 4" xfId="2219"/>
    <cellStyle name="Comma 5 2 2 2 2 3 4 2" xfId="11584"/>
    <cellStyle name="Comma 5 2 2 2 2 3 4 2 2" xfId="37139"/>
    <cellStyle name="Comma 5 2 2 2 2 3 4 3" xfId="21588"/>
    <cellStyle name="Comma 5 2 2 2 2 3 4 3 2" xfId="47141"/>
    <cellStyle name="Comma 5 2 2 2 2 3 4 4" xfId="28071"/>
    <cellStyle name="Comma 5 2 2 2 2 3 5" xfId="6243"/>
    <cellStyle name="Comma 5 2 2 2 2 3 5 2" xfId="15070"/>
    <cellStyle name="Comma 5 2 2 2 2 3 5 2 2" xfId="40625"/>
    <cellStyle name="Comma 5 2 2 2 2 3 5 3" xfId="25321"/>
    <cellStyle name="Comma 5 2 2 2 2 3 5 3 2" xfId="50874"/>
    <cellStyle name="Comma 5 2 2 2 2 3 5 4" xfId="31804"/>
    <cellStyle name="Comma 5 2 2 2 2 3 6" xfId="7689"/>
    <cellStyle name="Comma 5 2 2 2 2 3 6 2" xfId="20070"/>
    <cellStyle name="Comma 5 2 2 2 2 3 6 2 2" xfId="45623"/>
    <cellStyle name="Comma 5 2 2 2 2 3 6 3" xfId="33246"/>
    <cellStyle name="Comma 5 2 2 2 2 3 7" xfId="16581"/>
    <cellStyle name="Comma 5 2 2 2 2 3 7 2" xfId="42134"/>
    <cellStyle name="Comma 5 2 2 2 2 3 8" xfId="26553"/>
    <cellStyle name="Comma 5 2 2 2 2 4" xfId="1364"/>
    <cellStyle name="Comma 5 2 2 2 2 4 2" xfId="3793"/>
    <cellStyle name="Comma 5 2 2 2 2 4 2 2" xfId="12929"/>
    <cellStyle name="Comma 5 2 2 2 2 4 2 2 2" xfId="23148"/>
    <cellStyle name="Comma 5 2 2 2 2 4 2 2 2 2" xfId="48701"/>
    <cellStyle name="Comma 5 2 2 2 2 4 2 2 3" xfId="38484"/>
    <cellStyle name="Comma 5 2 2 2 2 4 2 3" xfId="9350"/>
    <cellStyle name="Comma 5 2 2 2 2 4 2 3 2" xfId="34907"/>
    <cellStyle name="Comma 5 2 2 2 2 4 2 4" xfId="18141"/>
    <cellStyle name="Comma 5 2 2 2 2 4 2 4 2" xfId="43694"/>
    <cellStyle name="Comma 5 2 2 2 2 4 2 5" xfId="29631"/>
    <cellStyle name="Comma 5 2 2 2 2 4 3" xfId="5456"/>
    <cellStyle name="Comma 5 2 2 2 2 4 3 2" xfId="14293"/>
    <cellStyle name="Comma 5 2 2 2 2 4 3 2 2" xfId="24544"/>
    <cellStyle name="Comma 5 2 2 2 2 4 3 2 2 2" xfId="50097"/>
    <cellStyle name="Comma 5 2 2 2 2 4 3 2 3" xfId="39848"/>
    <cellStyle name="Comma 5 2 2 2 2 4 3 3" xfId="10714"/>
    <cellStyle name="Comma 5 2 2 2 2 4 3 3 2" xfId="36271"/>
    <cellStyle name="Comma 5 2 2 2 2 4 3 4" xfId="19537"/>
    <cellStyle name="Comma 5 2 2 2 2 4 3 4 2" xfId="45090"/>
    <cellStyle name="Comma 5 2 2 2 2 4 3 5" xfId="31027"/>
    <cellStyle name="Comma 5 2 2 2 2 4 4" xfId="1867"/>
    <cellStyle name="Comma 5 2 2 2 2 4 4 2" xfId="11235"/>
    <cellStyle name="Comma 5 2 2 2 2 4 4 2 2" xfId="36790"/>
    <cellStyle name="Comma 5 2 2 2 2 4 4 3" xfId="21239"/>
    <cellStyle name="Comma 5 2 2 2 2 4 4 3 2" xfId="46792"/>
    <cellStyle name="Comma 5 2 2 2 2 4 4 4" xfId="27722"/>
    <cellStyle name="Comma 5 2 2 2 2 4 5" xfId="6911"/>
    <cellStyle name="Comma 5 2 2 2 2 4 5 2" xfId="15738"/>
    <cellStyle name="Comma 5 2 2 2 2 4 5 2 2" xfId="41293"/>
    <cellStyle name="Comma 5 2 2 2 2 4 5 3" xfId="25989"/>
    <cellStyle name="Comma 5 2 2 2 2 4 5 3 2" xfId="51542"/>
    <cellStyle name="Comma 5 2 2 2 2 4 5 4" xfId="32472"/>
    <cellStyle name="Comma 5 2 2 2 2 4 6" xfId="8357"/>
    <cellStyle name="Comma 5 2 2 2 2 4 6 2" xfId="20747"/>
    <cellStyle name="Comma 5 2 2 2 2 4 6 2 2" xfId="46300"/>
    <cellStyle name="Comma 5 2 2 2 2 4 6 3" xfId="33914"/>
    <cellStyle name="Comma 5 2 2 2 2 4 7" xfId="16232"/>
    <cellStyle name="Comma 5 2 2 2 2 4 7 2" xfId="41785"/>
    <cellStyle name="Comma 5 2 2 2 2 4 8" xfId="27230"/>
    <cellStyle name="Comma 5 2 2 2 2 5" xfId="2761"/>
    <cellStyle name="Comma 5 2 2 2 2 5 2" xfId="12078"/>
    <cellStyle name="Comma 5 2 2 2 2 5 2 2" xfId="22122"/>
    <cellStyle name="Comma 5 2 2 2 2 5 2 2 2" xfId="47675"/>
    <cellStyle name="Comma 5 2 2 2 2 5 2 3" xfId="37633"/>
    <cellStyle name="Comma 5 2 2 2 2 5 3" xfId="8412"/>
    <cellStyle name="Comma 5 2 2 2 2 5 3 2" xfId="33969"/>
    <cellStyle name="Comma 5 2 2 2 2 5 4" xfId="17115"/>
    <cellStyle name="Comma 5 2 2 2 2 5 4 2" xfId="42668"/>
    <cellStyle name="Comma 5 2 2 2 2 5 5" xfId="28605"/>
    <cellStyle name="Comma 5 2 2 2 2 6" xfId="4412"/>
    <cellStyle name="Comma 5 2 2 2 2 6 2" xfId="13250"/>
    <cellStyle name="Comma 5 2 2 2 2 6 2 2" xfId="23501"/>
    <cellStyle name="Comma 5 2 2 2 2 6 2 2 2" xfId="49054"/>
    <cellStyle name="Comma 5 2 2 2 2 6 2 3" xfId="38805"/>
    <cellStyle name="Comma 5 2 2 2 2 6 3" xfId="9671"/>
    <cellStyle name="Comma 5 2 2 2 2 6 3 2" xfId="35228"/>
    <cellStyle name="Comma 5 2 2 2 2 6 4" xfId="18494"/>
    <cellStyle name="Comma 5 2 2 2 2 6 4 2" xfId="44047"/>
    <cellStyle name="Comma 5 2 2 2 2 6 5" xfId="29984"/>
    <cellStyle name="Comma 5 2 2 2 2 7" xfId="1684"/>
    <cellStyle name="Comma 5 2 2 2 2 7 2" xfId="11061"/>
    <cellStyle name="Comma 5 2 2 2 2 7 2 2" xfId="36616"/>
    <cellStyle name="Comma 5 2 2 2 2 7 3" xfId="21065"/>
    <cellStyle name="Comma 5 2 2 2 2 7 3 2" xfId="46618"/>
    <cellStyle name="Comma 5 2 2 2 2 7 4" xfId="27548"/>
    <cellStyle name="Comma 5 2 2 2 2 8" xfId="5868"/>
    <cellStyle name="Comma 5 2 2 2 2 8 2" xfId="14695"/>
    <cellStyle name="Comma 5 2 2 2 2 8 2 2" xfId="40250"/>
    <cellStyle name="Comma 5 2 2 2 2 8 3" xfId="24946"/>
    <cellStyle name="Comma 5 2 2 2 2 8 3 2" xfId="50499"/>
    <cellStyle name="Comma 5 2 2 2 2 8 4" xfId="31429"/>
    <cellStyle name="Comma 5 2 2 2 2 9" xfId="7312"/>
    <cellStyle name="Comma 5 2 2 2 2 9 2" xfId="19721"/>
    <cellStyle name="Comma 5 2 2 2 2 9 2 2" xfId="45274"/>
    <cellStyle name="Comma 5 2 2 2 2 9 3" xfId="32869"/>
    <cellStyle name="Comma 5 2 2 2 3" xfId="488"/>
    <cellStyle name="Comma 5 2 2 2 3 10" xfId="26417"/>
    <cellStyle name="Comma 5 2 2 2 3 2" xfId="625"/>
    <cellStyle name="Comma 5 2 2 2 3 2 2" xfId="3111"/>
    <cellStyle name="Comma 5 2 2 2 3 2 2 2" xfId="12254"/>
    <cellStyle name="Comma 5 2 2 2 3 2 2 2 2" xfId="22472"/>
    <cellStyle name="Comma 5 2 2 2 3 2 2 2 2 2" xfId="48025"/>
    <cellStyle name="Comma 5 2 2 2 3 2 2 2 3" xfId="37809"/>
    <cellStyle name="Comma 5 2 2 2 3 2 2 3" xfId="8676"/>
    <cellStyle name="Comma 5 2 2 2 3 2 2 3 2" xfId="34233"/>
    <cellStyle name="Comma 5 2 2 2 3 2 2 4" xfId="17465"/>
    <cellStyle name="Comma 5 2 2 2 3 2 2 4 2" xfId="43018"/>
    <cellStyle name="Comma 5 2 2 2 3 2 2 5" xfId="28955"/>
    <cellStyle name="Comma 5 2 2 2 3 2 3" xfId="4440"/>
    <cellStyle name="Comma 5 2 2 2 3 2 3 2" xfId="13278"/>
    <cellStyle name="Comma 5 2 2 2 3 2 3 2 2" xfId="23529"/>
    <cellStyle name="Comma 5 2 2 2 3 2 3 2 2 2" xfId="49082"/>
    <cellStyle name="Comma 5 2 2 2 3 2 3 2 3" xfId="38833"/>
    <cellStyle name="Comma 5 2 2 2 3 2 3 3" xfId="9699"/>
    <cellStyle name="Comma 5 2 2 2 3 2 3 3 2" xfId="35256"/>
    <cellStyle name="Comma 5 2 2 2 3 2 3 4" xfId="18522"/>
    <cellStyle name="Comma 5 2 2 2 3 2 3 4 2" xfId="44075"/>
    <cellStyle name="Comma 5 2 2 2 3 2 3 5" xfId="30012"/>
    <cellStyle name="Comma 5 2 2 2 3 2 4" xfId="2220"/>
    <cellStyle name="Comma 5 2 2 2 3 2 4 2" xfId="11585"/>
    <cellStyle name="Comma 5 2 2 2 3 2 4 2 2" xfId="37140"/>
    <cellStyle name="Comma 5 2 2 2 3 2 4 3" xfId="21589"/>
    <cellStyle name="Comma 5 2 2 2 3 2 4 3 2" xfId="47142"/>
    <cellStyle name="Comma 5 2 2 2 3 2 4 4" xfId="28072"/>
    <cellStyle name="Comma 5 2 2 2 3 2 5" xfId="5896"/>
    <cellStyle name="Comma 5 2 2 2 3 2 5 2" xfId="14723"/>
    <cellStyle name="Comma 5 2 2 2 3 2 5 2 2" xfId="40278"/>
    <cellStyle name="Comma 5 2 2 2 3 2 5 3" xfId="24974"/>
    <cellStyle name="Comma 5 2 2 2 3 2 5 3 2" xfId="50527"/>
    <cellStyle name="Comma 5 2 2 2 3 2 5 4" xfId="31457"/>
    <cellStyle name="Comma 5 2 2 2 3 2 6" xfId="7340"/>
    <cellStyle name="Comma 5 2 2 2 3 2 6 2" xfId="20071"/>
    <cellStyle name="Comma 5 2 2 2 3 2 6 2 2" xfId="45624"/>
    <cellStyle name="Comma 5 2 2 2 3 2 6 3" xfId="32897"/>
    <cellStyle name="Comma 5 2 2 2 3 2 7" xfId="16582"/>
    <cellStyle name="Comma 5 2 2 2 3 2 7 2" xfId="42135"/>
    <cellStyle name="Comma 5 2 2 2 3 2 8" xfId="26554"/>
    <cellStyle name="Comma 5 2 2 2 3 3" xfId="1260"/>
    <cellStyle name="Comma 5 2 2 2 3 3 2" xfId="3689"/>
    <cellStyle name="Comma 5 2 2 2 3 3 2 2" xfId="12825"/>
    <cellStyle name="Comma 5 2 2 2 3 3 2 2 2" xfId="23044"/>
    <cellStyle name="Comma 5 2 2 2 3 3 2 2 2 2" xfId="48597"/>
    <cellStyle name="Comma 5 2 2 2 3 3 2 2 3" xfId="38380"/>
    <cellStyle name="Comma 5 2 2 2 3 3 2 3" xfId="9246"/>
    <cellStyle name="Comma 5 2 2 2 3 3 2 3 2" xfId="34803"/>
    <cellStyle name="Comma 5 2 2 2 3 3 2 4" xfId="18037"/>
    <cellStyle name="Comma 5 2 2 2 3 3 2 4 2" xfId="43590"/>
    <cellStyle name="Comma 5 2 2 2 3 3 2 5" xfId="29527"/>
    <cellStyle name="Comma 5 2 2 2 3 3 3" xfId="4789"/>
    <cellStyle name="Comma 5 2 2 2 3 3 3 2" xfId="13626"/>
    <cellStyle name="Comma 5 2 2 2 3 3 3 2 2" xfId="23877"/>
    <cellStyle name="Comma 5 2 2 2 3 3 3 2 2 2" xfId="49430"/>
    <cellStyle name="Comma 5 2 2 2 3 3 3 2 3" xfId="39181"/>
    <cellStyle name="Comma 5 2 2 2 3 3 3 3" xfId="10047"/>
    <cellStyle name="Comma 5 2 2 2 3 3 3 3 2" xfId="35604"/>
    <cellStyle name="Comma 5 2 2 2 3 3 3 4" xfId="18870"/>
    <cellStyle name="Comma 5 2 2 2 3 3 3 4 2" xfId="44423"/>
    <cellStyle name="Comma 5 2 2 2 3 3 3 5" xfId="30360"/>
    <cellStyle name="Comma 5 2 2 2 3 3 4" xfId="2083"/>
    <cellStyle name="Comma 5 2 2 2 3 3 4 2" xfId="11448"/>
    <cellStyle name="Comma 5 2 2 2 3 3 4 2 2" xfId="37003"/>
    <cellStyle name="Comma 5 2 2 2 3 3 4 3" xfId="21452"/>
    <cellStyle name="Comma 5 2 2 2 3 3 4 3 2" xfId="47005"/>
    <cellStyle name="Comma 5 2 2 2 3 3 4 4" xfId="27935"/>
    <cellStyle name="Comma 5 2 2 2 3 3 5" xfId="6244"/>
    <cellStyle name="Comma 5 2 2 2 3 3 5 2" xfId="15071"/>
    <cellStyle name="Comma 5 2 2 2 3 3 5 2 2" xfId="40626"/>
    <cellStyle name="Comma 5 2 2 2 3 3 5 3" xfId="25322"/>
    <cellStyle name="Comma 5 2 2 2 3 3 5 3 2" xfId="50875"/>
    <cellStyle name="Comma 5 2 2 2 3 3 5 4" xfId="31805"/>
    <cellStyle name="Comma 5 2 2 2 3 3 6" xfId="7690"/>
    <cellStyle name="Comma 5 2 2 2 3 3 6 2" xfId="20643"/>
    <cellStyle name="Comma 5 2 2 2 3 3 6 2 2" xfId="46196"/>
    <cellStyle name="Comma 5 2 2 2 3 3 6 3" xfId="33247"/>
    <cellStyle name="Comma 5 2 2 2 3 3 7" xfId="16445"/>
    <cellStyle name="Comma 5 2 2 2 3 3 7 2" xfId="41998"/>
    <cellStyle name="Comma 5 2 2 2 3 3 8" xfId="27126"/>
    <cellStyle name="Comma 5 2 2 2 3 4" xfId="2974"/>
    <cellStyle name="Comma 5 2 2 2 3 4 2" xfId="5352"/>
    <cellStyle name="Comma 5 2 2 2 3 4 2 2" xfId="14189"/>
    <cellStyle name="Comma 5 2 2 2 3 4 2 2 2" xfId="24440"/>
    <cellStyle name="Comma 5 2 2 2 3 4 2 2 2 2" xfId="49993"/>
    <cellStyle name="Comma 5 2 2 2 3 4 2 2 3" xfId="39744"/>
    <cellStyle name="Comma 5 2 2 2 3 4 2 3" xfId="10610"/>
    <cellStyle name="Comma 5 2 2 2 3 4 2 3 2" xfId="36167"/>
    <cellStyle name="Comma 5 2 2 2 3 4 2 4" xfId="19433"/>
    <cellStyle name="Comma 5 2 2 2 3 4 2 4 2" xfId="44986"/>
    <cellStyle name="Comma 5 2 2 2 3 4 2 5" xfId="30923"/>
    <cellStyle name="Comma 5 2 2 2 3 4 3" xfId="6807"/>
    <cellStyle name="Comma 5 2 2 2 3 4 3 2" xfId="15634"/>
    <cellStyle name="Comma 5 2 2 2 3 4 3 2 2" xfId="41189"/>
    <cellStyle name="Comma 5 2 2 2 3 4 3 3" xfId="25885"/>
    <cellStyle name="Comma 5 2 2 2 3 4 3 3 2" xfId="51438"/>
    <cellStyle name="Comma 5 2 2 2 3 4 3 4" xfId="32368"/>
    <cellStyle name="Comma 5 2 2 2 3 4 4" xfId="8253"/>
    <cellStyle name="Comma 5 2 2 2 3 4 4 2" xfId="22335"/>
    <cellStyle name="Comma 5 2 2 2 3 4 4 2 2" xfId="47888"/>
    <cellStyle name="Comma 5 2 2 2 3 4 4 3" xfId="33810"/>
    <cellStyle name="Comma 5 2 2 2 3 4 5" xfId="17328"/>
    <cellStyle name="Comma 5 2 2 2 3 4 5 2" xfId="42881"/>
    <cellStyle name="Comma 5 2 2 2 3 4 6" xfId="28818"/>
    <cellStyle name="Comma 5 2 2 2 3 5" xfId="4308"/>
    <cellStyle name="Comma 5 2 2 2 3 5 2" xfId="13146"/>
    <cellStyle name="Comma 5 2 2 2 3 5 2 2" xfId="23397"/>
    <cellStyle name="Comma 5 2 2 2 3 5 2 2 2" xfId="48950"/>
    <cellStyle name="Comma 5 2 2 2 3 5 2 3" xfId="38701"/>
    <cellStyle name="Comma 5 2 2 2 3 5 3" xfId="9567"/>
    <cellStyle name="Comma 5 2 2 2 3 5 3 2" xfId="35124"/>
    <cellStyle name="Comma 5 2 2 2 3 5 4" xfId="18390"/>
    <cellStyle name="Comma 5 2 2 2 3 5 4 2" xfId="43943"/>
    <cellStyle name="Comma 5 2 2 2 3 5 5" xfId="29880"/>
    <cellStyle name="Comma 5 2 2 2 3 6" xfId="1580"/>
    <cellStyle name="Comma 5 2 2 2 3 6 2" xfId="10957"/>
    <cellStyle name="Comma 5 2 2 2 3 6 2 2" xfId="36512"/>
    <cellStyle name="Comma 5 2 2 2 3 6 3" xfId="20961"/>
    <cellStyle name="Comma 5 2 2 2 3 6 3 2" xfId="46514"/>
    <cellStyle name="Comma 5 2 2 2 3 6 4" xfId="27444"/>
    <cellStyle name="Comma 5 2 2 2 3 7" xfId="5764"/>
    <cellStyle name="Comma 5 2 2 2 3 7 2" xfId="14591"/>
    <cellStyle name="Comma 5 2 2 2 3 7 2 2" xfId="40146"/>
    <cellStyle name="Comma 5 2 2 2 3 7 3" xfId="24842"/>
    <cellStyle name="Comma 5 2 2 2 3 7 3 2" xfId="50395"/>
    <cellStyle name="Comma 5 2 2 2 3 7 4" xfId="31325"/>
    <cellStyle name="Comma 5 2 2 2 3 8" xfId="7208"/>
    <cellStyle name="Comma 5 2 2 2 3 8 2" xfId="19934"/>
    <cellStyle name="Comma 5 2 2 2 3 8 2 2" xfId="45487"/>
    <cellStyle name="Comma 5 2 2 2 3 8 3" xfId="32765"/>
    <cellStyle name="Comma 5 2 2 2 3 9" xfId="15954"/>
    <cellStyle name="Comma 5 2 2 2 3 9 2" xfId="41507"/>
    <cellStyle name="Comma 5 2 2 2 4" xfId="388"/>
    <cellStyle name="Comma 5 2 2 2 4 2" xfId="2874"/>
    <cellStyle name="Comma 5 2 2 2 4 2 2" xfId="12162"/>
    <cellStyle name="Comma 5 2 2 2 4 2 2 2" xfId="22235"/>
    <cellStyle name="Comma 5 2 2 2 4 2 2 2 2" xfId="47788"/>
    <cellStyle name="Comma 5 2 2 2 4 2 2 3" xfId="37717"/>
    <cellStyle name="Comma 5 2 2 2 4 2 3" xfId="8409"/>
    <cellStyle name="Comma 5 2 2 2 4 2 3 2" xfId="33966"/>
    <cellStyle name="Comma 5 2 2 2 4 2 4" xfId="17228"/>
    <cellStyle name="Comma 5 2 2 2 4 2 4 2" xfId="42781"/>
    <cellStyle name="Comma 5 2 2 2 4 2 5" xfId="28718"/>
    <cellStyle name="Comma 5 2 2 2 4 3" xfId="4438"/>
    <cellStyle name="Comma 5 2 2 2 4 3 2" xfId="13276"/>
    <cellStyle name="Comma 5 2 2 2 4 3 2 2" xfId="23527"/>
    <cellStyle name="Comma 5 2 2 2 4 3 2 2 2" xfId="49080"/>
    <cellStyle name="Comma 5 2 2 2 4 3 2 3" xfId="38831"/>
    <cellStyle name="Comma 5 2 2 2 4 3 3" xfId="9697"/>
    <cellStyle name="Comma 5 2 2 2 4 3 3 2" xfId="35254"/>
    <cellStyle name="Comma 5 2 2 2 4 3 4" xfId="18520"/>
    <cellStyle name="Comma 5 2 2 2 4 3 4 2" xfId="44073"/>
    <cellStyle name="Comma 5 2 2 2 4 3 5" xfId="30010"/>
    <cellStyle name="Comma 5 2 2 2 4 4" xfId="1983"/>
    <cellStyle name="Comma 5 2 2 2 4 4 2" xfId="11348"/>
    <cellStyle name="Comma 5 2 2 2 4 4 2 2" xfId="36903"/>
    <cellStyle name="Comma 5 2 2 2 4 4 3" xfId="21352"/>
    <cellStyle name="Comma 5 2 2 2 4 4 3 2" xfId="46905"/>
    <cellStyle name="Comma 5 2 2 2 4 4 4" xfId="27835"/>
    <cellStyle name="Comma 5 2 2 2 4 5" xfId="5894"/>
    <cellStyle name="Comma 5 2 2 2 4 5 2" xfId="14721"/>
    <cellStyle name="Comma 5 2 2 2 4 5 2 2" xfId="40276"/>
    <cellStyle name="Comma 5 2 2 2 4 5 3" xfId="24972"/>
    <cellStyle name="Comma 5 2 2 2 4 5 3 2" xfId="50525"/>
    <cellStyle name="Comma 5 2 2 2 4 5 4" xfId="31455"/>
    <cellStyle name="Comma 5 2 2 2 4 6" xfId="7338"/>
    <cellStyle name="Comma 5 2 2 2 4 6 2" xfId="19834"/>
    <cellStyle name="Comma 5 2 2 2 4 6 2 2" xfId="45387"/>
    <cellStyle name="Comma 5 2 2 2 4 6 3" xfId="32895"/>
    <cellStyle name="Comma 5 2 2 2 4 7" xfId="16345"/>
    <cellStyle name="Comma 5 2 2 2 4 7 2" xfId="41898"/>
    <cellStyle name="Comma 5 2 2 2 4 8" xfId="26317"/>
    <cellStyle name="Comma 5 2 2 2 5" xfId="623"/>
    <cellStyle name="Comma 5 2 2 2 5 2" xfId="3109"/>
    <cellStyle name="Comma 5 2 2 2 5 2 2" xfId="12252"/>
    <cellStyle name="Comma 5 2 2 2 5 2 2 2" xfId="22470"/>
    <cellStyle name="Comma 5 2 2 2 5 2 2 2 2" xfId="48023"/>
    <cellStyle name="Comma 5 2 2 2 5 2 2 3" xfId="37807"/>
    <cellStyle name="Comma 5 2 2 2 5 2 3" xfId="8674"/>
    <cellStyle name="Comma 5 2 2 2 5 2 3 2" xfId="34231"/>
    <cellStyle name="Comma 5 2 2 2 5 2 4" xfId="17463"/>
    <cellStyle name="Comma 5 2 2 2 5 2 4 2" xfId="43016"/>
    <cellStyle name="Comma 5 2 2 2 5 2 5" xfId="28953"/>
    <cellStyle name="Comma 5 2 2 2 5 3" xfId="4787"/>
    <cellStyle name="Comma 5 2 2 2 5 3 2" xfId="13624"/>
    <cellStyle name="Comma 5 2 2 2 5 3 2 2" xfId="23875"/>
    <cellStyle name="Comma 5 2 2 2 5 3 2 2 2" xfId="49428"/>
    <cellStyle name="Comma 5 2 2 2 5 3 2 3" xfId="39179"/>
    <cellStyle name="Comma 5 2 2 2 5 3 3" xfId="10045"/>
    <cellStyle name="Comma 5 2 2 2 5 3 3 2" xfId="35602"/>
    <cellStyle name="Comma 5 2 2 2 5 3 4" xfId="18868"/>
    <cellStyle name="Comma 5 2 2 2 5 3 4 2" xfId="44421"/>
    <cellStyle name="Comma 5 2 2 2 5 3 5" xfId="30358"/>
    <cellStyle name="Comma 5 2 2 2 5 4" xfId="2218"/>
    <cellStyle name="Comma 5 2 2 2 5 4 2" xfId="11583"/>
    <cellStyle name="Comma 5 2 2 2 5 4 2 2" xfId="37138"/>
    <cellStyle name="Comma 5 2 2 2 5 4 3" xfId="21587"/>
    <cellStyle name="Comma 5 2 2 2 5 4 3 2" xfId="47140"/>
    <cellStyle name="Comma 5 2 2 2 5 4 4" xfId="28070"/>
    <cellStyle name="Comma 5 2 2 2 5 5" xfId="6242"/>
    <cellStyle name="Comma 5 2 2 2 5 5 2" xfId="15069"/>
    <cellStyle name="Comma 5 2 2 2 5 5 2 2" xfId="40624"/>
    <cellStyle name="Comma 5 2 2 2 5 5 3" xfId="25320"/>
    <cellStyle name="Comma 5 2 2 2 5 5 3 2" xfId="50873"/>
    <cellStyle name="Comma 5 2 2 2 5 5 4" xfId="31803"/>
    <cellStyle name="Comma 5 2 2 2 5 6" xfId="7688"/>
    <cellStyle name="Comma 5 2 2 2 5 6 2" xfId="20069"/>
    <cellStyle name="Comma 5 2 2 2 5 6 2 2" xfId="45622"/>
    <cellStyle name="Comma 5 2 2 2 5 6 3" xfId="33245"/>
    <cellStyle name="Comma 5 2 2 2 5 7" xfId="16580"/>
    <cellStyle name="Comma 5 2 2 2 5 7 2" xfId="42133"/>
    <cellStyle name="Comma 5 2 2 2 5 8" xfId="26552"/>
    <cellStyle name="Comma 5 2 2 2 6" xfId="1160"/>
    <cellStyle name="Comma 5 2 2 2 6 2" xfId="3589"/>
    <cellStyle name="Comma 5 2 2 2 6 2 2" xfId="12725"/>
    <cellStyle name="Comma 5 2 2 2 6 2 2 2" xfId="22944"/>
    <cellStyle name="Comma 5 2 2 2 6 2 2 2 2" xfId="48497"/>
    <cellStyle name="Comma 5 2 2 2 6 2 2 3" xfId="38280"/>
    <cellStyle name="Comma 5 2 2 2 6 2 3" xfId="9146"/>
    <cellStyle name="Comma 5 2 2 2 6 2 3 2" xfId="34703"/>
    <cellStyle name="Comma 5 2 2 2 6 2 4" xfId="17937"/>
    <cellStyle name="Comma 5 2 2 2 6 2 4 2" xfId="43490"/>
    <cellStyle name="Comma 5 2 2 2 6 2 5" xfId="29427"/>
    <cellStyle name="Comma 5 2 2 2 6 3" xfId="5252"/>
    <cellStyle name="Comma 5 2 2 2 6 3 2" xfId="14089"/>
    <cellStyle name="Comma 5 2 2 2 6 3 2 2" xfId="24340"/>
    <cellStyle name="Comma 5 2 2 2 6 3 2 2 2" xfId="49893"/>
    <cellStyle name="Comma 5 2 2 2 6 3 2 3" xfId="39644"/>
    <cellStyle name="Comma 5 2 2 2 6 3 3" xfId="10510"/>
    <cellStyle name="Comma 5 2 2 2 6 3 3 2" xfId="36067"/>
    <cellStyle name="Comma 5 2 2 2 6 3 4" xfId="19333"/>
    <cellStyle name="Comma 5 2 2 2 6 3 4 2" xfId="44886"/>
    <cellStyle name="Comma 5 2 2 2 6 3 5" xfId="30823"/>
    <cellStyle name="Comma 5 2 2 2 6 4" xfId="1760"/>
    <cellStyle name="Comma 5 2 2 2 6 4 2" xfId="11131"/>
    <cellStyle name="Comma 5 2 2 2 6 4 2 2" xfId="36686"/>
    <cellStyle name="Comma 5 2 2 2 6 4 3" xfId="21135"/>
    <cellStyle name="Comma 5 2 2 2 6 4 3 2" xfId="46688"/>
    <cellStyle name="Comma 5 2 2 2 6 4 4" xfId="27618"/>
    <cellStyle name="Comma 5 2 2 2 6 5" xfId="6707"/>
    <cellStyle name="Comma 5 2 2 2 6 5 2" xfId="15534"/>
    <cellStyle name="Comma 5 2 2 2 6 5 2 2" xfId="41089"/>
    <cellStyle name="Comma 5 2 2 2 6 5 3" xfId="25785"/>
    <cellStyle name="Comma 5 2 2 2 6 5 3 2" xfId="51338"/>
    <cellStyle name="Comma 5 2 2 2 6 5 4" xfId="32268"/>
    <cellStyle name="Comma 5 2 2 2 6 6" xfId="8153"/>
    <cellStyle name="Comma 5 2 2 2 6 6 2" xfId="20543"/>
    <cellStyle name="Comma 5 2 2 2 6 6 2 2" xfId="46096"/>
    <cellStyle name="Comma 5 2 2 2 6 6 3" xfId="33710"/>
    <cellStyle name="Comma 5 2 2 2 6 7" xfId="16128"/>
    <cellStyle name="Comma 5 2 2 2 6 7 2" xfId="41681"/>
    <cellStyle name="Comma 5 2 2 2 6 8" xfId="27026"/>
    <cellStyle name="Comma 5 2 2 2 7" xfId="2657"/>
    <cellStyle name="Comma 5 2 2 2 7 2" xfId="11977"/>
    <cellStyle name="Comma 5 2 2 2 7 2 2" xfId="22018"/>
    <cellStyle name="Comma 5 2 2 2 7 2 2 2" xfId="47571"/>
    <cellStyle name="Comma 5 2 2 2 7 2 3" xfId="37532"/>
    <cellStyle name="Comma 5 2 2 2 7 3" xfId="8501"/>
    <cellStyle name="Comma 5 2 2 2 7 3 2" xfId="34058"/>
    <cellStyle name="Comma 5 2 2 2 7 4" xfId="17011"/>
    <cellStyle name="Comma 5 2 2 2 7 4 2" xfId="42564"/>
    <cellStyle name="Comma 5 2 2 2 7 5" xfId="28501"/>
    <cellStyle name="Comma 5 2 2 2 8" xfId="4208"/>
    <cellStyle name="Comma 5 2 2 2 8 2" xfId="13046"/>
    <cellStyle name="Comma 5 2 2 2 8 2 2" xfId="23297"/>
    <cellStyle name="Comma 5 2 2 2 8 2 2 2" xfId="48850"/>
    <cellStyle name="Comma 5 2 2 2 8 2 3" xfId="38601"/>
    <cellStyle name="Comma 5 2 2 2 8 3" xfId="9467"/>
    <cellStyle name="Comma 5 2 2 2 8 3 2" xfId="35024"/>
    <cellStyle name="Comma 5 2 2 2 8 4" xfId="18290"/>
    <cellStyle name="Comma 5 2 2 2 8 4 2" xfId="43843"/>
    <cellStyle name="Comma 5 2 2 2 8 5" xfId="29780"/>
    <cellStyle name="Comma 5 2 2 2 9" xfId="1480"/>
    <cellStyle name="Comma 5 2 2 2 9 2" xfId="10857"/>
    <cellStyle name="Comma 5 2 2 2 9 2 2" xfId="36412"/>
    <cellStyle name="Comma 5 2 2 2 9 3" xfId="20861"/>
    <cellStyle name="Comma 5 2 2 2 9 3 2" xfId="46414"/>
    <cellStyle name="Comma 5 2 2 2 9 4" xfId="27344"/>
    <cellStyle name="Comma 5 2 2 3" xfId="205"/>
    <cellStyle name="Comma 5 2 2 3 10" xfId="7151"/>
    <cellStyle name="Comma 5 2 2 3 10 2" xfId="19660"/>
    <cellStyle name="Comma 5 2 2 3 10 2 2" xfId="45213"/>
    <cellStyle name="Comma 5 2 2 3 10 3" xfId="32708"/>
    <cellStyle name="Comma 5 2 2 3 11" xfId="15897"/>
    <cellStyle name="Comma 5 2 2 3 11 2" xfId="41450"/>
    <cellStyle name="Comma 5 2 2 3 12" xfId="26143"/>
    <cellStyle name="Comma 5 2 2 3 2" xfId="531"/>
    <cellStyle name="Comma 5 2 2 3 2 10" xfId="26460"/>
    <cellStyle name="Comma 5 2 2 3 2 2" xfId="627"/>
    <cellStyle name="Comma 5 2 2 3 2 2 2" xfId="3113"/>
    <cellStyle name="Comma 5 2 2 3 2 2 2 2" xfId="12256"/>
    <cellStyle name="Comma 5 2 2 3 2 2 2 2 2" xfId="22474"/>
    <cellStyle name="Comma 5 2 2 3 2 2 2 2 2 2" xfId="48027"/>
    <cellStyle name="Comma 5 2 2 3 2 2 2 2 3" xfId="37811"/>
    <cellStyle name="Comma 5 2 2 3 2 2 2 3" xfId="8678"/>
    <cellStyle name="Comma 5 2 2 3 2 2 2 3 2" xfId="34235"/>
    <cellStyle name="Comma 5 2 2 3 2 2 2 4" xfId="17467"/>
    <cellStyle name="Comma 5 2 2 3 2 2 2 4 2" xfId="43020"/>
    <cellStyle name="Comma 5 2 2 3 2 2 2 5" xfId="28957"/>
    <cellStyle name="Comma 5 2 2 3 2 2 3" xfId="4442"/>
    <cellStyle name="Comma 5 2 2 3 2 2 3 2" xfId="13280"/>
    <cellStyle name="Comma 5 2 2 3 2 2 3 2 2" xfId="23531"/>
    <cellStyle name="Comma 5 2 2 3 2 2 3 2 2 2" xfId="49084"/>
    <cellStyle name="Comma 5 2 2 3 2 2 3 2 3" xfId="38835"/>
    <cellStyle name="Comma 5 2 2 3 2 2 3 3" xfId="9701"/>
    <cellStyle name="Comma 5 2 2 3 2 2 3 3 2" xfId="35258"/>
    <cellStyle name="Comma 5 2 2 3 2 2 3 4" xfId="18524"/>
    <cellStyle name="Comma 5 2 2 3 2 2 3 4 2" xfId="44077"/>
    <cellStyle name="Comma 5 2 2 3 2 2 3 5" xfId="30014"/>
    <cellStyle name="Comma 5 2 2 3 2 2 4" xfId="2222"/>
    <cellStyle name="Comma 5 2 2 3 2 2 4 2" xfId="11587"/>
    <cellStyle name="Comma 5 2 2 3 2 2 4 2 2" xfId="37142"/>
    <cellStyle name="Comma 5 2 2 3 2 2 4 3" xfId="21591"/>
    <cellStyle name="Comma 5 2 2 3 2 2 4 3 2" xfId="47144"/>
    <cellStyle name="Comma 5 2 2 3 2 2 4 4" xfId="28074"/>
    <cellStyle name="Comma 5 2 2 3 2 2 5" xfId="5898"/>
    <cellStyle name="Comma 5 2 2 3 2 2 5 2" xfId="14725"/>
    <cellStyle name="Comma 5 2 2 3 2 2 5 2 2" xfId="40280"/>
    <cellStyle name="Comma 5 2 2 3 2 2 5 3" xfId="24976"/>
    <cellStyle name="Comma 5 2 2 3 2 2 5 3 2" xfId="50529"/>
    <cellStyle name="Comma 5 2 2 3 2 2 5 4" xfId="31459"/>
    <cellStyle name="Comma 5 2 2 3 2 2 6" xfId="7342"/>
    <cellStyle name="Comma 5 2 2 3 2 2 6 2" xfId="20073"/>
    <cellStyle name="Comma 5 2 2 3 2 2 6 2 2" xfId="45626"/>
    <cellStyle name="Comma 5 2 2 3 2 2 6 3" xfId="32899"/>
    <cellStyle name="Comma 5 2 2 3 2 2 7" xfId="16584"/>
    <cellStyle name="Comma 5 2 2 3 2 2 7 2" xfId="42137"/>
    <cellStyle name="Comma 5 2 2 3 2 2 8" xfId="26556"/>
    <cellStyle name="Comma 5 2 2 3 2 3" xfId="1303"/>
    <cellStyle name="Comma 5 2 2 3 2 3 2" xfId="3732"/>
    <cellStyle name="Comma 5 2 2 3 2 3 2 2" xfId="12868"/>
    <cellStyle name="Comma 5 2 2 3 2 3 2 2 2" xfId="23087"/>
    <cellStyle name="Comma 5 2 2 3 2 3 2 2 2 2" xfId="48640"/>
    <cellStyle name="Comma 5 2 2 3 2 3 2 2 3" xfId="38423"/>
    <cellStyle name="Comma 5 2 2 3 2 3 2 3" xfId="9289"/>
    <cellStyle name="Comma 5 2 2 3 2 3 2 3 2" xfId="34846"/>
    <cellStyle name="Comma 5 2 2 3 2 3 2 4" xfId="18080"/>
    <cellStyle name="Comma 5 2 2 3 2 3 2 4 2" xfId="43633"/>
    <cellStyle name="Comma 5 2 2 3 2 3 2 5" xfId="29570"/>
    <cellStyle name="Comma 5 2 2 3 2 3 3" xfId="4791"/>
    <cellStyle name="Comma 5 2 2 3 2 3 3 2" xfId="13628"/>
    <cellStyle name="Comma 5 2 2 3 2 3 3 2 2" xfId="23879"/>
    <cellStyle name="Comma 5 2 2 3 2 3 3 2 2 2" xfId="49432"/>
    <cellStyle name="Comma 5 2 2 3 2 3 3 2 3" xfId="39183"/>
    <cellStyle name="Comma 5 2 2 3 2 3 3 3" xfId="10049"/>
    <cellStyle name="Comma 5 2 2 3 2 3 3 3 2" xfId="35606"/>
    <cellStyle name="Comma 5 2 2 3 2 3 3 4" xfId="18872"/>
    <cellStyle name="Comma 5 2 2 3 2 3 3 4 2" xfId="44425"/>
    <cellStyle name="Comma 5 2 2 3 2 3 3 5" xfId="30362"/>
    <cellStyle name="Comma 5 2 2 3 2 3 4" xfId="2126"/>
    <cellStyle name="Comma 5 2 2 3 2 3 4 2" xfId="11491"/>
    <cellStyle name="Comma 5 2 2 3 2 3 4 2 2" xfId="37046"/>
    <cellStyle name="Comma 5 2 2 3 2 3 4 3" xfId="21495"/>
    <cellStyle name="Comma 5 2 2 3 2 3 4 3 2" xfId="47048"/>
    <cellStyle name="Comma 5 2 2 3 2 3 4 4" xfId="27978"/>
    <cellStyle name="Comma 5 2 2 3 2 3 5" xfId="6246"/>
    <cellStyle name="Comma 5 2 2 3 2 3 5 2" xfId="15073"/>
    <cellStyle name="Comma 5 2 2 3 2 3 5 2 2" xfId="40628"/>
    <cellStyle name="Comma 5 2 2 3 2 3 5 3" xfId="25324"/>
    <cellStyle name="Comma 5 2 2 3 2 3 5 3 2" xfId="50877"/>
    <cellStyle name="Comma 5 2 2 3 2 3 5 4" xfId="31807"/>
    <cellStyle name="Comma 5 2 2 3 2 3 6" xfId="7692"/>
    <cellStyle name="Comma 5 2 2 3 2 3 6 2" xfId="20686"/>
    <cellStyle name="Comma 5 2 2 3 2 3 6 2 2" xfId="46239"/>
    <cellStyle name="Comma 5 2 2 3 2 3 6 3" xfId="33249"/>
    <cellStyle name="Comma 5 2 2 3 2 3 7" xfId="16488"/>
    <cellStyle name="Comma 5 2 2 3 2 3 7 2" xfId="42041"/>
    <cellStyle name="Comma 5 2 2 3 2 3 8" xfId="27169"/>
    <cellStyle name="Comma 5 2 2 3 2 4" xfId="3017"/>
    <cellStyle name="Comma 5 2 2 3 2 4 2" xfId="5395"/>
    <cellStyle name="Comma 5 2 2 3 2 4 2 2" xfId="14232"/>
    <cellStyle name="Comma 5 2 2 3 2 4 2 2 2" xfId="24483"/>
    <cellStyle name="Comma 5 2 2 3 2 4 2 2 2 2" xfId="50036"/>
    <cellStyle name="Comma 5 2 2 3 2 4 2 2 3" xfId="39787"/>
    <cellStyle name="Comma 5 2 2 3 2 4 2 3" xfId="10653"/>
    <cellStyle name="Comma 5 2 2 3 2 4 2 3 2" xfId="36210"/>
    <cellStyle name="Comma 5 2 2 3 2 4 2 4" xfId="19476"/>
    <cellStyle name="Comma 5 2 2 3 2 4 2 4 2" xfId="45029"/>
    <cellStyle name="Comma 5 2 2 3 2 4 2 5" xfId="30966"/>
    <cellStyle name="Comma 5 2 2 3 2 4 3" xfId="6850"/>
    <cellStyle name="Comma 5 2 2 3 2 4 3 2" xfId="15677"/>
    <cellStyle name="Comma 5 2 2 3 2 4 3 2 2" xfId="41232"/>
    <cellStyle name="Comma 5 2 2 3 2 4 3 3" xfId="25928"/>
    <cellStyle name="Comma 5 2 2 3 2 4 3 3 2" xfId="51481"/>
    <cellStyle name="Comma 5 2 2 3 2 4 3 4" xfId="32411"/>
    <cellStyle name="Comma 5 2 2 3 2 4 4" xfId="8296"/>
    <cellStyle name="Comma 5 2 2 3 2 4 4 2" xfId="22378"/>
    <cellStyle name="Comma 5 2 2 3 2 4 4 2 2" xfId="47931"/>
    <cellStyle name="Comma 5 2 2 3 2 4 4 3" xfId="33853"/>
    <cellStyle name="Comma 5 2 2 3 2 4 5" xfId="17371"/>
    <cellStyle name="Comma 5 2 2 3 2 4 5 2" xfId="42924"/>
    <cellStyle name="Comma 5 2 2 3 2 4 6" xfId="28861"/>
    <cellStyle name="Comma 5 2 2 3 2 5" xfId="4351"/>
    <cellStyle name="Comma 5 2 2 3 2 5 2" xfId="13189"/>
    <cellStyle name="Comma 5 2 2 3 2 5 2 2" xfId="23440"/>
    <cellStyle name="Comma 5 2 2 3 2 5 2 2 2" xfId="48993"/>
    <cellStyle name="Comma 5 2 2 3 2 5 2 3" xfId="38744"/>
    <cellStyle name="Comma 5 2 2 3 2 5 3" xfId="9610"/>
    <cellStyle name="Comma 5 2 2 3 2 5 3 2" xfId="35167"/>
    <cellStyle name="Comma 5 2 2 3 2 5 4" xfId="18433"/>
    <cellStyle name="Comma 5 2 2 3 2 5 4 2" xfId="43986"/>
    <cellStyle name="Comma 5 2 2 3 2 5 5" xfId="29923"/>
    <cellStyle name="Comma 5 2 2 3 2 6" xfId="1623"/>
    <cellStyle name="Comma 5 2 2 3 2 6 2" xfId="11000"/>
    <cellStyle name="Comma 5 2 2 3 2 6 2 2" xfId="36555"/>
    <cellStyle name="Comma 5 2 2 3 2 6 3" xfId="21004"/>
    <cellStyle name="Comma 5 2 2 3 2 6 3 2" xfId="46557"/>
    <cellStyle name="Comma 5 2 2 3 2 6 4" xfId="27487"/>
    <cellStyle name="Comma 5 2 2 3 2 7" xfId="5807"/>
    <cellStyle name="Comma 5 2 2 3 2 7 2" xfId="14634"/>
    <cellStyle name="Comma 5 2 2 3 2 7 2 2" xfId="40189"/>
    <cellStyle name="Comma 5 2 2 3 2 7 3" xfId="24885"/>
    <cellStyle name="Comma 5 2 2 3 2 7 3 2" xfId="50438"/>
    <cellStyle name="Comma 5 2 2 3 2 7 4" xfId="31368"/>
    <cellStyle name="Comma 5 2 2 3 2 8" xfId="7251"/>
    <cellStyle name="Comma 5 2 2 3 2 8 2" xfId="19977"/>
    <cellStyle name="Comma 5 2 2 3 2 8 2 2" xfId="45530"/>
    <cellStyle name="Comma 5 2 2 3 2 8 3" xfId="32808"/>
    <cellStyle name="Comma 5 2 2 3 2 9" xfId="15997"/>
    <cellStyle name="Comma 5 2 2 3 2 9 2" xfId="41550"/>
    <cellStyle name="Comma 5 2 2 3 3" xfId="431"/>
    <cellStyle name="Comma 5 2 2 3 3 2" xfId="2917"/>
    <cellStyle name="Comma 5 2 2 3 3 2 2" xfId="12205"/>
    <cellStyle name="Comma 5 2 2 3 3 2 2 2" xfId="22278"/>
    <cellStyle name="Comma 5 2 2 3 3 2 2 2 2" xfId="47831"/>
    <cellStyle name="Comma 5 2 2 3 3 2 2 3" xfId="37760"/>
    <cellStyle name="Comma 5 2 2 3 3 2 3" xfId="8388"/>
    <cellStyle name="Comma 5 2 2 3 3 2 3 2" xfId="33945"/>
    <cellStyle name="Comma 5 2 2 3 3 2 4" xfId="17271"/>
    <cellStyle name="Comma 5 2 2 3 3 2 4 2" xfId="42824"/>
    <cellStyle name="Comma 5 2 2 3 3 2 5" xfId="28761"/>
    <cellStyle name="Comma 5 2 2 3 3 3" xfId="4441"/>
    <cellStyle name="Comma 5 2 2 3 3 3 2" xfId="13279"/>
    <cellStyle name="Comma 5 2 2 3 3 3 2 2" xfId="23530"/>
    <cellStyle name="Comma 5 2 2 3 3 3 2 2 2" xfId="49083"/>
    <cellStyle name="Comma 5 2 2 3 3 3 2 3" xfId="38834"/>
    <cellStyle name="Comma 5 2 2 3 3 3 3" xfId="9700"/>
    <cellStyle name="Comma 5 2 2 3 3 3 3 2" xfId="35257"/>
    <cellStyle name="Comma 5 2 2 3 3 3 4" xfId="18523"/>
    <cellStyle name="Comma 5 2 2 3 3 3 4 2" xfId="44076"/>
    <cellStyle name="Comma 5 2 2 3 3 3 5" xfId="30013"/>
    <cellStyle name="Comma 5 2 2 3 3 4" xfId="2026"/>
    <cellStyle name="Comma 5 2 2 3 3 4 2" xfId="11391"/>
    <cellStyle name="Comma 5 2 2 3 3 4 2 2" xfId="36946"/>
    <cellStyle name="Comma 5 2 2 3 3 4 3" xfId="21395"/>
    <cellStyle name="Comma 5 2 2 3 3 4 3 2" xfId="46948"/>
    <cellStyle name="Comma 5 2 2 3 3 4 4" xfId="27878"/>
    <cellStyle name="Comma 5 2 2 3 3 5" xfId="5897"/>
    <cellStyle name="Comma 5 2 2 3 3 5 2" xfId="14724"/>
    <cellStyle name="Comma 5 2 2 3 3 5 2 2" xfId="40279"/>
    <cellStyle name="Comma 5 2 2 3 3 5 3" xfId="24975"/>
    <cellStyle name="Comma 5 2 2 3 3 5 3 2" xfId="50528"/>
    <cellStyle name="Comma 5 2 2 3 3 5 4" xfId="31458"/>
    <cellStyle name="Comma 5 2 2 3 3 6" xfId="7341"/>
    <cellStyle name="Comma 5 2 2 3 3 6 2" xfId="19877"/>
    <cellStyle name="Comma 5 2 2 3 3 6 2 2" xfId="45430"/>
    <cellStyle name="Comma 5 2 2 3 3 6 3" xfId="32898"/>
    <cellStyle name="Comma 5 2 2 3 3 7" xfId="16388"/>
    <cellStyle name="Comma 5 2 2 3 3 7 2" xfId="41941"/>
    <cellStyle name="Comma 5 2 2 3 3 8" xfId="26360"/>
    <cellStyle name="Comma 5 2 2 3 4" xfId="626"/>
    <cellStyle name="Comma 5 2 2 3 4 2" xfId="3112"/>
    <cellStyle name="Comma 5 2 2 3 4 2 2" xfId="12255"/>
    <cellStyle name="Comma 5 2 2 3 4 2 2 2" xfId="22473"/>
    <cellStyle name="Comma 5 2 2 3 4 2 2 2 2" xfId="48026"/>
    <cellStyle name="Comma 5 2 2 3 4 2 2 3" xfId="37810"/>
    <cellStyle name="Comma 5 2 2 3 4 2 3" xfId="8677"/>
    <cellStyle name="Comma 5 2 2 3 4 2 3 2" xfId="34234"/>
    <cellStyle name="Comma 5 2 2 3 4 2 4" xfId="17466"/>
    <cellStyle name="Comma 5 2 2 3 4 2 4 2" xfId="43019"/>
    <cellStyle name="Comma 5 2 2 3 4 2 5" xfId="28956"/>
    <cellStyle name="Comma 5 2 2 3 4 3" xfId="4790"/>
    <cellStyle name="Comma 5 2 2 3 4 3 2" xfId="13627"/>
    <cellStyle name="Comma 5 2 2 3 4 3 2 2" xfId="23878"/>
    <cellStyle name="Comma 5 2 2 3 4 3 2 2 2" xfId="49431"/>
    <cellStyle name="Comma 5 2 2 3 4 3 2 3" xfId="39182"/>
    <cellStyle name="Comma 5 2 2 3 4 3 3" xfId="10048"/>
    <cellStyle name="Comma 5 2 2 3 4 3 3 2" xfId="35605"/>
    <cellStyle name="Comma 5 2 2 3 4 3 4" xfId="18871"/>
    <cellStyle name="Comma 5 2 2 3 4 3 4 2" xfId="44424"/>
    <cellStyle name="Comma 5 2 2 3 4 3 5" xfId="30361"/>
    <cellStyle name="Comma 5 2 2 3 4 4" xfId="2221"/>
    <cellStyle name="Comma 5 2 2 3 4 4 2" xfId="11586"/>
    <cellStyle name="Comma 5 2 2 3 4 4 2 2" xfId="37141"/>
    <cellStyle name="Comma 5 2 2 3 4 4 3" xfId="21590"/>
    <cellStyle name="Comma 5 2 2 3 4 4 3 2" xfId="47143"/>
    <cellStyle name="Comma 5 2 2 3 4 4 4" xfId="28073"/>
    <cellStyle name="Comma 5 2 2 3 4 5" xfId="6245"/>
    <cellStyle name="Comma 5 2 2 3 4 5 2" xfId="15072"/>
    <cellStyle name="Comma 5 2 2 3 4 5 2 2" xfId="40627"/>
    <cellStyle name="Comma 5 2 2 3 4 5 3" xfId="25323"/>
    <cellStyle name="Comma 5 2 2 3 4 5 3 2" xfId="50876"/>
    <cellStyle name="Comma 5 2 2 3 4 5 4" xfId="31806"/>
    <cellStyle name="Comma 5 2 2 3 4 6" xfId="7691"/>
    <cellStyle name="Comma 5 2 2 3 4 6 2" xfId="20072"/>
    <cellStyle name="Comma 5 2 2 3 4 6 2 2" xfId="45625"/>
    <cellStyle name="Comma 5 2 2 3 4 6 3" xfId="33248"/>
    <cellStyle name="Comma 5 2 2 3 4 7" xfId="16583"/>
    <cellStyle name="Comma 5 2 2 3 4 7 2" xfId="42136"/>
    <cellStyle name="Comma 5 2 2 3 4 8" xfId="26555"/>
    <cellStyle name="Comma 5 2 2 3 5" xfId="1203"/>
    <cellStyle name="Comma 5 2 2 3 5 2" xfId="3632"/>
    <cellStyle name="Comma 5 2 2 3 5 2 2" xfId="12768"/>
    <cellStyle name="Comma 5 2 2 3 5 2 2 2" xfId="22987"/>
    <cellStyle name="Comma 5 2 2 3 5 2 2 2 2" xfId="48540"/>
    <cellStyle name="Comma 5 2 2 3 5 2 2 3" xfId="38323"/>
    <cellStyle name="Comma 5 2 2 3 5 2 3" xfId="9189"/>
    <cellStyle name="Comma 5 2 2 3 5 2 3 2" xfId="34746"/>
    <cellStyle name="Comma 5 2 2 3 5 2 4" xfId="17980"/>
    <cellStyle name="Comma 5 2 2 3 5 2 4 2" xfId="43533"/>
    <cellStyle name="Comma 5 2 2 3 5 2 5" xfId="29470"/>
    <cellStyle name="Comma 5 2 2 3 5 3" xfId="5295"/>
    <cellStyle name="Comma 5 2 2 3 5 3 2" xfId="14132"/>
    <cellStyle name="Comma 5 2 2 3 5 3 2 2" xfId="24383"/>
    <cellStyle name="Comma 5 2 2 3 5 3 2 2 2" xfId="49936"/>
    <cellStyle name="Comma 5 2 2 3 5 3 2 3" xfId="39687"/>
    <cellStyle name="Comma 5 2 2 3 5 3 3" xfId="10553"/>
    <cellStyle name="Comma 5 2 2 3 5 3 3 2" xfId="36110"/>
    <cellStyle name="Comma 5 2 2 3 5 3 4" xfId="19376"/>
    <cellStyle name="Comma 5 2 2 3 5 3 4 2" xfId="44929"/>
    <cellStyle name="Comma 5 2 2 3 5 3 5" xfId="30866"/>
    <cellStyle name="Comma 5 2 2 3 5 4" xfId="1806"/>
    <cellStyle name="Comma 5 2 2 3 5 4 2" xfId="11174"/>
    <cellStyle name="Comma 5 2 2 3 5 4 2 2" xfId="36729"/>
    <cellStyle name="Comma 5 2 2 3 5 4 3" xfId="21178"/>
    <cellStyle name="Comma 5 2 2 3 5 4 3 2" xfId="46731"/>
    <cellStyle name="Comma 5 2 2 3 5 4 4" xfId="27661"/>
    <cellStyle name="Comma 5 2 2 3 5 5" xfId="6750"/>
    <cellStyle name="Comma 5 2 2 3 5 5 2" xfId="15577"/>
    <cellStyle name="Comma 5 2 2 3 5 5 2 2" xfId="41132"/>
    <cellStyle name="Comma 5 2 2 3 5 5 3" xfId="25828"/>
    <cellStyle name="Comma 5 2 2 3 5 5 3 2" xfId="51381"/>
    <cellStyle name="Comma 5 2 2 3 5 5 4" xfId="32311"/>
    <cellStyle name="Comma 5 2 2 3 5 6" xfId="8196"/>
    <cellStyle name="Comma 5 2 2 3 5 6 2" xfId="20586"/>
    <cellStyle name="Comma 5 2 2 3 5 6 2 2" xfId="46139"/>
    <cellStyle name="Comma 5 2 2 3 5 6 3" xfId="33753"/>
    <cellStyle name="Comma 5 2 2 3 5 7" xfId="16171"/>
    <cellStyle name="Comma 5 2 2 3 5 7 2" xfId="41724"/>
    <cellStyle name="Comma 5 2 2 3 5 8" xfId="27069"/>
    <cellStyle name="Comma 5 2 2 3 6" xfId="2700"/>
    <cellStyle name="Comma 5 2 2 3 6 2" xfId="12017"/>
    <cellStyle name="Comma 5 2 2 3 6 2 2" xfId="22061"/>
    <cellStyle name="Comma 5 2 2 3 6 2 2 2" xfId="47614"/>
    <cellStyle name="Comma 5 2 2 3 6 2 3" xfId="37572"/>
    <cellStyle name="Comma 5 2 2 3 6 3" xfId="8556"/>
    <cellStyle name="Comma 5 2 2 3 6 3 2" xfId="34113"/>
    <cellStyle name="Comma 5 2 2 3 6 4" xfId="17054"/>
    <cellStyle name="Comma 5 2 2 3 6 4 2" xfId="42607"/>
    <cellStyle name="Comma 5 2 2 3 6 5" xfId="28544"/>
    <cellStyle name="Comma 5 2 2 3 7" xfId="4251"/>
    <cellStyle name="Comma 5 2 2 3 7 2" xfId="13089"/>
    <cellStyle name="Comma 5 2 2 3 7 2 2" xfId="23340"/>
    <cellStyle name="Comma 5 2 2 3 7 2 2 2" xfId="48893"/>
    <cellStyle name="Comma 5 2 2 3 7 2 3" xfId="38644"/>
    <cellStyle name="Comma 5 2 2 3 7 3" xfId="9510"/>
    <cellStyle name="Comma 5 2 2 3 7 3 2" xfId="35067"/>
    <cellStyle name="Comma 5 2 2 3 7 4" xfId="18333"/>
    <cellStyle name="Comma 5 2 2 3 7 4 2" xfId="43886"/>
    <cellStyle name="Comma 5 2 2 3 7 5" xfId="29823"/>
    <cellStyle name="Comma 5 2 2 3 8" xfId="1523"/>
    <cellStyle name="Comma 5 2 2 3 8 2" xfId="10900"/>
    <cellStyle name="Comma 5 2 2 3 8 2 2" xfId="36455"/>
    <cellStyle name="Comma 5 2 2 3 8 3" xfId="20904"/>
    <cellStyle name="Comma 5 2 2 3 8 3 2" xfId="46457"/>
    <cellStyle name="Comma 5 2 2 3 8 4" xfId="27387"/>
    <cellStyle name="Comma 5 2 2 3 9" xfId="5707"/>
    <cellStyle name="Comma 5 2 2 3 9 2" xfId="14534"/>
    <cellStyle name="Comma 5 2 2 3 9 2 2" xfId="40089"/>
    <cellStyle name="Comma 5 2 2 3 9 3" xfId="24785"/>
    <cellStyle name="Comma 5 2 2 3 9 3 2" xfId="50338"/>
    <cellStyle name="Comma 5 2 2 3 9 4" xfId="31268"/>
    <cellStyle name="Comma 5 2 2 4" xfId="240"/>
    <cellStyle name="Comma 5 2 2 4 10" xfId="7078"/>
    <cellStyle name="Comma 5 2 2 4 10 2" xfId="19692"/>
    <cellStyle name="Comma 5 2 2 4 10 2 2" xfId="45245"/>
    <cellStyle name="Comma 5 2 2 4 10 3" xfId="32635"/>
    <cellStyle name="Comma 5 2 2 4 11" xfId="15824"/>
    <cellStyle name="Comma 5 2 2 4 11 2" xfId="41377"/>
    <cellStyle name="Comma 5 2 2 4 12" xfId="26175"/>
    <cellStyle name="Comma 5 2 2 4 2" xfId="563"/>
    <cellStyle name="Comma 5 2 2 4 2 10" xfId="26492"/>
    <cellStyle name="Comma 5 2 2 4 2 2" xfId="629"/>
    <cellStyle name="Comma 5 2 2 4 2 2 2" xfId="3115"/>
    <cellStyle name="Comma 5 2 2 4 2 2 2 2" xfId="12258"/>
    <cellStyle name="Comma 5 2 2 4 2 2 2 2 2" xfId="22476"/>
    <cellStyle name="Comma 5 2 2 4 2 2 2 2 2 2" xfId="48029"/>
    <cellStyle name="Comma 5 2 2 4 2 2 2 2 3" xfId="37813"/>
    <cellStyle name="Comma 5 2 2 4 2 2 2 3" xfId="8680"/>
    <cellStyle name="Comma 5 2 2 4 2 2 2 3 2" xfId="34237"/>
    <cellStyle name="Comma 5 2 2 4 2 2 2 4" xfId="17469"/>
    <cellStyle name="Comma 5 2 2 4 2 2 2 4 2" xfId="43022"/>
    <cellStyle name="Comma 5 2 2 4 2 2 2 5" xfId="28959"/>
    <cellStyle name="Comma 5 2 2 4 2 2 3" xfId="4444"/>
    <cellStyle name="Comma 5 2 2 4 2 2 3 2" xfId="13282"/>
    <cellStyle name="Comma 5 2 2 4 2 2 3 2 2" xfId="23533"/>
    <cellStyle name="Comma 5 2 2 4 2 2 3 2 2 2" xfId="49086"/>
    <cellStyle name="Comma 5 2 2 4 2 2 3 2 3" xfId="38837"/>
    <cellStyle name="Comma 5 2 2 4 2 2 3 3" xfId="9703"/>
    <cellStyle name="Comma 5 2 2 4 2 2 3 3 2" xfId="35260"/>
    <cellStyle name="Comma 5 2 2 4 2 2 3 4" xfId="18526"/>
    <cellStyle name="Comma 5 2 2 4 2 2 3 4 2" xfId="44079"/>
    <cellStyle name="Comma 5 2 2 4 2 2 3 5" xfId="30016"/>
    <cellStyle name="Comma 5 2 2 4 2 2 4" xfId="2224"/>
    <cellStyle name="Comma 5 2 2 4 2 2 4 2" xfId="11589"/>
    <cellStyle name="Comma 5 2 2 4 2 2 4 2 2" xfId="37144"/>
    <cellStyle name="Comma 5 2 2 4 2 2 4 3" xfId="21593"/>
    <cellStyle name="Comma 5 2 2 4 2 2 4 3 2" xfId="47146"/>
    <cellStyle name="Comma 5 2 2 4 2 2 4 4" xfId="28076"/>
    <cellStyle name="Comma 5 2 2 4 2 2 5" xfId="5900"/>
    <cellStyle name="Comma 5 2 2 4 2 2 5 2" xfId="14727"/>
    <cellStyle name="Comma 5 2 2 4 2 2 5 2 2" xfId="40282"/>
    <cellStyle name="Comma 5 2 2 4 2 2 5 3" xfId="24978"/>
    <cellStyle name="Comma 5 2 2 4 2 2 5 3 2" xfId="50531"/>
    <cellStyle name="Comma 5 2 2 4 2 2 5 4" xfId="31461"/>
    <cellStyle name="Comma 5 2 2 4 2 2 6" xfId="7344"/>
    <cellStyle name="Comma 5 2 2 4 2 2 6 2" xfId="20075"/>
    <cellStyle name="Comma 5 2 2 4 2 2 6 2 2" xfId="45628"/>
    <cellStyle name="Comma 5 2 2 4 2 2 6 3" xfId="32901"/>
    <cellStyle name="Comma 5 2 2 4 2 2 7" xfId="16586"/>
    <cellStyle name="Comma 5 2 2 4 2 2 7 2" xfId="42139"/>
    <cellStyle name="Comma 5 2 2 4 2 2 8" xfId="26558"/>
    <cellStyle name="Comma 5 2 2 4 2 3" xfId="1335"/>
    <cellStyle name="Comma 5 2 2 4 2 3 2" xfId="3764"/>
    <cellStyle name="Comma 5 2 2 4 2 3 2 2" xfId="12900"/>
    <cellStyle name="Comma 5 2 2 4 2 3 2 2 2" xfId="23119"/>
    <cellStyle name="Comma 5 2 2 4 2 3 2 2 2 2" xfId="48672"/>
    <cellStyle name="Comma 5 2 2 4 2 3 2 2 3" xfId="38455"/>
    <cellStyle name="Comma 5 2 2 4 2 3 2 3" xfId="9321"/>
    <cellStyle name="Comma 5 2 2 4 2 3 2 3 2" xfId="34878"/>
    <cellStyle name="Comma 5 2 2 4 2 3 2 4" xfId="18112"/>
    <cellStyle name="Comma 5 2 2 4 2 3 2 4 2" xfId="43665"/>
    <cellStyle name="Comma 5 2 2 4 2 3 2 5" xfId="29602"/>
    <cellStyle name="Comma 5 2 2 4 2 3 3" xfId="4793"/>
    <cellStyle name="Comma 5 2 2 4 2 3 3 2" xfId="13630"/>
    <cellStyle name="Comma 5 2 2 4 2 3 3 2 2" xfId="23881"/>
    <cellStyle name="Comma 5 2 2 4 2 3 3 2 2 2" xfId="49434"/>
    <cellStyle name="Comma 5 2 2 4 2 3 3 2 3" xfId="39185"/>
    <cellStyle name="Comma 5 2 2 4 2 3 3 3" xfId="10051"/>
    <cellStyle name="Comma 5 2 2 4 2 3 3 3 2" xfId="35608"/>
    <cellStyle name="Comma 5 2 2 4 2 3 3 4" xfId="18874"/>
    <cellStyle name="Comma 5 2 2 4 2 3 3 4 2" xfId="44427"/>
    <cellStyle name="Comma 5 2 2 4 2 3 3 5" xfId="30364"/>
    <cellStyle name="Comma 5 2 2 4 2 3 4" xfId="2158"/>
    <cellStyle name="Comma 5 2 2 4 2 3 4 2" xfId="11523"/>
    <cellStyle name="Comma 5 2 2 4 2 3 4 2 2" xfId="37078"/>
    <cellStyle name="Comma 5 2 2 4 2 3 4 3" xfId="21527"/>
    <cellStyle name="Comma 5 2 2 4 2 3 4 3 2" xfId="47080"/>
    <cellStyle name="Comma 5 2 2 4 2 3 4 4" xfId="28010"/>
    <cellStyle name="Comma 5 2 2 4 2 3 5" xfId="6248"/>
    <cellStyle name="Comma 5 2 2 4 2 3 5 2" xfId="15075"/>
    <cellStyle name="Comma 5 2 2 4 2 3 5 2 2" xfId="40630"/>
    <cellStyle name="Comma 5 2 2 4 2 3 5 3" xfId="25326"/>
    <cellStyle name="Comma 5 2 2 4 2 3 5 3 2" xfId="50879"/>
    <cellStyle name="Comma 5 2 2 4 2 3 5 4" xfId="31809"/>
    <cellStyle name="Comma 5 2 2 4 2 3 6" xfId="7694"/>
    <cellStyle name="Comma 5 2 2 4 2 3 6 2" xfId="20718"/>
    <cellStyle name="Comma 5 2 2 4 2 3 6 2 2" xfId="46271"/>
    <cellStyle name="Comma 5 2 2 4 2 3 6 3" xfId="33251"/>
    <cellStyle name="Comma 5 2 2 4 2 3 7" xfId="16520"/>
    <cellStyle name="Comma 5 2 2 4 2 3 7 2" xfId="42073"/>
    <cellStyle name="Comma 5 2 2 4 2 3 8" xfId="27201"/>
    <cellStyle name="Comma 5 2 2 4 2 4" xfId="3049"/>
    <cellStyle name="Comma 5 2 2 4 2 4 2" xfId="5427"/>
    <cellStyle name="Comma 5 2 2 4 2 4 2 2" xfId="14264"/>
    <cellStyle name="Comma 5 2 2 4 2 4 2 2 2" xfId="24515"/>
    <cellStyle name="Comma 5 2 2 4 2 4 2 2 2 2" xfId="50068"/>
    <cellStyle name="Comma 5 2 2 4 2 4 2 2 3" xfId="39819"/>
    <cellStyle name="Comma 5 2 2 4 2 4 2 3" xfId="10685"/>
    <cellStyle name="Comma 5 2 2 4 2 4 2 3 2" xfId="36242"/>
    <cellStyle name="Comma 5 2 2 4 2 4 2 4" xfId="19508"/>
    <cellStyle name="Comma 5 2 2 4 2 4 2 4 2" xfId="45061"/>
    <cellStyle name="Comma 5 2 2 4 2 4 2 5" xfId="30998"/>
    <cellStyle name="Comma 5 2 2 4 2 4 3" xfId="6882"/>
    <cellStyle name="Comma 5 2 2 4 2 4 3 2" xfId="15709"/>
    <cellStyle name="Comma 5 2 2 4 2 4 3 2 2" xfId="41264"/>
    <cellStyle name="Comma 5 2 2 4 2 4 3 3" xfId="25960"/>
    <cellStyle name="Comma 5 2 2 4 2 4 3 3 2" xfId="51513"/>
    <cellStyle name="Comma 5 2 2 4 2 4 3 4" xfId="32443"/>
    <cellStyle name="Comma 5 2 2 4 2 4 4" xfId="8328"/>
    <cellStyle name="Comma 5 2 2 4 2 4 4 2" xfId="22410"/>
    <cellStyle name="Comma 5 2 2 4 2 4 4 2 2" xfId="47963"/>
    <cellStyle name="Comma 5 2 2 4 2 4 4 3" xfId="33885"/>
    <cellStyle name="Comma 5 2 2 4 2 4 5" xfId="17403"/>
    <cellStyle name="Comma 5 2 2 4 2 4 5 2" xfId="42956"/>
    <cellStyle name="Comma 5 2 2 4 2 4 6" xfId="28893"/>
    <cellStyle name="Comma 5 2 2 4 2 5" xfId="4383"/>
    <cellStyle name="Comma 5 2 2 4 2 5 2" xfId="13221"/>
    <cellStyle name="Comma 5 2 2 4 2 5 2 2" xfId="23472"/>
    <cellStyle name="Comma 5 2 2 4 2 5 2 2 2" xfId="49025"/>
    <cellStyle name="Comma 5 2 2 4 2 5 2 3" xfId="38776"/>
    <cellStyle name="Comma 5 2 2 4 2 5 3" xfId="9642"/>
    <cellStyle name="Comma 5 2 2 4 2 5 3 2" xfId="35199"/>
    <cellStyle name="Comma 5 2 2 4 2 5 4" xfId="18465"/>
    <cellStyle name="Comma 5 2 2 4 2 5 4 2" xfId="44018"/>
    <cellStyle name="Comma 5 2 2 4 2 5 5" xfId="29955"/>
    <cellStyle name="Comma 5 2 2 4 2 6" xfId="1655"/>
    <cellStyle name="Comma 5 2 2 4 2 6 2" xfId="11032"/>
    <cellStyle name="Comma 5 2 2 4 2 6 2 2" xfId="36587"/>
    <cellStyle name="Comma 5 2 2 4 2 6 3" xfId="21036"/>
    <cellStyle name="Comma 5 2 2 4 2 6 3 2" xfId="46589"/>
    <cellStyle name="Comma 5 2 2 4 2 6 4" xfId="27519"/>
    <cellStyle name="Comma 5 2 2 4 2 7" xfId="5839"/>
    <cellStyle name="Comma 5 2 2 4 2 7 2" xfId="14666"/>
    <cellStyle name="Comma 5 2 2 4 2 7 2 2" xfId="40221"/>
    <cellStyle name="Comma 5 2 2 4 2 7 3" xfId="24917"/>
    <cellStyle name="Comma 5 2 2 4 2 7 3 2" xfId="50470"/>
    <cellStyle name="Comma 5 2 2 4 2 7 4" xfId="31400"/>
    <cellStyle name="Comma 5 2 2 4 2 8" xfId="7283"/>
    <cellStyle name="Comma 5 2 2 4 2 8 2" xfId="20009"/>
    <cellStyle name="Comma 5 2 2 4 2 8 2 2" xfId="45562"/>
    <cellStyle name="Comma 5 2 2 4 2 8 3" xfId="32840"/>
    <cellStyle name="Comma 5 2 2 4 2 9" xfId="16029"/>
    <cellStyle name="Comma 5 2 2 4 2 9 2" xfId="41582"/>
    <cellStyle name="Comma 5 2 2 4 3" xfId="358"/>
    <cellStyle name="Comma 5 2 2 4 3 2" xfId="2844"/>
    <cellStyle name="Comma 5 2 2 4 3 2 2" xfId="12132"/>
    <cellStyle name="Comma 5 2 2 4 3 2 2 2" xfId="22205"/>
    <cellStyle name="Comma 5 2 2 4 3 2 2 2 2" xfId="47758"/>
    <cellStyle name="Comma 5 2 2 4 3 2 2 3" xfId="37687"/>
    <cellStyle name="Comma 5 2 2 4 3 2 3" xfId="8442"/>
    <cellStyle name="Comma 5 2 2 4 3 2 3 2" xfId="33999"/>
    <cellStyle name="Comma 5 2 2 4 3 2 4" xfId="17198"/>
    <cellStyle name="Comma 5 2 2 4 3 2 4 2" xfId="42751"/>
    <cellStyle name="Comma 5 2 2 4 3 2 5" xfId="28688"/>
    <cellStyle name="Comma 5 2 2 4 3 3" xfId="4443"/>
    <cellStyle name="Comma 5 2 2 4 3 3 2" xfId="13281"/>
    <cellStyle name="Comma 5 2 2 4 3 3 2 2" xfId="23532"/>
    <cellStyle name="Comma 5 2 2 4 3 3 2 2 2" xfId="49085"/>
    <cellStyle name="Comma 5 2 2 4 3 3 2 3" xfId="38836"/>
    <cellStyle name="Comma 5 2 2 4 3 3 3" xfId="9702"/>
    <cellStyle name="Comma 5 2 2 4 3 3 3 2" xfId="35259"/>
    <cellStyle name="Comma 5 2 2 4 3 3 4" xfId="18525"/>
    <cellStyle name="Comma 5 2 2 4 3 3 4 2" xfId="44078"/>
    <cellStyle name="Comma 5 2 2 4 3 3 5" xfId="30015"/>
    <cellStyle name="Comma 5 2 2 4 3 4" xfId="1953"/>
    <cellStyle name="Comma 5 2 2 4 3 4 2" xfId="11318"/>
    <cellStyle name="Comma 5 2 2 4 3 4 2 2" xfId="36873"/>
    <cellStyle name="Comma 5 2 2 4 3 4 3" xfId="21322"/>
    <cellStyle name="Comma 5 2 2 4 3 4 3 2" xfId="46875"/>
    <cellStyle name="Comma 5 2 2 4 3 4 4" xfId="27805"/>
    <cellStyle name="Comma 5 2 2 4 3 5" xfId="5899"/>
    <cellStyle name="Comma 5 2 2 4 3 5 2" xfId="14726"/>
    <cellStyle name="Comma 5 2 2 4 3 5 2 2" xfId="40281"/>
    <cellStyle name="Comma 5 2 2 4 3 5 3" xfId="24977"/>
    <cellStyle name="Comma 5 2 2 4 3 5 3 2" xfId="50530"/>
    <cellStyle name="Comma 5 2 2 4 3 5 4" xfId="31460"/>
    <cellStyle name="Comma 5 2 2 4 3 6" xfId="7343"/>
    <cellStyle name="Comma 5 2 2 4 3 6 2" xfId="19804"/>
    <cellStyle name="Comma 5 2 2 4 3 6 2 2" xfId="45357"/>
    <cellStyle name="Comma 5 2 2 4 3 6 3" xfId="32900"/>
    <cellStyle name="Comma 5 2 2 4 3 7" xfId="16315"/>
    <cellStyle name="Comma 5 2 2 4 3 7 2" xfId="41868"/>
    <cellStyle name="Comma 5 2 2 4 3 8" xfId="26287"/>
    <cellStyle name="Comma 5 2 2 4 4" xfId="628"/>
    <cellStyle name="Comma 5 2 2 4 4 2" xfId="3114"/>
    <cellStyle name="Comma 5 2 2 4 4 2 2" xfId="12257"/>
    <cellStyle name="Comma 5 2 2 4 4 2 2 2" xfId="22475"/>
    <cellStyle name="Comma 5 2 2 4 4 2 2 2 2" xfId="48028"/>
    <cellStyle name="Comma 5 2 2 4 4 2 2 3" xfId="37812"/>
    <cellStyle name="Comma 5 2 2 4 4 2 3" xfId="8679"/>
    <cellStyle name="Comma 5 2 2 4 4 2 3 2" xfId="34236"/>
    <cellStyle name="Comma 5 2 2 4 4 2 4" xfId="17468"/>
    <cellStyle name="Comma 5 2 2 4 4 2 4 2" xfId="43021"/>
    <cellStyle name="Comma 5 2 2 4 4 2 5" xfId="28958"/>
    <cellStyle name="Comma 5 2 2 4 4 3" xfId="4792"/>
    <cellStyle name="Comma 5 2 2 4 4 3 2" xfId="13629"/>
    <cellStyle name="Comma 5 2 2 4 4 3 2 2" xfId="23880"/>
    <cellStyle name="Comma 5 2 2 4 4 3 2 2 2" xfId="49433"/>
    <cellStyle name="Comma 5 2 2 4 4 3 2 3" xfId="39184"/>
    <cellStyle name="Comma 5 2 2 4 4 3 3" xfId="10050"/>
    <cellStyle name="Comma 5 2 2 4 4 3 3 2" xfId="35607"/>
    <cellStyle name="Comma 5 2 2 4 4 3 4" xfId="18873"/>
    <cellStyle name="Comma 5 2 2 4 4 3 4 2" xfId="44426"/>
    <cellStyle name="Comma 5 2 2 4 4 3 5" xfId="30363"/>
    <cellStyle name="Comma 5 2 2 4 4 4" xfId="2223"/>
    <cellStyle name="Comma 5 2 2 4 4 4 2" xfId="11588"/>
    <cellStyle name="Comma 5 2 2 4 4 4 2 2" xfId="37143"/>
    <cellStyle name="Comma 5 2 2 4 4 4 3" xfId="21592"/>
    <cellStyle name="Comma 5 2 2 4 4 4 3 2" xfId="47145"/>
    <cellStyle name="Comma 5 2 2 4 4 4 4" xfId="28075"/>
    <cellStyle name="Comma 5 2 2 4 4 5" xfId="6247"/>
    <cellStyle name="Comma 5 2 2 4 4 5 2" xfId="15074"/>
    <cellStyle name="Comma 5 2 2 4 4 5 2 2" xfId="40629"/>
    <cellStyle name="Comma 5 2 2 4 4 5 3" xfId="25325"/>
    <cellStyle name="Comma 5 2 2 4 4 5 3 2" xfId="50878"/>
    <cellStyle name="Comma 5 2 2 4 4 5 4" xfId="31808"/>
    <cellStyle name="Comma 5 2 2 4 4 6" xfId="7693"/>
    <cellStyle name="Comma 5 2 2 4 4 6 2" xfId="20074"/>
    <cellStyle name="Comma 5 2 2 4 4 6 2 2" xfId="45627"/>
    <cellStyle name="Comma 5 2 2 4 4 6 3" xfId="33250"/>
    <cellStyle name="Comma 5 2 2 4 4 7" xfId="16585"/>
    <cellStyle name="Comma 5 2 2 4 4 7 2" xfId="42138"/>
    <cellStyle name="Comma 5 2 2 4 4 8" xfId="26557"/>
    <cellStyle name="Comma 5 2 2 4 5" xfId="1130"/>
    <cellStyle name="Comma 5 2 2 4 5 2" xfId="3559"/>
    <cellStyle name="Comma 5 2 2 4 5 2 2" xfId="12695"/>
    <cellStyle name="Comma 5 2 2 4 5 2 2 2" xfId="22914"/>
    <cellStyle name="Comma 5 2 2 4 5 2 2 2 2" xfId="48467"/>
    <cellStyle name="Comma 5 2 2 4 5 2 2 3" xfId="38250"/>
    <cellStyle name="Comma 5 2 2 4 5 2 3" xfId="9116"/>
    <cellStyle name="Comma 5 2 2 4 5 2 3 2" xfId="34673"/>
    <cellStyle name="Comma 5 2 2 4 5 2 4" xfId="17907"/>
    <cellStyle name="Comma 5 2 2 4 5 2 4 2" xfId="43460"/>
    <cellStyle name="Comma 5 2 2 4 5 2 5" xfId="29397"/>
    <cellStyle name="Comma 5 2 2 4 5 3" xfId="5222"/>
    <cellStyle name="Comma 5 2 2 4 5 3 2" xfId="14059"/>
    <cellStyle name="Comma 5 2 2 4 5 3 2 2" xfId="24310"/>
    <cellStyle name="Comma 5 2 2 4 5 3 2 2 2" xfId="49863"/>
    <cellStyle name="Comma 5 2 2 4 5 3 2 3" xfId="39614"/>
    <cellStyle name="Comma 5 2 2 4 5 3 3" xfId="10480"/>
    <cellStyle name="Comma 5 2 2 4 5 3 3 2" xfId="36037"/>
    <cellStyle name="Comma 5 2 2 4 5 3 4" xfId="19303"/>
    <cellStyle name="Comma 5 2 2 4 5 3 4 2" xfId="44856"/>
    <cellStyle name="Comma 5 2 2 4 5 3 5" xfId="30793"/>
    <cellStyle name="Comma 5 2 2 4 5 4" xfId="1838"/>
    <cellStyle name="Comma 5 2 2 4 5 4 2" xfId="11206"/>
    <cellStyle name="Comma 5 2 2 4 5 4 2 2" xfId="36761"/>
    <cellStyle name="Comma 5 2 2 4 5 4 3" xfId="21210"/>
    <cellStyle name="Comma 5 2 2 4 5 4 3 2" xfId="46763"/>
    <cellStyle name="Comma 5 2 2 4 5 4 4" xfId="27693"/>
    <cellStyle name="Comma 5 2 2 4 5 5" xfId="6677"/>
    <cellStyle name="Comma 5 2 2 4 5 5 2" xfId="15504"/>
    <cellStyle name="Comma 5 2 2 4 5 5 2 2" xfId="41059"/>
    <cellStyle name="Comma 5 2 2 4 5 5 3" xfId="25755"/>
    <cellStyle name="Comma 5 2 2 4 5 5 3 2" xfId="51308"/>
    <cellStyle name="Comma 5 2 2 4 5 5 4" xfId="32238"/>
    <cellStyle name="Comma 5 2 2 4 5 6" xfId="8123"/>
    <cellStyle name="Comma 5 2 2 4 5 6 2" xfId="20513"/>
    <cellStyle name="Comma 5 2 2 4 5 6 2 2" xfId="46066"/>
    <cellStyle name="Comma 5 2 2 4 5 6 3" xfId="33680"/>
    <cellStyle name="Comma 5 2 2 4 5 7" xfId="16203"/>
    <cellStyle name="Comma 5 2 2 4 5 7 2" xfId="41756"/>
    <cellStyle name="Comma 5 2 2 4 5 8" xfId="26996"/>
    <cellStyle name="Comma 5 2 2 4 6" xfId="2732"/>
    <cellStyle name="Comma 5 2 2 4 6 2" xfId="12049"/>
    <cellStyle name="Comma 5 2 2 4 6 2 2" xfId="22093"/>
    <cellStyle name="Comma 5 2 2 4 6 2 2 2" xfId="47646"/>
    <cellStyle name="Comma 5 2 2 4 6 2 3" xfId="37604"/>
    <cellStyle name="Comma 5 2 2 4 6 3" xfId="8549"/>
    <cellStyle name="Comma 5 2 2 4 6 3 2" xfId="34106"/>
    <cellStyle name="Comma 5 2 2 4 6 4" xfId="17086"/>
    <cellStyle name="Comma 5 2 2 4 6 4 2" xfId="42639"/>
    <cellStyle name="Comma 5 2 2 4 6 5" xfId="28576"/>
    <cellStyle name="Comma 5 2 2 4 7" xfId="4178"/>
    <cellStyle name="Comma 5 2 2 4 7 2" xfId="13016"/>
    <cellStyle name="Comma 5 2 2 4 7 2 2" xfId="23267"/>
    <cellStyle name="Comma 5 2 2 4 7 2 2 2" xfId="48820"/>
    <cellStyle name="Comma 5 2 2 4 7 2 3" xfId="38571"/>
    <cellStyle name="Comma 5 2 2 4 7 3" xfId="9437"/>
    <cellStyle name="Comma 5 2 2 4 7 3 2" xfId="34994"/>
    <cellStyle name="Comma 5 2 2 4 7 4" xfId="18260"/>
    <cellStyle name="Comma 5 2 2 4 7 4 2" xfId="43813"/>
    <cellStyle name="Comma 5 2 2 4 7 5" xfId="29750"/>
    <cellStyle name="Comma 5 2 2 4 8" xfId="1450"/>
    <cellStyle name="Comma 5 2 2 4 8 2" xfId="10827"/>
    <cellStyle name="Comma 5 2 2 4 8 2 2" xfId="36382"/>
    <cellStyle name="Comma 5 2 2 4 8 3" xfId="20831"/>
    <cellStyle name="Comma 5 2 2 4 8 3 2" xfId="46384"/>
    <cellStyle name="Comma 5 2 2 4 8 4" xfId="27314"/>
    <cellStyle name="Comma 5 2 2 4 9" xfId="5634"/>
    <cellStyle name="Comma 5 2 2 4 9 2" xfId="14461"/>
    <cellStyle name="Comma 5 2 2 4 9 2 2" xfId="40016"/>
    <cellStyle name="Comma 5 2 2 4 9 3" xfId="24712"/>
    <cellStyle name="Comma 5 2 2 4 9 3 2" xfId="50265"/>
    <cellStyle name="Comma 5 2 2 4 9 4" xfId="31195"/>
    <cellStyle name="Comma 5 2 2 5" xfId="458"/>
    <cellStyle name="Comma 5 2 2 5 10" xfId="26387"/>
    <cellStyle name="Comma 5 2 2 5 2" xfId="630"/>
    <cellStyle name="Comma 5 2 2 5 2 2" xfId="3116"/>
    <cellStyle name="Comma 5 2 2 5 2 2 2" xfId="12259"/>
    <cellStyle name="Comma 5 2 2 5 2 2 2 2" xfId="22477"/>
    <cellStyle name="Comma 5 2 2 5 2 2 2 2 2" xfId="48030"/>
    <cellStyle name="Comma 5 2 2 5 2 2 2 3" xfId="37814"/>
    <cellStyle name="Comma 5 2 2 5 2 2 3" xfId="8681"/>
    <cellStyle name="Comma 5 2 2 5 2 2 3 2" xfId="34238"/>
    <cellStyle name="Comma 5 2 2 5 2 2 4" xfId="17470"/>
    <cellStyle name="Comma 5 2 2 5 2 2 4 2" xfId="43023"/>
    <cellStyle name="Comma 5 2 2 5 2 2 5" xfId="28960"/>
    <cellStyle name="Comma 5 2 2 5 2 3" xfId="4445"/>
    <cellStyle name="Comma 5 2 2 5 2 3 2" xfId="13283"/>
    <cellStyle name="Comma 5 2 2 5 2 3 2 2" xfId="23534"/>
    <cellStyle name="Comma 5 2 2 5 2 3 2 2 2" xfId="49087"/>
    <cellStyle name="Comma 5 2 2 5 2 3 2 3" xfId="38838"/>
    <cellStyle name="Comma 5 2 2 5 2 3 3" xfId="9704"/>
    <cellStyle name="Comma 5 2 2 5 2 3 3 2" xfId="35261"/>
    <cellStyle name="Comma 5 2 2 5 2 3 4" xfId="18527"/>
    <cellStyle name="Comma 5 2 2 5 2 3 4 2" xfId="44080"/>
    <cellStyle name="Comma 5 2 2 5 2 3 5" xfId="30017"/>
    <cellStyle name="Comma 5 2 2 5 2 4" xfId="2225"/>
    <cellStyle name="Comma 5 2 2 5 2 4 2" xfId="11590"/>
    <cellStyle name="Comma 5 2 2 5 2 4 2 2" xfId="37145"/>
    <cellStyle name="Comma 5 2 2 5 2 4 3" xfId="21594"/>
    <cellStyle name="Comma 5 2 2 5 2 4 3 2" xfId="47147"/>
    <cellStyle name="Comma 5 2 2 5 2 4 4" xfId="28077"/>
    <cellStyle name="Comma 5 2 2 5 2 5" xfId="5901"/>
    <cellStyle name="Comma 5 2 2 5 2 5 2" xfId="14728"/>
    <cellStyle name="Comma 5 2 2 5 2 5 2 2" xfId="40283"/>
    <cellStyle name="Comma 5 2 2 5 2 5 3" xfId="24979"/>
    <cellStyle name="Comma 5 2 2 5 2 5 3 2" xfId="50532"/>
    <cellStyle name="Comma 5 2 2 5 2 5 4" xfId="31462"/>
    <cellStyle name="Comma 5 2 2 5 2 6" xfId="7345"/>
    <cellStyle name="Comma 5 2 2 5 2 6 2" xfId="20076"/>
    <cellStyle name="Comma 5 2 2 5 2 6 2 2" xfId="45629"/>
    <cellStyle name="Comma 5 2 2 5 2 6 3" xfId="32902"/>
    <cellStyle name="Comma 5 2 2 5 2 7" xfId="16587"/>
    <cellStyle name="Comma 5 2 2 5 2 7 2" xfId="42140"/>
    <cellStyle name="Comma 5 2 2 5 2 8" xfId="26559"/>
    <cellStyle name="Comma 5 2 2 5 3" xfId="1230"/>
    <cellStyle name="Comma 5 2 2 5 3 2" xfId="3659"/>
    <cellStyle name="Comma 5 2 2 5 3 2 2" xfId="12795"/>
    <cellStyle name="Comma 5 2 2 5 3 2 2 2" xfId="23014"/>
    <cellStyle name="Comma 5 2 2 5 3 2 2 2 2" xfId="48567"/>
    <cellStyle name="Comma 5 2 2 5 3 2 2 3" xfId="38350"/>
    <cellStyle name="Comma 5 2 2 5 3 2 3" xfId="9216"/>
    <cellStyle name="Comma 5 2 2 5 3 2 3 2" xfId="34773"/>
    <cellStyle name="Comma 5 2 2 5 3 2 4" xfId="18007"/>
    <cellStyle name="Comma 5 2 2 5 3 2 4 2" xfId="43560"/>
    <cellStyle name="Comma 5 2 2 5 3 2 5" xfId="29497"/>
    <cellStyle name="Comma 5 2 2 5 3 3" xfId="4794"/>
    <cellStyle name="Comma 5 2 2 5 3 3 2" xfId="13631"/>
    <cellStyle name="Comma 5 2 2 5 3 3 2 2" xfId="23882"/>
    <cellStyle name="Comma 5 2 2 5 3 3 2 2 2" xfId="49435"/>
    <cellStyle name="Comma 5 2 2 5 3 3 2 3" xfId="39186"/>
    <cellStyle name="Comma 5 2 2 5 3 3 3" xfId="10052"/>
    <cellStyle name="Comma 5 2 2 5 3 3 3 2" xfId="35609"/>
    <cellStyle name="Comma 5 2 2 5 3 3 4" xfId="18875"/>
    <cellStyle name="Comma 5 2 2 5 3 3 4 2" xfId="44428"/>
    <cellStyle name="Comma 5 2 2 5 3 3 5" xfId="30365"/>
    <cellStyle name="Comma 5 2 2 5 3 4" xfId="2053"/>
    <cellStyle name="Comma 5 2 2 5 3 4 2" xfId="11418"/>
    <cellStyle name="Comma 5 2 2 5 3 4 2 2" xfId="36973"/>
    <cellStyle name="Comma 5 2 2 5 3 4 3" xfId="21422"/>
    <cellStyle name="Comma 5 2 2 5 3 4 3 2" xfId="46975"/>
    <cellStyle name="Comma 5 2 2 5 3 4 4" xfId="27905"/>
    <cellStyle name="Comma 5 2 2 5 3 5" xfId="6249"/>
    <cellStyle name="Comma 5 2 2 5 3 5 2" xfId="15076"/>
    <cellStyle name="Comma 5 2 2 5 3 5 2 2" xfId="40631"/>
    <cellStyle name="Comma 5 2 2 5 3 5 3" xfId="25327"/>
    <cellStyle name="Comma 5 2 2 5 3 5 3 2" xfId="50880"/>
    <cellStyle name="Comma 5 2 2 5 3 5 4" xfId="31810"/>
    <cellStyle name="Comma 5 2 2 5 3 6" xfId="7695"/>
    <cellStyle name="Comma 5 2 2 5 3 6 2" xfId="20613"/>
    <cellStyle name="Comma 5 2 2 5 3 6 2 2" xfId="46166"/>
    <cellStyle name="Comma 5 2 2 5 3 6 3" xfId="33252"/>
    <cellStyle name="Comma 5 2 2 5 3 7" xfId="16415"/>
    <cellStyle name="Comma 5 2 2 5 3 7 2" xfId="41968"/>
    <cellStyle name="Comma 5 2 2 5 3 8" xfId="27096"/>
    <cellStyle name="Comma 5 2 2 5 4" xfId="2944"/>
    <cellStyle name="Comma 5 2 2 5 4 2" xfId="5322"/>
    <cellStyle name="Comma 5 2 2 5 4 2 2" xfId="14159"/>
    <cellStyle name="Comma 5 2 2 5 4 2 2 2" xfId="24410"/>
    <cellStyle name="Comma 5 2 2 5 4 2 2 2 2" xfId="49963"/>
    <cellStyle name="Comma 5 2 2 5 4 2 2 3" xfId="39714"/>
    <cellStyle name="Comma 5 2 2 5 4 2 3" xfId="10580"/>
    <cellStyle name="Comma 5 2 2 5 4 2 3 2" xfId="36137"/>
    <cellStyle name="Comma 5 2 2 5 4 2 4" xfId="19403"/>
    <cellStyle name="Comma 5 2 2 5 4 2 4 2" xfId="44956"/>
    <cellStyle name="Comma 5 2 2 5 4 2 5" xfId="30893"/>
    <cellStyle name="Comma 5 2 2 5 4 3" xfId="6777"/>
    <cellStyle name="Comma 5 2 2 5 4 3 2" xfId="15604"/>
    <cellStyle name="Comma 5 2 2 5 4 3 2 2" xfId="41159"/>
    <cellStyle name="Comma 5 2 2 5 4 3 3" xfId="25855"/>
    <cellStyle name="Comma 5 2 2 5 4 3 3 2" xfId="51408"/>
    <cellStyle name="Comma 5 2 2 5 4 3 4" xfId="32338"/>
    <cellStyle name="Comma 5 2 2 5 4 4" xfId="8223"/>
    <cellStyle name="Comma 5 2 2 5 4 4 2" xfId="22305"/>
    <cellStyle name="Comma 5 2 2 5 4 4 2 2" xfId="47858"/>
    <cellStyle name="Comma 5 2 2 5 4 4 3" xfId="33780"/>
    <cellStyle name="Comma 5 2 2 5 4 5" xfId="17298"/>
    <cellStyle name="Comma 5 2 2 5 4 5 2" xfId="42851"/>
    <cellStyle name="Comma 5 2 2 5 4 6" xfId="28788"/>
    <cellStyle name="Comma 5 2 2 5 5" xfId="4278"/>
    <cellStyle name="Comma 5 2 2 5 5 2" xfId="13116"/>
    <cellStyle name="Comma 5 2 2 5 5 2 2" xfId="23367"/>
    <cellStyle name="Comma 5 2 2 5 5 2 2 2" xfId="48920"/>
    <cellStyle name="Comma 5 2 2 5 5 2 3" xfId="38671"/>
    <cellStyle name="Comma 5 2 2 5 5 3" xfId="9537"/>
    <cellStyle name="Comma 5 2 2 5 5 3 2" xfId="35094"/>
    <cellStyle name="Comma 5 2 2 5 5 4" xfId="18360"/>
    <cellStyle name="Comma 5 2 2 5 5 4 2" xfId="43913"/>
    <cellStyle name="Comma 5 2 2 5 5 5" xfId="29850"/>
    <cellStyle name="Comma 5 2 2 5 6" xfId="1550"/>
    <cellStyle name="Comma 5 2 2 5 6 2" xfId="10927"/>
    <cellStyle name="Comma 5 2 2 5 6 2 2" xfId="36482"/>
    <cellStyle name="Comma 5 2 2 5 6 3" xfId="20931"/>
    <cellStyle name="Comma 5 2 2 5 6 3 2" xfId="46484"/>
    <cellStyle name="Comma 5 2 2 5 6 4" xfId="27414"/>
    <cellStyle name="Comma 5 2 2 5 7" xfId="5734"/>
    <cellStyle name="Comma 5 2 2 5 7 2" xfId="14561"/>
    <cellStyle name="Comma 5 2 2 5 7 2 2" xfId="40116"/>
    <cellStyle name="Comma 5 2 2 5 7 3" xfId="24812"/>
    <cellStyle name="Comma 5 2 2 5 7 3 2" xfId="50365"/>
    <cellStyle name="Comma 5 2 2 5 7 4" xfId="31295"/>
    <cellStyle name="Comma 5 2 2 5 8" xfId="7178"/>
    <cellStyle name="Comma 5 2 2 5 8 2" xfId="19904"/>
    <cellStyle name="Comma 5 2 2 5 8 2 2" xfId="45457"/>
    <cellStyle name="Comma 5 2 2 5 8 3" xfId="32735"/>
    <cellStyle name="Comma 5 2 2 5 9" xfId="15924"/>
    <cellStyle name="Comma 5 2 2 5 9 2" xfId="41477"/>
    <cellStyle name="Comma 5 2 2 6" xfId="331"/>
    <cellStyle name="Comma 5 2 2 6 10" xfId="26260"/>
    <cellStyle name="Comma 5 2 2 6 2" xfId="631"/>
    <cellStyle name="Comma 5 2 2 6 2 2" xfId="3117"/>
    <cellStyle name="Comma 5 2 2 6 2 2 2" xfId="12260"/>
    <cellStyle name="Comma 5 2 2 6 2 2 2 2" xfId="22478"/>
    <cellStyle name="Comma 5 2 2 6 2 2 2 2 2" xfId="48031"/>
    <cellStyle name="Comma 5 2 2 6 2 2 2 3" xfId="37815"/>
    <cellStyle name="Comma 5 2 2 6 2 2 3" xfId="8682"/>
    <cellStyle name="Comma 5 2 2 6 2 2 3 2" xfId="34239"/>
    <cellStyle name="Comma 5 2 2 6 2 2 4" xfId="17471"/>
    <cellStyle name="Comma 5 2 2 6 2 2 4 2" xfId="43024"/>
    <cellStyle name="Comma 5 2 2 6 2 2 5" xfId="28961"/>
    <cellStyle name="Comma 5 2 2 6 2 3" xfId="4446"/>
    <cellStyle name="Comma 5 2 2 6 2 3 2" xfId="13284"/>
    <cellStyle name="Comma 5 2 2 6 2 3 2 2" xfId="23535"/>
    <cellStyle name="Comma 5 2 2 6 2 3 2 2 2" xfId="49088"/>
    <cellStyle name="Comma 5 2 2 6 2 3 2 3" xfId="38839"/>
    <cellStyle name="Comma 5 2 2 6 2 3 3" xfId="9705"/>
    <cellStyle name="Comma 5 2 2 6 2 3 3 2" xfId="35262"/>
    <cellStyle name="Comma 5 2 2 6 2 3 4" xfId="18528"/>
    <cellStyle name="Comma 5 2 2 6 2 3 4 2" xfId="44081"/>
    <cellStyle name="Comma 5 2 2 6 2 3 5" xfId="30018"/>
    <cellStyle name="Comma 5 2 2 6 2 4" xfId="2226"/>
    <cellStyle name="Comma 5 2 2 6 2 4 2" xfId="11591"/>
    <cellStyle name="Comma 5 2 2 6 2 4 2 2" xfId="37146"/>
    <cellStyle name="Comma 5 2 2 6 2 4 3" xfId="21595"/>
    <cellStyle name="Comma 5 2 2 6 2 4 3 2" xfId="47148"/>
    <cellStyle name="Comma 5 2 2 6 2 4 4" xfId="28078"/>
    <cellStyle name="Comma 5 2 2 6 2 5" xfId="5902"/>
    <cellStyle name="Comma 5 2 2 6 2 5 2" xfId="14729"/>
    <cellStyle name="Comma 5 2 2 6 2 5 2 2" xfId="40284"/>
    <cellStyle name="Comma 5 2 2 6 2 5 3" xfId="24980"/>
    <cellStyle name="Comma 5 2 2 6 2 5 3 2" xfId="50533"/>
    <cellStyle name="Comma 5 2 2 6 2 5 4" xfId="31463"/>
    <cellStyle name="Comma 5 2 2 6 2 6" xfId="7346"/>
    <cellStyle name="Comma 5 2 2 6 2 6 2" xfId="20077"/>
    <cellStyle name="Comma 5 2 2 6 2 6 2 2" xfId="45630"/>
    <cellStyle name="Comma 5 2 2 6 2 6 3" xfId="32903"/>
    <cellStyle name="Comma 5 2 2 6 2 7" xfId="16588"/>
    <cellStyle name="Comma 5 2 2 6 2 7 2" xfId="42141"/>
    <cellStyle name="Comma 5 2 2 6 2 8" xfId="26560"/>
    <cellStyle name="Comma 5 2 2 6 3" xfId="1103"/>
    <cellStyle name="Comma 5 2 2 6 3 2" xfId="3532"/>
    <cellStyle name="Comma 5 2 2 6 3 2 2" xfId="12668"/>
    <cellStyle name="Comma 5 2 2 6 3 2 2 2" xfId="22887"/>
    <cellStyle name="Comma 5 2 2 6 3 2 2 2 2" xfId="48440"/>
    <cellStyle name="Comma 5 2 2 6 3 2 2 3" xfId="38223"/>
    <cellStyle name="Comma 5 2 2 6 3 2 3" xfId="9089"/>
    <cellStyle name="Comma 5 2 2 6 3 2 3 2" xfId="34646"/>
    <cellStyle name="Comma 5 2 2 6 3 2 4" xfId="17880"/>
    <cellStyle name="Comma 5 2 2 6 3 2 4 2" xfId="43433"/>
    <cellStyle name="Comma 5 2 2 6 3 2 5" xfId="29370"/>
    <cellStyle name="Comma 5 2 2 6 3 3" xfId="4795"/>
    <cellStyle name="Comma 5 2 2 6 3 3 2" xfId="13632"/>
    <cellStyle name="Comma 5 2 2 6 3 3 2 2" xfId="23883"/>
    <cellStyle name="Comma 5 2 2 6 3 3 2 2 2" xfId="49436"/>
    <cellStyle name="Comma 5 2 2 6 3 3 2 3" xfId="39187"/>
    <cellStyle name="Comma 5 2 2 6 3 3 3" xfId="10053"/>
    <cellStyle name="Comma 5 2 2 6 3 3 3 2" xfId="35610"/>
    <cellStyle name="Comma 5 2 2 6 3 3 4" xfId="18876"/>
    <cellStyle name="Comma 5 2 2 6 3 3 4 2" xfId="44429"/>
    <cellStyle name="Comma 5 2 2 6 3 3 5" xfId="30366"/>
    <cellStyle name="Comma 5 2 2 6 3 4" xfId="2574"/>
    <cellStyle name="Comma 5 2 2 6 3 4 2" xfId="11938"/>
    <cellStyle name="Comma 5 2 2 6 3 4 2 2" xfId="37493"/>
    <cellStyle name="Comma 5 2 2 6 3 4 3" xfId="21942"/>
    <cellStyle name="Comma 5 2 2 6 3 4 3 2" xfId="47495"/>
    <cellStyle name="Comma 5 2 2 6 3 4 4" xfId="28425"/>
    <cellStyle name="Comma 5 2 2 6 3 5" xfId="6250"/>
    <cellStyle name="Comma 5 2 2 6 3 5 2" xfId="15077"/>
    <cellStyle name="Comma 5 2 2 6 3 5 2 2" xfId="40632"/>
    <cellStyle name="Comma 5 2 2 6 3 5 3" xfId="25328"/>
    <cellStyle name="Comma 5 2 2 6 3 5 3 2" xfId="50881"/>
    <cellStyle name="Comma 5 2 2 6 3 5 4" xfId="31811"/>
    <cellStyle name="Comma 5 2 2 6 3 6" xfId="7696"/>
    <cellStyle name="Comma 5 2 2 6 3 6 2" xfId="20486"/>
    <cellStyle name="Comma 5 2 2 6 3 6 2 2" xfId="46039"/>
    <cellStyle name="Comma 5 2 2 6 3 6 3" xfId="33253"/>
    <cellStyle name="Comma 5 2 2 6 3 7" xfId="16935"/>
    <cellStyle name="Comma 5 2 2 6 3 7 2" xfId="42488"/>
    <cellStyle name="Comma 5 2 2 6 3 8" xfId="26969"/>
    <cellStyle name="Comma 5 2 2 6 4" xfId="2817"/>
    <cellStyle name="Comma 5 2 2 6 4 2" xfId="5195"/>
    <cellStyle name="Comma 5 2 2 6 4 2 2" xfId="14032"/>
    <cellStyle name="Comma 5 2 2 6 4 2 2 2" xfId="24283"/>
    <cellStyle name="Comma 5 2 2 6 4 2 2 2 2" xfId="49836"/>
    <cellStyle name="Comma 5 2 2 6 4 2 2 3" xfId="39587"/>
    <cellStyle name="Comma 5 2 2 6 4 2 3" xfId="10453"/>
    <cellStyle name="Comma 5 2 2 6 4 2 3 2" xfId="36010"/>
    <cellStyle name="Comma 5 2 2 6 4 2 4" xfId="19276"/>
    <cellStyle name="Comma 5 2 2 6 4 2 4 2" xfId="44829"/>
    <cellStyle name="Comma 5 2 2 6 4 2 5" xfId="30766"/>
    <cellStyle name="Comma 5 2 2 6 4 3" xfId="6650"/>
    <cellStyle name="Comma 5 2 2 6 4 3 2" xfId="15477"/>
    <cellStyle name="Comma 5 2 2 6 4 3 2 2" xfId="41032"/>
    <cellStyle name="Comma 5 2 2 6 4 3 3" xfId="25728"/>
    <cellStyle name="Comma 5 2 2 6 4 3 3 2" xfId="51281"/>
    <cellStyle name="Comma 5 2 2 6 4 3 4" xfId="32211"/>
    <cellStyle name="Comma 5 2 2 6 4 4" xfId="8096"/>
    <cellStyle name="Comma 5 2 2 6 4 4 2" xfId="22178"/>
    <cellStyle name="Comma 5 2 2 6 4 4 2 2" xfId="47731"/>
    <cellStyle name="Comma 5 2 2 6 4 4 3" xfId="33653"/>
    <cellStyle name="Comma 5 2 2 6 4 5" xfId="17171"/>
    <cellStyle name="Comma 5 2 2 6 4 5 2" xfId="42724"/>
    <cellStyle name="Comma 5 2 2 6 4 6" xfId="28661"/>
    <cellStyle name="Comma 5 2 2 6 5" xfId="4149"/>
    <cellStyle name="Comma 5 2 2 6 5 2" xfId="12987"/>
    <cellStyle name="Comma 5 2 2 6 5 2 2" xfId="23238"/>
    <cellStyle name="Comma 5 2 2 6 5 2 2 2" xfId="48791"/>
    <cellStyle name="Comma 5 2 2 6 5 2 3" xfId="38542"/>
    <cellStyle name="Comma 5 2 2 6 5 3" xfId="9408"/>
    <cellStyle name="Comma 5 2 2 6 5 3 2" xfId="34965"/>
    <cellStyle name="Comma 5 2 2 6 5 4" xfId="18231"/>
    <cellStyle name="Comma 5 2 2 6 5 4 2" xfId="43784"/>
    <cellStyle name="Comma 5 2 2 6 5 5" xfId="29721"/>
    <cellStyle name="Comma 5 2 2 6 6" xfId="1926"/>
    <cellStyle name="Comma 5 2 2 6 6 2" xfId="11291"/>
    <cellStyle name="Comma 5 2 2 6 6 2 2" xfId="36846"/>
    <cellStyle name="Comma 5 2 2 6 6 3" xfId="21295"/>
    <cellStyle name="Comma 5 2 2 6 6 3 2" xfId="46848"/>
    <cellStyle name="Comma 5 2 2 6 6 4" xfId="27778"/>
    <cellStyle name="Comma 5 2 2 6 7" xfId="5607"/>
    <cellStyle name="Comma 5 2 2 6 7 2" xfId="14434"/>
    <cellStyle name="Comma 5 2 2 6 7 2 2" xfId="39989"/>
    <cellStyle name="Comma 5 2 2 6 7 3" xfId="24685"/>
    <cellStyle name="Comma 5 2 2 6 7 3 2" xfId="50238"/>
    <cellStyle name="Comma 5 2 2 6 7 4" xfId="31168"/>
    <cellStyle name="Comma 5 2 2 6 8" xfId="7051"/>
    <cellStyle name="Comma 5 2 2 6 8 2" xfId="19777"/>
    <cellStyle name="Comma 5 2 2 6 8 2 2" xfId="45330"/>
    <cellStyle name="Comma 5 2 2 6 8 3" xfId="32608"/>
    <cellStyle name="Comma 5 2 2 6 9" xfId="16288"/>
    <cellStyle name="Comma 5 2 2 6 9 2" xfId="41841"/>
    <cellStyle name="Comma 5 2 2 7" xfId="622"/>
    <cellStyle name="Comma 5 2 2 7 2" xfId="3108"/>
    <cellStyle name="Comma 5 2 2 7 2 2" xfId="12251"/>
    <cellStyle name="Comma 5 2 2 7 2 2 2" xfId="22469"/>
    <cellStyle name="Comma 5 2 2 7 2 2 2 2" xfId="48022"/>
    <cellStyle name="Comma 5 2 2 7 2 2 3" xfId="37806"/>
    <cellStyle name="Comma 5 2 2 7 2 3" xfId="8673"/>
    <cellStyle name="Comma 5 2 2 7 2 3 2" xfId="34230"/>
    <cellStyle name="Comma 5 2 2 7 2 4" xfId="17462"/>
    <cellStyle name="Comma 5 2 2 7 2 4 2" xfId="43015"/>
    <cellStyle name="Comma 5 2 2 7 2 5" xfId="28952"/>
    <cellStyle name="Comma 5 2 2 7 3" xfId="4437"/>
    <cellStyle name="Comma 5 2 2 7 3 2" xfId="13275"/>
    <cellStyle name="Comma 5 2 2 7 3 2 2" xfId="23526"/>
    <cellStyle name="Comma 5 2 2 7 3 2 2 2" xfId="49079"/>
    <cellStyle name="Comma 5 2 2 7 3 2 3" xfId="38830"/>
    <cellStyle name="Comma 5 2 2 7 3 3" xfId="9696"/>
    <cellStyle name="Comma 5 2 2 7 3 3 2" xfId="35253"/>
    <cellStyle name="Comma 5 2 2 7 3 4" xfId="18519"/>
    <cellStyle name="Comma 5 2 2 7 3 4 2" xfId="44072"/>
    <cellStyle name="Comma 5 2 2 7 3 5" xfId="30009"/>
    <cellStyle name="Comma 5 2 2 7 4" xfId="2217"/>
    <cellStyle name="Comma 5 2 2 7 4 2" xfId="11582"/>
    <cellStyle name="Comma 5 2 2 7 4 2 2" xfId="37137"/>
    <cellStyle name="Comma 5 2 2 7 4 3" xfId="21586"/>
    <cellStyle name="Comma 5 2 2 7 4 3 2" xfId="47139"/>
    <cellStyle name="Comma 5 2 2 7 4 4" xfId="28069"/>
    <cellStyle name="Comma 5 2 2 7 5" xfId="5893"/>
    <cellStyle name="Comma 5 2 2 7 5 2" xfId="14720"/>
    <cellStyle name="Comma 5 2 2 7 5 2 2" xfId="40275"/>
    <cellStyle name="Comma 5 2 2 7 5 3" xfId="24971"/>
    <cellStyle name="Comma 5 2 2 7 5 3 2" xfId="50524"/>
    <cellStyle name="Comma 5 2 2 7 5 4" xfId="31454"/>
    <cellStyle name="Comma 5 2 2 7 6" xfId="7337"/>
    <cellStyle name="Comma 5 2 2 7 6 2" xfId="20068"/>
    <cellStyle name="Comma 5 2 2 7 6 2 2" xfId="45621"/>
    <cellStyle name="Comma 5 2 2 7 6 3" xfId="32894"/>
    <cellStyle name="Comma 5 2 2 7 7" xfId="16579"/>
    <cellStyle name="Comma 5 2 2 7 7 2" xfId="42132"/>
    <cellStyle name="Comma 5 2 2 7 8" xfId="26551"/>
    <cellStyle name="Comma 5 2 2 8" xfId="1058"/>
    <cellStyle name="Comma 5 2 2 8 2" xfId="3487"/>
    <cellStyle name="Comma 5 2 2 8 2 2" xfId="12623"/>
    <cellStyle name="Comma 5 2 2 8 2 2 2" xfId="22842"/>
    <cellStyle name="Comma 5 2 2 8 2 2 2 2" xfId="48395"/>
    <cellStyle name="Comma 5 2 2 8 2 2 3" xfId="38178"/>
    <cellStyle name="Comma 5 2 2 8 2 3" xfId="9045"/>
    <cellStyle name="Comma 5 2 2 8 2 3 2" xfId="34602"/>
    <cellStyle name="Comma 5 2 2 8 2 4" xfId="17835"/>
    <cellStyle name="Comma 5 2 2 8 2 4 2" xfId="43388"/>
    <cellStyle name="Comma 5 2 2 8 2 5" xfId="29325"/>
    <cellStyle name="Comma 5 2 2 8 3" xfId="4786"/>
    <cellStyle name="Comma 5 2 2 8 3 2" xfId="13623"/>
    <cellStyle name="Comma 5 2 2 8 3 2 2" xfId="23874"/>
    <cellStyle name="Comma 5 2 2 8 3 2 2 2" xfId="49427"/>
    <cellStyle name="Comma 5 2 2 8 3 2 3" xfId="39178"/>
    <cellStyle name="Comma 5 2 2 8 3 3" xfId="10044"/>
    <cellStyle name="Comma 5 2 2 8 3 3 2" xfId="35601"/>
    <cellStyle name="Comma 5 2 2 8 3 4" xfId="18867"/>
    <cellStyle name="Comma 5 2 2 8 3 4 2" xfId="44420"/>
    <cellStyle name="Comma 5 2 2 8 3 5" xfId="30357"/>
    <cellStyle name="Comma 5 2 2 8 4" xfId="1726"/>
    <cellStyle name="Comma 5 2 2 8 4 2" xfId="11100"/>
    <cellStyle name="Comma 5 2 2 8 4 2 2" xfId="36655"/>
    <cellStyle name="Comma 5 2 2 8 4 3" xfId="21104"/>
    <cellStyle name="Comma 5 2 2 8 4 3 2" xfId="46657"/>
    <cellStyle name="Comma 5 2 2 8 4 4" xfId="27587"/>
    <cellStyle name="Comma 5 2 2 8 5" xfId="6241"/>
    <cellStyle name="Comma 5 2 2 8 5 2" xfId="15068"/>
    <cellStyle name="Comma 5 2 2 8 5 2 2" xfId="40623"/>
    <cellStyle name="Comma 5 2 2 8 5 3" xfId="25319"/>
    <cellStyle name="Comma 5 2 2 8 5 3 2" xfId="50872"/>
    <cellStyle name="Comma 5 2 2 8 5 4" xfId="31802"/>
    <cellStyle name="Comma 5 2 2 8 6" xfId="7687"/>
    <cellStyle name="Comma 5 2 2 8 6 2" xfId="20441"/>
    <cellStyle name="Comma 5 2 2 8 6 2 2" xfId="45994"/>
    <cellStyle name="Comma 5 2 2 8 6 3" xfId="33244"/>
    <cellStyle name="Comma 5 2 2 8 7" xfId="16097"/>
    <cellStyle name="Comma 5 2 2 8 7 2" xfId="41650"/>
    <cellStyle name="Comma 5 2 2 8 8" xfId="26924"/>
    <cellStyle name="Comma 5 2 2 9" xfId="2624"/>
    <cellStyle name="Comma 5 2 2 9 2" xfId="5150"/>
    <cellStyle name="Comma 5 2 2 9 2 2" xfId="13987"/>
    <cellStyle name="Comma 5 2 2 9 2 2 2" xfId="24238"/>
    <cellStyle name="Comma 5 2 2 9 2 2 2 2" xfId="49791"/>
    <cellStyle name="Comma 5 2 2 9 2 2 3" xfId="39542"/>
    <cellStyle name="Comma 5 2 2 9 2 3" xfId="10408"/>
    <cellStyle name="Comma 5 2 2 9 2 3 2" xfId="35965"/>
    <cellStyle name="Comma 5 2 2 9 2 4" xfId="19231"/>
    <cellStyle name="Comma 5 2 2 9 2 4 2" xfId="44784"/>
    <cellStyle name="Comma 5 2 2 9 2 5" xfId="30721"/>
    <cellStyle name="Comma 5 2 2 9 3" xfId="6605"/>
    <cellStyle name="Comma 5 2 2 9 3 2" xfId="15432"/>
    <cellStyle name="Comma 5 2 2 9 3 2 2" xfId="40987"/>
    <cellStyle name="Comma 5 2 2 9 3 3" xfId="25683"/>
    <cellStyle name="Comma 5 2 2 9 3 3 2" xfId="51236"/>
    <cellStyle name="Comma 5 2 2 9 3 4" xfId="32166"/>
    <cellStyle name="Comma 5 2 2 9 4" xfId="8051"/>
    <cellStyle name="Comma 5 2 2 9 4 2" xfId="21987"/>
    <cellStyle name="Comma 5 2 2 9 4 2 2" xfId="47540"/>
    <cellStyle name="Comma 5 2 2 9 4 3" xfId="33608"/>
    <cellStyle name="Comma 5 2 2 9 5" xfId="16980"/>
    <cellStyle name="Comma 5 2 2 9 5 2" xfId="42533"/>
    <cellStyle name="Comma 5 2 2 9 6" xfId="28470"/>
    <cellStyle name="Comma 5 2 3" xfId="126"/>
    <cellStyle name="Comma 5 2 3 10" xfId="4112"/>
    <cellStyle name="Comma 5 2 3 10 2" xfId="5570"/>
    <cellStyle name="Comma 5 2 3 10 2 2" xfId="14397"/>
    <cellStyle name="Comma 5 2 3 10 2 2 2" xfId="39952"/>
    <cellStyle name="Comma 5 2 3 10 2 3" xfId="24648"/>
    <cellStyle name="Comma 5 2 3 10 2 3 2" xfId="50201"/>
    <cellStyle name="Comma 5 2 3 10 2 4" xfId="31131"/>
    <cellStyle name="Comma 5 2 3 10 3" xfId="7014"/>
    <cellStyle name="Comma 5 2 3 10 3 2" xfId="23201"/>
    <cellStyle name="Comma 5 2 3 10 3 2 2" xfId="48754"/>
    <cellStyle name="Comma 5 2 3 10 3 3" xfId="32571"/>
    <cellStyle name="Comma 5 2 3 10 4" xfId="18194"/>
    <cellStyle name="Comma 5 2 3 10 4 2" xfId="43747"/>
    <cellStyle name="Comma 5 2 3 10 5" xfId="29684"/>
    <cellStyle name="Comma 5 2 3 11" xfId="1431"/>
    <cellStyle name="Comma 5 2 3 11 2" xfId="10808"/>
    <cellStyle name="Comma 5 2 3 11 2 2" xfId="36363"/>
    <cellStyle name="Comma 5 2 3 11 3" xfId="20812"/>
    <cellStyle name="Comma 5 2 3 11 3 2" xfId="46365"/>
    <cellStyle name="Comma 5 2 3 11 4" xfId="27295"/>
    <cellStyle name="Comma 5 2 3 12" xfId="5540"/>
    <cellStyle name="Comma 5 2 3 12 2" xfId="14367"/>
    <cellStyle name="Comma 5 2 3 12 2 2" xfId="39922"/>
    <cellStyle name="Comma 5 2 3 12 3" xfId="24618"/>
    <cellStyle name="Comma 5 2 3 12 3 2" xfId="50171"/>
    <cellStyle name="Comma 5 2 3 12 4" xfId="31101"/>
    <cellStyle name="Comma 5 2 3 13" xfId="6984"/>
    <cellStyle name="Comma 5 2 3 13 2" xfId="19593"/>
    <cellStyle name="Comma 5 2 3 13 2 2" xfId="45146"/>
    <cellStyle name="Comma 5 2 3 13 3" xfId="32541"/>
    <cellStyle name="Comma 5 2 3 14" xfId="15805"/>
    <cellStyle name="Comma 5 2 3 14 2" xfId="41358"/>
    <cellStyle name="Comma 5 2 3 15" xfId="26076"/>
    <cellStyle name="Comma 5 2 3 2" xfId="166"/>
    <cellStyle name="Comma 5 2 3 2 10" xfId="5672"/>
    <cellStyle name="Comma 5 2 3 2 10 2" xfId="14499"/>
    <cellStyle name="Comma 5 2 3 2 10 2 2" xfId="40054"/>
    <cellStyle name="Comma 5 2 3 2 10 3" xfId="24750"/>
    <cellStyle name="Comma 5 2 3 2 10 3 2" xfId="50303"/>
    <cellStyle name="Comma 5 2 3 2 10 4" xfId="31233"/>
    <cellStyle name="Comma 5 2 3 2 11" xfId="7116"/>
    <cellStyle name="Comma 5 2 3 2 11 2" xfId="19625"/>
    <cellStyle name="Comma 5 2 3 2 11 2 2" xfId="45178"/>
    <cellStyle name="Comma 5 2 3 2 11 3" xfId="32673"/>
    <cellStyle name="Comma 5 2 3 2 12" xfId="15862"/>
    <cellStyle name="Comma 5 2 3 2 12 2" xfId="41415"/>
    <cellStyle name="Comma 5 2 3 2 13" xfId="26108"/>
    <cellStyle name="Comma 5 2 3 2 2" xfId="278"/>
    <cellStyle name="Comma 5 2 3 2 2 10" xfId="16066"/>
    <cellStyle name="Comma 5 2 3 2 2 10 2" xfId="41619"/>
    <cellStyle name="Comma 5 2 3 2 2 11" xfId="26212"/>
    <cellStyle name="Comma 5 2 3 2 2 2" xfId="600"/>
    <cellStyle name="Comma 5 2 3 2 2 2 2" xfId="3086"/>
    <cellStyle name="Comma 5 2 3 2 2 2 2 2" xfId="12229"/>
    <cellStyle name="Comma 5 2 3 2 2 2 2 2 2" xfId="22447"/>
    <cellStyle name="Comma 5 2 3 2 2 2 2 2 2 2" xfId="48000"/>
    <cellStyle name="Comma 5 2 3 2 2 2 2 2 3" xfId="37784"/>
    <cellStyle name="Comma 5 2 3 2 2 2 2 3" xfId="8651"/>
    <cellStyle name="Comma 5 2 3 2 2 2 2 3 2" xfId="34208"/>
    <cellStyle name="Comma 5 2 3 2 2 2 2 4" xfId="17440"/>
    <cellStyle name="Comma 5 2 3 2 2 2 2 4 2" xfId="42993"/>
    <cellStyle name="Comma 5 2 3 2 2 2 2 5" xfId="28930"/>
    <cellStyle name="Comma 5 2 3 2 2 2 3" xfId="4449"/>
    <cellStyle name="Comma 5 2 3 2 2 2 3 2" xfId="13287"/>
    <cellStyle name="Comma 5 2 3 2 2 2 3 2 2" xfId="23538"/>
    <cellStyle name="Comma 5 2 3 2 2 2 3 2 2 2" xfId="49091"/>
    <cellStyle name="Comma 5 2 3 2 2 2 3 2 3" xfId="38842"/>
    <cellStyle name="Comma 5 2 3 2 2 2 3 3" xfId="9708"/>
    <cellStyle name="Comma 5 2 3 2 2 2 3 3 2" xfId="35265"/>
    <cellStyle name="Comma 5 2 3 2 2 2 3 4" xfId="18531"/>
    <cellStyle name="Comma 5 2 3 2 2 2 3 4 2" xfId="44084"/>
    <cellStyle name="Comma 5 2 3 2 2 2 3 5" xfId="30021"/>
    <cellStyle name="Comma 5 2 3 2 2 2 4" xfId="2195"/>
    <cellStyle name="Comma 5 2 3 2 2 2 4 2" xfId="11560"/>
    <cellStyle name="Comma 5 2 3 2 2 2 4 2 2" xfId="37115"/>
    <cellStyle name="Comma 5 2 3 2 2 2 4 3" xfId="21564"/>
    <cellStyle name="Comma 5 2 3 2 2 2 4 3 2" xfId="47117"/>
    <cellStyle name="Comma 5 2 3 2 2 2 4 4" xfId="28047"/>
    <cellStyle name="Comma 5 2 3 2 2 2 5" xfId="5905"/>
    <cellStyle name="Comma 5 2 3 2 2 2 5 2" xfId="14732"/>
    <cellStyle name="Comma 5 2 3 2 2 2 5 2 2" xfId="40287"/>
    <cellStyle name="Comma 5 2 3 2 2 2 5 3" xfId="24983"/>
    <cellStyle name="Comma 5 2 3 2 2 2 5 3 2" xfId="50536"/>
    <cellStyle name="Comma 5 2 3 2 2 2 5 4" xfId="31466"/>
    <cellStyle name="Comma 5 2 3 2 2 2 6" xfId="7349"/>
    <cellStyle name="Comma 5 2 3 2 2 2 6 2" xfId="20046"/>
    <cellStyle name="Comma 5 2 3 2 2 2 6 2 2" xfId="45599"/>
    <cellStyle name="Comma 5 2 3 2 2 2 6 3" xfId="32906"/>
    <cellStyle name="Comma 5 2 3 2 2 2 7" xfId="16557"/>
    <cellStyle name="Comma 5 2 3 2 2 2 7 2" xfId="42110"/>
    <cellStyle name="Comma 5 2 3 2 2 2 8" xfId="26529"/>
    <cellStyle name="Comma 5 2 3 2 2 3" xfId="634"/>
    <cellStyle name="Comma 5 2 3 2 2 3 2" xfId="3120"/>
    <cellStyle name="Comma 5 2 3 2 2 3 2 2" xfId="12263"/>
    <cellStyle name="Comma 5 2 3 2 2 3 2 2 2" xfId="22481"/>
    <cellStyle name="Comma 5 2 3 2 2 3 2 2 2 2" xfId="48034"/>
    <cellStyle name="Comma 5 2 3 2 2 3 2 2 3" xfId="37818"/>
    <cellStyle name="Comma 5 2 3 2 2 3 2 3" xfId="8685"/>
    <cellStyle name="Comma 5 2 3 2 2 3 2 3 2" xfId="34242"/>
    <cellStyle name="Comma 5 2 3 2 2 3 2 4" xfId="17474"/>
    <cellStyle name="Comma 5 2 3 2 2 3 2 4 2" xfId="43027"/>
    <cellStyle name="Comma 5 2 3 2 2 3 2 5" xfId="28964"/>
    <cellStyle name="Comma 5 2 3 2 2 3 3" xfId="4798"/>
    <cellStyle name="Comma 5 2 3 2 2 3 3 2" xfId="13635"/>
    <cellStyle name="Comma 5 2 3 2 2 3 3 2 2" xfId="23886"/>
    <cellStyle name="Comma 5 2 3 2 2 3 3 2 2 2" xfId="49439"/>
    <cellStyle name="Comma 5 2 3 2 2 3 3 2 3" xfId="39190"/>
    <cellStyle name="Comma 5 2 3 2 2 3 3 3" xfId="10056"/>
    <cellStyle name="Comma 5 2 3 2 2 3 3 3 2" xfId="35613"/>
    <cellStyle name="Comma 5 2 3 2 2 3 3 4" xfId="18879"/>
    <cellStyle name="Comma 5 2 3 2 2 3 3 4 2" xfId="44432"/>
    <cellStyle name="Comma 5 2 3 2 2 3 3 5" xfId="30369"/>
    <cellStyle name="Comma 5 2 3 2 2 3 4" xfId="2229"/>
    <cellStyle name="Comma 5 2 3 2 2 3 4 2" xfId="11594"/>
    <cellStyle name="Comma 5 2 3 2 2 3 4 2 2" xfId="37149"/>
    <cellStyle name="Comma 5 2 3 2 2 3 4 3" xfId="21598"/>
    <cellStyle name="Comma 5 2 3 2 2 3 4 3 2" xfId="47151"/>
    <cellStyle name="Comma 5 2 3 2 2 3 4 4" xfId="28081"/>
    <cellStyle name="Comma 5 2 3 2 2 3 5" xfId="6253"/>
    <cellStyle name="Comma 5 2 3 2 2 3 5 2" xfId="15080"/>
    <cellStyle name="Comma 5 2 3 2 2 3 5 2 2" xfId="40635"/>
    <cellStyle name="Comma 5 2 3 2 2 3 5 3" xfId="25331"/>
    <cellStyle name="Comma 5 2 3 2 2 3 5 3 2" xfId="50884"/>
    <cellStyle name="Comma 5 2 3 2 2 3 5 4" xfId="31814"/>
    <cellStyle name="Comma 5 2 3 2 2 3 6" xfId="7699"/>
    <cellStyle name="Comma 5 2 3 2 2 3 6 2" xfId="20080"/>
    <cellStyle name="Comma 5 2 3 2 2 3 6 2 2" xfId="45633"/>
    <cellStyle name="Comma 5 2 3 2 2 3 6 3" xfId="33256"/>
    <cellStyle name="Comma 5 2 3 2 2 3 7" xfId="16591"/>
    <cellStyle name="Comma 5 2 3 2 2 3 7 2" xfId="42144"/>
    <cellStyle name="Comma 5 2 3 2 2 3 8" xfId="26563"/>
    <cellStyle name="Comma 5 2 3 2 2 4" xfId="1372"/>
    <cellStyle name="Comma 5 2 3 2 2 4 2" xfId="3801"/>
    <cellStyle name="Comma 5 2 3 2 2 4 2 2" xfId="12937"/>
    <cellStyle name="Comma 5 2 3 2 2 4 2 2 2" xfId="23156"/>
    <cellStyle name="Comma 5 2 3 2 2 4 2 2 2 2" xfId="48709"/>
    <cellStyle name="Comma 5 2 3 2 2 4 2 2 3" xfId="38492"/>
    <cellStyle name="Comma 5 2 3 2 2 4 2 3" xfId="9358"/>
    <cellStyle name="Comma 5 2 3 2 2 4 2 3 2" xfId="34915"/>
    <cellStyle name="Comma 5 2 3 2 2 4 2 4" xfId="18149"/>
    <cellStyle name="Comma 5 2 3 2 2 4 2 4 2" xfId="43702"/>
    <cellStyle name="Comma 5 2 3 2 2 4 2 5" xfId="29639"/>
    <cellStyle name="Comma 5 2 3 2 2 4 3" xfId="5464"/>
    <cellStyle name="Comma 5 2 3 2 2 4 3 2" xfId="14301"/>
    <cellStyle name="Comma 5 2 3 2 2 4 3 2 2" xfId="24552"/>
    <cellStyle name="Comma 5 2 3 2 2 4 3 2 2 2" xfId="50105"/>
    <cellStyle name="Comma 5 2 3 2 2 4 3 2 3" xfId="39856"/>
    <cellStyle name="Comma 5 2 3 2 2 4 3 3" xfId="10722"/>
    <cellStyle name="Comma 5 2 3 2 2 4 3 3 2" xfId="36279"/>
    <cellStyle name="Comma 5 2 3 2 2 4 3 4" xfId="19545"/>
    <cellStyle name="Comma 5 2 3 2 2 4 3 4 2" xfId="45098"/>
    <cellStyle name="Comma 5 2 3 2 2 4 3 5" xfId="31035"/>
    <cellStyle name="Comma 5 2 3 2 2 4 4" xfId="1875"/>
    <cellStyle name="Comma 5 2 3 2 2 4 4 2" xfId="11243"/>
    <cellStyle name="Comma 5 2 3 2 2 4 4 2 2" xfId="36798"/>
    <cellStyle name="Comma 5 2 3 2 2 4 4 3" xfId="21247"/>
    <cellStyle name="Comma 5 2 3 2 2 4 4 3 2" xfId="46800"/>
    <cellStyle name="Comma 5 2 3 2 2 4 4 4" xfId="27730"/>
    <cellStyle name="Comma 5 2 3 2 2 4 5" xfId="6919"/>
    <cellStyle name="Comma 5 2 3 2 2 4 5 2" xfId="15746"/>
    <cellStyle name="Comma 5 2 3 2 2 4 5 2 2" xfId="41301"/>
    <cellStyle name="Comma 5 2 3 2 2 4 5 3" xfId="25997"/>
    <cellStyle name="Comma 5 2 3 2 2 4 5 3 2" xfId="51550"/>
    <cellStyle name="Comma 5 2 3 2 2 4 5 4" xfId="32480"/>
    <cellStyle name="Comma 5 2 3 2 2 4 6" xfId="8365"/>
    <cellStyle name="Comma 5 2 3 2 2 4 6 2" xfId="20755"/>
    <cellStyle name="Comma 5 2 3 2 2 4 6 2 2" xfId="46308"/>
    <cellStyle name="Comma 5 2 3 2 2 4 6 3" xfId="33922"/>
    <cellStyle name="Comma 5 2 3 2 2 4 7" xfId="16240"/>
    <cellStyle name="Comma 5 2 3 2 2 4 7 2" xfId="41793"/>
    <cellStyle name="Comma 5 2 3 2 2 4 8" xfId="27238"/>
    <cellStyle name="Comma 5 2 3 2 2 5" xfId="2769"/>
    <cellStyle name="Comma 5 2 3 2 2 5 2" xfId="12086"/>
    <cellStyle name="Comma 5 2 3 2 2 5 2 2" xfId="22130"/>
    <cellStyle name="Comma 5 2 3 2 2 5 2 2 2" xfId="47683"/>
    <cellStyle name="Comma 5 2 3 2 2 5 2 3" xfId="37641"/>
    <cellStyle name="Comma 5 2 3 2 2 5 3" xfId="8631"/>
    <cellStyle name="Comma 5 2 3 2 2 5 3 2" xfId="34188"/>
    <cellStyle name="Comma 5 2 3 2 2 5 4" xfId="17123"/>
    <cellStyle name="Comma 5 2 3 2 2 5 4 2" xfId="42676"/>
    <cellStyle name="Comma 5 2 3 2 2 5 5" xfId="28613"/>
    <cellStyle name="Comma 5 2 3 2 2 6" xfId="4420"/>
    <cellStyle name="Comma 5 2 3 2 2 6 2" xfId="13258"/>
    <cellStyle name="Comma 5 2 3 2 2 6 2 2" xfId="23509"/>
    <cellStyle name="Comma 5 2 3 2 2 6 2 2 2" xfId="49062"/>
    <cellStyle name="Comma 5 2 3 2 2 6 2 3" xfId="38813"/>
    <cellStyle name="Comma 5 2 3 2 2 6 3" xfId="9679"/>
    <cellStyle name="Comma 5 2 3 2 2 6 3 2" xfId="35236"/>
    <cellStyle name="Comma 5 2 3 2 2 6 4" xfId="18502"/>
    <cellStyle name="Comma 5 2 3 2 2 6 4 2" xfId="44055"/>
    <cellStyle name="Comma 5 2 3 2 2 6 5" xfId="29992"/>
    <cellStyle name="Comma 5 2 3 2 2 7" xfId="1692"/>
    <cellStyle name="Comma 5 2 3 2 2 7 2" xfId="11069"/>
    <cellStyle name="Comma 5 2 3 2 2 7 2 2" xfId="36624"/>
    <cellStyle name="Comma 5 2 3 2 2 7 3" xfId="21073"/>
    <cellStyle name="Comma 5 2 3 2 2 7 3 2" xfId="46626"/>
    <cellStyle name="Comma 5 2 3 2 2 7 4" xfId="27556"/>
    <cellStyle name="Comma 5 2 3 2 2 8" xfId="5876"/>
    <cellStyle name="Comma 5 2 3 2 2 8 2" xfId="14703"/>
    <cellStyle name="Comma 5 2 3 2 2 8 2 2" xfId="40258"/>
    <cellStyle name="Comma 5 2 3 2 2 8 3" xfId="24954"/>
    <cellStyle name="Comma 5 2 3 2 2 8 3 2" xfId="50507"/>
    <cellStyle name="Comma 5 2 3 2 2 8 4" xfId="31437"/>
    <cellStyle name="Comma 5 2 3 2 2 9" xfId="7320"/>
    <cellStyle name="Comma 5 2 3 2 2 9 2" xfId="19729"/>
    <cellStyle name="Comma 5 2 3 2 2 9 2 2" xfId="45282"/>
    <cellStyle name="Comma 5 2 3 2 2 9 3" xfId="32877"/>
    <cellStyle name="Comma 5 2 3 2 3" xfId="496"/>
    <cellStyle name="Comma 5 2 3 2 3 10" xfId="26425"/>
    <cellStyle name="Comma 5 2 3 2 3 2" xfId="635"/>
    <cellStyle name="Comma 5 2 3 2 3 2 2" xfId="3121"/>
    <cellStyle name="Comma 5 2 3 2 3 2 2 2" xfId="12264"/>
    <cellStyle name="Comma 5 2 3 2 3 2 2 2 2" xfId="22482"/>
    <cellStyle name="Comma 5 2 3 2 3 2 2 2 2 2" xfId="48035"/>
    <cellStyle name="Comma 5 2 3 2 3 2 2 2 3" xfId="37819"/>
    <cellStyle name="Comma 5 2 3 2 3 2 2 3" xfId="8686"/>
    <cellStyle name="Comma 5 2 3 2 3 2 2 3 2" xfId="34243"/>
    <cellStyle name="Comma 5 2 3 2 3 2 2 4" xfId="17475"/>
    <cellStyle name="Comma 5 2 3 2 3 2 2 4 2" xfId="43028"/>
    <cellStyle name="Comma 5 2 3 2 3 2 2 5" xfId="28965"/>
    <cellStyle name="Comma 5 2 3 2 3 2 3" xfId="4450"/>
    <cellStyle name="Comma 5 2 3 2 3 2 3 2" xfId="13288"/>
    <cellStyle name="Comma 5 2 3 2 3 2 3 2 2" xfId="23539"/>
    <cellStyle name="Comma 5 2 3 2 3 2 3 2 2 2" xfId="49092"/>
    <cellStyle name="Comma 5 2 3 2 3 2 3 2 3" xfId="38843"/>
    <cellStyle name="Comma 5 2 3 2 3 2 3 3" xfId="9709"/>
    <cellStyle name="Comma 5 2 3 2 3 2 3 3 2" xfId="35266"/>
    <cellStyle name="Comma 5 2 3 2 3 2 3 4" xfId="18532"/>
    <cellStyle name="Comma 5 2 3 2 3 2 3 4 2" xfId="44085"/>
    <cellStyle name="Comma 5 2 3 2 3 2 3 5" xfId="30022"/>
    <cellStyle name="Comma 5 2 3 2 3 2 4" xfId="2230"/>
    <cellStyle name="Comma 5 2 3 2 3 2 4 2" xfId="11595"/>
    <cellStyle name="Comma 5 2 3 2 3 2 4 2 2" xfId="37150"/>
    <cellStyle name="Comma 5 2 3 2 3 2 4 3" xfId="21599"/>
    <cellStyle name="Comma 5 2 3 2 3 2 4 3 2" xfId="47152"/>
    <cellStyle name="Comma 5 2 3 2 3 2 4 4" xfId="28082"/>
    <cellStyle name="Comma 5 2 3 2 3 2 5" xfId="5906"/>
    <cellStyle name="Comma 5 2 3 2 3 2 5 2" xfId="14733"/>
    <cellStyle name="Comma 5 2 3 2 3 2 5 2 2" xfId="40288"/>
    <cellStyle name="Comma 5 2 3 2 3 2 5 3" xfId="24984"/>
    <cellStyle name="Comma 5 2 3 2 3 2 5 3 2" xfId="50537"/>
    <cellStyle name="Comma 5 2 3 2 3 2 5 4" xfId="31467"/>
    <cellStyle name="Comma 5 2 3 2 3 2 6" xfId="7350"/>
    <cellStyle name="Comma 5 2 3 2 3 2 6 2" xfId="20081"/>
    <cellStyle name="Comma 5 2 3 2 3 2 6 2 2" xfId="45634"/>
    <cellStyle name="Comma 5 2 3 2 3 2 6 3" xfId="32907"/>
    <cellStyle name="Comma 5 2 3 2 3 2 7" xfId="16592"/>
    <cellStyle name="Comma 5 2 3 2 3 2 7 2" xfId="42145"/>
    <cellStyle name="Comma 5 2 3 2 3 2 8" xfId="26564"/>
    <cellStyle name="Comma 5 2 3 2 3 3" xfId="1268"/>
    <cellStyle name="Comma 5 2 3 2 3 3 2" xfId="3697"/>
    <cellStyle name="Comma 5 2 3 2 3 3 2 2" xfId="12833"/>
    <cellStyle name="Comma 5 2 3 2 3 3 2 2 2" xfId="23052"/>
    <cellStyle name="Comma 5 2 3 2 3 3 2 2 2 2" xfId="48605"/>
    <cellStyle name="Comma 5 2 3 2 3 3 2 2 3" xfId="38388"/>
    <cellStyle name="Comma 5 2 3 2 3 3 2 3" xfId="9254"/>
    <cellStyle name="Comma 5 2 3 2 3 3 2 3 2" xfId="34811"/>
    <cellStyle name="Comma 5 2 3 2 3 3 2 4" xfId="18045"/>
    <cellStyle name="Comma 5 2 3 2 3 3 2 4 2" xfId="43598"/>
    <cellStyle name="Comma 5 2 3 2 3 3 2 5" xfId="29535"/>
    <cellStyle name="Comma 5 2 3 2 3 3 3" xfId="4799"/>
    <cellStyle name="Comma 5 2 3 2 3 3 3 2" xfId="13636"/>
    <cellStyle name="Comma 5 2 3 2 3 3 3 2 2" xfId="23887"/>
    <cellStyle name="Comma 5 2 3 2 3 3 3 2 2 2" xfId="49440"/>
    <cellStyle name="Comma 5 2 3 2 3 3 3 2 3" xfId="39191"/>
    <cellStyle name="Comma 5 2 3 2 3 3 3 3" xfId="10057"/>
    <cellStyle name="Comma 5 2 3 2 3 3 3 3 2" xfId="35614"/>
    <cellStyle name="Comma 5 2 3 2 3 3 3 4" xfId="18880"/>
    <cellStyle name="Comma 5 2 3 2 3 3 3 4 2" xfId="44433"/>
    <cellStyle name="Comma 5 2 3 2 3 3 3 5" xfId="30370"/>
    <cellStyle name="Comma 5 2 3 2 3 3 4" xfId="2091"/>
    <cellStyle name="Comma 5 2 3 2 3 3 4 2" xfId="11456"/>
    <cellStyle name="Comma 5 2 3 2 3 3 4 2 2" xfId="37011"/>
    <cellStyle name="Comma 5 2 3 2 3 3 4 3" xfId="21460"/>
    <cellStyle name="Comma 5 2 3 2 3 3 4 3 2" xfId="47013"/>
    <cellStyle name="Comma 5 2 3 2 3 3 4 4" xfId="27943"/>
    <cellStyle name="Comma 5 2 3 2 3 3 5" xfId="6254"/>
    <cellStyle name="Comma 5 2 3 2 3 3 5 2" xfId="15081"/>
    <cellStyle name="Comma 5 2 3 2 3 3 5 2 2" xfId="40636"/>
    <cellStyle name="Comma 5 2 3 2 3 3 5 3" xfId="25332"/>
    <cellStyle name="Comma 5 2 3 2 3 3 5 3 2" xfId="50885"/>
    <cellStyle name="Comma 5 2 3 2 3 3 5 4" xfId="31815"/>
    <cellStyle name="Comma 5 2 3 2 3 3 6" xfId="7700"/>
    <cellStyle name="Comma 5 2 3 2 3 3 6 2" xfId="20651"/>
    <cellStyle name="Comma 5 2 3 2 3 3 6 2 2" xfId="46204"/>
    <cellStyle name="Comma 5 2 3 2 3 3 6 3" xfId="33257"/>
    <cellStyle name="Comma 5 2 3 2 3 3 7" xfId="16453"/>
    <cellStyle name="Comma 5 2 3 2 3 3 7 2" xfId="42006"/>
    <cellStyle name="Comma 5 2 3 2 3 3 8" xfId="27134"/>
    <cellStyle name="Comma 5 2 3 2 3 4" xfId="2982"/>
    <cellStyle name="Comma 5 2 3 2 3 4 2" xfId="5360"/>
    <cellStyle name="Comma 5 2 3 2 3 4 2 2" xfId="14197"/>
    <cellStyle name="Comma 5 2 3 2 3 4 2 2 2" xfId="24448"/>
    <cellStyle name="Comma 5 2 3 2 3 4 2 2 2 2" xfId="50001"/>
    <cellStyle name="Comma 5 2 3 2 3 4 2 2 3" xfId="39752"/>
    <cellStyle name="Comma 5 2 3 2 3 4 2 3" xfId="10618"/>
    <cellStyle name="Comma 5 2 3 2 3 4 2 3 2" xfId="36175"/>
    <cellStyle name="Comma 5 2 3 2 3 4 2 4" xfId="19441"/>
    <cellStyle name="Comma 5 2 3 2 3 4 2 4 2" xfId="44994"/>
    <cellStyle name="Comma 5 2 3 2 3 4 2 5" xfId="30931"/>
    <cellStyle name="Comma 5 2 3 2 3 4 3" xfId="6815"/>
    <cellStyle name="Comma 5 2 3 2 3 4 3 2" xfId="15642"/>
    <cellStyle name="Comma 5 2 3 2 3 4 3 2 2" xfId="41197"/>
    <cellStyle name="Comma 5 2 3 2 3 4 3 3" xfId="25893"/>
    <cellStyle name="Comma 5 2 3 2 3 4 3 3 2" xfId="51446"/>
    <cellStyle name="Comma 5 2 3 2 3 4 3 4" xfId="32376"/>
    <cellStyle name="Comma 5 2 3 2 3 4 4" xfId="8261"/>
    <cellStyle name="Comma 5 2 3 2 3 4 4 2" xfId="22343"/>
    <cellStyle name="Comma 5 2 3 2 3 4 4 2 2" xfId="47896"/>
    <cellStyle name="Comma 5 2 3 2 3 4 4 3" xfId="33818"/>
    <cellStyle name="Comma 5 2 3 2 3 4 5" xfId="17336"/>
    <cellStyle name="Comma 5 2 3 2 3 4 5 2" xfId="42889"/>
    <cellStyle name="Comma 5 2 3 2 3 4 6" xfId="28826"/>
    <cellStyle name="Comma 5 2 3 2 3 5" xfId="4316"/>
    <cellStyle name="Comma 5 2 3 2 3 5 2" xfId="13154"/>
    <cellStyle name="Comma 5 2 3 2 3 5 2 2" xfId="23405"/>
    <cellStyle name="Comma 5 2 3 2 3 5 2 2 2" xfId="48958"/>
    <cellStyle name="Comma 5 2 3 2 3 5 2 3" xfId="38709"/>
    <cellStyle name="Comma 5 2 3 2 3 5 3" xfId="9575"/>
    <cellStyle name="Comma 5 2 3 2 3 5 3 2" xfId="35132"/>
    <cellStyle name="Comma 5 2 3 2 3 5 4" xfId="18398"/>
    <cellStyle name="Comma 5 2 3 2 3 5 4 2" xfId="43951"/>
    <cellStyle name="Comma 5 2 3 2 3 5 5" xfId="29888"/>
    <cellStyle name="Comma 5 2 3 2 3 6" xfId="1588"/>
    <cellStyle name="Comma 5 2 3 2 3 6 2" xfId="10965"/>
    <cellStyle name="Comma 5 2 3 2 3 6 2 2" xfId="36520"/>
    <cellStyle name="Comma 5 2 3 2 3 6 3" xfId="20969"/>
    <cellStyle name="Comma 5 2 3 2 3 6 3 2" xfId="46522"/>
    <cellStyle name="Comma 5 2 3 2 3 6 4" xfId="27452"/>
    <cellStyle name="Comma 5 2 3 2 3 7" xfId="5772"/>
    <cellStyle name="Comma 5 2 3 2 3 7 2" xfId="14599"/>
    <cellStyle name="Comma 5 2 3 2 3 7 2 2" xfId="40154"/>
    <cellStyle name="Comma 5 2 3 2 3 7 3" xfId="24850"/>
    <cellStyle name="Comma 5 2 3 2 3 7 3 2" xfId="50403"/>
    <cellStyle name="Comma 5 2 3 2 3 7 4" xfId="31333"/>
    <cellStyle name="Comma 5 2 3 2 3 8" xfId="7216"/>
    <cellStyle name="Comma 5 2 3 2 3 8 2" xfId="19942"/>
    <cellStyle name="Comma 5 2 3 2 3 8 2 2" xfId="45495"/>
    <cellStyle name="Comma 5 2 3 2 3 8 3" xfId="32773"/>
    <cellStyle name="Comma 5 2 3 2 3 9" xfId="15962"/>
    <cellStyle name="Comma 5 2 3 2 3 9 2" xfId="41515"/>
    <cellStyle name="Comma 5 2 3 2 4" xfId="396"/>
    <cellStyle name="Comma 5 2 3 2 4 2" xfId="2882"/>
    <cellStyle name="Comma 5 2 3 2 4 2 2" xfId="12170"/>
    <cellStyle name="Comma 5 2 3 2 4 2 2 2" xfId="22243"/>
    <cellStyle name="Comma 5 2 3 2 4 2 2 2 2" xfId="47796"/>
    <cellStyle name="Comma 5 2 3 2 4 2 2 3" xfId="37725"/>
    <cellStyle name="Comma 5 2 3 2 4 2 3" xfId="8638"/>
    <cellStyle name="Comma 5 2 3 2 4 2 3 2" xfId="34195"/>
    <cellStyle name="Comma 5 2 3 2 4 2 4" xfId="17236"/>
    <cellStyle name="Comma 5 2 3 2 4 2 4 2" xfId="42789"/>
    <cellStyle name="Comma 5 2 3 2 4 2 5" xfId="28726"/>
    <cellStyle name="Comma 5 2 3 2 4 3" xfId="4448"/>
    <cellStyle name="Comma 5 2 3 2 4 3 2" xfId="13286"/>
    <cellStyle name="Comma 5 2 3 2 4 3 2 2" xfId="23537"/>
    <cellStyle name="Comma 5 2 3 2 4 3 2 2 2" xfId="49090"/>
    <cellStyle name="Comma 5 2 3 2 4 3 2 3" xfId="38841"/>
    <cellStyle name="Comma 5 2 3 2 4 3 3" xfId="9707"/>
    <cellStyle name="Comma 5 2 3 2 4 3 3 2" xfId="35264"/>
    <cellStyle name="Comma 5 2 3 2 4 3 4" xfId="18530"/>
    <cellStyle name="Comma 5 2 3 2 4 3 4 2" xfId="44083"/>
    <cellStyle name="Comma 5 2 3 2 4 3 5" xfId="30020"/>
    <cellStyle name="Comma 5 2 3 2 4 4" xfId="1991"/>
    <cellStyle name="Comma 5 2 3 2 4 4 2" xfId="11356"/>
    <cellStyle name="Comma 5 2 3 2 4 4 2 2" xfId="36911"/>
    <cellStyle name="Comma 5 2 3 2 4 4 3" xfId="21360"/>
    <cellStyle name="Comma 5 2 3 2 4 4 3 2" xfId="46913"/>
    <cellStyle name="Comma 5 2 3 2 4 4 4" xfId="27843"/>
    <cellStyle name="Comma 5 2 3 2 4 5" xfId="5904"/>
    <cellStyle name="Comma 5 2 3 2 4 5 2" xfId="14731"/>
    <cellStyle name="Comma 5 2 3 2 4 5 2 2" xfId="40286"/>
    <cellStyle name="Comma 5 2 3 2 4 5 3" xfId="24982"/>
    <cellStyle name="Comma 5 2 3 2 4 5 3 2" xfId="50535"/>
    <cellStyle name="Comma 5 2 3 2 4 5 4" xfId="31465"/>
    <cellStyle name="Comma 5 2 3 2 4 6" xfId="7348"/>
    <cellStyle name="Comma 5 2 3 2 4 6 2" xfId="19842"/>
    <cellStyle name="Comma 5 2 3 2 4 6 2 2" xfId="45395"/>
    <cellStyle name="Comma 5 2 3 2 4 6 3" xfId="32905"/>
    <cellStyle name="Comma 5 2 3 2 4 7" xfId="16353"/>
    <cellStyle name="Comma 5 2 3 2 4 7 2" xfId="41906"/>
    <cellStyle name="Comma 5 2 3 2 4 8" xfId="26325"/>
    <cellStyle name="Comma 5 2 3 2 5" xfId="633"/>
    <cellStyle name="Comma 5 2 3 2 5 2" xfId="3119"/>
    <cellStyle name="Comma 5 2 3 2 5 2 2" xfId="12262"/>
    <cellStyle name="Comma 5 2 3 2 5 2 2 2" xfId="22480"/>
    <cellStyle name="Comma 5 2 3 2 5 2 2 2 2" xfId="48033"/>
    <cellStyle name="Comma 5 2 3 2 5 2 2 3" xfId="37817"/>
    <cellStyle name="Comma 5 2 3 2 5 2 3" xfId="8684"/>
    <cellStyle name="Comma 5 2 3 2 5 2 3 2" xfId="34241"/>
    <cellStyle name="Comma 5 2 3 2 5 2 4" xfId="17473"/>
    <cellStyle name="Comma 5 2 3 2 5 2 4 2" xfId="43026"/>
    <cellStyle name="Comma 5 2 3 2 5 2 5" xfId="28963"/>
    <cellStyle name="Comma 5 2 3 2 5 3" xfId="4797"/>
    <cellStyle name="Comma 5 2 3 2 5 3 2" xfId="13634"/>
    <cellStyle name="Comma 5 2 3 2 5 3 2 2" xfId="23885"/>
    <cellStyle name="Comma 5 2 3 2 5 3 2 2 2" xfId="49438"/>
    <cellStyle name="Comma 5 2 3 2 5 3 2 3" xfId="39189"/>
    <cellStyle name="Comma 5 2 3 2 5 3 3" xfId="10055"/>
    <cellStyle name="Comma 5 2 3 2 5 3 3 2" xfId="35612"/>
    <cellStyle name="Comma 5 2 3 2 5 3 4" xfId="18878"/>
    <cellStyle name="Comma 5 2 3 2 5 3 4 2" xfId="44431"/>
    <cellStyle name="Comma 5 2 3 2 5 3 5" xfId="30368"/>
    <cellStyle name="Comma 5 2 3 2 5 4" xfId="2228"/>
    <cellStyle name="Comma 5 2 3 2 5 4 2" xfId="11593"/>
    <cellStyle name="Comma 5 2 3 2 5 4 2 2" xfId="37148"/>
    <cellStyle name="Comma 5 2 3 2 5 4 3" xfId="21597"/>
    <cellStyle name="Comma 5 2 3 2 5 4 3 2" xfId="47150"/>
    <cellStyle name="Comma 5 2 3 2 5 4 4" xfId="28080"/>
    <cellStyle name="Comma 5 2 3 2 5 5" xfId="6252"/>
    <cellStyle name="Comma 5 2 3 2 5 5 2" xfId="15079"/>
    <cellStyle name="Comma 5 2 3 2 5 5 2 2" xfId="40634"/>
    <cellStyle name="Comma 5 2 3 2 5 5 3" xfId="25330"/>
    <cellStyle name="Comma 5 2 3 2 5 5 3 2" xfId="50883"/>
    <cellStyle name="Comma 5 2 3 2 5 5 4" xfId="31813"/>
    <cellStyle name="Comma 5 2 3 2 5 6" xfId="7698"/>
    <cellStyle name="Comma 5 2 3 2 5 6 2" xfId="20079"/>
    <cellStyle name="Comma 5 2 3 2 5 6 2 2" xfId="45632"/>
    <cellStyle name="Comma 5 2 3 2 5 6 3" xfId="33255"/>
    <cellStyle name="Comma 5 2 3 2 5 7" xfId="16590"/>
    <cellStyle name="Comma 5 2 3 2 5 7 2" xfId="42143"/>
    <cellStyle name="Comma 5 2 3 2 5 8" xfId="26562"/>
    <cellStyle name="Comma 5 2 3 2 6" xfId="1168"/>
    <cellStyle name="Comma 5 2 3 2 6 2" xfId="3597"/>
    <cellStyle name="Comma 5 2 3 2 6 2 2" xfId="12733"/>
    <cellStyle name="Comma 5 2 3 2 6 2 2 2" xfId="22952"/>
    <cellStyle name="Comma 5 2 3 2 6 2 2 2 2" xfId="48505"/>
    <cellStyle name="Comma 5 2 3 2 6 2 2 3" xfId="38288"/>
    <cellStyle name="Comma 5 2 3 2 6 2 3" xfId="9154"/>
    <cellStyle name="Comma 5 2 3 2 6 2 3 2" xfId="34711"/>
    <cellStyle name="Comma 5 2 3 2 6 2 4" xfId="17945"/>
    <cellStyle name="Comma 5 2 3 2 6 2 4 2" xfId="43498"/>
    <cellStyle name="Comma 5 2 3 2 6 2 5" xfId="29435"/>
    <cellStyle name="Comma 5 2 3 2 6 3" xfId="5260"/>
    <cellStyle name="Comma 5 2 3 2 6 3 2" xfId="14097"/>
    <cellStyle name="Comma 5 2 3 2 6 3 2 2" xfId="24348"/>
    <cellStyle name="Comma 5 2 3 2 6 3 2 2 2" xfId="49901"/>
    <cellStyle name="Comma 5 2 3 2 6 3 2 3" xfId="39652"/>
    <cellStyle name="Comma 5 2 3 2 6 3 3" xfId="10518"/>
    <cellStyle name="Comma 5 2 3 2 6 3 3 2" xfId="36075"/>
    <cellStyle name="Comma 5 2 3 2 6 3 4" xfId="19341"/>
    <cellStyle name="Comma 5 2 3 2 6 3 4 2" xfId="44894"/>
    <cellStyle name="Comma 5 2 3 2 6 3 5" xfId="30831"/>
    <cellStyle name="Comma 5 2 3 2 6 4" xfId="1768"/>
    <cellStyle name="Comma 5 2 3 2 6 4 2" xfId="11139"/>
    <cellStyle name="Comma 5 2 3 2 6 4 2 2" xfId="36694"/>
    <cellStyle name="Comma 5 2 3 2 6 4 3" xfId="21143"/>
    <cellStyle name="Comma 5 2 3 2 6 4 3 2" xfId="46696"/>
    <cellStyle name="Comma 5 2 3 2 6 4 4" xfId="27626"/>
    <cellStyle name="Comma 5 2 3 2 6 5" xfId="6715"/>
    <cellStyle name="Comma 5 2 3 2 6 5 2" xfId="15542"/>
    <cellStyle name="Comma 5 2 3 2 6 5 2 2" xfId="41097"/>
    <cellStyle name="Comma 5 2 3 2 6 5 3" xfId="25793"/>
    <cellStyle name="Comma 5 2 3 2 6 5 3 2" xfId="51346"/>
    <cellStyle name="Comma 5 2 3 2 6 5 4" xfId="32276"/>
    <cellStyle name="Comma 5 2 3 2 6 6" xfId="8161"/>
    <cellStyle name="Comma 5 2 3 2 6 6 2" xfId="20551"/>
    <cellStyle name="Comma 5 2 3 2 6 6 2 2" xfId="46104"/>
    <cellStyle name="Comma 5 2 3 2 6 6 3" xfId="33718"/>
    <cellStyle name="Comma 5 2 3 2 6 7" xfId="16136"/>
    <cellStyle name="Comma 5 2 3 2 6 7 2" xfId="41689"/>
    <cellStyle name="Comma 5 2 3 2 6 8" xfId="27034"/>
    <cellStyle name="Comma 5 2 3 2 7" xfId="2665"/>
    <cellStyle name="Comma 5 2 3 2 7 2" xfId="11982"/>
    <cellStyle name="Comma 5 2 3 2 7 2 2" xfId="22026"/>
    <cellStyle name="Comma 5 2 3 2 7 2 2 2" xfId="47579"/>
    <cellStyle name="Comma 5 2 3 2 7 2 3" xfId="37537"/>
    <cellStyle name="Comma 5 2 3 2 7 3" xfId="8605"/>
    <cellStyle name="Comma 5 2 3 2 7 3 2" xfId="34162"/>
    <cellStyle name="Comma 5 2 3 2 7 4" xfId="17019"/>
    <cellStyle name="Comma 5 2 3 2 7 4 2" xfId="42572"/>
    <cellStyle name="Comma 5 2 3 2 7 5" xfId="28509"/>
    <cellStyle name="Comma 5 2 3 2 8" xfId="4216"/>
    <cellStyle name="Comma 5 2 3 2 8 2" xfId="13054"/>
    <cellStyle name="Comma 5 2 3 2 8 2 2" xfId="23305"/>
    <cellStyle name="Comma 5 2 3 2 8 2 2 2" xfId="48858"/>
    <cellStyle name="Comma 5 2 3 2 8 2 3" xfId="38609"/>
    <cellStyle name="Comma 5 2 3 2 8 3" xfId="9475"/>
    <cellStyle name="Comma 5 2 3 2 8 3 2" xfId="35032"/>
    <cellStyle name="Comma 5 2 3 2 8 4" xfId="18298"/>
    <cellStyle name="Comma 5 2 3 2 8 4 2" xfId="43851"/>
    <cellStyle name="Comma 5 2 3 2 8 5" xfId="29788"/>
    <cellStyle name="Comma 5 2 3 2 9" xfId="1488"/>
    <cellStyle name="Comma 5 2 3 2 9 2" xfId="10865"/>
    <cellStyle name="Comma 5 2 3 2 9 2 2" xfId="36420"/>
    <cellStyle name="Comma 5 2 3 2 9 3" xfId="20869"/>
    <cellStyle name="Comma 5 2 3 2 9 3 2" xfId="46422"/>
    <cellStyle name="Comma 5 2 3 2 9 4" xfId="27352"/>
    <cellStyle name="Comma 5 2 3 3" xfId="213"/>
    <cellStyle name="Comma 5 2 3 3 10" xfId="7159"/>
    <cellStyle name="Comma 5 2 3 3 10 2" xfId="19668"/>
    <cellStyle name="Comma 5 2 3 3 10 2 2" xfId="45221"/>
    <cellStyle name="Comma 5 2 3 3 10 3" xfId="32716"/>
    <cellStyle name="Comma 5 2 3 3 11" xfId="15905"/>
    <cellStyle name="Comma 5 2 3 3 11 2" xfId="41458"/>
    <cellStyle name="Comma 5 2 3 3 12" xfId="26151"/>
    <cellStyle name="Comma 5 2 3 3 2" xfId="539"/>
    <cellStyle name="Comma 5 2 3 3 2 10" xfId="26468"/>
    <cellStyle name="Comma 5 2 3 3 2 2" xfId="637"/>
    <cellStyle name="Comma 5 2 3 3 2 2 2" xfId="3123"/>
    <cellStyle name="Comma 5 2 3 3 2 2 2 2" xfId="12266"/>
    <cellStyle name="Comma 5 2 3 3 2 2 2 2 2" xfId="22484"/>
    <cellStyle name="Comma 5 2 3 3 2 2 2 2 2 2" xfId="48037"/>
    <cellStyle name="Comma 5 2 3 3 2 2 2 2 3" xfId="37821"/>
    <cellStyle name="Comma 5 2 3 3 2 2 2 3" xfId="8688"/>
    <cellStyle name="Comma 5 2 3 3 2 2 2 3 2" xfId="34245"/>
    <cellStyle name="Comma 5 2 3 3 2 2 2 4" xfId="17477"/>
    <cellStyle name="Comma 5 2 3 3 2 2 2 4 2" xfId="43030"/>
    <cellStyle name="Comma 5 2 3 3 2 2 2 5" xfId="28967"/>
    <cellStyle name="Comma 5 2 3 3 2 2 3" xfId="4452"/>
    <cellStyle name="Comma 5 2 3 3 2 2 3 2" xfId="13290"/>
    <cellStyle name="Comma 5 2 3 3 2 2 3 2 2" xfId="23541"/>
    <cellStyle name="Comma 5 2 3 3 2 2 3 2 2 2" xfId="49094"/>
    <cellStyle name="Comma 5 2 3 3 2 2 3 2 3" xfId="38845"/>
    <cellStyle name="Comma 5 2 3 3 2 2 3 3" xfId="9711"/>
    <cellStyle name="Comma 5 2 3 3 2 2 3 3 2" xfId="35268"/>
    <cellStyle name="Comma 5 2 3 3 2 2 3 4" xfId="18534"/>
    <cellStyle name="Comma 5 2 3 3 2 2 3 4 2" xfId="44087"/>
    <cellStyle name="Comma 5 2 3 3 2 2 3 5" xfId="30024"/>
    <cellStyle name="Comma 5 2 3 3 2 2 4" xfId="2232"/>
    <cellStyle name="Comma 5 2 3 3 2 2 4 2" xfId="11597"/>
    <cellStyle name="Comma 5 2 3 3 2 2 4 2 2" xfId="37152"/>
    <cellStyle name="Comma 5 2 3 3 2 2 4 3" xfId="21601"/>
    <cellStyle name="Comma 5 2 3 3 2 2 4 3 2" xfId="47154"/>
    <cellStyle name="Comma 5 2 3 3 2 2 4 4" xfId="28084"/>
    <cellStyle name="Comma 5 2 3 3 2 2 5" xfId="5908"/>
    <cellStyle name="Comma 5 2 3 3 2 2 5 2" xfId="14735"/>
    <cellStyle name="Comma 5 2 3 3 2 2 5 2 2" xfId="40290"/>
    <cellStyle name="Comma 5 2 3 3 2 2 5 3" xfId="24986"/>
    <cellStyle name="Comma 5 2 3 3 2 2 5 3 2" xfId="50539"/>
    <cellStyle name="Comma 5 2 3 3 2 2 5 4" xfId="31469"/>
    <cellStyle name="Comma 5 2 3 3 2 2 6" xfId="7352"/>
    <cellStyle name="Comma 5 2 3 3 2 2 6 2" xfId="20083"/>
    <cellStyle name="Comma 5 2 3 3 2 2 6 2 2" xfId="45636"/>
    <cellStyle name="Comma 5 2 3 3 2 2 6 3" xfId="32909"/>
    <cellStyle name="Comma 5 2 3 3 2 2 7" xfId="16594"/>
    <cellStyle name="Comma 5 2 3 3 2 2 7 2" xfId="42147"/>
    <cellStyle name="Comma 5 2 3 3 2 2 8" xfId="26566"/>
    <cellStyle name="Comma 5 2 3 3 2 3" xfId="1311"/>
    <cellStyle name="Comma 5 2 3 3 2 3 2" xfId="3740"/>
    <cellStyle name="Comma 5 2 3 3 2 3 2 2" xfId="12876"/>
    <cellStyle name="Comma 5 2 3 3 2 3 2 2 2" xfId="23095"/>
    <cellStyle name="Comma 5 2 3 3 2 3 2 2 2 2" xfId="48648"/>
    <cellStyle name="Comma 5 2 3 3 2 3 2 2 3" xfId="38431"/>
    <cellStyle name="Comma 5 2 3 3 2 3 2 3" xfId="9297"/>
    <cellStyle name="Comma 5 2 3 3 2 3 2 3 2" xfId="34854"/>
    <cellStyle name="Comma 5 2 3 3 2 3 2 4" xfId="18088"/>
    <cellStyle name="Comma 5 2 3 3 2 3 2 4 2" xfId="43641"/>
    <cellStyle name="Comma 5 2 3 3 2 3 2 5" xfId="29578"/>
    <cellStyle name="Comma 5 2 3 3 2 3 3" xfId="4801"/>
    <cellStyle name="Comma 5 2 3 3 2 3 3 2" xfId="13638"/>
    <cellStyle name="Comma 5 2 3 3 2 3 3 2 2" xfId="23889"/>
    <cellStyle name="Comma 5 2 3 3 2 3 3 2 2 2" xfId="49442"/>
    <cellStyle name="Comma 5 2 3 3 2 3 3 2 3" xfId="39193"/>
    <cellStyle name="Comma 5 2 3 3 2 3 3 3" xfId="10059"/>
    <cellStyle name="Comma 5 2 3 3 2 3 3 3 2" xfId="35616"/>
    <cellStyle name="Comma 5 2 3 3 2 3 3 4" xfId="18882"/>
    <cellStyle name="Comma 5 2 3 3 2 3 3 4 2" xfId="44435"/>
    <cellStyle name="Comma 5 2 3 3 2 3 3 5" xfId="30372"/>
    <cellStyle name="Comma 5 2 3 3 2 3 4" xfId="2134"/>
    <cellStyle name="Comma 5 2 3 3 2 3 4 2" xfId="11499"/>
    <cellStyle name="Comma 5 2 3 3 2 3 4 2 2" xfId="37054"/>
    <cellStyle name="Comma 5 2 3 3 2 3 4 3" xfId="21503"/>
    <cellStyle name="Comma 5 2 3 3 2 3 4 3 2" xfId="47056"/>
    <cellStyle name="Comma 5 2 3 3 2 3 4 4" xfId="27986"/>
    <cellStyle name="Comma 5 2 3 3 2 3 5" xfId="6256"/>
    <cellStyle name="Comma 5 2 3 3 2 3 5 2" xfId="15083"/>
    <cellStyle name="Comma 5 2 3 3 2 3 5 2 2" xfId="40638"/>
    <cellStyle name="Comma 5 2 3 3 2 3 5 3" xfId="25334"/>
    <cellStyle name="Comma 5 2 3 3 2 3 5 3 2" xfId="50887"/>
    <cellStyle name="Comma 5 2 3 3 2 3 5 4" xfId="31817"/>
    <cellStyle name="Comma 5 2 3 3 2 3 6" xfId="7702"/>
    <cellStyle name="Comma 5 2 3 3 2 3 6 2" xfId="20694"/>
    <cellStyle name="Comma 5 2 3 3 2 3 6 2 2" xfId="46247"/>
    <cellStyle name="Comma 5 2 3 3 2 3 6 3" xfId="33259"/>
    <cellStyle name="Comma 5 2 3 3 2 3 7" xfId="16496"/>
    <cellStyle name="Comma 5 2 3 3 2 3 7 2" xfId="42049"/>
    <cellStyle name="Comma 5 2 3 3 2 3 8" xfId="27177"/>
    <cellStyle name="Comma 5 2 3 3 2 4" xfId="3025"/>
    <cellStyle name="Comma 5 2 3 3 2 4 2" xfId="5403"/>
    <cellStyle name="Comma 5 2 3 3 2 4 2 2" xfId="14240"/>
    <cellStyle name="Comma 5 2 3 3 2 4 2 2 2" xfId="24491"/>
    <cellStyle name="Comma 5 2 3 3 2 4 2 2 2 2" xfId="50044"/>
    <cellStyle name="Comma 5 2 3 3 2 4 2 2 3" xfId="39795"/>
    <cellStyle name="Comma 5 2 3 3 2 4 2 3" xfId="10661"/>
    <cellStyle name="Comma 5 2 3 3 2 4 2 3 2" xfId="36218"/>
    <cellStyle name="Comma 5 2 3 3 2 4 2 4" xfId="19484"/>
    <cellStyle name="Comma 5 2 3 3 2 4 2 4 2" xfId="45037"/>
    <cellStyle name="Comma 5 2 3 3 2 4 2 5" xfId="30974"/>
    <cellStyle name="Comma 5 2 3 3 2 4 3" xfId="6858"/>
    <cellStyle name="Comma 5 2 3 3 2 4 3 2" xfId="15685"/>
    <cellStyle name="Comma 5 2 3 3 2 4 3 2 2" xfId="41240"/>
    <cellStyle name="Comma 5 2 3 3 2 4 3 3" xfId="25936"/>
    <cellStyle name="Comma 5 2 3 3 2 4 3 3 2" xfId="51489"/>
    <cellStyle name="Comma 5 2 3 3 2 4 3 4" xfId="32419"/>
    <cellStyle name="Comma 5 2 3 3 2 4 4" xfId="8304"/>
    <cellStyle name="Comma 5 2 3 3 2 4 4 2" xfId="22386"/>
    <cellStyle name="Comma 5 2 3 3 2 4 4 2 2" xfId="47939"/>
    <cellStyle name="Comma 5 2 3 3 2 4 4 3" xfId="33861"/>
    <cellStyle name="Comma 5 2 3 3 2 4 5" xfId="17379"/>
    <cellStyle name="Comma 5 2 3 3 2 4 5 2" xfId="42932"/>
    <cellStyle name="Comma 5 2 3 3 2 4 6" xfId="28869"/>
    <cellStyle name="Comma 5 2 3 3 2 5" xfId="4359"/>
    <cellStyle name="Comma 5 2 3 3 2 5 2" xfId="13197"/>
    <cellStyle name="Comma 5 2 3 3 2 5 2 2" xfId="23448"/>
    <cellStyle name="Comma 5 2 3 3 2 5 2 2 2" xfId="49001"/>
    <cellStyle name="Comma 5 2 3 3 2 5 2 3" xfId="38752"/>
    <cellStyle name="Comma 5 2 3 3 2 5 3" xfId="9618"/>
    <cellStyle name="Comma 5 2 3 3 2 5 3 2" xfId="35175"/>
    <cellStyle name="Comma 5 2 3 3 2 5 4" xfId="18441"/>
    <cellStyle name="Comma 5 2 3 3 2 5 4 2" xfId="43994"/>
    <cellStyle name="Comma 5 2 3 3 2 5 5" xfId="29931"/>
    <cellStyle name="Comma 5 2 3 3 2 6" xfId="1631"/>
    <cellStyle name="Comma 5 2 3 3 2 6 2" xfId="11008"/>
    <cellStyle name="Comma 5 2 3 3 2 6 2 2" xfId="36563"/>
    <cellStyle name="Comma 5 2 3 3 2 6 3" xfId="21012"/>
    <cellStyle name="Comma 5 2 3 3 2 6 3 2" xfId="46565"/>
    <cellStyle name="Comma 5 2 3 3 2 6 4" xfId="27495"/>
    <cellStyle name="Comma 5 2 3 3 2 7" xfId="5815"/>
    <cellStyle name="Comma 5 2 3 3 2 7 2" xfId="14642"/>
    <cellStyle name="Comma 5 2 3 3 2 7 2 2" xfId="40197"/>
    <cellStyle name="Comma 5 2 3 3 2 7 3" xfId="24893"/>
    <cellStyle name="Comma 5 2 3 3 2 7 3 2" xfId="50446"/>
    <cellStyle name="Comma 5 2 3 3 2 7 4" xfId="31376"/>
    <cellStyle name="Comma 5 2 3 3 2 8" xfId="7259"/>
    <cellStyle name="Comma 5 2 3 3 2 8 2" xfId="19985"/>
    <cellStyle name="Comma 5 2 3 3 2 8 2 2" xfId="45538"/>
    <cellStyle name="Comma 5 2 3 3 2 8 3" xfId="32816"/>
    <cellStyle name="Comma 5 2 3 3 2 9" xfId="16005"/>
    <cellStyle name="Comma 5 2 3 3 2 9 2" xfId="41558"/>
    <cellStyle name="Comma 5 2 3 3 3" xfId="439"/>
    <cellStyle name="Comma 5 2 3 3 3 2" xfId="2925"/>
    <cellStyle name="Comma 5 2 3 3 3 2 2" xfId="12213"/>
    <cellStyle name="Comma 5 2 3 3 3 2 2 2" xfId="22286"/>
    <cellStyle name="Comma 5 2 3 3 3 2 2 2 2" xfId="47839"/>
    <cellStyle name="Comma 5 2 3 3 3 2 2 3" xfId="37768"/>
    <cellStyle name="Comma 5 2 3 3 3 2 3" xfId="8598"/>
    <cellStyle name="Comma 5 2 3 3 3 2 3 2" xfId="34155"/>
    <cellStyle name="Comma 5 2 3 3 3 2 4" xfId="17279"/>
    <cellStyle name="Comma 5 2 3 3 3 2 4 2" xfId="42832"/>
    <cellStyle name="Comma 5 2 3 3 3 2 5" xfId="28769"/>
    <cellStyle name="Comma 5 2 3 3 3 3" xfId="4451"/>
    <cellStyle name="Comma 5 2 3 3 3 3 2" xfId="13289"/>
    <cellStyle name="Comma 5 2 3 3 3 3 2 2" xfId="23540"/>
    <cellStyle name="Comma 5 2 3 3 3 3 2 2 2" xfId="49093"/>
    <cellStyle name="Comma 5 2 3 3 3 3 2 3" xfId="38844"/>
    <cellStyle name="Comma 5 2 3 3 3 3 3" xfId="9710"/>
    <cellStyle name="Comma 5 2 3 3 3 3 3 2" xfId="35267"/>
    <cellStyle name="Comma 5 2 3 3 3 3 4" xfId="18533"/>
    <cellStyle name="Comma 5 2 3 3 3 3 4 2" xfId="44086"/>
    <cellStyle name="Comma 5 2 3 3 3 3 5" xfId="30023"/>
    <cellStyle name="Comma 5 2 3 3 3 4" xfId="2034"/>
    <cellStyle name="Comma 5 2 3 3 3 4 2" xfId="11399"/>
    <cellStyle name="Comma 5 2 3 3 3 4 2 2" xfId="36954"/>
    <cellStyle name="Comma 5 2 3 3 3 4 3" xfId="21403"/>
    <cellStyle name="Comma 5 2 3 3 3 4 3 2" xfId="46956"/>
    <cellStyle name="Comma 5 2 3 3 3 4 4" xfId="27886"/>
    <cellStyle name="Comma 5 2 3 3 3 5" xfId="5907"/>
    <cellStyle name="Comma 5 2 3 3 3 5 2" xfId="14734"/>
    <cellStyle name="Comma 5 2 3 3 3 5 2 2" xfId="40289"/>
    <cellStyle name="Comma 5 2 3 3 3 5 3" xfId="24985"/>
    <cellStyle name="Comma 5 2 3 3 3 5 3 2" xfId="50538"/>
    <cellStyle name="Comma 5 2 3 3 3 5 4" xfId="31468"/>
    <cellStyle name="Comma 5 2 3 3 3 6" xfId="7351"/>
    <cellStyle name="Comma 5 2 3 3 3 6 2" xfId="19885"/>
    <cellStyle name="Comma 5 2 3 3 3 6 2 2" xfId="45438"/>
    <cellStyle name="Comma 5 2 3 3 3 6 3" xfId="32908"/>
    <cellStyle name="Comma 5 2 3 3 3 7" xfId="16396"/>
    <cellStyle name="Comma 5 2 3 3 3 7 2" xfId="41949"/>
    <cellStyle name="Comma 5 2 3 3 3 8" xfId="26368"/>
    <cellStyle name="Comma 5 2 3 3 4" xfId="636"/>
    <cellStyle name="Comma 5 2 3 3 4 2" xfId="3122"/>
    <cellStyle name="Comma 5 2 3 3 4 2 2" xfId="12265"/>
    <cellStyle name="Comma 5 2 3 3 4 2 2 2" xfId="22483"/>
    <cellStyle name="Comma 5 2 3 3 4 2 2 2 2" xfId="48036"/>
    <cellStyle name="Comma 5 2 3 3 4 2 2 3" xfId="37820"/>
    <cellStyle name="Comma 5 2 3 3 4 2 3" xfId="8687"/>
    <cellStyle name="Comma 5 2 3 3 4 2 3 2" xfId="34244"/>
    <cellStyle name="Comma 5 2 3 3 4 2 4" xfId="17476"/>
    <cellStyle name="Comma 5 2 3 3 4 2 4 2" xfId="43029"/>
    <cellStyle name="Comma 5 2 3 3 4 2 5" xfId="28966"/>
    <cellStyle name="Comma 5 2 3 3 4 3" xfId="4800"/>
    <cellStyle name="Comma 5 2 3 3 4 3 2" xfId="13637"/>
    <cellStyle name="Comma 5 2 3 3 4 3 2 2" xfId="23888"/>
    <cellStyle name="Comma 5 2 3 3 4 3 2 2 2" xfId="49441"/>
    <cellStyle name="Comma 5 2 3 3 4 3 2 3" xfId="39192"/>
    <cellStyle name="Comma 5 2 3 3 4 3 3" xfId="10058"/>
    <cellStyle name="Comma 5 2 3 3 4 3 3 2" xfId="35615"/>
    <cellStyle name="Comma 5 2 3 3 4 3 4" xfId="18881"/>
    <cellStyle name="Comma 5 2 3 3 4 3 4 2" xfId="44434"/>
    <cellStyle name="Comma 5 2 3 3 4 3 5" xfId="30371"/>
    <cellStyle name="Comma 5 2 3 3 4 4" xfId="2231"/>
    <cellStyle name="Comma 5 2 3 3 4 4 2" xfId="11596"/>
    <cellStyle name="Comma 5 2 3 3 4 4 2 2" xfId="37151"/>
    <cellStyle name="Comma 5 2 3 3 4 4 3" xfId="21600"/>
    <cellStyle name="Comma 5 2 3 3 4 4 3 2" xfId="47153"/>
    <cellStyle name="Comma 5 2 3 3 4 4 4" xfId="28083"/>
    <cellStyle name="Comma 5 2 3 3 4 5" xfId="6255"/>
    <cellStyle name="Comma 5 2 3 3 4 5 2" xfId="15082"/>
    <cellStyle name="Comma 5 2 3 3 4 5 2 2" xfId="40637"/>
    <cellStyle name="Comma 5 2 3 3 4 5 3" xfId="25333"/>
    <cellStyle name="Comma 5 2 3 3 4 5 3 2" xfId="50886"/>
    <cellStyle name="Comma 5 2 3 3 4 5 4" xfId="31816"/>
    <cellStyle name="Comma 5 2 3 3 4 6" xfId="7701"/>
    <cellStyle name="Comma 5 2 3 3 4 6 2" xfId="20082"/>
    <cellStyle name="Comma 5 2 3 3 4 6 2 2" xfId="45635"/>
    <cellStyle name="Comma 5 2 3 3 4 6 3" xfId="33258"/>
    <cellStyle name="Comma 5 2 3 3 4 7" xfId="16593"/>
    <cellStyle name="Comma 5 2 3 3 4 7 2" xfId="42146"/>
    <cellStyle name="Comma 5 2 3 3 4 8" xfId="26565"/>
    <cellStyle name="Comma 5 2 3 3 5" xfId="1211"/>
    <cellStyle name="Comma 5 2 3 3 5 2" xfId="3640"/>
    <cellStyle name="Comma 5 2 3 3 5 2 2" xfId="12776"/>
    <cellStyle name="Comma 5 2 3 3 5 2 2 2" xfId="22995"/>
    <cellStyle name="Comma 5 2 3 3 5 2 2 2 2" xfId="48548"/>
    <cellStyle name="Comma 5 2 3 3 5 2 2 3" xfId="38331"/>
    <cellStyle name="Comma 5 2 3 3 5 2 3" xfId="9197"/>
    <cellStyle name="Comma 5 2 3 3 5 2 3 2" xfId="34754"/>
    <cellStyle name="Comma 5 2 3 3 5 2 4" xfId="17988"/>
    <cellStyle name="Comma 5 2 3 3 5 2 4 2" xfId="43541"/>
    <cellStyle name="Comma 5 2 3 3 5 2 5" xfId="29478"/>
    <cellStyle name="Comma 5 2 3 3 5 3" xfId="5303"/>
    <cellStyle name="Comma 5 2 3 3 5 3 2" xfId="14140"/>
    <cellStyle name="Comma 5 2 3 3 5 3 2 2" xfId="24391"/>
    <cellStyle name="Comma 5 2 3 3 5 3 2 2 2" xfId="49944"/>
    <cellStyle name="Comma 5 2 3 3 5 3 2 3" xfId="39695"/>
    <cellStyle name="Comma 5 2 3 3 5 3 3" xfId="10561"/>
    <cellStyle name="Comma 5 2 3 3 5 3 3 2" xfId="36118"/>
    <cellStyle name="Comma 5 2 3 3 5 3 4" xfId="19384"/>
    <cellStyle name="Comma 5 2 3 3 5 3 4 2" xfId="44937"/>
    <cellStyle name="Comma 5 2 3 3 5 3 5" xfId="30874"/>
    <cellStyle name="Comma 5 2 3 3 5 4" xfId="1814"/>
    <cellStyle name="Comma 5 2 3 3 5 4 2" xfId="11182"/>
    <cellStyle name="Comma 5 2 3 3 5 4 2 2" xfId="36737"/>
    <cellStyle name="Comma 5 2 3 3 5 4 3" xfId="21186"/>
    <cellStyle name="Comma 5 2 3 3 5 4 3 2" xfId="46739"/>
    <cellStyle name="Comma 5 2 3 3 5 4 4" xfId="27669"/>
    <cellStyle name="Comma 5 2 3 3 5 5" xfId="6758"/>
    <cellStyle name="Comma 5 2 3 3 5 5 2" xfId="15585"/>
    <cellStyle name="Comma 5 2 3 3 5 5 2 2" xfId="41140"/>
    <cellStyle name="Comma 5 2 3 3 5 5 3" xfId="25836"/>
    <cellStyle name="Comma 5 2 3 3 5 5 3 2" xfId="51389"/>
    <cellStyle name="Comma 5 2 3 3 5 5 4" xfId="32319"/>
    <cellStyle name="Comma 5 2 3 3 5 6" xfId="8204"/>
    <cellStyle name="Comma 5 2 3 3 5 6 2" xfId="20594"/>
    <cellStyle name="Comma 5 2 3 3 5 6 2 2" xfId="46147"/>
    <cellStyle name="Comma 5 2 3 3 5 6 3" xfId="33761"/>
    <cellStyle name="Comma 5 2 3 3 5 7" xfId="16179"/>
    <cellStyle name="Comma 5 2 3 3 5 7 2" xfId="41732"/>
    <cellStyle name="Comma 5 2 3 3 5 8" xfId="27077"/>
    <cellStyle name="Comma 5 2 3 3 6" xfId="2708"/>
    <cellStyle name="Comma 5 2 3 3 6 2" xfId="12025"/>
    <cellStyle name="Comma 5 2 3 3 6 2 2" xfId="22069"/>
    <cellStyle name="Comma 5 2 3 3 6 2 2 2" xfId="47622"/>
    <cellStyle name="Comma 5 2 3 3 6 2 3" xfId="37580"/>
    <cellStyle name="Comma 5 2 3 3 6 3" xfId="7496"/>
    <cellStyle name="Comma 5 2 3 3 6 3 2" xfId="33053"/>
    <cellStyle name="Comma 5 2 3 3 6 4" xfId="17062"/>
    <cellStyle name="Comma 5 2 3 3 6 4 2" xfId="42615"/>
    <cellStyle name="Comma 5 2 3 3 6 5" xfId="28552"/>
    <cellStyle name="Comma 5 2 3 3 7" xfId="4259"/>
    <cellStyle name="Comma 5 2 3 3 7 2" xfId="13097"/>
    <cellStyle name="Comma 5 2 3 3 7 2 2" xfId="23348"/>
    <cellStyle name="Comma 5 2 3 3 7 2 2 2" xfId="48901"/>
    <cellStyle name="Comma 5 2 3 3 7 2 3" xfId="38652"/>
    <cellStyle name="Comma 5 2 3 3 7 3" xfId="9518"/>
    <cellStyle name="Comma 5 2 3 3 7 3 2" xfId="35075"/>
    <cellStyle name="Comma 5 2 3 3 7 4" xfId="18341"/>
    <cellStyle name="Comma 5 2 3 3 7 4 2" xfId="43894"/>
    <cellStyle name="Comma 5 2 3 3 7 5" xfId="29831"/>
    <cellStyle name="Comma 5 2 3 3 8" xfId="1531"/>
    <cellStyle name="Comma 5 2 3 3 8 2" xfId="10908"/>
    <cellStyle name="Comma 5 2 3 3 8 2 2" xfId="36463"/>
    <cellStyle name="Comma 5 2 3 3 8 3" xfId="20912"/>
    <cellStyle name="Comma 5 2 3 3 8 3 2" xfId="46465"/>
    <cellStyle name="Comma 5 2 3 3 8 4" xfId="27395"/>
    <cellStyle name="Comma 5 2 3 3 9" xfId="5715"/>
    <cellStyle name="Comma 5 2 3 3 9 2" xfId="14542"/>
    <cellStyle name="Comma 5 2 3 3 9 2 2" xfId="40097"/>
    <cellStyle name="Comma 5 2 3 3 9 3" xfId="24793"/>
    <cellStyle name="Comma 5 2 3 3 9 3 2" xfId="50346"/>
    <cellStyle name="Comma 5 2 3 3 9 4" xfId="31276"/>
    <cellStyle name="Comma 5 2 3 4" xfId="246"/>
    <cellStyle name="Comma 5 2 3 4 10" xfId="7084"/>
    <cellStyle name="Comma 5 2 3 4 10 2" xfId="19698"/>
    <cellStyle name="Comma 5 2 3 4 10 2 2" xfId="45251"/>
    <cellStyle name="Comma 5 2 3 4 10 3" xfId="32641"/>
    <cellStyle name="Comma 5 2 3 4 11" xfId="15830"/>
    <cellStyle name="Comma 5 2 3 4 11 2" xfId="41383"/>
    <cellStyle name="Comma 5 2 3 4 12" xfId="26181"/>
    <cellStyle name="Comma 5 2 3 4 2" xfId="569"/>
    <cellStyle name="Comma 5 2 3 4 2 10" xfId="26498"/>
    <cellStyle name="Comma 5 2 3 4 2 2" xfId="639"/>
    <cellStyle name="Comma 5 2 3 4 2 2 2" xfId="3125"/>
    <cellStyle name="Comma 5 2 3 4 2 2 2 2" xfId="12268"/>
    <cellStyle name="Comma 5 2 3 4 2 2 2 2 2" xfId="22486"/>
    <cellStyle name="Comma 5 2 3 4 2 2 2 2 2 2" xfId="48039"/>
    <cellStyle name="Comma 5 2 3 4 2 2 2 2 3" xfId="37823"/>
    <cellStyle name="Comma 5 2 3 4 2 2 2 3" xfId="8690"/>
    <cellStyle name="Comma 5 2 3 4 2 2 2 3 2" xfId="34247"/>
    <cellStyle name="Comma 5 2 3 4 2 2 2 4" xfId="17479"/>
    <cellStyle name="Comma 5 2 3 4 2 2 2 4 2" xfId="43032"/>
    <cellStyle name="Comma 5 2 3 4 2 2 2 5" xfId="28969"/>
    <cellStyle name="Comma 5 2 3 4 2 2 3" xfId="4454"/>
    <cellStyle name="Comma 5 2 3 4 2 2 3 2" xfId="13292"/>
    <cellStyle name="Comma 5 2 3 4 2 2 3 2 2" xfId="23543"/>
    <cellStyle name="Comma 5 2 3 4 2 2 3 2 2 2" xfId="49096"/>
    <cellStyle name="Comma 5 2 3 4 2 2 3 2 3" xfId="38847"/>
    <cellStyle name="Comma 5 2 3 4 2 2 3 3" xfId="9713"/>
    <cellStyle name="Comma 5 2 3 4 2 2 3 3 2" xfId="35270"/>
    <cellStyle name="Comma 5 2 3 4 2 2 3 4" xfId="18536"/>
    <cellStyle name="Comma 5 2 3 4 2 2 3 4 2" xfId="44089"/>
    <cellStyle name="Comma 5 2 3 4 2 2 3 5" xfId="30026"/>
    <cellStyle name="Comma 5 2 3 4 2 2 4" xfId="2234"/>
    <cellStyle name="Comma 5 2 3 4 2 2 4 2" xfId="11599"/>
    <cellStyle name="Comma 5 2 3 4 2 2 4 2 2" xfId="37154"/>
    <cellStyle name="Comma 5 2 3 4 2 2 4 3" xfId="21603"/>
    <cellStyle name="Comma 5 2 3 4 2 2 4 3 2" xfId="47156"/>
    <cellStyle name="Comma 5 2 3 4 2 2 4 4" xfId="28086"/>
    <cellStyle name="Comma 5 2 3 4 2 2 5" xfId="5910"/>
    <cellStyle name="Comma 5 2 3 4 2 2 5 2" xfId="14737"/>
    <cellStyle name="Comma 5 2 3 4 2 2 5 2 2" xfId="40292"/>
    <cellStyle name="Comma 5 2 3 4 2 2 5 3" xfId="24988"/>
    <cellStyle name="Comma 5 2 3 4 2 2 5 3 2" xfId="50541"/>
    <cellStyle name="Comma 5 2 3 4 2 2 5 4" xfId="31471"/>
    <cellStyle name="Comma 5 2 3 4 2 2 6" xfId="7354"/>
    <cellStyle name="Comma 5 2 3 4 2 2 6 2" xfId="20085"/>
    <cellStyle name="Comma 5 2 3 4 2 2 6 2 2" xfId="45638"/>
    <cellStyle name="Comma 5 2 3 4 2 2 6 3" xfId="32911"/>
    <cellStyle name="Comma 5 2 3 4 2 2 7" xfId="16596"/>
    <cellStyle name="Comma 5 2 3 4 2 2 7 2" xfId="42149"/>
    <cellStyle name="Comma 5 2 3 4 2 2 8" xfId="26568"/>
    <cellStyle name="Comma 5 2 3 4 2 3" xfId="1341"/>
    <cellStyle name="Comma 5 2 3 4 2 3 2" xfId="3770"/>
    <cellStyle name="Comma 5 2 3 4 2 3 2 2" xfId="12906"/>
    <cellStyle name="Comma 5 2 3 4 2 3 2 2 2" xfId="23125"/>
    <cellStyle name="Comma 5 2 3 4 2 3 2 2 2 2" xfId="48678"/>
    <cellStyle name="Comma 5 2 3 4 2 3 2 2 3" xfId="38461"/>
    <cellStyle name="Comma 5 2 3 4 2 3 2 3" xfId="9327"/>
    <cellStyle name="Comma 5 2 3 4 2 3 2 3 2" xfId="34884"/>
    <cellStyle name="Comma 5 2 3 4 2 3 2 4" xfId="18118"/>
    <cellStyle name="Comma 5 2 3 4 2 3 2 4 2" xfId="43671"/>
    <cellStyle name="Comma 5 2 3 4 2 3 2 5" xfId="29608"/>
    <cellStyle name="Comma 5 2 3 4 2 3 3" xfId="4803"/>
    <cellStyle name="Comma 5 2 3 4 2 3 3 2" xfId="13640"/>
    <cellStyle name="Comma 5 2 3 4 2 3 3 2 2" xfId="23891"/>
    <cellStyle name="Comma 5 2 3 4 2 3 3 2 2 2" xfId="49444"/>
    <cellStyle name="Comma 5 2 3 4 2 3 3 2 3" xfId="39195"/>
    <cellStyle name="Comma 5 2 3 4 2 3 3 3" xfId="10061"/>
    <cellStyle name="Comma 5 2 3 4 2 3 3 3 2" xfId="35618"/>
    <cellStyle name="Comma 5 2 3 4 2 3 3 4" xfId="18884"/>
    <cellStyle name="Comma 5 2 3 4 2 3 3 4 2" xfId="44437"/>
    <cellStyle name="Comma 5 2 3 4 2 3 3 5" xfId="30374"/>
    <cellStyle name="Comma 5 2 3 4 2 3 4" xfId="2164"/>
    <cellStyle name="Comma 5 2 3 4 2 3 4 2" xfId="11529"/>
    <cellStyle name="Comma 5 2 3 4 2 3 4 2 2" xfId="37084"/>
    <cellStyle name="Comma 5 2 3 4 2 3 4 3" xfId="21533"/>
    <cellStyle name="Comma 5 2 3 4 2 3 4 3 2" xfId="47086"/>
    <cellStyle name="Comma 5 2 3 4 2 3 4 4" xfId="28016"/>
    <cellStyle name="Comma 5 2 3 4 2 3 5" xfId="6258"/>
    <cellStyle name="Comma 5 2 3 4 2 3 5 2" xfId="15085"/>
    <cellStyle name="Comma 5 2 3 4 2 3 5 2 2" xfId="40640"/>
    <cellStyle name="Comma 5 2 3 4 2 3 5 3" xfId="25336"/>
    <cellStyle name="Comma 5 2 3 4 2 3 5 3 2" xfId="50889"/>
    <cellStyle name="Comma 5 2 3 4 2 3 5 4" xfId="31819"/>
    <cellStyle name="Comma 5 2 3 4 2 3 6" xfId="7704"/>
    <cellStyle name="Comma 5 2 3 4 2 3 6 2" xfId="20724"/>
    <cellStyle name="Comma 5 2 3 4 2 3 6 2 2" xfId="46277"/>
    <cellStyle name="Comma 5 2 3 4 2 3 6 3" xfId="33261"/>
    <cellStyle name="Comma 5 2 3 4 2 3 7" xfId="16526"/>
    <cellStyle name="Comma 5 2 3 4 2 3 7 2" xfId="42079"/>
    <cellStyle name="Comma 5 2 3 4 2 3 8" xfId="27207"/>
    <cellStyle name="Comma 5 2 3 4 2 4" xfId="3055"/>
    <cellStyle name="Comma 5 2 3 4 2 4 2" xfId="5433"/>
    <cellStyle name="Comma 5 2 3 4 2 4 2 2" xfId="14270"/>
    <cellStyle name="Comma 5 2 3 4 2 4 2 2 2" xfId="24521"/>
    <cellStyle name="Comma 5 2 3 4 2 4 2 2 2 2" xfId="50074"/>
    <cellStyle name="Comma 5 2 3 4 2 4 2 2 3" xfId="39825"/>
    <cellStyle name="Comma 5 2 3 4 2 4 2 3" xfId="10691"/>
    <cellStyle name="Comma 5 2 3 4 2 4 2 3 2" xfId="36248"/>
    <cellStyle name="Comma 5 2 3 4 2 4 2 4" xfId="19514"/>
    <cellStyle name="Comma 5 2 3 4 2 4 2 4 2" xfId="45067"/>
    <cellStyle name="Comma 5 2 3 4 2 4 2 5" xfId="31004"/>
    <cellStyle name="Comma 5 2 3 4 2 4 3" xfId="6888"/>
    <cellStyle name="Comma 5 2 3 4 2 4 3 2" xfId="15715"/>
    <cellStyle name="Comma 5 2 3 4 2 4 3 2 2" xfId="41270"/>
    <cellStyle name="Comma 5 2 3 4 2 4 3 3" xfId="25966"/>
    <cellStyle name="Comma 5 2 3 4 2 4 3 3 2" xfId="51519"/>
    <cellStyle name="Comma 5 2 3 4 2 4 3 4" xfId="32449"/>
    <cellStyle name="Comma 5 2 3 4 2 4 4" xfId="8334"/>
    <cellStyle name="Comma 5 2 3 4 2 4 4 2" xfId="22416"/>
    <cellStyle name="Comma 5 2 3 4 2 4 4 2 2" xfId="47969"/>
    <cellStyle name="Comma 5 2 3 4 2 4 4 3" xfId="33891"/>
    <cellStyle name="Comma 5 2 3 4 2 4 5" xfId="17409"/>
    <cellStyle name="Comma 5 2 3 4 2 4 5 2" xfId="42962"/>
    <cellStyle name="Comma 5 2 3 4 2 4 6" xfId="28899"/>
    <cellStyle name="Comma 5 2 3 4 2 5" xfId="4389"/>
    <cellStyle name="Comma 5 2 3 4 2 5 2" xfId="13227"/>
    <cellStyle name="Comma 5 2 3 4 2 5 2 2" xfId="23478"/>
    <cellStyle name="Comma 5 2 3 4 2 5 2 2 2" xfId="49031"/>
    <cellStyle name="Comma 5 2 3 4 2 5 2 3" xfId="38782"/>
    <cellStyle name="Comma 5 2 3 4 2 5 3" xfId="9648"/>
    <cellStyle name="Comma 5 2 3 4 2 5 3 2" xfId="35205"/>
    <cellStyle name="Comma 5 2 3 4 2 5 4" xfId="18471"/>
    <cellStyle name="Comma 5 2 3 4 2 5 4 2" xfId="44024"/>
    <cellStyle name="Comma 5 2 3 4 2 5 5" xfId="29961"/>
    <cellStyle name="Comma 5 2 3 4 2 6" xfId="1661"/>
    <cellStyle name="Comma 5 2 3 4 2 6 2" xfId="11038"/>
    <cellStyle name="Comma 5 2 3 4 2 6 2 2" xfId="36593"/>
    <cellStyle name="Comma 5 2 3 4 2 6 3" xfId="21042"/>
    <cellStyle name="Comma 5 2 3 4 2 6 3 2" xfId="46595"/>
    <cellStyle name="Comma 5 2 3 4 2 6 4" xfId="27525"/>
    <cellStyle name="Comma 5 2 3 4 2 7" xfId="5845"/>
    <cellStyle name="Comma 5 2 3 4 2 7 2" xfId="14672"/>
    <cellStyle name="Comma 5 2 3 4 2 7 2 2" xfId="40227"/>
    <cellStyle name="Comma 5 2 3 4 2 7 3" xfId="24923"/>
    <cellStyle name="Comma 5 2 3 4 2 7 3 2" xfId="50476"/>
    <cellStyle name="Comma 5 2 3 4 2 7 4" xfId="31406"/>
    <cellStyle name="Comma 5 2 3 4 2 8" xfId="7289"/>
    <cellStyle name="Comma 5 2 3 4 2 8 2" xfId="20015"/>
    <cellStyle name="Comma 5 2 3 4 2 8 2 2" xfId="45568"/>
    <cellStyle name="Comma 5 2 3 4 2 8 3" xfId="32846"/>
    <cellStyle name="Comma 5 2 3 4 2 9" xfId="16035"/>
    <cellStyle name="Comma 5 2 3 4 2 9 2" xfId="41588"/>
    <cellStyle name="Comma 5 2 3 4 3" xfId="364"/>
    <cellStyle name="Comma 5 2 3 4 3 2" xfId="2850"/>
    <cellStyle name="Comma 5 2 3 4 3 2 2" xfId="12138"/>
    <cellStyle name="Comma 5 2 3 4 3 2 2 2" xfId="22211"/>
    <cellStyle name="Comma 5 2 3 4 3 2 2 2 2" xfId="47764"/>
    <cellStyle name="Comma 5 2 3 4 3 2 2 3" xfId="37693"/>
    <cellStyle name="Comma 5 2 3 4 3 2 3" xfId="8456"/>
    <cellStyle name="Comma 5 2 3 4 3 2 3 2" xfId="34013"/>
    <cellStyle name="Comma 5 2 3 4 3 2 4" xfId="17204"/>
    <cellStyle name="Comma 5 2 3 4 3 2 4 2" xfId="42757"/>
    <cellStyle name="Comma 5 2 3 4 3 2 5" xfId="28694"/>
    <cellStyle name="Comma 5 2 3 4 3 3" xfId="4453"/>
    <cellStyle name="Comma 5 2 3 4 3 3 2" xfId="13291"/>
    <cellStyle name="Comma 5 2 3 4 3 3 2 2" xfId="23542"/>
    <cellStyle name="Comma 5 2 3 4 3 3 2 2 2" xfId="49095"/>
    <cellStyle name="Comma 5 2 3 4 3 3 2 3" xfId="38846"/>
    <cellStyle name="Comma 5 2 3 4 3 3 3" xfId="9712"/>
    <cellStyle name="Comma 5 2 3 4 3 3 3 2" xfId="35269"/>
    <cellStyle name="Comma 5 2 3 4 3 3 4" xfId="18535"/>
    <cellStyle name="Comma 5 2 3 4 3 3 4 2" xfId="44088"/>
    <cellStyle name="Comma 5 2 3 4 3 3 5" xfId="30025"/>
    <cellStyle name="Comma 5 2 3 4 3 4" xfId="1959"/>
    <cellStyle name="Comma 5 2 3 4 3 4 2" xfId="11324"/>
    <cellStyle name="Comma 5 2 3 4 3 4 2 2" xfId="36879"/>
    <cellStyle name="Comma 5 2 3 4 3 4 3" xfId="21328"/>
    <cellStyle name="Comma 5 2 3 4 3 4 3 2" xfId="46881"/>
    <cellStyle name="Comma 5 2 3 4 3 4 4" xfId="27811"/>
    <cellStyle name="Comma 5 2 3 4 3 5" xfId="5909"/>
    <cellStyle name="Comma 5 2 3 4 3 5 2" xfId="14736"/>
    <cellStyle name="Comma 5 2 3 4 3 5 2 2" xfId="40291"/>
    <cellStyle name="Comma 5 2 3 4 3 5 3" xfId="24987"/>
    <cellStyle name="Comma 5 2 3 4 3 5 3 2" xfId="50540"/>
    <cellStyle name="Comma 5 2 3 4 3 5 4" xfId="31470"/>
    <cellStyle name="Comma 5 2 3 4 3 6" xfId="7353"/>
    <cellStyle name="Comma 5 2 3 4 3 6 2" xfId="19810"/>
    <cellStyle name="Comma 5 2 3 4 3 6 2 2" xfId="45363"/>
    <cellStyle name="Comma 5 2 3 4 3 6 3" xfId="32910"/>
    <cellStyle name="Comma 5 2 3 4 3 7" xfId="16321"/>
    <cellStyle name="Comma 5 2 3 4 3 7 2" xfId="41874"/>
    <cellStyle name="Comma 5 2 3 4 3 8" xfId="26293"/>
    <cellStyle name="Comma 5 2 3 4 4" xfId="638"/>
    <cellStyle name="Comma 5 2 3 4 4 2" xfId="3124"/>
    <cellStyle name="Comma 5 2 3 4 4 2 2" xfId="12267"/>
    <cellStyle name="Comma 5 2 3 4 4 2 2 2" xfId="22485"/>
    <cellStyle name="Comma 5 2 3 4 4 2 2 2 2" xfId="48038"/>
    <cellStyle name="Comma 5 2 3 4 4 2 2 3" xfId="37822"/>
    <cellStyle name="Comma 5 2 3 4 4 2 3" xfId="8689"/>
    <cellStyle name="Comma 5 2 3 4 4 2 3 2" xfId="34246"/>
    <cellStyle name="Comma 5 2 3 4 4 2 4" xfId="17478"/>
    <cellStyle name="Comma 5 2 3 4 4 2 4 2" xfId="43031"/>
    <cellStyle name="Comma 5 2 3 4 4 2 5" xfId="28968"/>
    <cellStyle name="Comma 5 2 3 4 4 3" xfId="4802"/>
    <cellStyle name="Comma 5 2 3 4 4 3 2" xfId="13639"/>
    <cellStyle name="Comma 5 2 3 4 4 3 2 2" xfId="23890"/>
    <cellStyle name="Comma 5 2 3 4 4 3 2 2 2" xfId="49443"/>
    <cellStyle name="Comma 5 2 3 4 4 3 2 3" xfId="39194"/>
    <cellStyle name="Comma 5 2 3 4 4 3 3" xfId="10060"/>
    <cellStyle name="Comma 5 2 3 4 4 3 3 2" xfId="35617"/>
    <cellStyle name="Comma 5 2 3 4 4 3 4" xfId="18883"/>
    <cellStyle name="Comma 5 2 3 4 4 3 4 2" xfId="44436"/>
    <cellStyle name="Comma 5 2 3 4 4 3 5" xfId="30373"/>
    <cellStyle name="Comma 5 2 3 4 4 4" xfId="2233"/>
    <cellStyle name="Comma 5 2 3 4 4 4 2" xfId="11598"/>
    <cellStyle name="Comma 5 2 3 4 4 4 2 2" xfId="37153"/>
    <cellStyle name="Comma 5 2 3 4 4 4 3" xfId="21602"/>
    <cellStyle name="Comma 5 2 3 4 4 4 3 2" xfId="47155"/>
    <cellStyle name="Comma 5 2 3 4 4 4 4" xfId="28085"/>
    <cellStyle name="Comma 5 2 3 4 4 5" xfId="6257"/>
    <cellStyle name="Comma 5 2 3 4 4 5 2" xfId="15084"/>
    <cellStyle name="Comma 5 2 3 4 4 5 2 2" xfId="40639"/>
    <cellStyle name="Comma 5 2 3 4 4 5 3" xfId="25335"/>
    <cellStyle name="Comma 5 2 3 4 4 5 3 2" xfId="50888"/>
    <cellStyle name="Comma 5 2 3 4 4 5 4" xfId="31818"/>
    <cellStyle name="Comma 5 2 3 4 4 6" xfId="7703"/>
    <cellStyle name="Comma 5 2 3 4 4 6 2" xfId="20084"/>
    <cellStyle name="Comma 5 2 3 4 4 6 2 2" xfId="45637"/>
    <cellStyle name="Comma 5 2 3 4 4 6 3" xfId="33260"/>
    <cellStyle name="Comma 5 2 3 4 4 7" xfId="16595"/>
    <cellStyle name="Comma 5 2 3 4 4 7 2" xfId="42148"/>
    <cellStyle name="Comma 5 2 3 4 4 8" xfId="26567"/>
    <cellStyle name="Comma 5 2 3 4 5" xfId="1136"/>
    <cellStyle name="Comma 5 2 3 4 5 2" xfId="3565"/>
    <cellStyle name="Comma 5 2 3 4 5 2 2" xfId="12701"/>
    <cellStyle name="Comma 5 2 3 4 5 2 2 2" xfId="22920"/>
    <cellStyle name="Comma 5 2 3 4 5 2 2 2 2" xfId="48473"/>
    <cellStyle name="Comma 5 2 3 4 5 2 2 3" xfId="38256"/>
    <cellStyle name="Comma 5 2 3 4 5 2 3" xfId="9122"/>
    <cellStyle name="Comma 5 2 3 4 5 2 3 2" xfId="34679"/>
    <cellStyle name="Comma 5 2 3 4 5 2 4" xfId="17913"/>
    <cellStyle name="Comma 5 2 3 4 5 2 4 2" xfId="43466"/>
    <cellStyle name="Comma 5 2 3 4 5 2 5" xfId="29403"/>
    <cellStyle name="Comma 5 2 3 4 5 3" xfId="5228"/>
    <cellStyle name="Comma 5 2 3 4 5 3 2" xfId="14065"/>
    <cellStyle name="Comma 5 2 3 4 5 3 2 2" xfId="24316"/>
    <cellStyle name="Comma 5 2 3 4 5 3 2 2 2" xfId="49869"/>
    <cellStyle name="Comma 5 2 3 4 5 3 2 3" xfId="39620"/>
    <cellStyle name="Comma 5 2 3 4 5 3 3" xfId="10486"/>
    <cellStyle name="Comma 5 2 3 4 5 3 3 2" xfId="36043"/>
    <cellStyle name="Comma 5 2 3 4 5 3 4" xfId="19309"/>
    <cellStyle name="Comma 5 2 3 4 5 3 4 2" xfId="44862"/>
    <cellStyle name="Comma 5 2 3 4 5 3 5" xfId="30799"/>
    <cellStyle name="Comma 5 2 3 4 5 4" xfId="1844"/>
    <cellStyle name="Comma 5 2 3 4 5 4 2" xfId="11212"/>
    <cellStyle name="Comma 5 2 3 4 5 4 2 2" xfId="36767"/>
    <cellStyle name="Comma 5 2 3 4 5 4 3" xfId="21216"/>
    <cellStyle name="Comma 5 2 3 4 5 4 3 2" xfId="46769"/>
    <cellStyle name="Comma 5 2 3 4 5 4 4" xfId="27699"/>
    <cellStyle name="Comma 5 2 3 4 5 5" xfId="6683"/>
    <cellStyle name="Comma 5 2 3 4 5 5 2" xfId="15510"/>
    <cellStyle name="Comma 5 2 3 4 5 5 2 2" xfId="41065"/>
    <cellStyle name="Comma 5 2 3 4 5 5 3" xfId="25761"/>
    <cellStyle name="Comma 5 2 3 4 5 5 3 2" xfId="51314"/>
    <cellStyle name="Comma 5 2 3 4 5 5 4" xfId="32244"/>
    <cellStyle name="Comma 5 2 3 4 5 6" xfId="8129"/>
    <cellStyle name="Comma 5 2 3 4 5 6 2" xfId="20519"/>
    <cellStyle name="Comma 5 2 3 4 5 6 2 2" xfId="46072"/>
    <cellStyle name="Comma 5 2 3 4 5 6 3" xfId="33686"/>
    <cellStyle name="Comma 5 2 3 4 5 7" xfId="16209"/>
    <cellStyle name="Comma 5 2 3 4 5 7 2" xfId="41762"/>
    <cellStyle name="Comma 5 2 3 4 5 8" xfId="27002"/>
    <cellStyle name="Comma 5 2 3 4 6" xfId="2738"/>
    <cellStyle name="Comma 5 2 3 4 6 2" xfId="12055"/>
    <cellStyle name="Comma 5 2 3 4 6 2 2" xfId="22099"/>
    <cellStyle name="Comma 5 2 3 4 6 2 2 2" xfId="47652"/>
    <cellStyle name="Comma 5 2 3 4 6 2 3" xfId="37610"/>
    <cellStyle name="Comma 5 2 3 4 6 3" xfId="8482"/>
    <cellStyle name="Comma 5 2 3 4 6 3 2" xfId="34039"/>
    <cellStyle name="Comma 5 2 3 4 6 4" xfId="17092"/>
    <cellStyle name="Comma 5 2 3 4 6 4 2" xfId="42645"/>
    <cellStyle name="Comma 5 2 3 4 6 5" xfId="28582"/>
    <cellStyle name="Comma 5 2 3 4 7" xfId="4184"/>
    <cellStyle name="Comma 5 2 3 4 7 2" xfId="13022"/>
    <cellStyle name="Comma 5 2 3 4 7 2 2" xfId="23273"/>
    <cellStyle name="Comma 5 2 3 4 7 2 2 2" xfId="48826"/>
    <cellStyle name="Comma 5 2 3 4 7 2 3" xfId="38577"/>
    <cellStyle name="Comma 5 2 3 4 7 3" xfId="9443"/>
    <cellStyle name="Comma 5 2 3 4 7 3 2" xfId="35000"/>
    <cellStyle name="Comma 5 2 3 4 7 4" xfId="18266"/>
    <cellStyle name="Comma 5 2 3 4 7 4 2" xfId="43819"/>
    <cellStyle name="Comma 5 2 3 4 7 5" xfId="29756"/>
    <cellStyle name="Comma 5 2 3 4 8" xfId="1456"/>
    <cellStyle name="Comma 5 2 3 4 8 2" xfId="10833"/>
    <cellStyle name="Comma 5 2 3 4 8 2 2" xfId="36388"/>
    <cellStyle name="Comma 5 2 3 4 8 3" xfId="20837"/>
    <cellStyle name="Comma 5 2 3 4 8 3 2" xfId="46390"/>
    <cellStyle name="Comma 5 2 3 4 8 4" xfId="27320"/>
    <cellStyle name="Comma 5 2 3 4 9" xfId="5640"/>
    <cellStyle name="Comma 5 2 3 4 9 2" xfId="14467"/>
    <cellStyle name="Comma 5 2 3 4 9 2 2" xfId="40022"/>
    <cellStyle name="Comma 5 2 3 4 9 3" xfId="24718"/>
    <cellStyle name="Comma 5 2 3 4 9 3 2" xfId="50271"/>
    <cellStyle name="Comma 5 2 3 4 9 4" xfId="31201"/>
    <cellStyle name="Comma 5 2 3 5" xfId="464"/>
    <cellStyle name="Comma 5 2 3 5 10" xfId="26393"/>
    <cellStyle name="Comma 5 2 3 5 2" xfId="640"/>
    <cellStyle name="Comma 5 2 3 5 2 2" xfId="3126"/>
    <cellStyle name="Comma 5 2 3 5 2 2 2" xfId="12269"/>
    <cellStyle name="Comma 5 2 3 5 2 2 2 2" xfId="22487"/>
    <cellStyle name="Comma 5 2 3 5 2 2 2 2 2" xfId="48040"/>
    <cellStyle name="Comma 5 2 3 5 2 2 2 3" xfId="37824"/>
    <cellStyle name="Comma 5 2 3 5 2 2 3" xfId="8691"/>
    <cellStyle name="Comma 5 2 3 5 2 2 3 2" xfId="34248"/>
    <cellStyle name="Comma 5 2 3 5 2 2 4" xfId="17480"/>
    <cellStyle name="Comma 5 2 3 5 2 2 4 2" xfId="43033"/>
    <cellStyle name="Comma 5 2 3 5 2 2 5" xfId="28970"/>
    <cellStyle name="Comma 5 2 3 5 2 3" xfId="4455"/>
    <cellStyle name="Comma 5 2 3 5 2 3 2" xfId="13293"/>
    <cellStyle name="Comma 5 2 3 5 2 3 2 2" xfId="23544"/>
    <cellStyle name="Comma 5 2 3 5 2 3 2 2 2" xfId="49097"/>
    <cellStyle name="Comma 5 2 3 5 2 3 2 3" xfId="38848"/>
    <cellStyle name="Comma 5 2 3 5 2 3 3" xfId="9714"/>
    <cellStyle name="Comma 5 2 3 5 2 3 3 2" xfId="35271"/>
    <cellStyle name="Comma 5 2 3 5 2 3 4" xfId="18537"/>
    <cellStyle name="Comma 5 2 3 5 2 3 4 2" xfId="44090"/>
    <cellStyle name="Comma 5 2 3 5 2 3 5" xfId="30027"/>
    <cellStyle name="Comma 5 2 3 5 2 4" xfId="2235"/>
    <cellStyle name="Comma 5 2 3 5 2 4 2" xfId="11600"/>
    <cellStyle name="Comma 5 2 3 5 2 4 2 2" xfId="37155"/>
    <cellStyle name="Comma 5 2 3 5 2 4 3" xfId="21604"/>
    <cellStyle name="Comma 5 2 3 5 2 4 3 2" xfId="47157"/>
    <cellStyle name="Comma 5 2 3 5 2 4 4" xfId="28087"/>
    <cellStyle name="Comma 5 2 3 5 2 5" xfId="5911"/>
    <cellStyle name="Comma 5 2 3 5 2 5 2" xfId="14738"/>
    <cellStyle name="Comma 5 2 3 5 2 5 2 2" xfId="40293"/>
    <cellStyle name="Comma 5 2 3 5 2 5 3" xfId="24989"/>
    <cellStyle name="Comma 5 2 3 5 2 5 3 2" xfId="50542"/>
    <cellStyle name="Comma 5 2 3 5 2 5 4" xfId="31472"/>
    <cellStyle name="Comma 5 2 3 5 2 6" xfId="7355"/>
    <cellStyle name="Comma 5 2 3 5 2 6 2" xfId="20086"/>
    <cellStyle name="Comma 5 2 3 5 2 6 2 2" xfId="45639"/>
    <cellStyle name="Comma 5 2 3 5 2 6 3" xfId="32912"/>
    <cellStyle name="Comma 5 2 3 5 2 7" xfId="16597"/>
    <cellStyle name="Comma 5 2 3 5 2 7 2" xfId="42150"/>
    <cellStyle name="Comma 5 2 3 5 2 8" xfId="26569"/>
    <cellStyle name="Comma 5 2 3 5 3" xfId="1236"/>
    <cellStyle name="Comma 5 2 3 5 3 2" xfId="3665"/>
    <cellStyle name="Comma 5 2 3 5 3 2 2" xfId="12801"/>
    <cellStyle name="Comma 5 2 3 5 3 2 2 2" xfId="23020"/>
    <cellStyle name="Comma 5 2 3 5 3 2 2 2 2" xfId="48573"/>
    <cellStyle name="Comma 5 2 3 5 3 2 2 3" xfId="38356"/>
    <cellStyle name="Comma 5 2 3 5 3 2 3" xfId="9222"/>
    <cellStyle name="Comma 5 2 3 5 3 2 3 2" xfId="34779"/>
    <cellStyle name="Comma 5 2 3 5 3 2 4" xfId="18013"/>
    <cellStyle name="Comma 5 2 3 5 3 2 4 2" xfId="43566"/>
    <cellStyle name="Comma 5 2 3 5 3 2 5" xfId="29503"/>
    <cellStyle name="Comma 5 2 3 5 3 3" xfId="4804"/>
    <cellStyle name="Comma 5 2 3 5 3 3 2" xfId="13641"/>
    <cellStyle name="Comma 5 2 3 5 3 3 2 2" xfId="23892"/>
    <cellStyle name="Comma 5 2 3 5 3 3 2 2 2" xfId="49445"/>
    <cellStyle name="Comma 5 2 3 5 3 3 2 3" xfId="39196"/>
    <cellStyle name="Comma 5 2 3 5 3 3 3" xfId="10062"/>
    <cellStyle name="Comma 5 2 3 5 3 3 3 2" xfId="35619"/>
    <cellStyle name="Comma 5 2 3 5 3 3 4" xfId="18885"/>
    <cellStyle name="Comma 5 2 3 5 3 3 4 2" xfId="44438"/>
    <cellStyle name="Comma 5 2 3 5 3 3 5" xfId="30375"/>
    <cellStyle name="Comma 5 2 3 5 3 4" xfId="2059"/>
    <cellStyle name="Comma 5 2 3 5 3 4 2" xfId="11424"/>
    <cellStyle name="Comma 5 2 3 5 3 4 2 2" xfId="36979"/>
    <cellStyle name="Comma 5 2 3 5 3 4 3" xfId="21428"/>
    <cellStyle name="Comma 5 2 3 5 3 4 3 2" xfId="46981"/>
    <cellStyle name="Comma 5 2 3 5 3 4 4" xfId="27911"/>
    <cellStyle name="Comma 5 2 3 5 3 5" xfId="6259"/>
    <cellStyle name="Comma 5 2 3 5 3 5 2" xfId="15086"/>
    <cellStyle name="Comma 5 2 3 5 3 5 2 2" xfId="40641"/>
    <cellStyle name="Comma 5 2 3 5 3 5 3" xfId="25337"/>
    <cellStyle name="Comma 5 2 3 5 3 5 3 2" xfId="50890"/>
    <cellStyle name="Comma 5 2 3 5 3 5 4" xfId="31820"/>
    <cellStyle name="Comma 5 2 3 5 3 6" xfId="7705"/>
    <cellStyle name="Comma 5 2 3 5 3 6 2" xfId="20619"/>
    <cellStyle name="Comma 5 2 3 5 3 6 2 2" xfId="46172"/>
    <cellStyle name="Comma 5 2 3 5 3 6 3" xfId="33262"/>
    <cellStyle name="Comma 5 2 3 5 3 7" xfId="16421"/>
    <cellStyle name="Comma 5 2 3 5 3 7 2" xfId="41974"/>
    <cellStyle name="Comma 5 2 3 5 3 8" xfId="27102"/>
    <cellStyle name="Comma 5 2 3 5 4" xfId="2950"/>
    <cellStyle name="Comma 5 2 3 5 4 2" xfId="5328"/>
    <cellStyle name="Comma 5 2 3 5 4 2 2" xfId="14165"/>
    <cellStyle name="Comma 5 2 3 5 4 2 2 2" xfId="24416"/>
    <cellStyle name="Comma 5 2 3 5 4 2 2 2 2" xfId="49969"/>
    <cellStyle name="Comma 5 2 3 5 4 2 2 3" xfId="39720"/>
    <cellStyle name="Comma 5 2 3 5 4 2 3" xfId="10586"/>
    <cellStyle name="Comma 5 2 3 5 4 2 3 2" xfId="36143"/>
    <cellStyle name="Comma 5 2 3 5 4 2 4" xfId="19409"/>
    <cellStyle name="Comma 5 2 3 5 4 2 4 2" xfId="44962"/>
    <cellStyle name="Comma 5 2 3 5 4 2 5" xfId="30899"/>
    <cellStyle name="Comma 5 2 3 5 4 3" xfId="6783"/>
    <cellStyle name="Comma 5 2 3 5 4 3 2" xfId="15610"/>
    <cellStyle name="Comma 5 2 3 5 4 3 2 2" xfId="41165"/>
    <cellStyle name="Comma 5 2 3 5 4 3 3" xfId="25861"/>
    <cellStyle name="Comma 5 2 3 5 4 3 3 2" xfId="51414"/>
    <cellStyle name="Comma 5 2 3 5 4 3 4" xfId="32344"/>
    <cellStyle name="Comma 5 2 3 5 4 4" xfId="8229"/>
    <cellStyle name="Comma 5 2 3 5 4 4 2" xfId="22311"/>
    <cellStyle name="Comma 5 2 3 5 4 4 2 2" xfId="47864"/>
    <cellStyle name="Comma 5 2 3 5 4 4 3" xfId="33786"/>
    <cellStyle name="Comma 5 2 3 5 4 5" xfId="17304"/>
    <cellStyle name="Comma 5 2 3 5 4 5 2" xfId="42857"/>
    <cellStyle name="Comma 5 2 3 5 4 6" xfId="28794"/>
    <cellStyle name="Comma 5 2 3 5 5" xfId="4284"/>
    <cellStyle name="Comma 5 2 3 5 5 2" xfId="13122"/>
    <cellStyle name="Comma 5 2 3 5 5 2 2" xfId="23373"/>
    <cellStyle name="Comma 5 2 3 5 5 2 2 2" xfId="48926"/>
    <cellStyle name="Comma 5 2 3 5 5 2 3" xfId="38677"/>
    <cellStyle name="Comma 5 2 3 5 5 3" xfId="9543"/>
    <cellStyle name="Comma 5 2 3 5 5 3 2" xfId="35100"/>
    <cellStyle name="Comma 5 2 3 5 5 4" xfId="18366"/>
    <cellStyle name="Comma 5 2 3 5 5 4 2" xfId="43919"/>
    <cellStyle name="Comma 5 2 3 5 5 5" xfId="29856"/>
    <cellStyle name="Comma 5 2 3 5 6" xfId="1556"/>
    <cellStyle name="Comma 5 2 3 5 6 2" xfId="10933"/>
    <cellStyle name="Comma 5 2 3 5 6 2 2" xfId="36488"/>
    <cellStyle name="Comma 5 2 3 5 6 3" xfId="20937"/>
    <cellStyle name="Comma 5 2 3 5 6 3 2" xfId="46490"/>
    <cellStyle name="Comma 5 2 3 5 6 4" xfId="27420"/>
    <cellStyle name="Comma 5 2 3 5 7" xfId="5740"/>
    <cellStyle name="Comma 5 2 3 5 7 2" xfId="14567"/>
    <cellStyle name="Comma 5 2 3 5 7 2 2" xfId="40122"/>
    <cellStyle name="Comma 5 2 3 5 7 3" xfId="24818"/>
    <cellStyle name="Comma 5 2 3 5 7 3 2" xfId="50371"/>
    <cellStyle name="Comma 5 2 3 5 7 4" xfId="31301"/>
    <cellStyle name="Comma 5 2 3 5 8" xfId="7184"/>
    <cellStyle name="Comma 5 2 3 5 8 2" xfId="19910"/>
    <cellStyle name="Comma 5 2 3 5 8 2 2" xfId="45463"/>
    <cellStyle name="Comma 5 2 3 5 8 3" xfId="32741"/>
    <cellStyle name="Comma 5 2 3 5 9" xfId="15930"/>
    <cellStyle name="Comma 5 2 3 5 9 2" xfId="41483"/>
    <cellStyle name="Comma 5 2 3 6" xfId="339"/>
    <cellStyle name="Comma 5 2 3 6 10" xfId="26268"/>
    <cellStyle name="Comma 5 2 3 6 2" xfId="641"/>
    <cellStyle name="Comma 5 2 3 6 2 2" xfId="3127"/>
    <cellStyle name="Comma 5 2 3 6 2 2 2" xfId="12270"/>
    <cellStyle name="Comma 5 2 3 6 2 2 2 2" xfId="22488"/>
    <cellStyle name="Comma 5 2 3 6 2 2 2 2 2" xfId="48041"/>
    <cellStyle name="Comma 5 2 3 6 2 2 2 3" xfId="37825"/>
    <cellStyle name="Comma 5 2 3 6 2 2 3" xfId="8692"/>
    <cellStyle name="Comma 5 2 3 6 2 2 3 2" xfId="34249"/>
    <cellStyle name="Comma 5 2 3 6 2 2 4" xfId="17481"/>
    <cellStyle name="Comma 5 2 3 6 2 2 4 2" xfId="43034"/>
    <cellStyle name="Comma 5 2 3 6 2 2 5" xfId="28971"/>
    <cellStyle name="Comma 5 2 3 6 2 3" xfId="4456"/>
    <cellStyle name="Comma 5 2 3 6 2 3 2" xfId="13294"/>
    <cellStyle name="Comma 5 2 3 6 2 3 2 2" xfId="23545"/>
    <cellStyle name="Comma 5 2 3 6 2 3 2 2 2" xfId="49098"/>
    <cellStyle name="Comma 5 2 3 6 2 3 2 3" xfId="38849"/>
    <cellStyle name="Comma 5 2 3 6 2 3 3" xfId="9715"/>
    <cellStyle name="Comma 5 2 3 6 2 3 3 2" xfId="35272"/>
    <cellStyle name="Comma 5 2 3 6 2 3 4" xfId="18538"/>
    <cellStyle name="Comma 5 2 3 6 2 3 4 2" xfId="44091"/>
    <cellStyle name="Comma 5 2 3 6 2 3 5" xfId="30028"/>
    <cellStyle name="Comma 5 2 3 6 2 4" xfId="2236"/>
    <cellStyle name="Comma 5 2 3 6 2 4 2" xfId="11601"/>
    <cellStyle name="Comma 5 2 3 6 2 4 2 2" xfId="37156"/>
    <cellStyle name="Comma 5 2 3 6 2 4 3" xfId="21605"/>
    <cellStyle name="Comma 5 2 3 6 2 4 3 2" xfId="47158"/>
    <cellStyle name="Comma 5 2 3 6 2 4 4" xfId="28088"/>
    <cellStyle name="Comma 5 2 3 6 2 5" xfId="5912"/>
    <cellStyle name="Comma 5 2 3 6 2 5 2" xfId="14739"/>
    <cellStyle name="Comma 5 2 3 6 2 5 2 2" xfId="40294"/>
    <cellStyle name="Comma 5 2 3 6 2 5 3" xfId="24990"/>
    <cellStyle name="Comma 5 2 3 6 2 5 3 2" xfId="50543"/>
    <cellStyle name="Comma 5 2 3 6 2 5 4" xfId="31473"/>
    <cellStyle name="Comma 5 2 3 6 2 6" xfId="7356"/>
    <cellStyle name="Comma 5 2 3 6 2 6 2" xfId="20087"/>
    <cellStyle name="Comma 5 2 3 6 2 6 2 2" xfId="45640"/>
    <cellStyle name="Comma 5 2 3 6 2 6 3" xfId="32913"/>
    <cellStyle name="Comma 5 2 3 6 2 7" xfId="16598"/>
    <cellStyle name="Comma 5 2 3 6 2 7 2" xfId="42151"/>
    <cellStyle name="Comma 5 2 3 6 2 8" xfId="26570"/>
    <cellStyle name="Comma 5 2 3 6 3" xfId="1111"/>
    <cellStyle name="Comma 5 2 3 6 3 2" xfId="3540"/>
    <cellStyle name="Comma 5 2 3 6 3 2 2" xfId="12676"/>
    <cellStyle name="Comma 5 2 3 6 3 2 2 2" xfId="22895"/>
    <cellStyle name="Comma 5 2 3 6 3 2 2 2 2" xfId="48448"/>
    <cellStyle name="Comma 5 2 3 6 3 2 2 3" xfId="38231"/>
    <cellStyle name="Comma 5 2 3 6 3 2 3" xfId="9097"/>
    <cellStyle name="Comma 5 2 3 6 3 2 3 2" xfId="34654"/>
    <cellStyle name="Comma 5 2 3 6 3 2 4" xfId="17888"/>
    <cellStyle name="Comma 5 2 3 6 3 2 4 2" xfId="43441"/>
    <cellStyle name="Comma 5 2 3 6 3 2 5" xfId="29378"/>
    <cellStyle name="Comma 5 2 3 6 3 3" xfId="4805"/>
    <cellStyle name="Comma 5 2 3 6 3 3 2" xfId="13642"/>
    <cellStyle name="Comma 5 2 3 6 3 3 2 2" xfId="23893"/>
    <cellStyle name="Comma 5 2 3 6 3 3 2 2 2" xfId="49446"/>
    <cellStyle name="Comma 5 2 3 6 3 3 2 3" xfId="39197"/>
    <cellStyle name="Comma 5 2 3 6 3 3 3" xfId="10063"/>
    <cellStyle name="Comma 5 2 3 6 3 3 3 2" xfId="35620"/>
    <cellStyle name="Comma 5 2 3 6 3 3 4" xfId="18886"/>
    <cellStyle name="Comma 5 2 3 6 3 3 4 2" xfId="44439"/>
    <cellStyle name="Comma 5 2 3 6 3 3 5" xfId="30376"/>
    <cellStyle name="Comma 5 2 3 6 3 4" xfId="2572"/>
    <cellStyle name="Comma 5 2 3 6 3 4 2" xfId="11936"/>
    <cellStyle name="Comma 5 2 3 6 3 4 2 2" xfId="37491"/>
    <cellStyle name="Comma 5 2 3 6 3 4 3" xfId="21940"/>
    <cellStyle name="Comma 5 2 3 6 3 4 3 2" xfId="47493"/>
    <cellStyle name="Comma 5 2 3 6 3 4 4" xfId="28423"/>
    <cellStyle name="Comma 5 2 3 6 3 5" xfId="6260"/>
    <cellStyle name="Comma 5 2 3 6 3 5 2" xfId="15087"/>
    <cellStyle name="Comma 5 2 3 6 3 5 2 2" xfId="40642"/>
    <cellStyle name="Comma 5 2 3 6 3 5 3" xfId="25338"/>
    <cellStyle name="Comma 5 2 3 6 3 5 3 2" xfId="50891"/>
    <cellStyle name="Comma 5 2 3 6 3 5 4" xfId="31821"/>
    <cellStyle name="Comma 5 2 3 6 3 6" xfId="7706"/>
    <cellStyle name="Comma 5 2 3 6 3 6 2" xfId="20494"/>
    <cellStyle name="Comma 5 2 3 6 3 6 2 2" xfId="46047"/>
    <cellStyle name="Comma 5 2 3 6 3 6 3" xfId="33263"/>
    <cellStyle name="Comma 5 2 3 6 3 7" xfId="16933"/>
    <cellStyle name="Comma 5 2 3 6 3 7 2" xfId="42486"/>
    <cellStyle name="Comma 5 2 3 6 3 8" xfId="26977"/>
    <cellStyle name="Comma 5 2 3 6 4" xfId="2825"/>
    <cellStyle name="Comma 5 2 3 6 4 2" xfId="5203"/>
    <cellStyle name="Comma 5 2 3 6 4 2 2" xfId="14040"/>
    <cellStyle name="Comma 5 2 3 6 4 2 2 2" xfId="24291"/>
    <cellStyle name="Comma 5 2 3 6 4 2 2 2 2" xfId="49844"/>
    <cellStyle name="Comma 5 2 3 6 4 2 2 3" xfId="39595"/>
    <cellStyle name="Comma 5 2 3 6 4 2 3" xfId="10461"/>
    <cellStyle name="Comma 5 2 3 6 4 2 3 2" xfId="36018"/>
    <cellStyle name="Comma 5 2 3 6 4 2 4" xfId="19284"/>
    <cellStyle name="Comma 5 2 3 6 4 2 4 2" xfId="44837"/>
    <cellStyle name="Comma 5 2 3 6 4 2 5" xfId="30774"/>
    <cellStyle name="Comma 5 2 3 6 4 3" xfId="6658"/>
    <cellStyle name="Comma 5 2 3 6 4 3 2" xfId="15485"/>
    <cellStyle name="Comma 5 2 3 6 4 3 2 2" xfId="41040"/>
    <cellStyle name="Comma 5 2 3 6 4 3 3" xfId="25736"/>
    <cellStyle name="Comma 5 2 3 6 4 3 3 2" xfId="51289"/>
    <cellStyle name="Comma 5 2 3 6 4 3 4" xfId="32219"/>
    <cellStyle name="Comma 5 2 3 6 4 4" xfId="8104"/>
    <cellStyle name="Comma 5 2 3 6 4 4 2" xfId="22186"/>
    <cellStyle name="Comma 5 2 3 6 4 4 2 2" xfId="47739"/>
    <cellStyle name="Comma 5 2 3 6 4 4 3" xfId="33661"/>
    <cellStyle name="Comma 5 2 3 6 4 5" xfId="17179"/>
    <cellStyle name="Comma 5 2 3 6 4 5 2" xfId="42732"/>
    <cellStyle name="Comma 5 2 3 6 4 6" xfId="28669"/>
    <cellStyle name="Comma 5 2 3 6 5" xfId="4157"/>
    <cellStyle name="Comma 5 2 3 6 5 2" xfId="12995"/>
    <cellStyle name="Comma 5 2 3 6 5 2 2" xfId="23246"/>
    <cellStyle name="Comma 5 2 3 6 5 2 2 2" xfId="48799"/>
    <cellStyle name="Comma 5 2 3 6 5 2 3" xfId="38550"/>
    <cellStyle name="Comma 5 2 3 6 5 3" xfId="9416"/>
    <cellStyle name="Comma 5 2 3 6 5 3 2" xfId="34973"/>
    <cellStyle name="Comma 5 2 3 6 5 4" xfId="18239"/>
    <cellStyle name="Comma 5 2 3 6 5 4 2" xfId="43792"/>
    <cellStyle name="Comma 5 2 3 6 5 5" xfId="29729"/>
    <cellStyle name="Comma 5 2 3 6 6" xfId="1934"/>
    <cellStyle name="Comma 5 2 3 6 6 2" xfId="11299"/>
    <cellStyle name="Comma 5 2 3 6 6 2 2" xfId="36854"/>
    <cellStyle name="Comma 5 2 3 6 6 3" xfId="21303"/>
    <cellStyle name="Comma 5 2 3 6 6 3 2" xfId="46856"/>
    <cellStyle name="Comma 5 2 3 6 6 4" xfId="27786"/>
    <cellStyle name="Comma 5 2 3 6 7" xfId="5615"/>
    <cellStyle name="Comma 5 2 3 6 7 2" xfId="14442"/>
    <cellStyle name="Comma 5 2 3 6 7 2 2" xfId="39997"/>
    <cellStyle name="Comma 5 2 3 6 7 3" xfId="24693"/>
    <cellStyle name="Comma 5 2 3 6 7 3 2" xfId="50246"/>
    <cellStyle name="Comma 5 2 3 6 7 4" xfId="31176"/>
    <cellStyle name="Comma 5 2 3 6 8" xfId="7059"/>
    <cellStyle name="Comma 5 2 3 6 8 2" xfId="19785"/>
    <cellStyle name="Comma 5 2 3 6 8 2 2" xfId="45338"/>
    <cellStyle name="Comma 5 2 3 6 8 3" xfId="32616"/>
    <cellStyle name="Comma 5 2 3 6 9" xfId="16296"/>
    <cellStyle name="Comma 5 2 3 6 9 2" xfId="41849"/>
    <cellStyle name="Comma 5 2 3 7" xfId="632"/>
    <cellStyle name="Comma 5 2 3 7 2" xfId="3118"/>
    <cellStyle name="Comma 5 2 3 7 2 2" xfId="12261"/>
    <cellStyle name="Comma 5 2 3 7 2 2 2" xfId="22479"/>
    <cellStyle name="Comma 5 2 3 7 2 2 2 2" xfId="48032"/>
    <cellStyle name="Comma 5 2 3 7 2 2 3" xfId="37816"/>
    <cellStyle name="Comma 5 2 3 7 2 3" xfId="8683"/>
    <cellStyle name="Comma 5 2 3 7 2 3 2" xfId="34240"/>
    <cellStyle name="Comma 5 2 3 7 2 4" xfId="17472"/>
    <cellStyle name="Comma 5 2 3 7 2 4 2" xfId="43025"/>
    <cellStyle name="Comma 5 2 3 7 2 5" xfId="28962"/>
    <cellStyle name="Comma 5 2 3 7 3" xfId="4447"/>
    <cellStyle name="Comma 5 2 3 7 3 2" xfId="13285"/>
    <cellStyle name="Comma 5 2 3 7 3 2 2" xfId="23536"/>
    <cellStyle name="Comma 5 2 3 7 3 2 2 2" xfId="49089"/>
    <cellStyle name="Comma 5 2 3 7 3 2 3" xfId="38840"/>
    <cellStyle name="Comma 5 2 3 7 3 3" xfId="9706"/>
    <cellStyle name="Comma 5 2 3 7 3 3 2" xfId="35263"/>
    <cellStyle name="Comma 5 2 3 7 3 4" xfId="18529"/>
    <cellStyle name="Comma 5 2 3 7 3 4 2" xfId="44082"/>
    <cellStyle name="Comma 5 2 3 7 3 5" xfId="30019"/>
    <cellStyle name="Comma 5 2 3 7 4" xfId="2227"/>
    <cellStyle name="Comma 5 2 3 7 4 2" xfId="11592"/>
    <cellStyle name="Comma 5 2 3 7 4 2 2" xfId="37147"/>
    <cellStyle name="Comma 5 2 3 7 4 3" xfId="21596"/>
    <cellStyle name="Comma 5 2 3 7 4 3 2" xfId="47149"/>
    <cellStyle name="Comma 5 2 3 7 4 4" xfId="28079"/>
    <cellStyle name="Comma 5 2 3 7 5" xfId="5903"/>
    <cellStyle name="Comma 5 2 3 7 5 2" xfId="14730"/>
    <cellStyle name="Comma 5 2 3 7 5 2 2" xfId="40285"/>
    <cellStyle name="Comma 5 2 3 7 5 3" xfId="24981"/>
    <cellStyle name="Comma 5 2 3 7 5 3 2" xfId="50534"/>
    <cellStyle name="Comma 5 2 3 7 5 4" xfId="31464"/>
    <cellStyle name="Comma 5 2 3 7 6" xfId="7347"/>
    <cellStyle name="Comma 5 2 3 7 6 2" xfId="20078"/>
    <cellStyle name="Comma 5 2 3 7 6 2 2" xfId="45631"/>
    <cellStyle name="Comma 5 2 3 7 6 3" xfId="32904"/>
    <cellStyle name="Comma 5 2 3 7 7" xfId="16589"/>
    <cellStyle name="Comma 5 2 3 7 7 2" xfId="42142"/>
    <cellStyle name="Comma 5 2 3 7 8" xfId="26561"/>
    <cellStyle name="Comma 5 2 3 8" xfId="1066"/>
    <cellStyle name="Comma 5 2 3 8 2" xfId="3495"/>
    <cellStyle name="Comma 5 2 3 8 2 2" xfId="12631"/>
    <cellStyle name="Comma 5 2 3 8 2 2 2" xfId="22850"/>
    <cellStyle name="Comma 5 2 3 8 2 2 2 2" xfId="48403"/>
    <cellStyle name="Comma 5 2 3 8 2 2 3" xfId="38186"/>
    <cellStyle name="Comma 5 2 3 8 2 3" xfId="9053"/>
    <cellStyle name="Comma 5 2 3 8 2 3 2" xfId="34610"/>
    <cellStyle name="Comma 5 2 3 8 2 4" xfId="17843"/>
    <cellStyle name="Comma 5 2 3 8 2 4 2" xfId="43396"/>
    <cellStyle name="Comma 5 2 3 8 2 5" xfId="29333"/>
    <cellStyle name="Comma 5 2 3 8 3" xfId="4796"/>
    <cellStyle name="Comma 5 2 3 8 3 2" xfId="13633"/>
    <cellStyle name="Comma 5 2 3 8 3 2 2" xfId="23884"/>
    <cellStyle name="Comma 5 2 3 8 3 2 2 2" xfId="49437"/>
    <cellStyle name="Comma 5 2 3 8 3 2 3" xfId="39188"/>
    <cellStyle name="Comma 5 2 3 8 3 3" xfId="10054"/>
    <cellStyle name="Comma 5 2 3 8 3 3 2" xfId="35611"/>
    <cellStyle name="Comma 5 2 3 8 3 4" xfId="18877"/>
    <cellStyle name="Comma 5 2 3 8 3 4 2" xfId="44430"/>
    <cellStyle name="Comma 5 2 3 8 3 5" xfId="30367"/>
    <cellStyle name="Comma 5 2 3 8 4" xfId="1732"/>
    <cellStyle name="Comma 5 2 3 8 4 2" xfId="11106"/>
    <cellStyle name="Comma 5 2 3 8 4 2 2" xfId="36661"/>
    <cellStyle name="Comma 5 2 3 8 4 3" xfId="21110"/>
    <cellStyle name="Comma 5 2 3 8 4 3 2" xfId="46663"/>
    <cellStyle name="Comma 5 2 3 8 4 4" xfId="27593"/>
    <cellStyle name="Comma 5 2 3 8 5" xfId="6251"/>
    <cellStyle name="Comma 5 2 3 8 5 2" xfId="15078"/>
    <cellStyle name="Comma 5 2 3 8 5 2 2" xfId="40633"/>
    <cellStyle name="Comma 5 2 3 8 5 3" xfId="25329"/>
    <cellStyle name="Comma 5 2 3 8 5 3 2" xfId="50882"/>
    <cellStyle name="Comma 5 2 3 8 5 4" xfId="31812"/>
    <cellStyle name="Comma 5 2 3 8 6" xfId="7697"/>
    <cellStyle name="Comma 5 2 3 8 6 2" xfId="20449"/>
    <cellStyle name="Comma 5 2 3 8 6 2 2" xfId="46002"/>
    <cellStyle name="Comma 5 2 3 8 6 3" xfId="33254"/>
    <cellStyle name="Comma 5 2 3 8 7" xfId="16103"/>
    <cellStyle name="Comma 5 2 3 8 7 2" xfId="41656"/>
    <cellStyle name="Comma 5 2 3 8 8" xfId="26932"/>
    <cellStyle name="Comma 5 2 3 9" xfId="2632"/>
    <cellStyle name="Comma 5 2 3 9 2" xfId="5158"/>
    <cellStyle name="Comma 5 2 3 9 2 2" xfId="13995"/>
    <cellStyle name="Comma 5 2 3 9 2 2 2" xfId="24246"/>
    <cellStyle name="Comma 5 2 3 9 2 2 2 2" xfId="49799"/>
    <cellStyle name="Comma 5 2 3 9 2 2 3" xfId="39550"/>
    <cellStyle name="Comma 5 2 3 9 2 3" xfId="10416"/>
    <cellStyle name="Comma 5 2 3 9 2 3 2" xfId="35973"/>
    <cellStyle name="Comma 5 2 3 9 2 4" xfId="19239"/>
    <cellStyle name="Comma 5 2 3 9 2 4 2" xfId="44792"/>
    <cellStyle name="Comma 5 2 3 9 2 5" xfId="30729"/>
    <cellStyle name="Comma 5 2 3 9 3" xfId="6613"/>
    <cellStyle name="Comma 5 2 3 9 3 2" xfId="15440"/>
    <cellStyle name="Comma 5 2 3 9 3 2 2" xfId="40995"/>
    <cellStyle name="Comma 5 2 3 9 3 3" xfId="25691"/>
    <cellStyle name="Comma 5 2 3 9 3 3 2" xfId="51244"/>
    <cellStyle name="Comma 5 2 3 9 3 4" xfId="32174"/>
    <cellStyle name="Comma 5 2 3 9 4" xfId="8059"/>
    <cellStyle name="Comma 5 2 3 9 4 2" xfId="21994"/>
    <cellStyle name="Comma 5 2 3 9 4 2 2" xfId="47547"/>
    <cellStyle name="Comma 5 2 3 9 4 3" xfId="33616"/>
    <cellStyle name="Comma 5 2 3 9 5" xfId="16987"/>
    <cellStyle name="Comma 5 2 3 9 5 2" xfId="42540"/>
    <cellStyle name="Comma 5 2 3 9 6" xfId="28477"/>
    <cellStyle name="Comma 5 2 4" xfId="141"/>
    <cellStyle name="Comma 5 2 4 10" xfId="1409"/>
    <cellStyle name="Comma 5 2 4 10 2" xfId="10786"/>
    <cellStyle name="Comma 5 2 4 10 2 2" xfId="36341"/>
    <cellStyle name="Comma 5 2 4 10 3" xfId="20790"/>
    <cellStyle name="Comma 5 2 4 10 3 2" xfId="46343"/>
    <cellStyle name="Comma 5 2 4 10 4" xfId="27273"/>
    <cellStyle name="Comma 5 2 4 11" xfId="5520"/>
    <cellStyle name="Comma 5 2 4 11 2" xfId="14347"/>
    <cellStyle name="Comma 5 2 4 11 2 2" xfId="39902"/>
    <cellStyle name="Comma 5 2 4 11 3" xfId="24598"/>
    <cellStyle name="Comma 5 2 4 11 3 2" xfId="50151"/>
    <cellStyle name="Comma 5 2 4 11 4" xfId="31081"/>
    <cellStyle name="Comma 5 2 4 12" xfId="6960"/>
    <cellStyle name="Comma 5 2 4 12 2" xfId="19605"/>
    <cellStyle name="Comma 5 2 4 12 2 2" xfId="45158"/>
    <cellStyle name="Comma 5 2 4 12 3" xfId="32518"/>
    <cellStyle name="Comma 5 2 4 13" xfId="15783"/>
    <cellStyle name="Comma 5 2 4 13 2" xfId="41336"/>
    <cellStyle name="Comma 5 2 4 14" xfId="26088"/>
    <cellStyle name="Comma 5 2 4 2" xfId="191"/>
    <cellStyle name="Comma 5 2 4 2 10" xfId="7139"/>
    <cellStyle name="Comma 5 2 4 2 10 2" xfId="19648"/>
    <cellStyle name="Comma 5 2 4 2 10 2 2" xfId="45201"/>
    <cellStyle name="Comma 5 2 4 2 10 3" xfId="32696"/>
    <cellStyle name="Comma 5 2 4 2 11" xfId="15885"/>
    <cellStyle name="Comma 5 2 4 2 11 2" xfId="41438"/>
    <cellStyle name="Comma 5 2 4 2 12" xfId="26131"/>
    <cellStyle name="Comma 5 2 4 2 2" xfId="519"/>
    <cellStyle name="Comma 5 2 4 2 2 10" xfId="26448"/>
    <cellStyle name="Comma 5 2 4 2 2 2" xfId="644"/>
    <cellStyle name="Comma 5 2 4 2 2 2 2" xfId="3130"/>
    <cellStyle name="Comma 5 2 4 2 2 2 2 2" xfId="12273"/>
    <cellStyle name="Comma 5 2 4 2 2 2 2 2 2" xfId="22491"/>
    <cellStyle name="Comma 5 2 4 2 2 2 2 2 2 2" xfId="48044"/>
    <cellStyle name="Comma 5 2 4 2 2 2 2 2 3" xfId="37828"/>
    <cellStyle name="Comma 5 2 4 2 2 2 2 3" xfId="8695"/>
    <cellStyle name="Comma 5 2 4 2 2 2 2 3 2" xfId="34252"/>
    <cellStyle name="Comma 5 2 4 2 2 2 2 4" xfId="17484"/>
    <cellStyle name="Comma 5 2 4 2 2 2 2 4 2" xfId="43037"/>
    <cellStyle name="Comma 5 2 4 2 2 2 2 5" xfId="28974"/>
    <cellStyle name="Comma 5 2 4 2 2 2 3" xfId="4459"/>
    <cellStyle name="Comma 5 2 4 2 2 2 3 2" xfId="13297"/>
    <cellStyle name="Comma 5 2 4 2 2 2 3 2 2" xfId="23548"/>
    <cellStyle name="Comma 5 2 4 2 2 2 3 2 2 2" xfId="49101"/>
    <cellStyle name="Comma 5 2 4 2 2 2 3 2 3" xfId="38852"/>
    <cellStyle name="Comma 5 2 4 2 2 2 3 3" xfId="9718"/>
    <cellStyle name="Comma 5 2 4 2 2 2 3 3 2" xfId="35275"/>
    <cellStyle name="Comma 5 2 4 2 2 2 3 4" xfId="18541"/>
    <cellStyle name="Comma 5 2 4 2 2 2 3 4 2" xfId="44094"/>
    <cellStyle name="Comma 5 2 4 2 2 2 3 5" xfId="30031"/>
    <cellStyle name="Comma 5 2 4 2 2 2 4" xfId="2239"/>
    <cellStyle name="Comma 5 2 4 2 2 2 4 2" xfId="11604"/>
    <cellStyle name="Comma 5 2 4 2 2 2 4 2 2" xfId="37159"/>
    <cellStyle name="Comma 5 2 4 2 2 2 4 3" xfId="21608"/>
    <cellStyle name="Comma 5 2 4 2 2 2 4 3 2" xfId="47161"/>
    <cellStyle name="Comma 5 2 4 2 2 2 4 4" xfId="28091"/>
    <cellStyle name="Comma 5 2 4 2 2 2 5" xfId="5915"/>
    <cellStyle name="Comma 5 2 4 2 2 2 5 2" xfId="14742"/>
    <cellStyle name="Comma 5 2 4 2 2 2 5 2 2" xfId="40297"/>
    <cellStyle name="Comma 5 2 4 2 2 2 5 3" xfId="24993"/>
    <cellStyle name="Comma 5 2 4 2 2 2 5 3 2" xfId="50546"/>
    <cellStyle name="Comma 5 2 4 2 2 2 5 4" xfId="31476"/>
    <cellStyle name="Comma 5 2 4 2 2 2 6" xfId="7359"/>
    <cellStyle name="Comma 5 2 4 2 2 2 6 2" xfId="20090"/>
    <cellStyle name="Comma 5 2 4 2 2 2 6 2 2" xfId="45643"/>
    <cellStyle name="Comma 5 2 4 2 2 2 6 3" xfId="32916"/>
    <cellStyle name="Comma 5 2 4 2 2 2 7" xfId="16601"/>
    <cellStyle name="Comma 5 2 4 2 2 2 7 2" xfId="42154"/>
    <cellStyle name="Comma 5 2 4 2 2 2 8" xfId="26573"/>
    <cellStyle name="Comma 5 2 4 2 2 3" xfId="1291"/>
    <cellStyle name="Comma 5 2 4 2 2 3 2" xfId="3720"/>
    <cellStyle name="Comma 5 2 4 2 2 3 2 2" xfId="12856"/>
    <cellStyle name="Comma 5 2 4 2 2 3 2 2 2" xfId="23075"/>
    <cellStyle name="Comma 5 2 4 2 2 3 2 2 2 2" xfId="48628"/>
    <cellStyle name="Comma 5 2 4 2 2 3 2 2 3" xfId="38411"/>
    <cellStyle name="Comma 5 2 4 2 2 3 2 3" xfId="9277"/>
    <cellStyle name="Comma 5 2 4 2 2 3 2 3 2" xfId="34834"/>
    <cellStyle name="Comma 5 2 4 2 2 3 2 4" xfId="18068"/>
    <cellStyle name="Comma 5 2 4 2 2 3 2 4 2" xfId="43621"/>
    <cellStyle name="Comma 5 2 4 2 2 3 2 5" xfId="29558"/>
    <cellStyle name="Comma 5 2 4 2 2 3 3" xfId="4808"/>
    <cellStyle name="Comma 5 2 4 2 2 3 3 2" xfId="13645"/>
    <cellStyle name="Comma 5 2 4 2 2 3 3 2 2" xfId="23896"/>
    <cellStyle name="Comma 5 2 4 2 2 3 3 2 2 2" xfId="49449"/>
    <cellStyle name="Comma 5 2 4 2 2 3 3 2 3" xfId="39200"/>
    <cellStyle name="Comma 5 2 4 2 2 3 3 3" xfId="10066"/>
    <cellStyle name="Comma 5 2 4 2 2 3 3 3 2" xfId="35623"/>
    <cellStyle name="Comma 5 2 4 2 2 3 3 4" xfId="18889"/>
    <cellStyle name="Comma 5 2 4 2 2 3 3 4 2" xfId="44442"/>
    <cellStyle name="Comma 5 2 4 2 2 3 3 5" xfId="30379"/>
    <cellStyle name="Comma 5 2 4 2 2 3 4" xfId="2114"/>
    <cellStyle name="Comma 5 2 4 2 2 3 4 2" xfId="11479"/>
    <cellStyle name="Comma 5 2 4 2 2 3 4 2 2" xfId="37034"/>
    <cellStyle name="Comma 5 2 4 2 2 3 4 3" xfId="21483"/>
    <cellStyle name="Comma 5 2 4 2 2 3 4 3 2" xfId="47036"/>
    <cellStyle name="Comma 5 2 4 2 2 3 4 4" xfId="27966"/>
    <cellStyle name="Comma 5 2 4 2 2 3 5" xfId="6263"/>
    <cellStyle name="Comma 5 2 4 2 2 3 5 2" xfId="15090"/>
    <cellStyle name="Comma 5 2 4 2 2 3 5 2 2" xfId="40645"/>
    <cellStyle name="Comma 5 2 4 2 2 3 5 3" xfId="25341"/>
    <cellStyle name="Comma 5 2 4 2 2 3 5 3 2" xfId="50894"/>
    <cellStyle name="Comma 5 2 4 2 2 3 5 4" xfId="31824"/>
    <cellStyle name="Comma 5 2 4 2 2 3 6" xfId="7709"/>
    <cellStyle name="Comma 5 2 4 2 2 3 6 2" xfId="20674"/>
    <cellStyle name="Comma 5 2 4 2 2 3 6 2 2" xfId="46227"/>
    <cellStyle name="Comma 5 2 4 2 2 3 6 3" xfId="33266"/>
    <cellStyle name="Comma 5 2 4 2 2 3 7" xfId="16476"/>
    <cellStyle name="Comma 5 2 4 2 2 3 7 2" xfId="42029"/>
    <cellStyle name="Comma 5 2 4 2 2 3 8" xfId="27157"/>
    <cellStyle name="Comma 5 2 4 2 2 4" xfId="3005"/>
    <cellStyle name="Comma 5 2 4 2 2 4 2" xfId="5383"/>
    <cellStyle name="Comma 5 2 4 2 2 4 2 2" xfId="14220"/>
    <cellStyle name="Comma 5 2 4 2 2 4 2 2 2" xfId="24471"/>
    <cellStyle name="Comma 5 2 4 2 2 4 2 2 2 2" xfId="50024"/>
    <cellStyle name="Comma 5 2 4 2 2 4 2 2 3" xfId="39775"/>
    <cellStyle name="Comma 5 2 4 2 2 4 2 3" xfId="10641"/>
    <cellStyle name="Comma 5 2 4 2 2 4 2 3 2" xfId="36198"/>
    <cellStyle name="Comma 5 2 4 2 2 4 2 4" xfId="19464"/>
    <cellStyle name="Comma 5 2 4 2 2 4 2 4 2" xfId="45017"/>
    <cellStyle name="Comma 5 2 4 2 2 4 2 5" xfId="30954"/>
    <cellStyle name="Comma 5 2 4 2 2 4 3" xfId="6838"/>
    <cellStyle name="Comma 5 2 4 2 2 4 3 2" xfId="15665"/>
    <cellStyle name="Comma 5 2 4 2 2 4 3 2 2" xfId="41220"/>
    <cellStyle name="Comma 5 2 4 2 2 4 3 3" xfId="25916"/>
    <cellStyle name="Comma 5 2 4 2 2 4 3 3 2" xfId="51469"/>
    <cellStyle name="Comma 5 2 4 2 2 4 3 4" xfId="32399"/>
    <cellStyle name="Comma 5 2 4 2 2 4 4" xfId="8284"/>
    <cellStyle name="Comma 5 2 4 2 2 4 4 2" xfId="22366"/>
    <cellStyle name="Comma 5 2 4 2 2 4 4 2 2" xfId="47919"/>
    <cellStyle name="Comma 5 2 4 2 2 4 4 3" xfId="33841"/>
    <cellStyle name="Comma 5 2 4 2 2 4 5" xfId="17359"/>
    <cellStyle name="Comma 5 2 4 2 2 4 5 2" xfId="42912"/>
    <cellStyle name="Comma 5 2 4 2 2 4 6" xfId="28849"/>
    <cellStyle name="Comma 5 2 4 2 2 5" xfId="4339"/>
    <cellStyle name="Comma 5 2 4 2 2 5 2" xfId="13177"/>
    <cellStyle name="Comma 5 2 4 2 2 5 2 2" xfId="23428"/>
    <cellStyle name="Comma 5 2 4 2 2 5 2 2 2" xfId="48981"/>
    <cellStyle name="Comma 5 2 4 2 2 5 2 3" xfId="38732"/>
    <cellStyle name="Comma 5 2 4 2 2 5 3" xfId="9598"/>
    <cellStyle name="Comma 5 2 4 2 2 5 3 2" xfId="35155"/>
    <cellStyle name="Comma 5 2 4 2 2 5 4" xfId="18421"/>
    <cellStyle name="Comma 5 2 4 2 2 5 4 2" xfId="43974"/>
    <cellStyle name="Comma 5 2 4 2 2 5 5" xfId="29911"/>
    <cellStyle name="Comma 5 2 4 2 2 6" xfId="1611"/>
    <cellStyle name="Comma 5 2 4 2 2 6 2" xfId="10988"/>
    <cellStyle name="Comma 5 2 4 2 2 6 2 2" xfId="36543"/>
    <cellStyle name="Comma 5 2 4 2 2 6 3" xfId="20992"/>
    <cellStyle name="Comma 5 2 4 2 2 6 3 2" xfId="46545"/>
    <cellStyle name="Comma 5 2 4 2 2 6 4" xfId="27475"/>
    <cellStyle name="Comma 5 2 4 2 2 7" xfId="5795"/>
    <cellStyle name="Comma 5 2 4 2 2 7 2" xfId="14622"/>
    <cellStyle name="Comma 5 2 4 2 2 7 2 2" xfId="40177"/>
    <cellStyle name="Comma 5 2 4 2 2 7 3" xfId="24873"/>
    <cellStyle name="Comma 5 2 4 2 2 7 3 2" xfId="50426"/>
    <cellStyle name="Comma 5 2 4 2 2 7 4" xfId="31356"/>
    <cellStyle name="Comma 5 2 4 2 2 8" xfId="7239"/>
    <cellStyle name="Comma 5 2 4 2 2 8 2" xfId="19965"/>
    <cellStyle name="Comma 5 2 4 2 2 8 2 2" xfId="45518"/>
    <cellStyle name="Comma 5 2 4 2 2 8 3" xfId="32796"/>
    <cellStyle name="Comma 5 2 4 2 2 9" xfId="15985"/>
    <cellStyle name="Comma 5 2 4 2 2 9 2" xfId="41538"/>
    <cellStyle name="Comma 5 2 4 2 3" xfId="419"/>
    <cellStyle name="Comma 5 2 4 2 3 2" xfId="2905"/>
    <cellStyle name="Comma 5 2 4 2 3 2 2" xfId="12193"/>
    <cellStyle name="Comma 5 2 4 2 3 2 2 2" xfId="22266"/>
    <cellStyle name="Comma 5 2 4 2 3 2 2 2 2" xfId="47819"/>
    <cellStyle name="Comma 5 2 4 2 3 2 2 3" xfId="37748"/>
    <cellStyle name="Comma 5 2 4 2 3 2 3" xfId="8514"/>
    <cellStyle name="Comma 5 2 4 2 3 2 3 2" xfId="34071"/>
    <cellStyle name="Comma 5 2 4 2 3 2 4" xfId="17259"/>
    <cellStyle name="Comma 5 2 4 2 3 2 4 2" xfId="42812"/>
    <cellStyle name="Comma 5 2 4 2 3 2 5" xfId="28749"/>
    <cellStyle name="Comma 5 2 4 2 3 3" xfId="4458"/>
    <cellStyle name="Comma 5 2 4 2 3 3 2" xfId="13296"/>
    <cellStyle name="Comma 5 2 4 2 3 3 2 2" xfId="23547"/>
    <cellStyle name="Comma 5 2 4 2 3 3 2 2 2" xfId="49100"/>
    <cellStyle name="Comma 5 2 4 2 3 3 2 3" xfId="38851"/>
    <cellStyle name="Comma 5 2 4 2 3 3 3" xfId="9717"/>
    <cellStyle name="Comma 5 2 4 2 3 3 3 2" xfId="35274"/>
    <cellStyle name="Comma 5 2 4 2 3 3 4" xfId="18540"/>
    <cellStyle name="Comma 5 2 4 2 3 3 4 2" xfId="44093"/>
    <cellStyle name="Comma 5 2 4 2 3 3 5" xfId="30030"/>
    <cellStyle name="Comma 5 2 4 2 3 4" xfId="2014"/>
    <cellStyle name="Comma 5 2 4 2 3 4 2" xfId="11379"/>
    <cellStyle name="Comma 5 2 4 2 3 4 2 2" xfId="36934"/>
    <cellStyle name="Comma 5 2 4 2 3 4 3" xfId="21383"/>
    <cellStyle name="Comma 5 2 4 2 3 4 3 2" xfId="46936"/>
    <cellStyle name="Comma 5 2 4 2 3 4 4" xfId="27866"/>
    <cellStyle name="Comma 5 2 4 2 3 5" xfId="5914"/>
    <cellStyle name="Comma 5 2 4 2 3 5 2" xfId="14741"/>
    <cellStyle name="Comma 5 2 4 2 3 5 2 2" xfId="40296"/>
    <cellStyle name="Comma 5 2 4 2 3 5 3" xfId="24992"/>
    <cellStyle name="Comma 5 2 4 2 3 5 3 2" xfId="50545"/>
    <cellStyle name="Comma 5 2 4 2 3 5 4" xfId="31475"/>
    <cellStyle name="Comma 5 2 4 2 3 6" xfId="7358"/>
    <cellStyle name="Comma 5 2 4 2 3 6 2" xfId="19865"/>
    <cellStyle name="Comma 5 2 4 2 3 6 2 2" xfId="45418"/>
    <cellStyle name="Comma 5 2 4 2 3 6 3" xfId="32915"/>
    <cellStyle name="Comma 5 2 4 2 3 7" xfId="16376"/>
    <cellStyle name="Comma 5 2 4 2 3 7 2" xfId="41929"/>
    <cellStyle name="Comma 5 2 4 2 3 8" xfId="26348"/>
    <cellStyle name="Comma 5 2 4 2 4" xfId="643"/>
    <cellStyle name="Comma 5 2 4 2 4 2" xfId="3129"/>
    <cellStyle name="Comma 5 2 4 2 4 2 2" xfId="12272"/>
    <cellStyle name="Comma 5 2 4 2 4 2 2 2" xfId="22490"/>
    <cellStyle name="Comma 5 2 4 2 4 2 2 2 2" xfId="48043"/>
    <cellStyle name="Comma 5 2 4 2 4 2 2 3" xfId="37827"/>
    <cellStyle name="Comma 5 2 4 2 4 2 3" xfId="8694"/>
    <cellStyle name="Comma 5 2 4 2 4 2 3 2" xfId="34251"/>
    <cellStyle name="Comma 5 2 4 2 4 2 4" xfId="17483"/>
    <cellStyle name="Comma 5 2 4 2 4 2 4 2" xfId="43036"/>
    <cellStyle name="Comma 5 2 4 2 4 2 5" xfId="28973"/>
    <cellStyle name="Comma 5 2 4 2 4 3" xfId="4807"/>
    <cellStyle name="Comma 5 2 4 2 4 3 2" xfId="13644"/>
    <cellStyle name="Comma 5 2 4 2 4 3 2 2" xfId="23895"/>
    <cellStyle name="Comma 5 2 4 2 4 3 2 2 2" xfId="49448"/>
    <cellStyle name="Comma 5 2 4 2 4 3 2 3" xfId="39199"/>
    <cellStyle name="Comma 5 2 4 2 4 3 3" xfId="10065"/>
    <cellStyle name="Comma 5 2 4 2 4 3 3 2" xfId="35622"/>
    <cellStyle name="Comma 5 2 4 2 4 3 4" xfId="18888"/>
    <cellStyle name="Comma 5 2 4 2 4 3 4 2" xfId="44441"/>
    <cellStyle name="Comma 5 2 4 2 4 3 5" xfId="30378"/>
    <cellStyle name="Comma 5 2 4 2 4 4" xfId="2238"/>
    <cellStyle name="Comma 5 2 4 2 4 4 2" xfId="11603"/>
    <cellStyle name="Comma 5 2 4 2 4 4 2 2" xfId="37158"/>
    <cellStyle name="Comma 5 2 4 2 4 4 3" xfId="21607"/>
    <cellStyle name="Comma 5 2 4 2 4 4 3 2" xfId="47160"/>
    <cellStyle name="Comma 5 2 4 2 4 4 4" xfId="28090"/>
    <cellStyle name="Comma 5 2 4 2 4 5" xfId="6262"/>
    <cellStyle name="Comma 5 2 4 2 4 5 2" xfId="15089"/>
    <cellStyle name="Comma 5 2 4 2 4 5 2 2" xfId="40644"/>
    <cellStyle name="Comma 5 2 4 2 4 5 3" xfId="25340"/>
    <cellStyle name="Comma 5 2 4 2 4 5 3 2" xfId="50893"/>
    <cellStyle name="Comma 5 2 4 2 4 5 4" xfId="31823"/>
    <cellStyle name="Comma 5 2 4 2 4 6" xfId="7708"/>
    <cellStyle name="Comma 5 2 4 2 4 6 2" xfId="20089"/>
    <cellStyle name="Comma 5 2 4 2 4 6 2 2" xfId="45642"/>
    <cellStyle name="Comma 5 2 4 2 4 6 3" xfId="33265"/>
    <cellStyle name="Comma 5 2 4 2 4 7" xfId="16600"/>
    <cellStyle name="Comma 5 2 4 2 4 7 2" xfId="42153"/>
    <cellStyle name="Comma 5 2 4 2 4 8" xfId="26572"/>
    <cellStyle name="Comma 5 2 4 2 5" xfId="1191"/>
    <cellStyle name="Comma 5 2 4 2 5 2" xfId="3620"/>
    <cellStyle name="Comma 5 2 4 2 5 2 2" xfId="12756"/>
    <cellStyle name="Comma 5 2 4 2 5 2 2 2" xfId="22975"/>
    <cellStyle name="Comma 5 2 4 2 5 2 2 2 2" xfId="48528"/>
    <cellStyle name="Comma 5 2 4 2 5 2 2 3" xfId="38311"/>
    <cellStyle name="Comma 5 2 4 2 5 2 3" xfId="9177"/>
    <cellStyle name="Comma 5 2 4 2 5 2 3 2" xfId="34734"/>
    <cellStyle name="Comma 5 2 4 2 5 2 4" xfId="17968"/>
    <cellStyle name="Comma 5 2 4 2 5 2 4 2" xfId="43521"/>
    <cellStyle name="Comma 5 2 4 2 5 2 5" xfId="29458"/>
    <cellStyle name="Comma 5 2 4 2 5 3" xfId="5283"/>
    <cellStyle name="Comma 5 2 4 2 5 3 2" xfId="14120"/>
    <cellStyle name="Comma 5 2 4 2 5 3 2 2" xfId="24371"/>
    <cellStyle name="Comma 5 2 4 2 5 3 2 2 2" xfId="49924"/>
    <cellStyle name="Comma 5 2 4 2 5 3 2 3" xfId="39675"/>
    <cellStyle name="Comma 5 2 4 2 5 3 3" xfId="10541"/>
    <cellStyle name="Comma 5 2 4 2 5 3 3 2" xfId="36098"/>
    <cellStyle name="Comma 5 2 4 2 5 3 4" xfId="19364"/>
    <cellStyle name="Comma 5 2 4 2 5 3 4 2" xfId="44917"/>
    <cellStyle name="Comma 5 2 4 2 5 3 5" xfId="30854"/>
    <cellStyle name="Comma 5 2 4 2 5 4" xfId="1793"/>
    <cellStyle name="Comma 5 2 4 2 5 4 2" xfId="11162"/>
    <cellStyle name="Comma 5 2 4 2 5 4 2 2" xfId="36717"/>
    <cellStyle name="Comma 5 2 4 2 5 4 3" xfId="21166"/>
    <cellStyle name="Comma 5 2 4 2 5 4 3 2" xfId="46719"/>
    <cellStyle name="Comma 5 2 4 2 5 4 4" xfId="27649"/>
    <cellStyle name="Comma 5 2 4 2 5 5" xfId="6738"/>
    <cellStyle name="Comma 5 2 4 2 5 5 2" xfId="15565"/>
    <cellStyle name="Comma 5 2 4 2 5 5 2 2" xfId="41120"/>
    <cellStyle name="Comma 5 2 4 2 5 5 3" xfId="25816"/>
    <cellStyle name="Comma 5 2 4 2 5 5 3 2" xfId="51369"/>
    <cellStyle name="Comma 5 2 4 2 5 5 4" xfId="32299"/>
    <cellStyle name="Comma 5 2 4 2 5 6" xfId="8184"/>
    <cellStyle name="Comma 5 2 4 2 5 6 2" xfId="20574"/>
    <cellStyle name="Comma 5 2 4 2 5 6 2 2" xfId="46127"/>
    <cellStyle name="Comma 5 2 4 2 5 6 3" xfId="33741"/>
    <cellStyle name="Comma 5 2 4 2 5 7" xfId="16159"/>
    <cellStyle name="Comma 5 2 4 2 5 7 2" xfId="41712"/>
    <cellStyle name="Comma 5 2 4 2 5 8" xfId="27057"/>
    <cellStyle name="Comma 5 2 4 2 6" xfId="2688"/>
    <cellStyle name="Comma 5 2 4 2 6 2" xfId="12005"/>
    <cellStyle name="Comma 5 2 4 2 6 2 2" xfId="22049"/>
    <cellStyle name="Comma 5 2 4 2 6 2 2 2" xfId="47602"/>
    <cellStyle name="Comma 5 2 4 2 6 2 3" xfId="37560"/>
    <cellStyle name="Comma 5 2 4 2 6 3" xfId="8585"/>
    <cellStyle name="Comma 5 2 4 2 6 3 2" xfId="34142"/>
    <cellStyle name="Comma 5 2 4 2 6 4" xfId="17042"/>
    <cellStyle name="Comma 5 2 4 2 6 4 2" xfId="42595"/>
    <cellStyle name="Comma 5 2 4 2 6 5" xfId="28532"/>
    <cellStyle name="Comma 5 2 4 2 7" xfId="4239"/>
    <cellStyle name="Comma 5 2 4 2 7 2" xfId="13077"/>
    <cellStyle name="Comma 5 2 4 2 7 2 2" xfId="23328"/>
    <cellStyle name="Comma 5 2 4 2 7 2 2 2" xfId="48881"/>
    <cellStyle name="Comma 5 2 4 2 7 2 3" xfId="38632"/>
    <cellStyle name="Comma 5 2 4 2 7 3" xfId="9498"/>
    <cellStyle name="Comma 5 2 4 2 7 3 2" xfId="35055"/>
    <cellStyle name="Comma 5 2 4 2 7 4" xfId="18321"/>
    <cellStyle name="Comma 5 2 4 2 7 4 2" xfId="43874"/>
    <cellStyle name="Comma 5 2 4 2 7 5" xfId="29811"/>
    <cellStyle name="Comma 5 2 4 2 8" xfId="1511"/>
    <cellStyle name="Comma 5 2 4 2 8 2" xfId="10888"/>
    <cellStyle name="Comma 5 2 4 2 8 2 2" xfId="36443"/>
    <cellStyle name="Comma 5 2 4 2 8 3" xfId="20892"/>
    <cellStyle name="Comma 5 2 4 2 8 3 2" xfId="46445"/>
    <cellStyle name="Comma 5 2 4 2 8 4" xfId="27375"/>
    <cellStyle name="Comma 5 2 4 2 9" xfId="5695"/>
    <cellStyle name="Comma 5 2 4 2 9 2" xfId="14522"/>
    <cellStyle name="Comma 5 2 4 2 9 2 2" xfId="40077"/>
    <cellStyle name="Comma 5 2 4 2 9 3" xfId="24773"/>
    <cellStyle name="Comma 5 2 4 2 9 3 2" xfId="50326"/>
    <cellStyle name="Comma 5 2 4 2 9 4" xfId="31256"/>
    <cellStyle name="Comma 5 2 4 3" xfId="258"/>
    <cellStyle name="Comma 5 2 4 3 10" xfId="7096"/>
    <cellStyle name="Comma 5 2 4 3 10 2" xfId="19710"/>
    <cellStyle name="Comma 5 2 4 3 10 2 2" xfId="45263"/>
    <cellStyle name="Comma 5 2 4 3 10 3" xfId="32653"/>
    <cellStyle name="Comma 5 2 4 3 11" xfId="15842"/>
    <cellStyle name="Comma 5 2 4 3 11 2" xfId="41395"/>
    <cellStyle name="Comma 5 2 4 3 12" xfId="26193"/>
    <cellStyle name="Comma 5 2 4 3 2" xfId="581"/>
    <cellStyle name="Comma 5 2 4 3 2 10" xfId="26510"/>
    <cellStyle name="Comma 5 2 4 3 2 2" xfId="646"/>
    <cellStyle name="Comma 5 2 4 3 2 2 2" xfId="3132"/>
    <cellStyle name="Comma 5 2 4 3 2 2 2 2" xfId="12275"/>
    <cellStyle name="Comma 5 2 4 3 2 2 2 2 2" xfId="22493"/>
    <cellStyle name="Comma 5 2 4 3 2 2 2 2 2 2" xfId="48046"/>
    <cellStyle name="Comma 5 2 4 3 2 2 2 2 3" xfId="37830"/>
    <cellStyle name="Comma 5 2 4 3 2 2 2 3" xfId="8697"/>
    <cellStyle name="Comma 5 2 4 3 2 2 2 3 2" xfId="34254"/>
    <cellStyle name="Comma 5 2 4 3 2 2 2 4" xfId="17486"/>
    <cellStyle name="Comma 5 2 4 3 2 2 2 4 2" xfId="43039"/>
    <cellStyle name="Comma 5 2 4 3 2 2 2 5" xfId="28976"/>
    <cellStyle name="Comma 5 2 4 3 2 2 3" xfId="4461"/>
    <cellStyle name="Comma 5 2 4 3 2 2 3 2" xfId="13299"/>
    <cellStyle name="Comma 5 2 4 3 2 2 3 2 2" xfId="23550"/>
    <cellStyle name="Comma 5 2 4 3 2 2 3 2 2 2" xfId="49103"/>
    <cellStyle name="Comma 5 2 4 3 2 2 3 2 3" xfId="38854"/>
    <cellStyle name="Comma 5 2 4 3 2 2 3 3" xfId="9720"/>
    <cellStyle name="Comma 5 2 4 3 2 2 3 3 2" xfId="35277"/>
    <cellStyle name="Comma 5 2 4 3 2 2 3 4" xfId="18543"/>
    <cellStyle name="Comma 5 2 4 3 2 2 3 4 2" xfId="44096"/>
    <cellStyle name="Comma 5 2 4 3 2 2 3 5" xfId="30033"/>
    <cellStyle name="Comma 5 2 4 3 2 2 4" xfId="2241"/>
    <cellStyle name="Comma 5 2 4 3 2 2 4 2" xfId="11606"/>
    <cellStyle name="Comma 5 2 4 3 2 2 4 2 2" xfId="37161"/>
    <cellStyle name="Comma 5 2 4 3 2 2 4 3" xfId="21610"/>
    <cellStyle name="Comma 5 2 4 3 2 2 4 3 2" xfId="47163"/>
    <cellStyle name="Comma 5 2 4 3 2 2 4 4" xfId="28093"/>
    <cellStyle name="Comma 5 2 4 3 2 2 5" xfId="5917"/>
    <cellStyle name="Comma 5 2 4 3 2 2 5 2" xfId="14744"/>
    <cellStyle name="Comma 5 2 4 3 2 2 5 2 2" xfId="40299"/>
    <cellStyle name="Comma 5 2 4 3 2 2 5 3" xfId="24995"/>
    <cellStyle name="Comma 5 2 4 3 2 2 5 3 2" xfId="50548"/>
    <cellStyle name="Comma 5 2 4 3 2 2 5 4" xfId="31478"/>
    <cellStyle name="Comma 5 2 4 3 2 2 6" xfId="7361"/>
    <cellStyle name="Comma 5 2 4 3 2 2 6 2" xfId="20092"/>
    <cellStyle name="Comma 5 2 4 3 2 2 6 2 2" xfId="45645"/>
    <cellStyle name="Comma 5 2 4 3 2 2 6 3" xfId="32918"/>
    <cellStyle name="Comma 5 2 4 3 2 2 7" xfId="16603"/>
    <cellStyle name="Comma 5 2 4 3 2 2 7 2" xfId="42156"/>
    <cellStyle name="Comma 5 2 4 3 2 2 8" xfId="26575"/>
    <cellStyle name="Comma 5 2 4 3 2 3" xfId="1353"/>
    <cellStyle name="Comma 5 2 4 3 2 3 2" xfId="3782"/>
    <cellStyle name="Comma 5 2 4 3 2 3 2 2" xfId="12918"/>
    <cellStyle name="Comma 5 2 4 3 2 3 2 2 2" xfId="23137"/>
    <cellStyle name="Comma 5 2 4 3 2 3 2 2 2 2" xfId="48690"/>
    <cellStyle name="Comma 5 2 4 3 2 3 2 2 3" xfId="38473"/>
    <cellStyle name="Comma 5 2 4 3 2 3 2 3" xfId="9339"/>
    <cellStyle name="Comma 5 2 4 3 2 3 2 3 2" xfId="34896"/>
    <cellStyle name="Comma 5 2 4 3 2 3 2 4" xfId="18130"/>
    <cellStyle name="Comma 5 2 4 3 2 3 2 4 2" xfId="43683"/>
    <cellStyle name="Comma 5 2 4 3 2 3 2 5" xfId="29620"/>
    <cellStyle name="Comma 5 2 4 3 2 3 3" xfId="4810"/>
    <cellStyle name="Comma 5 2 4 3 2 3 3 2" xfId="13647"/>
    <cellStyle name="Comma 5 2 4 3 2 3 3 2 2" xfId="23898"/>
    <cellStyle name="Comma 5 2 4 3 2 3 3 2 2 2" xfId="49451"/>
    <cellStyle name="Comma 5 2 4 3 2 3 3 2 3" xfId="39202"/>
    <cellStyle name="Comma 5 2 4 3 2 3 3 3" xfId="10068"/>
    <cellStyle name="Comma 5 2 4 3 2 3 3 3 2" xfId="35625"/>
    <cellStyle name="Comma 5 2 4 3 2 3 3 4" xfId="18891"/>
    <cellStyle name="Comma 5 2 4 3 2 3 3 4 2" xfId="44444"/>
    <cellStyle name="Comma 5 2 4 3 2 3 3 5" xfId="30381"/>
    <cellStyle name="Comma 5 2 4 3 2 3 4" xfId="2176"/>
    <cellStyle name="Comma 5 2 4 3 2 3 4 2" xfId="11541"/>
    <cellStyle name="Comma 5 2 4 3 2 3 4 2 2" xfId="37096"/>
    <cellStyle name="Comma 5 2 4 3 2 3 4 3" xfId="21545"/>
    <cellStyle name="Comma 5 2 4 3 2 3 4 3 2" xfId="47098"/>
    <cellStyle name="Comma 5 2 4 3 2 3 4 4" xfId="28028"/>
    <cellStyle name="Comma 5 2 4 3 2 3 5" xfId="6265"/>
    <cellStyle name="Comma 5 2 4 3 2 3 5 2" xfId="15092"/>
    <cellStyle name="Comma 5 2 4 3 2 3 5 2 2" xfId="40647"/>
    <cellStyle name="Comma 5 2 4 3 2 3 5 3" xfId="25343"/>
    <cellStyle name="Comma 5 2 4 3 2 3 5 3 2" xfId="50896"/>
    <cellStyle name="Comma 5 2 4 3 2 3 5 4" xfId="31826"/>
    <cellStyle name="Comma 5 2 4 3 2 3 6" xfId="7711"/>
    <cellStyle name="Comma 5 2 4 3 2 3 6 2" xfId="20736"/>
    <cellStyle name="Comma 5 2 4 3 2 3 6 2 2" xfId="46289"/>
    <cellStyle name="Comma 5 2 4 3 2 3 6 3" xfId="33268"/>
    <cellStyle name="Comma 5 2 4 3 2 3 7" xfId="16538"/>
    <cellStyle name="Comma 5 2 4 3 2 3 7 2" xfId="42091"/>
    <cellStyle name="Comma 5 2 4 3 2 3 8" xfId="27219"/>
    <cellStyle name="Comma 5 2 4 3 2 4" xfId="3067"/>
    <cellStyle name="Comma 5 2 4 3 2 4 2" xfId="5445"/>
    <cellStyle name="Comma 5 2 4 3 2 4 2 2" xfId="14282"/>
    <cellStyle name="Comma 5 2 4 3 2 4 2 2 2" xfId="24533"/>
    <cellStyle name="Comma 5 2 4 3 2 4 2 2 2 2" xfId="50086"/>
    <cellStyle name="Comma 5 2 4 3 2 4 2 2 3" xfId="39837"/>
    <cellStyle name="Comma 5 2 4 3 2 4 2 3" xfId="10703"/>
    <cellStyle name="Comma 5 2 4 3 2 4 2 3 2" xfId="36260"/>
    <cellStyle name="Comma 5 2 4 3 2 4 2 4" xfId="19526"/>
    <cellStyle name="Comma 5 2 4 3 2 4 2 4 2" xfId="45079"/>
    <cellStyle name="Comma 5 2 4 3 2 4 2 5" xfId="31016"/>
    <cellStyle name="Comma 5 2 4 3 2 4 3" xfId="6900"/>
    <cellStyle name="Comma 5 2 4 3 2 4 3 2" xfId="15727"/>
    <cellStyle name="Comma 5 2 4 3 2 4 3 2 2" xfId="41282"/>
    <cellStyle name="Comma 5 2 4 3 2 4 3 3" xfId="25978"/>
    <cellStyle name="Comma 5 2 4 3 2 4 3 3 2" xfId="51531"/>
    <cellStyle name="Comma 5 2 4 3 2 4 3 4" xfId="32461"/>
    <cellStyle name="Comma 5 2 4 3 2 4 4" xfId="8346"/>
    <cellStyle name="Comma 5 2 4 3 2 4 4 2" xfId="22428"/>
    <cellStyle name="Comma 5 2 4 3 2 4 4 2 2" xfId="47981"/>
    <cellStyle name="Comma 5 2 4 3 2 4 4 3" xfId="33903"/>
    <cellStyle name="Comma 5 2 4 3 2 4 5" xfId="17421"/>
    <cellStyle name="Comma 5 2 4 3 2 4 5 2" xfId="42974"/>
    <cellStyle name="Comma 5 2 4 3 2 4 6" xfId="28911"/>
    <cellStyle name="Comma 5 2 4 3 2 5" xfId="4401"/>
    <cellStyle name="Comma 5 2 4 3 2 5 2" xfId="13239"/>
    <cellStyle name="Comma 5 2 4 3 2 5 2 2" xfId="23490"/>
    <cellStyle name="Comma 5 2 4 3 2 5 2 2 2" xfId="49043"/>
    <cellStyle name="Comma 5 2 4 3 2 5 2 3" xfId="38794"/>
    <cellStyle name="Comma 5 2 4 3 2 5 3" xfId="9660"/>
    <cellStyle name="Comma 5 2 4 3 2 5 3 2" xfId="35217"/>
    <cellStyle name="Comma 5 2 4 3 2 5 4" xfId="18483"/>
    <cellStyle name="Comma 5 2 4 3 2 5 4 2" xfId="44036"/>
    <cellStyle name="Comma 5 2 4 3 2 5 5" xfId="29973"/>
    <cellStyle name="Comma 5 2 4 3 2 6" xfId="1673"/>
    <cellStyle name="Comma 5 2 4 3 2 6 2" xfId="11050"/>
    <cellStyle name="Comma 5 2 4 3 2 6 2 2" xfId="36605"/>
    <cellStyle name="Comma 5 2 4 3 2 6 3" xfId="21054"/>
    <cellStyle name="Comma 5 2 4 3 2 6 3 2" xfId="46607"/>
    <cellStyle name="Comma 5 2 4 3 2 6 4" xfId="27537"/>
    <cellStyle name="Comma 5 2 4 3 2 7" xfId="5857"/>
    <cellStyle name="Comma 5 2 4 3 2 7 2" xfId="14684"/>
    <cellStyle name="Comma 5 2 4 3 2 7 2 2" xfId="40239"/>
    <cellStyle name="Comma 5 2 4 3 2 7 3" xfId="24935"/>
    <cellStyle name="Comma 5 2 4 3 2 7 3 2" xfId="50488"/>
    <cellStyle name="Comma 5 2 4 3 2 7 4" xfId="31418"/>
    <cellStyle name="Comma 5 2 4 3 2 8" xfId="7301"/>
    <cellStyle name="Comma 5 2 4 3 2 8 2" xfId="20027"/>
    <cellStyle name="Comma 5 2 4 3 2 8 2 2" xfId="45580"/>
    <cellStyle name="Comma 5 2 4 3 2 8 3" xfId="32858"/>
    <cellStyle name="Comma 5 2 4 3 2 9" xfId="16047"/>
    <cellStyle name="Comma 5 2 4 3 2 9 2" xfId="41600"/>
    <cellStyle name="Comma 5 2 4 3 3" xfId="376"/>
    <cellStyle name="Comma 5 2 4 3 3 2" xfId="2862"/>
    <cellStyle name="Comma 5 2 4 3 3 2 2" xfId="12150"/>
    <cellStyle name="Comma 5 2 4 3 3 2 2 2" xfId="22223"/>
    <cellStyle name="Comma 5 2 4 3 3 2 2 2 2" xfId="47776"/>
    <cellStyle name="Comma 5 2 4 3 3 2 2 3" xfId="37705"/>
    <cellStyle name="Comma 5 2 4 3 3 2 3" xfId="8634"/>
    <cellStyle name="Comma 5 2 4 3 3 2 3 2" xfId="34191"/>
    <cellStyle name="Comma 5 2 4 3 3 2 4" xfId="17216"/>
    <cellStyle name="Comma 5 2 4 3 3 2 4 2" xfId="42769"/>
    <cellStyle name="Comma 5 2 4 3 3 2 5" xfId="28706"/>
    <cellStyle name="Comma 5 2 4 3 3 3" xfId="4460"/>
    <cellStyle name="Comma 5 2 4 3 3 3 2" xfId="13298"/>
    <cellStyle name="Comma 5 2 4 3 3 3 2 2" xfId="23549"/>
    <cellStyle name="Comma 5 2 4 3 3 3 2 2 2" xfId="49102"/>
    <cellStyle name="Comma 5 2 4 3 3 3 2 3" xfId="38853"/>
    <cellStyle name="Comma 5 2 4 3 3 3 3" xfId="9719"/>
    <cellStyle name="Comma 5 2 4 3 3 3 3 2" xfId="35276"/>
    <cellStyle name="Comma 5 2 4 3 3 3 4" xfId="18542"/>
    <cellStyle name="Comma 5 2 4 3 3 3 4 2" xfId="44095"/>
    <cellStyle name="Comma 5 2 4 3 3 3 5" xfId="30032"/>
    <cellStyle name="Comma 5 2 4 3 3 4" xfId="1971"/>
    <cellStyle name="Comma 5 2 4 3 3 4 2" xfId="11336"/>
    <cellStyle name="Comma 5 2 4 3 3 4 2 2" xfId="36891"/>
    <cellStyle name="Comma 5 2 4 3 3 4 3" xfId="21340"/>
    <cellStyle name="Comma 5 2 4 3 3 4 3 2" xfId="46893"/>
    <cellStyle name="Comma 5 2 4 3 3 4 4" xfId="27823"/>
    <cellStyle name="Comma 5 2 4 3 3 5" xfId="5916"/>
    <cellStyle name="Comma 5 2 4 3 3 5 2" xfId="14743"/>
    <cellStyle name="Comma 5 2 4 3 3 5 2 2" xfId="40298"/>
    <cellStyle name="Comma 5 2 4 3 3 5 3" xfId="24994"/>
    <cellStyle name="Comma 5 2 4 3 3 5 3 2" xfId="50547"/>
    <cellStyle name="Comma 5 2 4 3 3 5 4" xfId="31477"/>
    <cellStyle name="Comma 5 2 4 3 3 6" xfId="7360"/>
    <cellStyle name="Comma 5 2 4 3 3 6 2" xfId="19822"/>
    <cellStyle name="Comma 5 2 4 3 3 6 2 2" xfId="45375"/>
    <cellStyle name="Comma 5 2 4 3 3 6 3" xfId="32917"/>
    <cellStyle name="Comma 5 2 4 3 3 7" xfId="16333"/>
    <cellStyle name="Comma 5 2 4 3 3 7 2" xfId="41886"/>
    <cellStyle name="Comma 5 2 4 3 3 8" xfId="26305"/>
    <cellStyle name="Comma 5 2 4 3 4" xfId="645"/>
    <cellStyle name="Comma 5 2 4 3 4 2" xfId="3131"/>
    <cellStyle name="Comma 5 2 4 3 4 2 2" xfId="12274"/>
    <cellStyle name="Comma 5 2 4 3 4 2 2 2" xfId="22492"/>
    <cellStyle name="Comma 5 2 4 3 4 2 2 2 2" xfId="48045"/>
    <cellStyle name="Comma 5 2 4 3 4 2 2 3" xfId="37829"/>
    <cellStyle name="Comma 5 2 4 3 4 2 3" xfId="8696"/>
    <cellStyle name="Comma 5 2 4 3 4 2 3 2" xfId="34253"/>
    <cellStyle name="Comma 5 2 4 3 4 2 4" xfId="17485"/>
    <cellStyle name="Comma 5 2 4 3 4 2 4 2" xfId="43038"/>
    <cellStyle name="Comma 5 2 4 3 4 2 5" xfId="28975"/>
    <cellStyle name="Comma 5 2 4 3 4 3" xfId="4809"/>
    <cellStyle name="Comma 5 2 4 3 4 3 2" xfId="13646"/>
    <cellStyle name="Comma 5 2 4 3 4 3 2 2" xfId="23897"/>
    <cellStyle name="Comma 5 2 4 3 4 3 2 2 2" xfId="49450"/>
    <cellStyle name="Comma 5 2 4 3 4 3 2 3" xfId="39201"/>
    <cellStyle name="Comma 5 2 4 3 4 3 3" xfId="10067"/>
    <cellStyle name="Comma 5 2 4 3 4 3 3 2" xfId="35624"/>
    <cellStyle name="Comma 5 2 4 3 4 3 4" xfId="18890"/>
    <cellStyle name="Comma 5 2 4 3 4 3 4 2" xfId="44443"/>
    <cellStyle name="Comma 5 2 4 3 4 3 5" xfId="30380"/>
    <cellStyle name="Comma 5 2 4 3 4 4" xfId="2240"/>
    <cellStyle name="Comma 5 2 4 3 4 4 2" xfId="11605"/>
    <cellStyle name="Comma 5 2 4 3 4 4 2 2" xfId="37160"/>
    <cellStyle name="Comma 5 2 4 3 4 4 3" xfId="21609"/>
    <cellStyle name="Comma 5 2 4 3 4 4 3 2" xfId="47162"/>
    <cellStyle name="Comma 5 2 4 3 4 4 4" xfId="28092"/>
    <cellStyle name="Comma 5 2 4 3 4 5" xfId="6264"/>
    <cellStyle name="Comma 5 2 4 3 4 5 2" xfId="15091"/>
    <cellStyle name="Comma 5 2 4 3 4 5 2 2" xfId="40646"/>
    <cellStyle name="Comma 5 2 4 3 4 5 3" xfId="25342"/>
    <cellStyle name="Comma 5 2 4 3 4 5 3 2" xfId="50895"/>
    <cellStyle name="Comma 5 2 4 3 4 5 4" xfId="31825"/>
    <cellStyle name="Comma 5 2 4 3 4 6" xfId="7710"/>
    <cellStyle name="Comma 5 2 4 3 4 6 2" xfId="20091"/>
    <cellStyle name="Comma 5 2 4 3 4 6 2 2" xfId="45644"/>
    <cellStyle name="Comma 5 2 4 3 4 6 3" xfId="33267"/>
    <cellStyle name="Comma 5 2 4 3 4 7" xfId="16602"/>
    <cellStyle name="Comma 5 2 4 3 4 7 2" xfId="42155"/>
    <cellStyle name="Comma 5 2 4 3 4 8" xfId="26574"/>
    <cellStyle name="Comma 5 2 4 3 5" xfId="1148"/>
    <cellStyle name="Comma 5 2 4 3 5 2" xfId="3577"/>
    <cellStyle name="Comma 5 2 4 3 5 2 2" xfId="12713"/>
    <cellStyle name="Comma 5 2 4 3 5 2 2 2" xfId="22932"/>
    <cellStyle name="Comma 5 2 4 3 5 2 2 2 2" xfId="48485"/>
    <cellStyle name="Comma 5 2 4 3 5 2 2 3" xfId="38268"/>
    <cellStyle name="Comma 5 2 4 3 5 2 3" xfId="9134"/>
    <cellStyle name="Comma 5 2 4 3 5 2 3 2" xfId="34691"/>
    <cellStyle name="Comma 5 2 4 3 5 2 4" xfId="17925"/>
    <cellStyle name="Comma 5 2 4 3 5 2 4 2" xfId="43478"/>
    <cellStyle name="Comma 5 2 4 3 5 2 5" xfId="29415"/>
    <cellStyle name="Comma 5 2 4 3 5 3" xfId="5240"/>
    <cellStyle name="Comma 5 2 4 3 5 3 2" xfId="14077"/>
    <cellStyle name="Comma 5 2 4 3 5 3 2 2" xfId="24328"/>
    <cellStyle name="Comma 5 2 4 3 5 3 2 2 2" xfId="49881"/>
    <cellStyle name="Comma 5 2 4 3 5 3 2 3" xfId="39632"/>
    <cellStyle name="Comma 5 2 4 3 5 3 3" xfId="10498"/>
    <cellStyle name="Comma 5 2 4 3 5 3 3 2" xfId="36055"/>
    <cellStyle name="Comma 5 2 4 3 5 3 4" xfId="19321"/>
    <cellStyle name="Comma 5 2 4 3 5 3 4 2" xfId="44874"/>
    <cellStyle name="Comma 5 2 4 3 5 3 5" xfId="30811"/>
    <cellStyle name="Comma 5 2 4 3 5 4" xfId="1856"/>
    <cellStyle name="Comma 5 2 4 3 5 4 2" xfId="11224"/>
    <cellStyle name="Comma 5 2 4 3 5 4 2 2" xfId="36779"/>
    <cellStyle name="Comma 5 2 4 3 5 4 3" xfId="21228"/>
    <cellStyle name="Comma 5 2 4 3 5 4 3 2" xfId="46781"/>
    <cellStyle name="Comma 5 2 4 3 5 4 4" xfId="27711"/>
    <cellStyle name="Comma 5 2 4 3 5 5" xfId="6695"/>
    <cellStyle name="Comma 5 2 4 3 5 5 2" xfId="15522"/>
    <cellStyle name="Comma 5 2 4 3 5 5 2 2" xfId="41077"/>
    <cellStyle name="Comma 5 2 4 3 5 5 3" xfId="25773"/>
    <cellStyle name="Comma 5 2 4 3 5 5 3 2" xfId="51326"/>
    <cellStyle name="Comma 5 2 4 3 5 5 4" xfId="32256"/>
    <cellStyle name="Comma 5 2 4 3 5 6" xfId="8141"/>
    <cellStyle name="Comma 5 2 4 3 5 6 2" xfId="20531"/>
    <cellStyle name="Comma 5 2 4 3 5 6 2 2" xfId="46084"/>
    <cellStyle name="Comma 5 2 4 3 5 6 3" xfId="33698"/>
    <cellStyle name="Comma 5 2 4 3 5 7" xfId="16221"/>
    <cellStyle name="Comma 5 2 4 3 5 7 2" xfId="41774"/>
    <cellStyle name="Comma 5 2 4 3 5 8" xfId="27014"/>
    <cellStyle name="Comma 5 2 4 3 6" xfId="2750"/>
    <cellStyle name="Comma 5 2 4 3 6 2" xfId="12067"/>
    <cellStyle name="Comma 5 2 4 3 6 2 2" xfId="22111"/>
    <cellStyle name="Comma 5 2 4 3 6 2 2 2" xfId="47664"/>
    <cellStyle name="Comma 5 2 4 3 6 2 3" xfId="37622"/>
    <cellStyle name="Comma 5 2 4 3 6 3" xfId="8636"/>
    <cellStyle name="Comma 5 2 4 3 6 3 2" xfId="34193"/>
    <cellStyle name="Comma 5 2 4 3 6 4" xfId="17104"/>
    <cellStyle name="Comma 5 2 4 3 6 4 2" xfId="42657"/>
    <cellStyle name="Comma 5 2 4 3 6 5" xfId="28594"/>
    <cellStyle name="Comma 5 2 4 3 7" xfId="4196"/>
    <cellStyle name="Comma 5 2 4 3 7 2" xfId="13034"/>
    <cellStyle name="Comma 5 2 4 3 7 2 2" xfId="23285"/>
    <cellStyle name="Comma 5 2 4 3 7 2 2 2" xfId="48838"/>
    <cellStyle name="Comma 5 2 4 3 7 2 3" xfId="38589"/>
    <cellStyle name="Comma 5 2 4 3 7 3" xfId="9455"/>
    <cellStyle name="Comma 5 2 4 3 7 3 2" xfId="35012"/>
    <cellStyle name="Comma 5 2 4 3 7 4" xfId="18278"/>
    <cellStyle name="Comma 5 2 4 3 7 4 2" xfId="43831"/>
    <cellStyle name="Comma 5 2 4 3 7 5" xfId="29768"/>
    <cellStyle name="Comma 5 2 4 3 8" xfId="1468"/>
    <cellStyle name="Comma 5 2 4 3 8 2" xfId="10845"/>
    <cellStyle name="Comma 5 2 4 3 8 2 2" xfId="36400"/>
    <cellStyle name="Comma 5 2 4 3 8 3" xfId="20849"/>
    <cellStyle name="Comma 5 2 4 3 8 3 2" xfId="46402"/>
    <cellStyle name="Comma 5 2 4 3 8 4" xfId="27332"/>
    <cellStyle name="Comma 5 2 4 3 9" xfId="5652"/>
    <cellStyle name="Comma 5 2 4 3 9 2" xfId="14479"/>
    <cellStyle name="Comma 5 2 4 3 9 2 2" xfId="40034"/>
    <cellStyle name="Comma 5 2 4 3 9 3" xfId="24730"/>
    <cellStyle name="Comma 5 2 4 3 9 3 2" xfId="50283"/>
    <cellStyle name="Comma 5 2 4 3 9 4" xfId="31213"/>
    <cellStyle name="Comma 5 2 4 4" xfId="476"/>
    <cellStyle name="Comma 5 2 4 4 10" xfId="26405"/>
    <cellStyle name="Comma 5 2 4 4 2" xfId="647"/>
    <cellStyle name="Comma 5 2 4 4 2 2" xfId="3133"/>
    <cellStyle name="Comma 5 2 4 4 2 2 2" xfId="12276"/>
    <cellStyle name="Comma 5 2 4 4 2 2 2 2" xfId="22494"/>
    <cellStyle name="Comma 5 2 4 4 2 2 2 2 2" xfId="48047"/>
    <cellStyle name="Comma 5 2 4 4 2 2 2 3" xfId="37831"/>
    <cellStyle name="Comma 5 2 4 4 2 2 3" xfId="8698"/>
    <cellStyle name="Comma 5 2 4 4 2 2 3 2" xfId="34255"/>
    <cellStyle name="Comma 5 2 4 4 2 2 4" xfId="17487"/>
    <cellStyle name="Comma 5 2 4 4 2 2 4 2" xfId="43040"/>
    <cellStyle name="Comma 5 2 4 4 2 2 5" xfId="28977"/>
    <cellStyle name="Comma 5 2 4 4 2 3" xfId="4462"/>
    <cellStyle name="Comma 5 2 4 4 2 3 2" xfId="13300"/>
    <cellStyle name="Comma 5 2 4 4 2 3 2 2" xfId="23551"/>
    <cellStyle name="Comma 5 2 4 4 2 3 2 2 2" xfId="49104"/>
    <cellStyle name="Comma 5 2 4 4 2 3 2 3" xfId="38855"/>
    <cellStyle name="Comma 5 2 4 4 2 3 3" xfId="9721"/>
    <cellStyle name="Comma 5 2 4 4 2 3 3 2" xfId="35278"/>
    <cellStyle name="Comma 5 2 4 4 2 3 4" xfId="18544"/>
    <cellStyle name="Comma 5 2 4 4 2 3 4 2" xfId="44097"/>
    <cellStyle name="Comma 5 2 4 4 2 3 5" xfId="30034"/>
    <cellStyle name="Comma 5 2 4 4 2 4" xfId="2242"/>
    <cellStyle name="Comma 5 2 4 4 2 4 2" xfId="11607"/>
    <cellStyle name="Comma 5 2 4 4 2 4 2 2" xfId="37162"/>
    <cellStyle name="Comma 5 2 4 4 2 4 3" xfId="21611"/>
    <cellStyle name="Comma 5 2 4 4 2 4 3 2" xfId="47164"/>
    <cellStyle name="Comma 5 2 4 4 2 4 4" xfId="28094"/>
    <cellStyle name="Comma 5 2 4 4 2 5" xfId="5918"/>
    <cellStyle name="Comma 5 2 4 4 2 5 2" xfId="14745"/>
    <cellStyle name="Comma 5 2 4 4 2 5 2 2" xfId="40300"/>
    <cellStyle name="Comma 5 2 4 4 2 5 3" xfId="24996"/>
    <cellStyle name="Comma 5 2 4 4 2 5 3 2" xfId="50549"/>
    <cellStyle name="Comma 5 2 4 4 2 5 4" xfId="31479"/>
    <cellStyle name="Comma 5 2 4 4 2 6" xfId="7362"/>
    <cellStyle name="Comma 5 2 4 4 2 6 2" xfId="20093"/>
    <cellStyle name="Comma 5 2 4 4 2 6 2 2" xfId="45646"/>
    <cellStyle name="Comma 5 2 4 4 2 6 3" xfId="32919"/>
    <cellStyle name="Comma 5 2 4 4 2 7" xfId="16604"/>
    <cellStyle name="Comma 5 2 4 4 2 7 2" xfId="42157"/>
    <cellStyle name="Comma 5 2 4 4 2 8" xfId="26576"/>
    <cellStyle name="Comma 5 2 4 4 3" xfId="1248"/>
    <cellStyle name="Comma 5 2 4 4 3 2" xfId="3677"/>
    <cellStyle name="Comma 5 2 4 4 3 2 2" xfId="12813"/>
    <cellStyle name="Comma 5 2 4 4 3 2 2 2" xfId="23032"/>
    <cellStyle name="Comma 5 2 4 4 3 2 2 2 2" xfId="48585"/>
    <cellStyle name="Comma 5 2 4 4 3 2 2 3" xfId="38368"/>
    <cellStyle name="Comma 5 2 4 4 3 2 3" xfId="9234"/>
    <cellStyle name="Comma 5 2 4 4 3 2 3 2" xfId="34791"/>
    <cellStyle name="Comma 5 2 4 4 3 2 4" xfId="18025"/>
    <cellStyle name="Comma 5 2 4 4 3 2 4 2" xfId="43578"/>
    <cellStyle name="Comma 5 2 4 4 3 2 5" xfId="29515"/>
    <cellStyle name="Comma 5 2 4 4 3 3" xfId="4811"/>
    <cellStyle name="Comma 5 2 4 4 3 3 2" xfId="13648"/>
    <cellStyle name="Comma 5 2 4 4 3 3 2 2" xfId="23899"/>
    <cellStyle name="Comma 5 2 4 4 3 3 2 2 2" xfId="49452"/>
    <cellStyle name="Comma 5 2 4 4 3 3 2 3" xfId="39203"/>
    <cellStyle name="Comma 5 2 4 4 3 3 3" xfId="10069"/>
    <cellStyle name="Comma 5 2 4 4 3 3 3 2" xfId="35626"/>
    <cellStyle name="Comma 5 2 4 4 3 3 4" xfId="18892"/>
    <cellStyle name="Comma 5 2 4 4 3 3 4 2" xfId="44445"/>
    <cellStyle name="Comma 5 2 4 4 3 3 5" xfId="30382"/>
    <cellStyle name="Comma 5 2 4 4 3 4" xfId="2071"/>
    <cellStyle name="Comma 5 2 4 4 3 4 2" xfId="11436"/>
    <cellStyle name="Comma 5 2 4 4 3 4 2 2" xfId="36991"/>
    <cellStyle name="Comma 5 2 4 4 3 4 3" xfId="21440"/>
    <cellStyle name="Comma 5 2 4 4 3 4 3 2" xfId="46993"/>
    <cellStyle name="Comma 5 2 4 4 3 4 4" xfId="27923"/>
    <cellStyle name="Comma 5 2 4 4 3 5" xfId="6266"/>
    <cellStyle name="Comma 5 2 4 4 3 5 2" xfId="15093"/>
    <cellStyle name="Comma 5 2 4 4 3 5 2 2" xfId="40648"/>
    <cellStyle name="Comma 5 2 4 4 3 5 3" xfId="25344"/>
    <cellStyle name="Comma 5 2 4 4 3 5 3 2" xfId="50897"/>
    <cellStyle name="Comma 5 2 4 4 3 5 4" xfId="31827"/>
    <cellStyle name="Comma 5 2 4 4 3 6" xfId="7712"/>
    <cellStyle name="Comma 5 2 4 4 3 6 2" xfId="20631"/>
    <cellStyle name="Comma 5 2 4 4 3 6 2 2" xfId="46184"/>
    <cellStyle name="Comma 5 2 4 4 3 6 3" xfId="33269"/>
    <cellStyle name="Comma 5 2 4 4 3 7" xfId="16433"/>
    <cellStyle name="Comma 5 2 4 4 3 7 2" xfId="41986"/>
    <cellStyle name="Comma 5 2 4 4 3 8" xfId="27114"/>
    <cellStyle name="Comma 5 2 4 4 4" xfId="2962"/>
    <cellStyle name="Comma 5 2 4 4 4 2" xfId="5340"/>
    <cellStyle name="Comma 5 2 4 4 4 2 2" xfId="14177"/>
    <cellStyle name="Comma 5 2 4 4 4 2 2 2" xfId="24428"/>
    <cellStyle name="Comma 5 2 4 4 4 2 2 2 2" xfId="49981"/>
    <cellStyle name="Comma 5 2 4 4 4 2 2 3" xfId="39732"/>
    <cellStyle name="Comma 5 2 4 4 4 2 3" xfId="10598"/>
    <cellStyle name="Comma 5 2 4 4 4 2 3 2" xfId="36155"/>
    <cellStyle name="Comma 5 2 4 4 4 2 4" xfId="19421"/>
    <cellStyle name="Comma 5 2 4 4 4 2 4 2" xfId="44974"/>
    <cellStyle name="Comma 5 2 4 4 4 2 5" xfId="30911"/>
    <cellStyle name="Comma 5 2 4 4 4 3" xfId="6795"/>
    <cellStyle name="Comma 5 2 4 4 4 3 2" xfId="15622"/>
    <cellStyle name="Comma 5 2 4 4 4 3 2 2" xfId="41177"/>
    <cellStyle name="Comma 5 2 4 4 4 3 3" xfId="25873"/>
    <cellStyle name="Comma 5 2 4 4 4 3 3 2" xfId="51426"/>
    <cellStyle name="Comma 5 2 4 4 4 3 4" xfId="32356"/>
    <cellStyle name="Comma 5 2 4 4 4 4" xfId="8241"/>
    <cellStyle name="Comma 5 2 4 4 4 4 2" xfId="22323"/>
    <cellStyle name="Comma 5 2 4 4 4 4 2 2" xfId="47876"/>
    <cellStyle name="Comma 5 2 4 4 4 4 3" xfId="33798"/>
    <cellStyle name="Comma 5 2 4 4 4 5" xfId="17316"/>
    <cellStyle name="Comma 5 2 4 4 4 5 2" xfId="42869"/>
    <cellStyle name="Comma 5 2 4 4 4 6" xfId="28806"/>
    <cellStyle name="Comma 5 2 4 4 5" xfId="4296"/>
    <cellStyle name="Comma 5 2 4 4 5 2" xfId="13134"/>
    <cellStyle name="Comma 5 2 4 4 5 2 2" xfId="23385"/>
    <cellStyle name="Comma 5 2 4 4 5 2 2 2" xfId="48938"/>
    <cellStyle name="Comma 5 2 4 4 5 2 3" xfId="38689"/>
    <cellStyle name="Comma 5 2 4 4 5 3" xfId="9555"/>
    <cellStyle name="Comma 5 2 4 4 5 3 2" xfId="35112"/>
    <cellStyle name="Comma 5 2 4 4 5 4" xfId="18378"/>
    <cellStyle name="Comma 5 2 4 4 5 4 2" xfId="43931"/>
    <cellStyle name="Comma 5 2 4 4 5 5" xfId="29868"/>
    <cellStyle name="Comma 5 2 4 4 6" xfId="1568"/>
    <cellStyle name="Comma 5 2 4 4 6 2" xfId="10945"/>
    <cellStyle name="Comma 5 2 4 4 6 2 2" xfId="36500"/>
    <cellStyle name="Comma 5 2 4 4 6 3" xfId="20949"/>
    <cellStyle name="Comma 5 2 4 4 6 3 2" xfId="46502"/>
    <cellStyle name="Comma 5 2 4 4 6 4" xfId="27432"/>
    <cellStyle name="Comma 5 2 4 4 7" xfId="5752"/>
    <cellStyle name="Comma 5 2 4 4 7 2" xfId="14579"/>
    <cellStyle name="Comma 5 2 4 4 7 2 2" xfId="40134"/>
    <cellStyle name="Comma 5 2 4 4 7 3" xfId="24830"/>
    <cellStyle name="Comma 5 2 4 4 7 3 2" xfId="50383"/>
    <cellStyle name="Comma 5 2 4 4 7 4" xfId="31313"/>
    <cellStyle name="Comma 5 2 4 4 8" xfId="7196"/>
    <cellStyle name="Comma 5 2 4 4 8 2" xfId="19922"/>
    <cellStyle name="Comma 5 2 4 4 8 2 2" xfId="45475"/>
    <cellStyle name="Comma 5 2 4 4 8 3" xfId="32753"/>
    <cellStyle name="Comma 5 2 4 4 9" xfId="15942"/>
    <cellStyle name="Comma 5 2 4 4 9 2" xfId="41495"/>
    <cellStyle name="Comma 5 2 4 5" xfId="317"/>
    <cellStyle name="Comma 5 2 4 5 2" xfId="2803"/>
    <cellStyle name="Comma 5 2 4 5 2 2" xfId="12107"/>
    <cellStyle name="Comma 5 2 4 5 2 2 2" xfId="22164"/>
    <cellStyle name="Comma 5 2 4 5 2 2 2 2" xfId="47717"/>
    <cellStyle name="Comma 5 2 4 5 2 2 3" xfId="37662"/>
    <cellStyle name="Comma 5 2 4 5 2 3" xfId="8474"/>
    <cellStyle name="Comma 5 2 4 5 2 3 2" xfId="34031"/>
    <cellStyle name="Comma 5 2 4 5 2 4" xfId="17157"/>
    <cellStyle name="Comma 5 2 4 5 2 4 2" xfId="42710"/>
    <cellStyle name="Comma 5 2 4 5 2 5" xfId="28647"/>
    <cellStyle name="Comma 5 2 4 5 3" xfId="4457"/>
    <cellStyle name="Comma 5 2 4 5 3 2" xfId="13295"/>
    <cellStyle name="Comma 5 2 4 5 3 2 2" xfId="23546"/>
    <cellStyle name="Comma 5 2 4 5 3 2 2 2" xfId="49099"/>
    <cellStyle name="Comma 5 2 4 5 3 2 3" xfId="38850"/>
    <cellStyle name="Comma 5 2 4 5 3 3" xfId="9716"/>
    <cellStyle name="Comma 5 2 4 5 3 3 2" xfId="35273"/>
    <cellStyle name="Comma 5 2 4 5 3 4" xfId="18539"/>
    <cellStyle name="Comma 5 2 4 5 3 4 2" xfId="44092"/>
    <cellStyle name="Comma 5 2 4 5 3 5" xfId="30029"/>
    <cellStyle name="Comma 5 2 4 5 4" xfId="1912"/>
    <cellStyle name="Comma 5 2 4 5 4 2" xfId="11277"/>
    <cellStyle name="Comma 5 2 4 5 4 2 2" xfId="36832"/>
    <cellStyle name="Comma 5 2 4 5 4 3" xfId="21281"/>
    <cellStyle name="Comma 5 2 4 5 4 3 2" xfId="46834"/>
    <cellStyle name="Comma 5 2 4 5 4 4" xfId="27764"/>
    <cellStyle name="Comma 5 2 4 5 5" xfId="5913"/>
    <cellStyle name="Comma 5 2 4 5 5 2" xfId="14740"/>
    <cellStyle name="Comma 5 2 4 5 5 2 2" xfId="40295"/>
    <cellStyle name="Comma 5 2 4 5 5 3" xfId="24991"/>
    <cellStyle name="Comma 5 2 4 5 5 3 2" xfId="50544"/>
    <cellStyle name="Comma 5 2 4 5 5 4" xfId="31474"/>
    <cellStyle name="Comma 5 2 4 5 6" xfId="7357"/>
    <cellStyle name="Comma 5 2 4 5 6 2" xfId="19763"/>
    <cellStyle name="Comma 5 2 4 5 6 2 2" xfId="45316"/>
    <cellStyle name="Comma 5 2 4 5 6 3" xfId="32914"/>
    <cellStyle name="Comma 5 2 4 5 7" xfId="16274"/>
    <cellStyle name="Comma 5 2 4 5 7 2" xfId="41827"/>
    <cellStyle name="Comma 5 2 4 5 8" xfId="26246"/>
    <cellStyle name="Comma 5 2 4 6" xfId="642"/>
    <cellStyle name="Comma 5 2 4 6 2" xfId="3128"/>
    <cellStyle name="Comma 5 2 4 6 2 2" xfId="12271"/>
    <cellStyle name="Comma 5 2 4 6 2 2 2" xfId="22489"/>
    <cellStyle name="Comma 5 2 4 6 2 2 2 2" xfId="48042"/>
    <cellStyle name="Comma 5 2 4 6 2 2 3" xfId="37826"/>
    <cellStyle name="Comma 5 2 4 6 2 3" xfId="8693"/>
    <cellStyle name="Comma 5 2 4 6 2 3 2" xfId="34250"/>
    <cellStyle name="Comma 5 2 4 6 2 4" xfId="17482"/>
    <cellStyle name="Comma 5 2 4 6 2 4 2" xfId="43035"/>
    <cellStyle name="Comma 5 2 4 6 2 5" xfId="28972"/>
    <cellStyle name="Comma 5 2 4 6 3" xfId="4806"/>
    <cellStyle name="Comma 5 2 4 6 3 2" xfId="13643"/>
    <cellStyle name="Comma 5 2 4 6 3 2 2" xfId="23894"/>
    <cellStyle name="Comma 5 2 4 6 3 2 2 2" xfId="49447"/>
    <cellStyle name="Comma 5 2 4 6 3 2 3" xfId="39198"/>
    <cellStyle name="Comma 5 2 4 6 3 3" xfId="10064"/>
    <cellStyle name="Comma 5 2 4 6 3 3 2" xfId="35621"/>
    <cellStyle name="Comma 5 2 4 6 3 4" xfId="18887"/>
    <cellStyle name="Comma 5 2 4 6 3 4 2" xfId="44440"/>
    <cellStyle name="Comma 5 2 4 6 3 5" xfId="30377"/>
    <cellStyle name="Comma 5 2 4 6 4" xfId="2237"/>
    <cellStyle name="Comma 5 2 4 6 4 2" xfId="11602"/>
    <cellStyle name="Comma 5 2 4 6 4 2 2" xfId="37157"/>
    <cellStyle name="Comma 5 2 4 6 4 3" xfId="21606"/>
    <cellStyle name="Comma 5 2 4 6 4 3 2" xfId="47159"/>
    <cellStyle name="Comma 5 2 4 6 4 4" xfId="28089"/>
    <cellStyle name="Comma 5 2 4 6 5" xfId="6261"/>
    <cellStyle name="Comma 5 2 4 6 5 2" xfId="15088"/>
    <cellStyle name="Comma 5 2 4 6 5 2 2" xfId="40643"/>
    <cellStyle name="Comma 5 2 4 6 5 3" xfId="25339"/>
    <cellStyle name="Comma 5 2 4 6 5 3 2" xfId="50892"/>
    <cellStyle name="Comma 5 2 4 6 5 4" xfId="31822"/>
    <cellStyle name="Comma 5 2 4 6 6" xfId="7707"/>
    <cellStyle name="Comma 5 2 4 6 6 2" xfId="20088"/>
    <cellStyle name="Comma 5 2 4 6 6 2 2" xfId="45641"/>
    <cellStyle name="Comma 5 2 4 6 6 3" xfId="33264"/>
    <cellStyle name="Comma 5 2 4 6 7" xfId="16599"/>
    <cellStyle name="Comma 5 2 4 6 7 2" xfId="42152"/>
    <cellStyle name="Comma 5 2 4 6 8" xfId="26571"/>
    <cellStyle name="Comma 5 2 4 7" xfId="1089"/>
    <cellStyle name="Comma 5 2 4 7 2" xfId="3518"/>
    <cellStyle name="Comma 5 2 4 7 2 2" xfId="12654"/>
    <cellStyle name="Comma 5 2 4 7 2 2 2" xfId="22873"/>
    <cellStyle name="Comma 5 2 4 7 2 2 2 2" xfId="48426"/>
    <cellStyle name="Comma 5 2 4 7 2 2 3" xfId="38209"/>
    <cellStyle name="Comma 5 2 4 7 2 3" xfId="9076"/>
    <cellStyle name="Comma 5 2 4 7 2 3 2" xfId="34633"/>
    <cellStyle name="Comma 5 2 4 7 2 4" xfId="17866"/>
    <cellStyle name="Comma 5 2 4 7 2 4 2" xfId="43419"/>
    <cellStyle name="Comma 5 2 4 7 2 5" xfId="29356"/>
    <cellStyle name="Comma 5 2 4 7 3" xfId="5181"/>
    <cellStyle name="Comma 5 2 4 7 3 2" xfId="14018"/>
    <cellStyle name="Comma 5 2 4 7 3 2 2" xfId="24269"/>
    <cellStyle name="Comma 5 2 4 7 3 2 2 2" xfId="49822"/>
    <cellStyle name="Comma 5 2 4 7 3 2 3" xfId="39573"/>
    <cellStyle name="Comma 5 2 4 7 3 3" xfId="10439"/>
    <cellStyle name="Comma 5 2 4 7 3 3 2" xfId="35996"/>
    <cellStyle name="Comma 5 2 4 7 3 4" xfId="19262"/>
    <cellStyle name="Comma 5 2 4 7 3 4 2" xfId="44815"/>
    <cellStyle name="Comma 5 2 4 7 3 5" xfId="30752"/>
    <cellStyle name="Comma 5 2 4 7 4" xfId="1747"/>
    <cellStyle name="Comma 5 2 4 7 4 2" xfId="11118"/>
    <cellStyle name="Comma 5 2 4 7 4 2 2" xfId="36673"/>
    <cellStyle name="Comma 5 2 4 7 4 3" xfId="21122"/>
    <cellStyle name="Comma 5 2 4 7 4 3 2" xfId="46675"/>
    <cellStyle name="Comma 5 2 4 7 4 4" xfId="27605"/>
    <cellStyle name="Comma 5 2 4 7 5" xfId="6636"/>
    <cellStyle name="Comma 5 2 4 7 5 2" xfId="15463"/>
    <cellStyle name="Comma 5 2 4 7 5 2 2" xfId="41018"/>
    <cellStyle name="Comma 5 2 4 7 5 3" xfId="25714"/>
    <cellStyle name="Comma 5 2 4 7 5 3 2" xfId="51267"/>
    <cellStyle name="Comma 5 2 4 7 5 4" xfId="32197"/>
    <cellStyle name="Comma 5 2 4 7 6" xfId="8082"/>
    <cellStyle name="Comma 5 2 4 7 6 2" xfId="20472"/>
    <cellStyle name="Comma 5 2 4 7 6 2 2" xfId="46025"/>
    <cellStyle name="Comma 5 2 4 7 6 3" xfId="33639"/>
    <cellStyle name="Comma 5 2 4 7 7" xfId="16115"/>
    <cellStyle name="Comma 5 2 4 7 7 2" xfId="41668"/>
    <cellStyle name="Comma 5 2 4 7 8" xfId="26955"/>
    <cellStyle name="Comma 5 2 4 8" xfId="2645"/>
    <cellStyle name="Comma 5 2 4 8 2" xfId="5593"/>
    <cellStyle name="Comma 5 2 4 8 2 2" xfId="14420"/>
    <cellStyle name="Comma 5 2 4 8 2 2 2" xfId="39975"/>
    <cellStyle name="Comma 5 2 4 8 2 3" xfId="24671"/>
    <cellStyle name="Comma 5 2 4 8 2 3 2" xfId="50224"/>
    <cellStyle name="Comma 5 2 4 8 2 4" xfId="31154"/>
    <cellStyle name="Comma 5 2 4 8 3" xfId="7037"/>
    <cellStyle name="Comma 5 2 4 8 3 2" xfId="22006"/>
    <cellStyle name="Comma 5 2 4 8 3 2 2" xfId="47559"/>
    <cellStyle name="Comma 5 2 4 8 3 3" xfId="32594"/>
    <cellStyle name="Comma 5 2 4 8 4" xfId="16999"/>
    <cellStyle name="Comma 5 2 4 8 4 2" xfId="42552"/>
    <cellStyle name="Comma 5 2 4 8 5" xfId="28489"/>
    <cellStyle name="Comma 5 2 4 9" xfId="4135"/>
    <cellStyle name="Comma 5 2 4 9 2" xfId="12973"/>
    <cellStyle name="Comma 5 2 4 9 2 2" xfId="23224"/>
    <cellStyle name="Comma 5 2 4 9 2 2 2" xfId="48777"/>
    <cellStyle name="Comma 5 2 4 9 2 3" xfId="38528"/>
    <cellStyle name="Comma 5 2 4 9 3" xfId="9394"/>
    <cellStyle name="Comma 5 2 4 9 3 2" xfId="34951"/>
    <cellStyle name="Comma 5 2 4 9 4" xfId="18217"/>
    <cellStyle name="Comma 5 2 4 9 4 2" xfId="43770"/>
    <cellStyle name="Comma 5 2 4 9 5" xfId="29707"/>
    <cellStyle name="Comma 5 2 5" xfId="174"/>
    <cellStyle name="Comma 5 2 5 10" xfId="7122"/>
    <cellStyle name="Comma 5 2 5 10 2" xfId="19631"/>
    <cellStyle name="Comma 5 2 5 10 2 2" xfId="45184"/>
    <cellStyle name="Comma 5 2 5 10 3" xfId="32679"/>
    <cellStyle name="Comma 5 2 5 11" xfId="15868"/>
    <cellStyle name="Comma 5 2 5 11 2" xfId="41421"/>
    <cellStyle name="Comma 5 2 5 12" xfId="26114"/>
    <cellStyle name="Comma 5 2 5 2" xfId="502"/>
    <cellStyle name="Comma 5 2 5 2 10" xfId="26431"/>
    <cellStyle name="Comma 5 2 5 2 2" xfId="649"/>
    <cellStyle name="Comma 5 2 5 2 2 2" xfId="3135"/>
    <cellStyle name="Comma 5 2 5 2 2 2 2" xfId="12278"/>
    <cellStyle name="Comma 5 2 5 2 2 2 2 2" xfId="22496"/>
    <cellStyle name="Comma 5 2 5 2 2 2 2 2 2" xfId="48049"/>
    <cellStyle name="Comma 5 2 5 2 2 2 2 3" xfId="37833"/>
    <cellStyle name="Comma 5 2 5 2 2 2 3" xfId="8700"/>
    <cellStyle name="Comma 5 2 5 2 2 2 3 2" xfId="34257"/>
    <cellStyle name="Comma 5 2 5 2 2 2 4" xfId="17489"/>
    <cellStyle name="Comma 5 2 5 2 2 2 4 2" xfId="43042"/>
    <cellStyle name="Comma 5 2 5 2 2 2 5" xfId="28979"/>
    <cellStyle name="Comma 5 2 5 2 2 3" xfId="4464"/>
    <cellStyle name="Comma 5 2 5 2 2 3 2" xfId="13302"/>
    <cellStyle name="Comma 5 2 5 2 2 3 2 2" xfId="23553"/>
    <cellStyle name="Comma 5 2 5 2 2 3 2 2 2" xfId="49106"/>
    <cellStyle name="Comma 5 2 5 2 2 3 2 3" xfId="38857"/>
    <cellStyle name="Comma 5 2 5 2 2 3 3" xfId="9723"/>
    <cellStyle name="Comma 5 2 5 2 2 3 3 2" xfId="35280"/>
    <cellStyle name="Comma 5 2 5 2 2 3 4" xfId="18546"/>
    <cellStyle name="Comma 5 2 5 2 2 3 4 2" xfId="44099"/>
    <cellStyle name="Comma 5 2 5 2 2 3 5" xfId="30036"/>
    <cellStyle name="Comma 5 2 5 2 2 4" xfId="2244"/>
    <cellStyle name="Comma 5 2 5 2 2 4 2" xfId="11609"/>
    <cellStyle name="Comma 5 2 5 2 2 4 2 2" xfId="37164"/>
    <cellStyle name="Comma 5 2 5 2 2 4 3" xfId="21613"/>
    <cellStyle name="Comma 5 2 5 2 2 4 3 2" xfId="47166"/>
    <cellStyle name="Comma 5 2 5 2 2 4 4" xfId="28096"/>
    <cellStyle name="Comma 5 2 5 2 2 5" xfId="5920"/>
    <cellStyle name="Comma 5 2 5 2 2 5 2" xfId="14747"/>
    <cellStyle name="Comma 5 2 5 2 2 5 2 2" xfId="40302"/>
    <cellStyle name="Comma 5 2 5 2 2 5 3" xfId="24998"/>
    <cellStyle name="Comma 5 2 5 2 2 5 3 2" xfId="50551"/>
    <cellStyle name="Comma 5 2 5 2 2 5 4" xfId="31481"/>
    <cellStyle name="Comma 5 2 5 2 2 6" xfId="7364"/>
    <cellStyle name="Comma 5 2 5 2 2 6 2" xfId="20095"/>
    <cellStyle name="Comma 5 2 5 2 2 6 2 2" xfId="45648"/>
    <cellStyle name="Comma 5 2 5 2 2 6 3" xfId="32921"/>
    <cellStyle name="Comma 5 2 5 2 2 7" xfId="16606"/>
    <cellStyle name="Comma 5 2 5 2 2 7 2" xfId="42159"/>
    <cellStyle name="Comma 5 2 5 2 2 8" xfId="26578"/>
    <cellStyle name="Comma 5 2 5 2 3" xfId="1274"/>
    <cellStyle name="Comma 5 2 5 2 3 2" xfId="3703"/>
    <cellStyle name="Comma 5 2 5 2 3 2 2" xfId="12839"/>
    <cellStyle name="Comma 5 2 5 2 3 2 2 2" xfId="23058"/>
    <cellStyle name="Comma 5 2 5 2 3 2 2 2 2" xfId="48611"/>
    <cellStyle name="Comma 5 2 5 2 3 2 2 3" xfId="38394"/>
    <cellStyle name="Comma 5 2 5 2 3 2 3" xfId="9260"/>
    <cellStyle name="Comma 5 2 5 2 3 2 3 2" xfId="34817"/>
    <cellStyle name="Comma 5 2 5 2 3 2 4" xfId="18051"/>
    <cellStyle name="Comma 5 2 5 2 3 2 4 2" xfId="43604"/>
    <cellStyle name="Comma 5 2 5 2 3 2 5" xfId="29541"/>
    <cellStyle name="Comma 5 2 5 2 3 3" xfId="4813"/>
    <cellStyle name="Comma 5 2 5 2 3 3 2" xfId="13650"/>
    <cellStyle name="Comma 5 2 5 2 3 3 2 2" xfId="23901"/>
    <cellStyle name="Comma 5 2 5 2 3 3 2 2 2" xfId="49454"/>
    <cellStyle name="Comma 5 2 5 2 3 3 2 3" xfId="39205"/>
    <cellStyle name="Comma 5 2 5 2 3 3 3" xfId="10071"/>
    <cellStyle name="Comma 5 2 5 2 3 3 3 2" xfId="35628"/>
    <cellStyle name="Comma 5 2 5 2 3 3 4" xfId="18894"/>
    <cellStyle name="Comma 5 2 5 2 3 3 4 2" xfId="44447"/>
    <cellStyle name="Comma 5 2 5 2 3 3 5" xfId="30384"/>
    <cellStyle name="Comma 5 2 5 2 3 4" xfId="2097"/>
    <cellStyle name="Comma 5 2 5 2 3 4 2" xfId="11462"/>
    <cellStyle name="Comma 5 2 5 2 3 4 2 2" xfId="37017"/>
    <cellStyle name="Comma 5 2 5 2 3 4 3" xfId="21466"/>
    <cellStyle name="Comma 5 2 5 2 3 4 3 2" xfId="47019"/>
    <cellStyle name="Comma 5 2 5 2 3 4 4" xfId="27949"/>
    <cellStyle name="Comma 5 2 5 2 3 5" xfId="6268"/>
    <cellStyle name="Comma 5 2 5 2 3 5 2" xfId="15095"/>
    <cellStyle name="Comma 5 2 5 2 3 5 2 2" xfId="40650"/>
    <cellStyle name="Comma 5 2 5 2 3 5 3" xfId="25346"/>
    <cellStyle name="Comma 5 2 5 2 3 5 3 2" xfId="50899"/>
    <cellStyle name="Comma 5 2 5 2 3 5 4" xfId="31829"/>
    <cellStyle name="Comma 5 2 5 2 3 6" xfId="7714"/>
    <cellStyle name="Comma 5 2 5 2 3 6 2" xfId="20657"/>
    <cellStyle name="Comma 5 2 5 2 3 6 2 2" xfId="46210"/>
    <cellStyle name="Comma 5 2 5 2 3 6 3" xfId="33271"/>
    <cellStyle name="Comma 5 2 5 2 3 7" xfId="16459"/>
    <cellStyle name="Comma 5 2 5 2 3 7 2" xfId="42012"/>
    <cellStyle name="Comma 5 2 5 2 3 8" xfId="27140"/>
    <cellStyle name="Comma 5 2 5 2 4" xfId="2988"/>
    <cellStyle name="Comma 5 2 5 2 4 2" xfId="5366"/>
    <cellStyle name="Comma 5 2 5 2 4 2 2" xfId="14203"/>
    <cellStyle name="Comma 5 2 5 2 4 2 2 2" xfId="24454"/>
    <cellStyle name="Comma 5 2 5 2 4 2 2 2 2" xfId="50007"/>
    <cellStyle name="Comma 5 2 5 2 4 2 2 3" xfId="39758"/>
    <cellStyle name="Comma 5 2 5 2 4 2 3" xfId="10624"/>
    <cellStyle name="Comma 5 2 5 2 4 2 3 2" xfId="36181"/>
    <cellStyle name="Comma 5 2 5 2 4 2 4" xfId="19447"/>
    <cellStyle name="Comma 5 2 5 2 4 2 4 2" xfId="45000"/>
    <cellStyle name="Comma 5 2 5 2 4 2 5" xfId="30937"/>
    <cellStyle name="Comma 5 2 5 2 4 3" xfId="6821"/>
    <cellStyle name="Comma 5 2 5 2 4 3 2" xfId="15648"/>
    <cellStyle name="Comma 5 2 5 2 4 3 2 2" xfId="41203"/>
    <cellStyle name="Comma 5 2 5 2 4 3 3" xfId="25899"/>
    <cellStyle name="Comma 5 2 5 2 4 3 3 2" xfId="51452"/>
    <cellStyle name="Comma 5 2 5 2 4 3 4" xfId="32382"/>
    <cellStyle name="Comma 5 2 5 2 4 4" xfId="8267"/>
    <cellStyle name="Comma 5 2 5 2 4 4 2" xfId="22349"/>
    <cellStyle name="Comma 5 2 5 2 4 4 2 2" xfId="47902"/>
    <cellStyle name="Comma 5 2 5 2 4 4 3" xfId="33824"/>
    <cellStyle name="Comma 5 2 5 2 4 5" xfId="17342"/>
    <cellStyle name="Comma 5 2 5 2 4 5 2" xfId="42895"/>
    <cellStyle name="Comma 5 2 5 2 4 6" xfId="28832"/>
    <cellStyle name="Comma 5 2 5 2 5" xfId="4322"/>
    <cellStyle name="Comma 5 2 5 2 5 2" xfId="13160"/>
    <cellStyle name="Comma 5 2 5 2 5 2 2" xfId="23411"/>
    <cellStyle name="Comma 5 2 5 2 5 2 2 2" xfId="48964"/>
    <cellStyle name="Comma 5 2 5 2 5 2 3" xfId="38715"/>
    <cellStyle name="Comma 5 2 5 2 5 3" xfId="9581"/>
    <cellStyle name="Comma 5 2 5 2 5 3 2" xfId="35138"/>
    <cellStyle name="Comma 5 2 5 2 5 4" xfId="18404"/>
    <cellStyle name="Comma 5 2 5 2 5 4 2" xfId="43957"/>
    <cellStyle name="Comma 5 2 5 2 5 5" xfId="29894"/>
    <cellStyle name="Comma 5 2 5 2 6" xfId="1594"/>
    <cellStyle name="Comma 5 2 5 2 6 2" xfId="10971"/>
    <cellStyle name="Comma 5 2 5 2 6 2 2" xfId="36526"/>
    <cellStyle name="Comma 5 2 5 2 6 3" xfId="20975"/>
    <cellStyle name="Comma 5 2 5 2 6 3 2" xfId="46528"/>
    <cellStyle name="Comma 5 2 5 2 6 4" xfId="27458"/>
    <cellStyle name="Comma 5 2 5 2 7" xfId="5778"/>
    <cellStyle name="Comma 5 2 5 2 7 2" xfId="14605"/>
    <cellStyle name="Comma 5 2 5 2 7 2 2" xfId="40160"/>
    <cellStyle name="Comma 5 2 5 2 7 3" xfId="24856"/>
    <cellStyle name="Comma 5 2 5 2 7 3 2" xfId="50409"/>
    <cellStyle name="Comma 5 2 5 2 7 4" xfId="31339"/>
    <cellStyle name="Comma 5 2 5 2 8" xfId="7222"/>
    <cellStyle name="Comma 5 2 5 2 8 2" xfId="19948"/>
    <cellStyle name="Comma 5 2 5 2 8 2 2" xfId="45501"/>
    <cellStyle name="Comma 5 2 5 2 8 3" xfId="32779"/>
    <cellStyle name="Comma 5 2 5 2 9" xfId="15968"/>
    <cellStyle name="Comma 5 2 5 2 9 2" xfId="41521"/>
    <cellStyle name="Comma 5 2 5 3" xfId="402"/>
    <cellStyle name="Comma 5 2 5 3 2" xfId="2888"/>
    <cellStyle name="Comma 5 2 5 3 2 2" xfId="12176"/>
    <cellStyle name="Comma 5 2 5 3 2 2 2" xfId="22249"/>
    <cellStyle name="Comma 5 2 5 3 2 2 2 2" xfId="47802"/>
    <cellStyle name="Comma 5 2 5 3 2 2 3" xfId="37731"/>
    <cellStyle name="Comma 5 2 5 3 2 3" xfId="6970"/>
    <cellStyle name="Comma 5 2 5 3 2 3 2" xfId="32528"/>
    <cellStyle name="Comma 5 2 5 3 2 4" xfId="17242"/>
    <cellStyle name="Comma 5 2 5 3 2 4 2" xfId="42795"/>
    <cellStyle name="Comma 5 2 5 3 2 5" xfId="28732"/>
    <cellStyle name="Comma 5 2 5 3 3" xfId="4463"/>
    <cellStyle name="Comma 5 2 5 3 3 2" xfId="13301"/>
    <cellStyle name="Comma 5 2 5 3 3 2 2" xfId="23552"/>
    <cellStyle name="Comma 5 2 5 3 3 2 2 2" xfId="49105"/>
    <cellStyle name="Comma 5 2 5 3 3 2 3" xfId="38856"/>
    <cellStyle name="Comma 5 2 5 3 3 3" xfId="9722"/>
    <cellStyle name="Comma 5 2 5 3 3 3 2" xfId="35279"/>
    <cellStyle name="Comma 5 2 5 3 3 4" xfId="18545"/>
    <cellStyle name="Comma 5 2 5 3 3 4 2" xfId="44098"/>
    <cellStyle name="Comma 5 2 5 3 3 5" xfId="30035"/>
    <cellStyle name="Comma 5 2 5 3 4" xfId="1997"/>
    <cellStyle name="Comma 5 2 5 3 4 2" xfId="11362"/>
    <cellStyle name="Comma 5 2 5 3 4 2 2" xfId="36917"/>
    <cellStyle name="Comma 5 2 5 3 4 3" xfId="21366"/>
    <cellStyle name="Comma 5 2 5 3 4 3 2" xfId="46919"/>
    <cellStyle name="Comma 5 2 5 3 4 4" xfId="27849"/>
    <cellStyle name="Comma 5 2 5 3 5" xfId="5919"/>
    <cellStyle name="Comma 5 2 5 3 5 2" xfId="14746"/>
    <cellStyle name="Comma 5 2 5 3 5 2 2" xfId="40301"/>
    <cellStyle name="Comma 5 2 5 3 5 3" xfId="24997"/>
    <cellStyle name="Comma 5 2 5 3 5 3 2" xfId="50550"/>
    <cellStyle name="Comma 5 2 5 3 5 4" xfId="31480"/>
    <cellStyle name="Comma 5 2 5 3 6" xfId="7363"/>
    <cellStyle name="Comma 5 2 5 3 6 2" xfId="19848"/>
    <cellStyle name="Comma 5 2 5 3 6 2 2" xfId="45401"/>
    <cellStyle name="Comma 5 2 5 3 6 3" xfId="32920"/>
    <cellStyle name="Comma 5 2 5 3 7" xfId="16359"/>
    <cellStyle name="Comma 5 2 5 3 7 2" xfId="41912"/>
    <cellStyle name="Comma 5 2 5 3 8" xfId="26331"/>
    <cellStyle name="Comma 5 2 5 4" xfId="648"/>
    <cellStyle name="Comma 5 2 5 4 2" xfId="3134"/>
    <cellStyle name="Comma 5 2 5 4 2 2" xfId="12277"/>
    <cellStyle name="Comma 5 2 5 4 2 2 2" xfId="22495"/>
    <cellStyle name="Comma 5 2 5 4 2 2 2 2" xfId="48048"/>
    <cellStyle name="Comma 5 2 5 4 2 2 3" xfId="37832"/>
    <cellStyle name="Comma 5 2 5 4 2 3" xfId="8699"/>
    <cellStyle name="Comma 5 2 5 4 2 3 2" xfId="34256"/>
    <cellStyle name="Comma 5 2 5 4 2 4" xfId="17488"/>
    <cellStyle name="Comma 5 2 5 4 2 4 2" xfId="43041"/>
    <cellStyle name="Comma 5 2 5 4 2 5" xfId="28978"/>
    <cellStyle name="Comma 5 2 5 4 3" xfId="4812"/>
    <cellStyle name="Comma 5 2 5 4 3 2" xfId="13649"/>
    <cellStyle name="Comma 5 2 5 4 3 2 2" xfId="23900"/>
    <cellStyle name="Comma 5 2 5 4 3 2 2 2" xfId="49453"/>
    <cellStyle name="Comma 5 2 5 4 3 2 3" xfId="39204"/>
    <cellStyle name="Comma 5 2 5 4 3 3" xfId="10070"/>
    <cellStyle name="Comma 5 2 5 4 3 3 2" xfId="35627"/>
    <cellStyle name="Comma 5 2 5 4 3 4" xfId="18893"/>
    <cellStyle name="Comma 5 2 5 4 3 4 2" xfId="44446"/>
    <cellStyle name="Comma 5 2 5 4 3 5" xfId="30383"/>
    <cellStyle name="Comma 5 2 5 4 4" xfId="2243"/>
    <cellStyle name="Comma 5 2 5 4 4 2" xfId="11608"/>
    <cellStyle name="Comma 5 2 5 4 4 2 2" xfId="37163"/>
    <cellStyle name="Comma 5 2 5 4 4 3" xfId="21612"/>
    <cellStyle name="Comma 5 2 5 4 4 3 2" xfId="47165"/>
    <cellStyle name="Comma 5 2 5 4 4 4" xfId="28095"/>
    <cellStyle name="Comma 5 2 5 4 5" xfId="6267"/>
    <cellStyle name="Comma 5 2 5 4 5 2" xfId="15094"/>
    <cellStyle name="Comma 5 2 5 4 5 2 2" xfId="40649"/>
    <cellStyle name="Comma 5 2 5 4 5 3" xfId="25345"/>
    <cellStyle name="Comma 5 2 5 4 5 3 2" xfId="50898"/>
    <cellStyle name="Comma 5 2 5 4 5 4" xfId="31828"/>
    <cellStyle name="Comma 5 2 5 4 6" xfId="7713"/>
    <cellStyle name="Comma 5 2 5 4 6 2" xfId="20094"/>
    <cellStyle name="Comma 5 2 5 4 6 2 2" xfId="45647"/>
    <cellStyle name="Comma 5 2 5 4 6 3" xfId="33270"/>
    <cellStyle name="Comma 5 2 5 4 7" xfId="16605"/>
    <cellStyle name="Comma 5 2 5 4 7 2" xfId="42158"/>
    <cellStyle name="Comma 5 2 5 4 8" xfId="26577"/>
    <cellStyle name="Comma 5 2 5 5" xfId="1174"/>
    <cellStyle name="Comma 5 2 5 5 2" xfId="3603"/>
    <cellStyle name="Comma 5 2 5 5 2 2" xfId="12739"/>
    <cellStyle name="Comma 5 2 5 5 2 2 2" xfId="22958"/>
    <cellStyle name="Comma 5 2 5 5 2 2 2 2" xfId="48511"/>
    <cellStyle name="Comma 5 2 5 5 2 2 3" xfId="38294"/>
    <cellStyle name="Comma 5 2 5 5 2 3" xfId="9160"/>
    <cellStyle name="Comma 5 2 5 5 2 3 2" xfId="34717"/>
    <cellStyle name="Comma 5 2 5 5 2 4" xfId="17951"/>
    <cellStyle name="Comma 5 2 5 5 2 4 2" xfId="43504"/>
    <cellStyle name="Comma 5 2 5 5 2 5" xfId="29441"/>
    <cellStyle name="Comma 5 2 5 5 3" xfId="5266"/>
    <cellStyle name="Comma 5 2 5 5 3 2" xfId="14103"/>
    <cellStyle name="Comma 5 2 5 5 3 2 2" xfId="24354"/>
    <cellStyle name="Comma 5 2 5 5 3 2 2 2" xfId="49907"/>
    <cellStyle name="Comma 5 2 5 5 3 2 3" xfId="39658"/>
    <cellStyle name="Comma 5 2 5 5 3 3" xfId="10524"/>
    <cellStyle name="Comma 5 2 5 5 3 3 2" xfId="36081"/>
    <cellStyle name="Comma 5 2 5 5 3 4" xfId="19347"/>
    <cellStyle name="Comma 5 2 5 5 3 4 2" xfId="44900"/>
    <cellStyle name="Comma 5 2 5 5 3 5" xfId="30837"/>
    <cellStyle name="Comma 5 2 5 5 4" xfId="1776"/>
    <cellStyle name="Comma 5 2 5 5 4 2" xfId="11145"/>
    <cellStyle name="Comma 5 2 5 5 4 2 2" xfId="36700"/>
    <cellStyle name="Comma 5 2 5 5 4 3" xfId="21149"/>
    <cellStyle name="Comma 5 2 5 5 4 3 2" xfId="46702"/>
    <cellStyle name="Comma 5 2 5 5 4 4" xfId="27632"/>
    <cellStyle name="Comma 5 2 5 5 5" xfId="6721"/>
    <cellStyle name="Comma 5 2 5 5 5 2" xfId="15548"/>
    <cellStyle name="Comma 5 2 5 5 5 2 2" xfId="41103"/>
    <cellStyle name="Comma 5 2 5 5 5 3" xfId="25799"/>
    <cellStyle name="Comma 5 2 5 5 5 3 2" xfId="51352"/>
    <cellStyle name="Comma 5 2 5 5 5 4" xfId="32282"/>
    <cellStyle name="Comma 5 2 5 5 6" xfId="8167"/>
    <cellStyle name="Comma 5 2 5 5 6 2" xfId="20557"/>
    <cellStyle name="Comma 5 2 5 5 6 2 2" xfId="46110"/>
    <cellStyle name="Comma 5 2 5 5 6 3" xfId="33724"/>
    <cellStyle name="Comma 5 2 5 5 7" xfId="16142"/>
    <cellStyle name="Comma 5 2 5 5 7 2" xfId="41695"/>
    <cellStyle name="Comma 5 2 5 5 8" xfId="27040"/>
    <cellStyle name="Comma 5 2 5 6" xfId="2671"/>
    <cellStyle name="Comma 5 2 5 6 2" xfId="11988"/>
    <cellStyle name="Comma 5 2 5 6 2 2" xfId="22032"/>
    <cellStyle name="Comma 5 2 5 6 2 2 2" xfId="47585"/>
    <cellStyle name="Comma 5 2 5 6 2 3" xfId="37543"/>
    <cellStyle name="Comma 5 2 5 6 3" xfId="8500"/>
    <cellStyle name="Comma 5 2 5 6 3 2" xfId="34057"/>
    <cellStyle name="Comma 5 2 5 6 4" xfId="17025"/>
    <cellStyle name="Comma 5 2 5 6 4 2" xfId="42578"/>
    <cellStyle name="Comma 5 2 5 6 5" xfId="28515"/>
    <cellStyle name="Comma 5 2 5 7" xfId="4222"/>
    <cellStyle name="Comma 5 2 5 7 2" xfId="13060"/>
    <cellStyle name="Comma 5 2 5 7 2 2" xfId="23311"/>
    <cellStyle name="Comma 5 2 5 7 2 2 2" xfId="48864"/>
    <cellStyle name="Comma 5 2 5 7 2 3" xfId="38615"/>
    <cellStyle name="Comma 5 2 5 7 3" xfId="9481"/>
    <cellStyle name="Comma 5 2 5 7 3 2" xfId="35038"/>
    <cellStyle name="Comma 5 2 5 7 4" xfId="18304"/>
    <cellStyle name="Comma 5 2 5 7 4 2" xfId="43857"/>
    <cellStyle name="Comma 5 2 5 7 5" xfId="29794"/>
    <cellStyle name="Comma 5 2 5 8" xfId="1494"/>
    <cellStyle name="Comma 5 2 5 8 2" xfId="10871"/>
    <cellStyle name="Comma 5 2 5 8 2 2" xfId="36426"/>
    <cellStyle name="Comma 5 2 5 8 3" xfId="20875"/>
    <cellStyle name="Comma 5 2 5 8 3 2" xfId="46428"/>
    <cellStyle name="Comma 5 2 5 8 4" xfId="27358"/>
    <cellStyle name="Comma 5 2 5 9" xfId="5678"/>
    <cellStyle name="Comma 5 2 5 9 2" xfId="14505"/>
    <cellStyle name="Comma 5 2 5 9 2 2" xfId="40060"/>
    <cellStyle name="Comma 5 2 5 9 3" xfId="24756"/>
    <cellStyle name="Comma 5 2 5 9 3 2" xfId="50309"/>
    <cellStyle name="Comma 5 2 5 9 4" xfId="31239"/>
    <cellStyle name="Comma 5 2 6" xfId="227"/>
    <cellStyle name="Comma 5 2 6 10" xfId="7065"/>
    <cellStyle name="Comma 5 2 6 10 2" xfId="19679"/>
    <cellStyle name="Comma 5 2 6 10 2 2" xfId="45232"/>
    <cellStyle name="Comma 5 2 6 10 3" xfId="32622"/>
    <cellStyle name="Comma 5 2 6 11" xfId="15811"/>
    <cellStyle name="Comma 5 2 6 11 2" xfId="41364"/>
    <cellStyle name="Comma 5 2 6 12" xfId="26162"/>
    <cellStyle name="Comma 5 2 6 2" xfId="550"/>
    <cellStyle name="Comma 5 2 6 2 10" xfId="26479"/>
    <cellStyle name="Comma 5 2 6 2 2" xfId="651"/>
    <cellStyle name="Comma 5 2 6 2 2 2" xfId="3137"/>
    <cellStyle name="Comma 5 2 6 2 2 2 2" xfId="12280"/>
    <cellStyle name="Comma 5 2 6 2 2 2 2 2" xfId="22498"/>
    <cellStyle name="Comma 5 2 6 2 2 2 2 2 2" xfId="48051"/>
    <cellStyle name="Comma 5 2 6 2 2 2 2 3" xfId="37835"/>
    <cellStyle name="Comma 5 2 6 2 2 2 3" xfId="8702"/>
    <cellStyle name="Comma 5 2 6 2 2 2 3 2" xfId="34259"/>
    <cellStyle name="Comma 5 2 6 2 2 2 4" xfId="17491"/>
    <cellStyle name="Comma 5 2 6 2 2 2 4 2" xfId="43044"/>
    <cellStyle name="Comma 5 2 6 2 2 2 5" xfId="28981"/>
    <cellStyle name="Comma 5 2 6 2 2 3" xfId="4466"/>
    <cellStyle name="Comma 5 2 6 2 2 3 2" xfId="13304"/>
    <cellStyle name="Comma 5 2 6 2 2 3 2 2" xfId="23555"/>
    <cellStyle name="Comma 5 2 6 2 2 3 2 2 2" xfId="49108"/>
    <cellStyle name="Comma 5 2 6 2 2 3 2 3" xfId="38859"/>
    <cellStyle name="Comma 5 2 6 2 2 3 3" xfId="9725"/>
    <cellStyle name="Comma 5 2 6 2 2 3 3 2" xfId="35282"/>
    <cellStyle name="Comma 5 2 6 2 2 3 4" xfId="18548"/>
    <cellStyle name="Comma 5 2 6 2 2 3 4 2" xfId="44101"/>
    <cellStyle name="Comma 5 2 6 2 2 3 5" xfId="30038"/>
    <cellStyle name="Comma 5 2 6 2 2 4" xfId="2246"/>
    <cellStyle name="Comma 5 2 6 2 2 4 2" xfId="11611"/>
    <cellStyle name="Comma 5 2 6 2 2 4 2 2" xfId="37166"/>
    <cellStyle name="Comma 5 2 6 2 2 4 3" xfId="21615"/>
    <cellStyle name="Comma 5 2 6 2 2 4 3 2" xfId="47168"/>
    <cellStyle name="Comma 5 2 6 2 2 4 4" xfId="28098"/>
    <cellStyle name="Comma 5 2 6 2 2 5" xfId="5922"/>
    <cellStyle name="Comma 5 2 6 2 2 5 2" xfId="14749"/>
    <cellStyle name="Comma 5 2 6 2 2 5 2 2" xfId="40304"/>
    <cellStyle name="Comma 5 2 6 2 2 5 3" xfId="25000"/>
    <cellStyle name="Comma 5 2 6 2 2 5 3 2" xfId="50553"/>
    <cellStyle name="Comma 5 2 6 2 2 5 4" xfId="31483"/>
    <cellStyle name="Comma 5 2 6 2 2 6" xfId="7366"/>
    <cellStyle name="Comma 5 2 6 2 2 6 2" xfId="20097"/>
    <cellStyle name="Comma 5 2 6 2 2 6 2 2" xfId="45650"/>
    <cellStyle name="Comma 5 2 6 2 2 6 3" xfId="32923"/>
    <cellStyle name="Comma 5 2 6 2 2 7" xfId="16608"/>
    <cellStyle name="Comma 5 2 6 2 2 7 2" xfId="42161"/>
    <cellStyle name="Comma 5 2 6 2 2 8" xfId="26580"/>
    <cellStyle name="Comma 5 2 6 2 3" xfId="1322"/>
    <cellStyle name="Comma 5 2 6 2 3 2" xfId="3751"/>
    <cellStyle name="Comma 5 2 6 2 3 2 2" xfId="12887"/>
    <cellStyle name="Comma 5 2 6 2 3 2 2 2" xfId="23106"/>
    <cellStyle name="Comma 5 2 6 2 3 2 2 2 2" xfId="48659"/>
    <cellStyle name="Comma 5 2 6 2 3 2 2 3" xfId="38442"/>
    <cellStyle name="Comma 5 2 6 2 3 2 3" xfId="9308"/>
    <cellStyle name="Comma 5 2 6 2 3 2 3 2" xfId="34865"/>
    <cellStyle name="Comma 5 2 6 2 3 2 4" xfId="18099"/>
    <cellStyle name="Comma 5 2 6 2 3 2 4 2" xfId="43652"/>
    <cellStyle name="Comma 5 2 6 2 3 2 5" xfId="29589"/>
    <cellStyle name="Comma 5 2 6 2 3 3" xfId="4815"/>
    <cellStyle name="Comma 5 2 6 2 3 3 2" xfId="13652"/>
    <cellStyle name="Comma 5 2 6 2 3 3 2 2" xfId="23903"/>
    <cellStyle name="Comma 5 2 6 2 3 3 2 2 2" xfId="49456"/>
    <cellStyle name="Comma 5 2 6 2 3 3 2 3" xfId="39207"/>
    <cellStyle name="Comma 5 2 6 2 3 3 3" xfId="10073"/>
    <cellStyle name="Comma 5 2 6 2 3 3 3 2" xfId="35630"/>
    <cellStyle name="Comma 5 2 6 2 3 3 4" xfId="18896"/>
    <cellStyle name="Comma 5 2 6 2 3 3 4 2" xfId="44449"/>
    <cellStyle name="Comma 5 2 6 2 3 3 5" xfId="30386"/>
    <cellStyle name="Comma 5 2 6 2 3 4" xfId="2145"/>
    <cellStyle name="Comma 5 2 6 2 3 4 2" xfId="11510"/>
    <cellStyle name="Comma 5 2 6 2 3 4 2 2" xfId="37065"/>
    <cellStyle name="Comma 5 2 6 2 3 4 3" xfId="21514"/>
    <cellStyle name="Comma 5 2 6 2 3 4 3 2" xfId="47067"/>
    <cellStyle name="Comma 5 2 6 2 3 4 4" xfId="27997"/>
    <cellStyle name="Comma 5 2 6 2 3 5" xfId="6270"/>
    <cellStyle name="Comma 5 2 6 2 3 5 2" xfId="15097"/>
    <cellStyle name="Comma 5 2 6 2 3 5 2 2" xfId="40652"/>
    <cellStyle name="Comma 5 2 6 2 3 5 3" xfId="25348"/>
    <cellStyle name="Comma 5 2 6 2 3 5 3 2" xfId="50901"/>
    <cellStyle name="Comma 5 2 6 2 3 5 4" xfId="31831"/>
    <cellStyle name="Comma 5 2 6 2 3 6" xfId="7716"/>
    <cellStyle name="Comma 5 2 6 2 3 6 2" xfId="20705"/>
    <cellStyle name="Comma 5 2 6 2 3 6 2 2" xfId="46258"/>
    <cellStyle name="Comma 5 2 6 2 3 6 3" xfId="33273"/>
    <cellStyle name="Comma 5 2 6 2 3 7" xfId="16507"/>
    <cellStyle name="Comma 5 2 6 2 3 7 2" xfId="42060"/>
    <cellStyle name="Comma 5 2 6 2 3 8" xfId="27188"/>
    <cellStyle name="Comma 5 2 6 2 4" xfId="3036"/>
    <cellStyle name="Comma 5 2 6 2 4 2" xfId="5414"/>
    <cellStyle name="Comma 5 2 6 2 4 2 2" xfId="14251"/>
    <cellStyle name="Comma 5 2 6 2 4 2 2 2" xfId="24502"/>
    <cellStyle name="Comma 5 2 6 2 4 2 2 2 2" xfId="50055"/>
    <cellStyle name="Comma 5 2 6 2 4 2 2 3" xfId="39806"/>
    <cellStyle name="Comma 5 2 6 2 4 2 3" xfId="10672"/>
    <cellStyle name="Comma 5 2 6 2 4 2 3 2" xfId="36229"/>
    <cellStyle name="Comma 5 2 6 2 4 2 4" xfId="19495"/>
    <cellStyle name="Comma 5 2 6 2 4 2 4 2" xfId="45048"/>
    <cellStyle name="Comma 5 2 6 2 4 2 5" xfId="30985"/>
    <cellStyle name="Comma 5 2 6 2 4 3" xfId="6869"/>
    <cellStyle name="Comma 5 2 6 2 4 3 2" xfId="15696"/>
    <cellStyle name="Comma 5 2 6 2 4 3 2 2" xfId="41251"/>
    <cellStyle name="Comma 5 2 6 2 4 3 3" xfId="25947"/>
    <cellStyle name="Comma 5 2 6 2 4 3 3 2" xfId="51500"/>
    <cellStyle name="Comma 5 2 6 2 4 3 4" xfId="32430"/>
    <cellStyle name="Comma 5 2 6 2 4 4" xfId="8315"/>
    <cellStyle name="Comma 5 2 6 2 4 4 2" xfId="22397"/>
    <cellStyle name="Comma 5 2 6 2 4 4 2 2" xfId="47950"/>
    <cellStyle name="Comma 5 2 6 2 4 4 3" xfId="33872"/>
    <cellStyle name="Comma 5 2 6 2 4 5" xfId="17390"/>
    <cellStyle name="Comma 5 2 6 2 4 5 2" xfId="42943"/>
    <cellStyle name="Comma 5 2 6 2 4 6" xfId="28880"/>
    <cellStyle name="Comma 5 2 6 2 5" xfId="4370"/>
    <cellStyle name="Comma 5 2 6 2 5 2" xfId="13208"/>
    <cellStyle name="Comma 5 2 6 2 5 2 2" xfId="23459"/>
    <cellStyle name="Comma 5 2 6 2 5 2 2 2" xfId="49012"/>
    <cellStyle name="Comma 5 2 6 2 5 2 3" xfId="38763"/>
    <cellStyle name="Comma 5 2 6 2 5 3" xfId="9629"/>
    <cellStyle name="Comma 5 2 6 2 5 3 2" xfId="35186"/>
    <cellStyle name="Comma 5 2 6 2 5 4" xfId="18452"/>
    <cellStyle name="Comma 5 2 6 2 5 4 2" xfId="44005"/>
    <cellStyle name="Comma 5 2 6 2 5 5" xfId="29942"/>
    <cellStyle name="Comma 5 2 6 2 6" xfId="1642"/>
    <cellStyle name="Comma 5 2 6 2 6 2" xfId="11019"/>
    <cellStyle name="Comma 5 2 6 2 6 2 2" xfId="36574"/>
    <cellStyle name="Comma 5 2 6 2 6 3" xfId="21023"/>
    <cellStyle name="Comma 5 2 6 2 6 3 2" xfId="46576"/>
    <cellStyle name="Comma 5 2 6 2 6 4" xfId="27506"/>
    <cellStyle name="Comma 5 2 6 2 7" xfId="5826"/>
    <cellStyle name="Comma 5 2 6 2 7 2" xfId="14653"/>
    <cellStyle name="Comma 5 2 6 2 7 2 2" xfId="40208"/>
    <cellStyle name="Comma 5 2 6 2 7 3" xfId="24904"/>
    <cellStyle name="Comma 5 2 6 2 7 3 2" xfId="50457"/>
    <cellStyle name="Comma 5 2 6 2 7 4" xfId="31387"/>
    <cellStyle name="Comma 5 2 6 2 8" xfId="7270"/>
    <cellStyle name="Comma 5 2 6 2 8 2" xfId="19996"/>
    <cellStyle name="Comma 5 2 6 2 8 2 2" xfId="45549"/>
    <cellStyle name="Comma 5 2 6 2 8 3" xfId="32827"/>
    <cellStyle name="Comma 5 2 6 2 9" xfId="16016"/>
    <cellStyle name="Comma 5 2 6 2 9 2" xfId="41569"/>
    <cellStyle name="Comma 5 2 6 3" xfId="345"/>
    <cellStyle name="Comma 5 2 6 3 2" xfId="2831"/>
    <cellStyle name="Comma 5 2 6 3 2 2" xfId="12119"/>
    <cellStyle name="Comma 5 2 6 3 2 2 2" xfId="22192"/>
    <cellStyle name="Comma 5 2 6 3 2 2 2 2" xfId="47745"/>
    <cellStyle name="Comma 5 2 6 3 2 2 3" xfId="37674"/>
    <cellStyle name="Comma 5 2 6 3 2 3" xfId="8470"/>
    <cellStyle name="Comma 5 2 6 3 2 3 2" xfId="34027"/>
    <cellStyle name="Comma 5 2 6 3 2 4" xfId="17185"/>
    <cellStyle name="Comma 5 2 6 3 2 4 2" xfId="42738"/>
    <cellStyle name="Comma 5 2 6 3 2 5" xfId="28675"/>
    <cellStyle name="Comma 5 2 6 3 3" xfId="4465"/>
    <cellStyle name="Comma 5 2 6 3 3 2" xfId="13303"/>
    <cellStyle name="Comma 5 2 6 3 3 2 2" xfId="23554"/>
    <cellStyle name="Comma 5 2 6 3 3 2 2 2" xfId="49107"/>
    <cellStyle name="Comma 5 2 6 3 3 2 3" xfId="38858"/>
    <cellStyle name="Comma 5 2 6 3 3 3" xfId="9724"/>
    <cellStyle name="Comma 5 2 6 3 3 3 2" xfId="35281"/>
    <cellStyle name="Comma 5 2 6 3 3 4" xfId="18547"/>
    <cellStyle name="Comma 5 2 6 3 3 4 2" xfId="44100"/>
    <cellStyle name="Comma 5 2 6 3 3 5" xfId="30037"/>
    <cellStyle name="Comma 5 2 6 3 4" xfId="1940"/>
    <cellStyle name="Comma 5 2 6 3 4 2" xfId="11305"/>
    <cellStyle name="Comma 5 2 6 3 4 2 2" xfId="36860"/>
    <cellStyle name="Comma 5 2 6 3 4 3" xfId="21309"/>
    <cellStyle name="Comma 5 2 6 3 4 3 2" xfId="46862"/>
    <cellStyle name="Comma 5 2 6 3 4 4" xfId="27792"/>
    <cellStyle name="Comma 5 2 6 3 5" xfId="5921"/>
    <cellStyle name="Comma 5 2 6 3 5 2" xfId="14748"/>
    <cellStyle name="Comma 5 2 6 3 5 2 2" xfId="40303"/>
    <cellStyle name="Comma 5 2 6 3 5 3" xfId="24999"/>
    <cellStyle name="Comma 5 2 6 3 5 3 2" xfId="50552"/>
    <cellStyle name="Comma 5 2 6 3 5 4" xfId="31482"/>
    <cellStyle name="Comma 5 2 6 3 6" xfId="7365"/>
    <cellStyle name="Comma 5 2 6 3 6 2" xfId="19791"/>
    <cellStyle name="Comma 5 2 6 3 6 2 2" xfId="45344"/>
    <cellStyle name="Comma 5 2 6 3 6 3" xfId="32922"/>
    <cellStyle name="Comma 5 2 6 3 7" xfId="16302"/>
    <cellStyle name="Comma 5 2 6 3 7 2" xfId="41855"/>
    <cellStyle name="Comma 5 2 6 3 8" xfId="26274"/>
    <cellStyle name="Comma 5 2 6 4" xfId="650"/>
    <cellStyle name="Comma 5 2 6 4 2" xfId="3136"/>
    <cellStyle name="Comma 5 2 6 4 2 2" xfId="12279"/>
    <cellStyle name="Comma 5 2 6 4 2 2 2" xfId="22497"/>
    <cellStyle name="Comma 5 2 6 4 2 2 2 2" xfId="48050"/>
    <cellStyle name="Comma 5 2 6 4 2 2 3" xfId="37834"/>
    <cellStyle name="Comma 5 2 6 4 2 3" xfId="8701"/>
    <cellStyle name="Comma 5 2 6 4 2 3 2" xfId="34258"/>
    <cellStyle name="Comma 5 2 6 4 2 4" xfId="17490"/>
    <cellStyle name="Comma 5 2 6 4 2 4 2" xfId="43043"/>
    <cellStyle name="Comma 5 2 6 4 2 5" xfId="28980"/>
    <cellStyle name="Comma 5 2 6 4 3" xfId="4814"/>
    <cellStyle name="Comma 5 2 6 4 3 2" xfId="13651"/>
    <cellStyle name="Comma 5 2 6 4 3 2 2" xfId="23902"/>
    <cellStyle name="Comma 5 2 6 4 3 2 2 2" xfId="49455"/>
    <cellStyle name="Comma 5 2 6 4 3 2 3" xfId="39206"/>
    <cellStyle name="Comma 5 2 6 4 3 3" xfId="10072"/>
    <cellStyle name="Comma 5 2 6 4 3 3 2" xfId="35629"/>
    <cellStyle name="Comma 5 2 6 4 3 4" xfId="18895"/>
    <cellStyle name="Comma 5 2 6 4 3 4 2" xfId="44448"/>
    <cellStyle name="Comma 5 2 6 4 3 5" xfId="30385"/>
    <cellStyle name="Comma 5 2 6 4 4" xfId="2245"/>
    <cellStyle name="Comma 5 2 6 4 4 2" xfId="11610"/>
    <cellStyle name="Comma 5 2 6 4 4 2 2" xfId="37165"/>
    <cellStyle name="Comma 5 2 6 4 4 3" xfId="21614"/>
    <cellStyle name="Comma 5 2 6 4 4 3 2" xfId="47167"/>
    <cellStyle name="Comma 5 2 6 4 4 4" xfId="28097"/>
    <cellStyle name="Comma 5 2 6 4 5" xfId="6269"/>
    <cellStyle name="Comma 5 2 6 4 5 2" xfId="15096"/>
    <cellStyle name="Comma 5 2 6 4 5 2 2" xfId="40651"/>
    <cellStyle name="Comma 5 2 6 4 5 3" xfId="25347"/>
    <cellStyle name="Comma 5 2 6 4 5 3 2" xfId="50900"/>
    <cellStyle name="Comma 5 2 6 4 5 4" xfId="31830"/>
    <cellStyle name="Comma 5 2 6 4 6" xfId="7715"/>
    <cellStyle name="Comma 5 2 6 4 6 2" xfId="20096"/>
    <cellStyle name="Comma 5 2 6 4 6 2 2" xfId="45649"/>
    <cellStyle name="Comma 5 2 6 4 6 3" xfId="33272"/>
    <cellStyle name="Comma 5 2 6 4 7" xfId="16607"/>
    <cellStyle name="Comma 5 2 6 4 7 2" xfId="42160"/>
    <cellStyle name="Comma 5 2 6 4 8" xfId="26579"/>
    <cellStyle name="Comma 5 2 6 5" xfId="1117"/>
    <cellStyle name="Comma 5 2 6 5 2" xfId="3546"/>
    <cellStyle name="Comma 5 2 6 5 2 2" xfId="12682"/>
    <cellStyle name="Comma 5 2 6 5 2 2 2" xfId="22901"/>
    <cellStyle name="Comma 5 2 6 5 2 2 2 2" xfId="48454"/>
    <cellStyle name="Comma 5 2 6 5 2 2 3" xfId="38237"/>
    <cellStyle name="Comma 5 2 6 5 2 3" xfId="9103"/>
    <cellStyle name="Comma 5 2 6 5 2 3 2" xfId="34660"/>
    <cellStyle name="Comma 5 2 6 5 2 4" xfId="17894"/>
    <cellStyle name="Comma 5 2 6 5 2 4 2" xfId="43447"/>
    <cellStyle name="Comma 5 2 6 5 2 5" xfId="29384"/>
    <cellStyle name="Comma 5 2 6 5 3" xfId="5209"/>
    <cellStyle name="Comma 5 2 6 5 3 2" xfId="14046"/>
    <cellStyle name="Comma 5 2 6 5 3 2 2" xfId="24297"/>
    <cellStyle name="Comma 5 2 6 5 3 2 2 2" xfId="49850"/>
    <cellStyle name="Comma 5 2 6 5 3 2 3" xfId="39601"/>
    <cellStyle name="Comma 5 2 6 5 3 3" xfId="10467"/>
    <cellStyle name="Comma 5 2 6 5 3 3 2" xfId="36024"/>
    <cellStyle name="Comma 5 2 6 5 3 4" xfId="19290"/>
    <cellStyle name="Comma 5 2 6 5 3 4 2" xfId="44843"/>
    <cellStyle name="Comma 5 2 6 5 3 5" xfId="30780"/>
    <cellStyle name="Comma 5 2 6 5 4" xfId="1825"/>
    <cellStyle name="Comma 5 2 6 5 4 2" xfId="11193"/>
    <cellStyle name="Comma 5 2 6 5 4 2 2" xfId="36748"/>
    <cellStyle name="Comma 5 2 6 5 4 3" xfId="21197"/>
    <cellStyle name="Comma 5 2 6 5 4 3 2" xfId="46750"/>
    <cellStyle name="Comma 5 2 6 5 4 4" xfId="27680"/>
    <cellStyle name="Comma 5 2 6 5 5" xfId="6664"/>
    <cellStyle name="Comma 5 2 6 5 5 2" xfId="15491"/>
    <cellStyle name="Comma 5 2 6 5 5 2 2" xfId="41046"/>
    <cellStyle name="Comma 5 2 6 5 5 3" xfId="25742"/>
    <cellStyle name="Comma 5 2 6 5 5 3 2" xfId="51295"/>
    <cellStyle name="Comma 5 2 6 5 5 4" xfId="32225"/>
    <cellStyle name="Comma 5 2 6 5 6" xfId="8110"/>
    <cellStyle name="Comma 5 2 6 5 6 2" xfId="20500"/>
    <cellStyle name="Comma 5 2 6 5 6 2 2" xfId="46053"/>
    <cellStyle name="Comma 5 2 6 5 6 3" xfId="33667"/>
    <cellStyle name="Comma 5 2 6 5 7" xfId="16190"/>
    <cellStyle name="Comma 5 2 6 5 7 2" xfId="41743"/>
    <cellStyle name="Comma 5 2 6 5 8" xfId="26983"/>
    <cellStyle name="Comma 5 2 6 6" xfId="2719"/>
    <cellStyle name="Comma 5 2 6 6 2" xfId="12036"/>
    <cellStyle name="Comma 5 2 6 6 2 2" xfId="22080"/>
    <cellStyle name="Comma 5 2 6 6 2 2 2" xfId="47633"/>
    <cellStyle name="Comma 5 2 6 6 2 3" xfId="37591"/>
    <cellStyle name="Comma 5 2 6 6 3" xfId="8416"/>
    <cellStyle name="Comma 5 2 6 6 3 2" xfId="33973"/>
    <cellStyle name="Comma 5 2 6 6 4" xfId="17073"/>
    <cellStyle name="Comma 5 2 6 6 4 2" xfId="42626"/>
    <cellStyle name="Comma 5 2 6 6 5" xfId="28563"/>
    <cellStyle name="Comma 5 2 6 7" xfId="4165"/>
    <cellStyle name="Comma 5 2 6 7 2" xfId="13003"/>
    <cellStyle name="Comma 5 2 6 7 2 2" xfId="23254"/>
    <cellStyle name="Comma 5 2 6 7 2 2 2" xfId="48807"/>
    <cellStyle name="Comma 5 2 6 7 2 3" xfId="38558"/>
    <cellStyle name="Comma 5 2 6 7 3" xfId="9424"/>
    <cellStyle name="Comma 5 2 6 7 3 2" xfId="34981"/>
    <cellStyle name="Comma 5 2 6 7 4" xfId="18247"/>
    <cellStyle name="Comma 5 2 6 7 4 2" xfId="43800"/>
    <cellStyle name="Comma 5 2 6 7 5" xfId="29737"/>
    <cellStyle name="Comma 5 2 6 8" xfId="1437"/>
    <cellStyle name="Comma 5 2 6 8 2" xfId="10814"/>
    <cellStyle name="Comma 5 2 6 8 2 2" xfId="36369"/>
    <cellStyle name="Comma 5 2 6 8 3" xfId="20818"/>
    <cellStyle name="Comma 5 2 6 8 3 2" xfId="46371"/>
    <cellStyle name="Comma 5 2 6 8 4" xfId="27301"/>
    <cellStyle name="Comma 5 2 6 9" xfId="5621"/>
    <cellStyle name="Comma 5 2 6 9 2" xfId="14448"/>
    <cellStyle name="Comma 5 2 6 9 2 2" xfId="40003"/>
    <cellStyle name="Comma 5 2 6 9 3" xfId="24699"/>
    <cellStyle name="Comma 5 2 6 9 3 2" xfId="50252"/>
    <cellStyle name="Comma 5 2 6 9 4" xfId="31182"/>
    <cellStyle name="Comma 5 2 7" xfId="284"/>
    <cellStyle name="Comma 5 2 7 10" xfId="16072"/>
    <cellStyle name="Comma 5 2 7 10 2" xfId="41625"/>
    <cellStyle name="Comma 5 2 7 11" xfId="26218"/>
    <cellStyle name="Comma 5 2 7 2" xfId="606"/>
    <cellStyle name="Comma 5 2 7 2 2" xfId="3092"/>
    <cellStyle name="Comma 5 2 7 2 2 2" xfId="12235"/>
    <cellStyle name="Comma 5 2 7 2 2 2 2" xfId="22453"/>
    <cellStyle name="Comma 5 2 7 2 2 2 2 2" xfId="48006"/>
    <cellStyle name="Comma 5 2 7 2 2 2 3" xfId="37790"/>
    <cellStyle name="Comma 5 2 7 2 2 3" xfId="8657"/>
    <cellStyle name="Comma 5 2 7 2 2 3 2" xfId="34214"/>
    <cellStyle name="Comma 5 2 7 2 2 4" xfId="17446"/>
    <cellStyle name="Comma 5 2 7 2 2 4 2" xfId="42999"/>
    <cellStyle name="Comma 5 2 7 2 2 5" xfId="28936"/>
    <cellStyle name="Comma 5 2 7 2 3" xfId="4467"/>
    <cellStyle name="Comma 5 2 7 2 3 2" xfId="13305"/>
    <cellStyle name="Comma 5 2 7 2 3 2 2" xfId="23556"/>
    <cellStyle name="Comma 5 2 7 2 3 2 2 2" xfId="49109"/>
    <cellStyle name="Comma 5 2 7 2 3 2 3" xfId="38860"/>
    <cellStyle name="Comma 5 2 7 2 3 3" xfId="9726"/>
    <cellStyle name="Comma 5 2 7 2 3 3 2" xfId="35283"/>
    <cellStyle name="Comma 5 2 7 2 3 4" xfId="18549"/>
    <cellStyle name="Comma 5 2 7 2 3 4 2" xfId="44102"/>
    <cellStyle name="Comma 5 2 7 2 3 5" xfId="30039"/>
    <cellStyle name="Comma 5 2 7 2 4" xfId="2201"/>
    <cellStyle name="Comma 5 2 7 2 4 2" xfId="11566"/>
    <cellStyle name="Comma 5 2 7 2 4 2 2" xfId="37121"/>
    <cellStyle name="Comma 5 2 7 2 4 3" xfId="21570"/>
    <cellStyle name="Comma 5 2 7 2 4 3 2" xfId="47123"/>
    <cellStyle name="Comma 5 2 7 2 4 4" xfId="28053"/>
    <cellStyle name="Comma 5 2 7 2 5" xfId="5923"/>
    <cellStyle name="Comma 5 2 7 2 5 2" xfId="14750"/>
    <cellStyle name="Comma 5 2 7 2 5 2 2" xfId="40305"/>
    <cellStyle name="Comma 5 2 7 2 5 3" xfId="25001"/>
    <cellStyle name="Comma 5 2 7 2 5 3 2" xfId="50554"/>
    <cellStyle name="Comma 5 2 7 2 5 4" xfId="31484"/>
    <cellStyle name="Comma 5 2 7 2 6" xfId="7367"/>
    <cellStyle name="Comma 5 2 7 2 6 2" xfId="20052"/>
    <cellStyle name="Comma 5 2 7 2 6 2 2" xfId="45605"/>
    <cellStyle name="Comma 5 2 7 2 6 3" xfId="32924"/>
    <cellStyle name="Comma 5 2 7 2 7" xfId="16563"/>
    <cellStyle name="Comma 5 2 7 2 7 2" xfId="42116"/>
    <cellStyle name="Comma 5 2 7 2 8" xfId="26535"/>
    <cellStyle name="Comma 5 2 7 3" xfId="652"/>
    <cellStyle name="Comma 5 2 7 3 2" xfId="3138"/>
    <cellStyle name="Comma 5 2 7 3 2 2" xfId="12281"/>
    <cellStyle name="Comma 5 2 7 3 2 2 2" xfId="22499"/>
    <cellStyle name="Comma 5 2 7 3 2 2 2 2" xfId="48052"/>
    <cellStyle name="Comma 5 2 7 3 2 2 3" xfId="37836"/>
    <cellStyle name="Comma 5 2 7 3 2 3" xfId="8703"/>
    <cellStyle name="Comma 5 2 7 3 2 3 2" xfId="34260"/>
    <cellStyle name="Comma 5 2 7 3 2 4" xfId="17492"/>
    <cellStyle name="Comma 5 2 7 3 2 4 2" xfId="43045"/>
    <cellStyle name="Comma 5 2 7 3 2 5" xfId="28982"/>
    <cellStyle name="Comma 5 2 7 3 3" xfId="4816"/>
    <cellStyle name="Comma 5 2 7 3 3 2" xfId="13653"/>
    <cellStyle name="Comma 5 2 7 3 3 2 2" xfId="23904"/>
    <cellStyle name="Comma 5 2 7 3 3 2 2 2" xfId="49457"/>
    <cellStyle name="Comma 5 2 7 3 3 2 3" xfId="39208"/>
    <cellStyle name="Comma 5 2 7 3 3 3" xfId="10074"/>
    <cellStyle name="Comma 5 2 7 3 3 3 2" xfId="35631"/>
    <cellStyle name="Comma 5 2 7 3 3 4" xfId="18897"/>
    <cellStyle name="Comma 5 2 7 3 3 4 2" xfId="44450"/>
    <cellStyle name="Comma 5 2 7 3 3 5" xfId="30387"/>
    <cellStyle name="Comma 5 2 7 3 4" xfId="2247"/>
    <cellStyle name="Comma 5 2 7 3 4 2" xfId="11612"/>
    <cellStyle name="Comma 5 2 7 3 4 2 2" xfId="37167"/>
    <cellStyle name="Comma 5 2 7 3 4 3" xfId="21616"/>
    <cellStyle name="Comma 5 2 7 3 4 3 2" xfId="47169"/>
    <cellStyle name="Comma 5 2 7 3 4 4" xfId="28099"/>
    <cellStyle name="Comma 5 2 7 3 5" xfId="6271"/>
    <cellStyle name="Comma 5 2 7 3 5 2" xfId="15098"/>
    <cellStyle name="Comma 5 2 7 3 5 2 2" xfId="40653"/>
    <cellStyle name="Comma 5 2 7 3 5 3" xfId="25349"/>
    <cellStyle name="Comma 5 2 7 3 5 3 2" xfId="50902"/>
    <cellStyle name="Comma 5 2 7 3 5 4" xfId="31832"/>
    <cellStyle name="Comma 5 2 7 3 6" xfId="7717"/>
    <cellStyle name="Comma 5 2 7 3 6 2" xfId="20098"/>
    <cellStyle name="Comma 5 2 7 3 6 2 2" xfId="45651"/>
    <cellStyle name="Comma 5 2 7 3 6 3" xfId="33274"/>
    <cellStyle name="Comma 5 2 7 3 7" xfId="16609"/>
    <cellStyle name="Comma 5 2 7 3 7 2" xfId="42162"/>
    <cellStyle name="Comma 5 2 7 3 8" xfId="26581"/>
    <cellStyle name="Comma 5 2 7 4" xfId="1378"/>
    <cellStyle name="Comma 5 2 7 4 2" xfId="3807"/>
    <cellStyle name="Comma 5 2 7 4 2 2" xfId="12943"/>
    <cellStyle name="Comma 5 2 7 4 2 2 2" xfId="23162"/>
    <cellStyle name="Comma 5 2 7 4 2 2 2 2" xfId="48715"/>
    <cellStyle name="Comma 5 2 7 4 2 2 3" xfId="38498"/>
    <cellStyle name="Comma 5 2 7 4 2 3" xfId="9364"/>
    <cellStyle name="Comma 5 2 7 4 2 3 2" xfId="34921"/>
    <cellStyle name="Comma 5 2 7 4 2 4" xfId="18155"/>
    <cellStyle name="Comma 5 2 7 4 2 4 2" xfId="43708"/>
    <cellStyle name="Comma 5 2 7 4 2 5" xfId="29645"/>
    <cellStyle name="Comma 5 2 7 4 3" xfId="5470"/>
    <cellStyle name="Comma 5 2 7 4 3 2" xfId="14307"/>
    <cellStyle name="Comma 5 2 7 4 3 2 2" xfId="24558"/>
    <cellStyle name="Comma 5 2 7 4 3 2 2 2" xfId="50111"/>
    <cellStyle name="Comma 5 2 7 4 3 2 3" xfId="39862"/>
    <cellStyle name="Comma 5 2 7 4 3 3" xfId="10728"/>
    <cellStyle name="Comma 5 2 7 4 3 3 2" xfId="36285"/>
    <cellStyle name="Comma 5 2 7 4 3 4" xfId="19551"/>
    <cellStyle name="Comma 5 2 7 4 3 4 2" xfId="45104"/>
    <cellStyle name="Comma 5 2 7 4 3 5" xfId="31041"/>
    <cellStyle name="Comma 5 2 7 4 4" xfId="1881"/>
    <cellStyle name="Comma 5 2 7 4 4 2" xfId="11249"/>
    <cellStyle name="Comma 5 2 7 4 4 2 2" xfId="36804"/>
    <cellStyle name="Comma 5 2 7 4 4 3" xfId="21253"/>
    <cellStyle name="Comma 5 2 7 4 4 3 2" xfId="46806"/>
    <cellStyle name="Comma 5 2 7 4 4 4" xfId="27736"/>
    <cellStyle name="Comma 5 2 7 4 5" xfId="6925"/>
    <cellStyle name="Comma 5 2 7 4 5 2" xfId="15752"/>
    <cellStyle name="Comma 5 2 7 4 5 2 2" xfId="41307"/>
    <cellStyle name="Comma 5 2 7 4 5 3" xfId="26003"/>
    <cellStyle name="Comma 5 2 7 4 5 3 2" xfId="51556"/>
    <cellStyle name="Comma 5 2 7 4 5 4" xfId="32486"/>
    <cellStyle name="Comma 5 2 7 4 6" xfId="8371"/>
    <cellStyle name="Comma 5 2 7 4 6 2" xfId="20761"/>
    <cellStyle name="Comma 5 2 7 4 6 2 2" xfId="46314"/>
    <cellStyle name="Comma 5 2 7 4 6 3" xfId="33928"/>
    <cellStyle name="Comma 5 2 7 4 7" xfId="16246"/>
    <cellStyle name="Comma 5 2 7 4 7 2" xfId="41799"/>
    <cellStyle name="Comma 5 2 7 4 8" xfId="27244"/>
    <cellStyle name="Comma 5 2 7 5" xfId="2775"/>
    <cellStyle name="Comma 5 2 7 5 2" xfId="12092"/>
    <cellStyle name="Comma 5 2 7 5 2 2" xfId="22136"/>
    <cellStyle name="Comma 5 2 7 5 2 2 2" xfId="47689"/>
    <cellStyle name="Comma 5 2 7 5 2 3" xfId="37647"/>
    <cellStyle name="Comma 5 2 7 5 3" xfId="8536"/>
    <cellStyle name="Comma 5 2 7 5 3 2" xfId="34093"/>
    <cellStyle name="Comma 5 2 7 5 4" xfId="17129"/>
    <cellStyle name="Comma 5 2 7 5 4 2" xfId="42682"/>
    <cellStyle name="Comma 5 2 7 5 5" xfId="28619"/>
    <cellStyle name="Comma 5 2 7 6" xfId="4426"/>
    <cellStyle name="Comma 5 2 7 6 2" xfId="13264"/>
    <cellStyle name="Comma 5 2 7 6 2 2" xfId="23515"/>
    <cellStyle name="Comma 5 2 7 6 2 2 2" xfId="49068"/>
    <cellStyle name="Comma 5 2 7 6 2 3" xfId="38819"/>
    <cellStyle name="Comma 5 2 7 6 3" xfId="9685"/>
    <cellStyle name="Comma 5 2 7 6 3 2" xfId="35242"/>
    <cellStyle name="Comma 5 2 7 6 4" xfId="18508"/>
    <cellStyle name="Comma 5 2 7 6 4 2" xfId="44061"/>
    <cellStyle name="Comma 5 2 7 6 5" xfId="29998"/>
    <cellStyle name="Comma 5 2 7 7" xfId="1698"/>
    <cellStyle name="Comma 5 2 7 7 2" xfId="11075"/>
    <cellStyle name="Comma 5 2 7 7 2 2" xfId="36630"/>
    <cellStyle name="Comma 5 2 7 7 3" xfId="21079"/>
    <cellStyle name="Comma 5 2 7 7 3 2" xfId="46632"/>
    <cellStyle name="Comma 5 2 7 7 4" xfId="27562"/>
    <cellStyle name="Comma 5 2 7 8" xfId="5882"/>
    <cellStyle name="Comma 5 2 7 8 2" xfId="14709"/>
    <cellStyle name="Comma 5 2 7 8 2 2" xfId="40264"/>
    <cellStyle name="Comma 5 2 7 8 3" xfId="24960"/>
    <cellStyle name="Comma 5 2 7 8 3 2" xfId="50513"/>
    <cellStyle name="Comma 5 2 7 8 4" xfId="31443"/>
    <cellStyle name="Comma 5 2 7 9" xfId="7326"/>
    <cellStyle name="Comma 5 2 7 9 2" xfId="19735"/>
    <cellStyle name="Comma 5 2 7 9 2 2" xfId="45288"/>
    <cellStyle name="Comma 5 2 7 9 3" xfId="32883"/>
    <cellStyle name="Comma 5 2 8" xfId="445"/>
    <cellStyle name="Comma 5 2 8 10" xfId="26374"/>
    <cellStyle name="Comma 5 2 8 2" xfId="653"/>
    <cellStyle name="Comma 5 2 8 2 2" xfId="3139"/>
    <cellStyle name="Comma 5 2 8 2 2 2" xfId="12282"/>
    <cellStyle name="Comma 5 2 8 2 2 2 2" xfId="22500"/>
    <cellStyle name="Comma 5 2 8 2 2 2 2 2" xfId="48053"/>
    <cellStyle name="Comma 5 2 8 2 2 2 3" xfId="37837"/>
    <cellStyle name="Comma 5 2 8 2 2 3" xfId="8704"/>
    <cellStyle name="Comma 5 2 8 2 2 3 2" xfId="34261"/>
    <cellStyle name="Comma 5 2 8 2 2 4" xfId="17493"/>
    <cellStyle name="Comma 5 2 8 2 2 4 2" xfId="43046"/>
    <cellStyle name="Comma 5 2 8 2 2 5" xfId="28983"/>
    <cellStyle name="Comma 5 2 8 2 3" xfId="4468"/>
    <cellStyle name="Comma 5 2 8 2 3 2" xfId="13306"/>
    <cellStyle name="Comma 5 2 8 2 3 2 2" xfId="23557"/>
    <cellStyle name="Comma 5 2 8 2 3 2 2 2" xfId="49110"/>
    <cellStyle name="Comma 5 2 8 2 3 2 3" xfId="38861"/>
    <cellStyle name="Comma 5 2 8 2 3 3" xfId="9727"/>
    <cellStyle name="Comma 5 2 8 2 3 3 2" xfId="35284"/>
    <cellStyle name="Comma 5 2 8 2 3 4" xfId="18550"/>
    <cellStyle name="Comma 5 2 8 2 3 4 2" xfId="44103"/>
    <cellStyle name="Comma 5 2 8 2 3 5" xfId="30040"/>
    <cellStyle name="Comma 5 2 8 2 4" xfId="2248"/>
    <cellStyle name="Comma 5 2 8 2 4 2" xfId="11613"/>
    <cellStyle name="Comma 5 2 8 2 4 2 2" xfId="37168"/>
    <cellStyle name="Comma 5 2 8 2 4 3" xfId="21617"/>
    <cellStyle name="Comma 5 2 8 2 4 3 2" xfId="47170"/>
    <cellStyle name="Comma 5 2 8 2 4 4" xfId="28100"/>
    <cellStyle name="Comma 5 2 8 2 5" xfId="5924"/>
    <cellStyle name="Comma 5 2 8 2 5 2" xfId="14751"/>
    <cellStyle name="Comma 5 2 8 2 5 2 2" xfId="40306"/>
    <cellStyle name="Comma 5 2 8 2 5 3" xfId="25002"/>
    <cellStyle name="Comma 5 2 8 2 5 3 2" xfId="50555"/>
    <cellStyle name="Comma 5 2 8 2 5 4" xfId="31485"/>
    <cellStyle name="Comma 5 2 8 2 6" xfId="7368"/>
    <cellStyle name="Comma 5 2 8 2 6 2" xfId="20099"/>
    <cellStyle name="Comma 5 2 8 2 6 2 2" xfId="45652"/>
    <cellStyle name="Comma 5 2 8 2 6 3" xfId="32925"/>
    <cellStyle name="Comma 5 2 8 2 7" xfId="16610"/>
    <cellStyle name="Comma 5 2 8 2 7 2" xfId="42163"/>
    <cellStyle name="Comma 5 2 8 2 8" xfId="26582"/>
    <cellStyle name="Comma 5 2 8 3" xfId="1217"/>
    <cellStyle name="Comma 5 2 8 3 2" xfId="3646"/>
    <cellStyle name="Comma 5 2 8 3 2 2" xfId="12782"/>
    <cellStyle name="Comma 5 2 8 3 2 2 2" xfId="23001"/>
    <cellStyle name="Comma 5 2 8 3 2 2 2 2" xfId="48554"/>
    <cellStyle name="Comma 5 2 8 3 2 2 3" xfId="38337"/>
    <cellStyle name="Comma 5 2 8 3 2 3" xfId="9203"/>
    <cellStyle name="Comma 5 2 8 3 2 3 2" xfId="34760"/>
    <cellStyle name="Comma 5 2 8 3 2 4" xfId="17994"/>
    <cellStyle name="Comma 5 2 8 3 2 4 2" xfId="43547"/>
    <cellStyle name="Comma 5 2 8 3 2 5" xfId="29484"/>
    <cellStyle name="Comma 5 2 8 3 3" xfId="4817"/>
    <cellStyle name="Comma 5 2 8 3 3 2" xfId="13654"/>
    <cellStyle name="Comma 5 2 8 3 3 2 2" xfId="23905"/>
    <cellStyle name="Comma 5 2 8 3 3 2 2 2" xfId="49458"/>
    <cellStyle name="Comma 5 2 8 3 3 2 3" xfId="39209"/>
    <cellStyle name="Comma 5 2 8 3 3 3" xfId="10075"/>
    <cellStyle name="Comma 5 2 8 3 3 3 2" xfId="35632"/>
    <cellStyle name="Comma 5 2 8 3 3 4" xfId="18898"/>
    <cellStyle name="Comma 5 2 8 3 3 4 2" xfId="44451"/>
    <cellStyle name="Comma 5 2 8 3 3 5" xfId="30388"/>
    <cellStyle name="Comma 5 2 8 3 4" xfId="2040"/>
    <cellStyle name="Comma 5 2 8 3 4 2" xfId="11405"/>
    <cellStyle name="Comma 5 2 8 3 4 2 2" xfId="36960"/>
    <cellStyle name="Comma 5 2 8 3 4 3" xfId="21409"/>
    <cellStyle name="Comma 5 2 8 3 4 3 2" xfId="46962"/>
    <cellStyle name="Comma 5 2 8 3 4 4" xfId="27892"/>
    <cellStyle name="Comma 5 2 8 3 5" xfId="6272"/>
    <cellStyle name="Comma 5 2 8 3 5 2" xfId="15099"/>
    <cellStyle name="Comma 5 2 8 3 5 2 2" xfId="40654"/>
    <cellStyle name="Comma 5 2 8 3 5 3" xfId="25350"/>
    <cellStyle name="Comma 5 2 8 3 5 3 2" xfId="50903"/>
    <cellStyle name="Comma 5 2 8 3 5 4" xfId="31833"/>
    <cellStyle name="Comma 5 2 8 3 6" xfId="7718"/>
    <cellStyle name="Comma 5 2 8 3 6 2" xfId="20600"/>
    <cellStyle name="Comma 5 2 8 3 6 2 2" xfId="46153"/>
    <cellStyle name="Comma 5 2 8 3 6 3" xfId="33275"/>
    <cellStyle name="Comma 5 2 8 3 7" xfId="16402"/>
    <cellStyle name="Comma 5 2 8 3 7 2" xfId="41955"/>
    <cellStyle name="Comma 5 2 8 3 8" xfId="27083"/>
    <cellStyle name="Comma 5 2 8 4" xfId="2931"/>
    <cellStyle name="Comma 5 2 8 4 2" xfId="5309"/>
    <cellStyle name="Comma 5 2 8 4 2 2" xfId="14146"/>
    <cellStyle name="Comma 5 2 8 4 2 2 2" xfId="24397"/>
    <cellStyle name="Comma 5 2 8 4 2 2 2 2" xfId="49950"/>
    <cellStyle name="Comma 5 2 8 4 2 2 3" xfId="39701"/>
    <cellStyle name="Comma 5 2 8 4 2 3" xfId="10567"/>
    <cellStyle name="Comma 5 2 8 4 2 3 2" xfId="36124"/>
    <cellStyle name="Comma 5 2 8 4 2 4" xfId="19390"/>
    <cellStyle name="Comma 5 2 8 4 2 4 2" xfId="44943"/>
    <cellStyle name="Comma 5 2 8 4 2 5" xfId="30880"/>
    <cellStyle name="Comma 5 2 8 4 3" xfId="6764"/>
    <cellStyle name="Comma 5 2 8 4 3 2" xfId="15591"/>
    <cellStyle name="Comma 5 2 8 4 3 2 2" xfId="41146"/>
    <cellStyle name="Comma 5 2 8 4 3 3" xfId="25842"/>
    <cellStyle name="Comma 5 2 8 4 3 3 2" xfId="51395"/>
    <cellStyle name="Comma 5 2 8 4 3 4" xfId="32325"/>
    <cellStyle name="Comma 5 2 8 4 4" xfId="8210"/>
    <cellStyle name="Comma 5 2 8 4 4 2" xfId="22292"/>
    <cellStyle name="Comma 5 2 8 4 4 2 2" xfId="47845"/>
    <cellStyle name="Comma 5 2 8 4 4 3" xfId="33767"/>
    <cellStyle name="Comma 5 2 8 4 5" xfId="17285"/>
    <cellStyle name="Comma 5 2 8 4 5 2" xfId="42838"/>
    <cellStyle name="Comma 5 2 8 4 6" xfId="28775"/>
    <cellStyle name="Comma 5 2 8 5" xfId="4265"/>
    <cellStyle name="Comma 5 2 8 5 2" xfId="13103"/>
    <cellStyle name="Comma 5 2 8 5 2 2" xfId="23354"/>
    <cellStyle name="Comma 5 2 8 5 2 2 2" xfId="48907"/>
    <cellStyle name="Comma 5 2 8 5 2 3" xfId="38658"/>
    <cellStyle name="Comma 5 2 8 5 3" xfId="9524"/>
    <cellStyle name="Comma 5 2 8 5 3 2" xfId="35081"/>
    <cellStyle name="Comma 5 2 8 5 4" xfId="18347"/>
    <cellStyle name="Comma 5 2 8 5 4 2" xfId="43900"/>
    <cellStyle name="Comma 5 2 8 5 5" xfId="29837"/>
    <cellStyle name="Comma 5 2 8 6" xfId="1537"/>
    <cellStyle name="Comma 5 2 8 6 2" xfId="10914"/>
    <cellStyle name="Comma 5 2 8 6 2 2" xfId="36469"/>
    <cellStyle name="Comma 5 2 8 6 3" xfId="20918"/>
    <cellStyle name="Comma 5 2 8 6 3 2" xfId="46471"/>
    <cellStyle name="Comma 5 2 8 6 4" xfId="27401"/>
    <cellStyle name="Comma 5 2 8 7" xfId="5721"/>
    <cellStyle name="Comma 5 2 8 7 2" xfId="14548"/>
    <cellStyle name="Comma 5 2 8 7 2 2" xfId="40103"/>
    <cellStyle name="Comma 5 2 8 7 3" xfId="24799"/>
    <cellStyle name="Comma 5 2 8 7 3 2" xfId="50352"/>
    <cellStyle name="Comma 5 2 8 7 4" xfId="31282"/>
    <cellStyle name="Comma 5 2 8 8" xfId="7165"/>
    <cellStyle name="Comma 5 2 8 8 2" xfId="19891"/>
    <cellStyle name="Comma 5 2 8 8 2 2" xfId="45444"/>
    <cellStyle name="Comma 5 2 8 8 3" xfId="32722"/>
    <cellStyle name="Comma 5 2 8 9" xfId="15911"/>
    <cellStyle name="Comma 5 2 8 9 2" xfId="41464"/>
    <cellStyle name="Comma 5 2 9" xfId="306"/>
    <cellStyle name="Comma 5 2 9 10" xfId="26235"/>
    <cellStyle name="Comma 5 2 9 2" xfId="654"/>
    <cellStyle name="Comma 5 2 9 2 2" xfId="3140"/>
    <cellStyle name="Comma 5 2 9 2 2 2" xfId="12283"/>
    <cellStyle name="Comma 5 2 9 2 2 2 2" xfId="22501"/>
    <cellStyle name="Comma 5 2 9 2 2 2 2 2" xfId="48054"/>
    <cellStyle name="Comma 5 2 9 2 2 2 3" xfId="37838"/>
    <cellStyle name="Comma 5 2 9 2 2 3" xfId="8705"/>
    <cellStyle name="Comma 5 2 9 2 2 3 2" xfId="34262"/>
    <cellStyle name="Comma 5 2 9 2 2 4" xfId="17494"/>
    <cellStyle name="Comma 5 2 9 2 2 4 2" xfId="43047"/>
    <cellStyle name="Comma 5 2 9 2 2 5" xfId="28984"/>
    <cellStyle name="Comma 5 2 9 2 3" xfId="4469"/>
    <cellStyle name="Comma 5 2 9 2 3 2" xfId="13307"/>
    <cellStyle name="Comma 5 2 9 2 3 2 2" xfId="23558"/>
    <cellStyle name="Comma 5 2 9 2 3 2 2 2" xfId="49111"/>
    <cellStyle name="Comma 5 2 9 2 3 2 3" xfId="38862"/>
    <cellStyle name="Comma 5 2 9 2 3 3" xfId="9728"/>
    <cellStyle name="Comma 5 2 9 2 3 3 2" xfId="35285"/>
    <cellStyle name="Comma 5 2 9 2 3 4" xfId="18551"/>
    <cellStyle name="Comma 5 2 9 2 3 4 2" xfId="44104"/>
    <cellStyle name="Comma 5 2 9 2 3 5" xfId="30041"/>
    <cellStyle name="Comma 5 2 9 2 4" xfId="2249"/>
    <cellStyle name="Comma 5 2 9 2 4 2" xfId="11614"/>
    <cellStyle name="Comma 5 2 9 2 4 2 2" xfId="37169"/>
    <cellStyle name="Comma 5 2 9 2 4 3" xfId="21618"/>
    <cellStyle name="Comma 5 2 9 2 4 3 2" xfId="47171"/>
    <cellStyle name="Comma 5 2 9 2 4 4" xfId="28101"/>
    <cellStyle name="Comma 5 2 9 2 5" xfId="5925"/>
    <cellStyle name="Comma 5 2 9 2 5 2" xfId="14752"/>
    <cellStyle name="Comma 5 2 9 2 5 2 2" xfId="40307"/>
    <cellStyle name="Comma 5 2 9 2 5 3" xfId="25003"/>
    <cellStyle name="Comma 5 2 9 2 5 3 2" xfId="50556"/>
    <cellStyle name="Comma 5 2 9 2 5 4" xfId="31486"/>
    <cellStyle name="Comma 5 2 9 2 6" xfId="7369"/>
    <cellStyle name="Comma 5 2 9 2 6 2" xfId="20100"/>
    <cellStyle name="Comma 5 2 9 2 6 2 2" xfId="45653"/>
    <cellStyle name="Comma 5 2 9 2 6 3" xfId="32926"/>
    <cellStyle name="Comma 5 2 9 2 7" xfId="16611"/>
    <cellStyle name="Comma 5 2 9 2 7 2" xfId="42164"/>
    <cellStyle name="Comma 5 2 9 2 8" xfId="26583"/>
    <cellStyle name="Comma 5 2 9 3" xfId="1078"/>
    <cellStyle name="Comma 5 2 9 3 2" xfId="3507"/>
    <cellStyle name="Comma 5 2 9 3 2 2" xfId="12643"/>
    <cellStyle name="Comma 5 2 9 3 2 2 2" xfId="22862"/>
    <cellStyle name="Comma 5 2 9 3 2 2 2 2" xfId="48415"/>
    <cellStyle name="Comma 5 2 9 3 2 2 3" xfId="38198"/>
    <cellStyle name="Comma 5 2 9 3 2 3" xfId="9065"/>
    <cellStyle name="Comma 5 2 9 3 2 3 2" xfId="34622"/>
    <cellStyle name="Comma 5 2 9 3 2 4" xfId="17855"/>
    <cellStyle name="Comma 5 2 9 3 2 4 2" xfId="43408"/>
    <cellStyle name="Comma 5 2 9 3 2 5" xfId="29345"/>
    <cellStyle name="Comma 5 2 9 3 3" xfId="4818"/>
    <cellStyle name="Comma 5 2 9 3 3 2" xfId="13655"/>
    <cellStyle name="Comma 5 2 9 3 3 2 2" xfId="23906"/>
    <cellStyle name="Comma 5 2 9 3 3 2 2 2" xfId="49459"/>
    <cellStyle name="Comma 5 2 9 3 3 2 3" xfId="39210"/>
    <cellStyle name="Comma 5 2 9 3 3 3" xfId="10076"/>
    <cellStyle name="Comma 5 2 9 3 3 3 2" xfId="35633"/>
    <cellStyle name="Comma 5 2 9 3 3 4" xfId="18899"/>
    <cellStyle name="Comma 5 2 9 3 3 4 2" xfId="44452"/>
    <cellStyle name="Comma 5 2 9 3 3 5" xfId="30389"/>
    <cellStyle name="Comma 5 2 9 3 4" xfId="2580"/>
    <cellStyle name="Comma 5 2 9 3 4 2" xfId="11944"/>
    <cellStyle name="Comma 5 2 9 3 4 2 2" xfId="37499"/>
    <cellStyle name="Comma 5 2 9 3 4 3" xfId="21948"/>
    <cellStyle name="Comma 5 2 9 3 4 3 2" xfId="47501"/>
    <cellStyle name="Comma 5 2 9 3 4 4" xfId="28431"/>
    <cellStyle name="Comma 5 2 9 3 5" xfId="6273"/>
    <cellStyle name="Comma 5 2 9 3 5 2" xfId="15100"/>
    <cellStyle name="Comma 5 2 9 3 5 2 2" xfId="40655"/>
    <cellStyle name="Comma 5 2 9 3 5 3" xfId="25351"/>
    <cellStyle name="Comma 5 2 9 3 5 3 2" xfId="50904"/>
    <cellStyle name="Comma 5 2 9 3 5 4" xfId="31834"/>
    <cellStyle name="Comma 5 2 9 3 6" xfId="7719"/>
    <cellStyle name="Comma 5 2 9 3 6 2" xfId="20461"/>
    <cellStyle name="Comma 5 2 9 3 6 2 2" xfId="46014"/>
    <cellStyle name="Comma 5 2 9 3 6 3" xfId="33276"/>
    <cellStyle name="Comma 5 2 9 3 7" xfId="16941"/>
    <cellStyle name="Comma 5 2 9 3 7 2" xfId="42494"/>
    <cellStyle name="Comma 5 2 9 3 8" xfId="26944"/>
    <cellStyle name="Comma 5 2 9 4" xfId="2792"/>
    <cellStyle name="Comma 5 2 9 4 2" xfId="5170"/>
    <cellStyle name="Comma 5 2 9 4 2 2" xfId="14007"/>
    <cellStyle name="Comma 5 2 9 4 2 2 2" xfId="24258"/>
    <cellStyle name="Comma 5 2 9 4 2 2 2 2" xfId="49811"/>
    <cellStyle name="Comma 5 2 9 4 2 2 3" xfId="39562"/>
    <cellStyle name="Comma 5 2 9 4 2 3" xfId="10428"/>
    <cellStyle name="Comma 5 2 9 4 2 3 2" xfId="35985"/>
    <cellStyle name="Comma 5 2 9 4 2 4" xfId="19251"/>
    <cellStyle name="Comma 5 2 9 4 2 4 2" xfId="44804"/>
    <cellStyle name="Comma 5 2 9 4 2 5" xfId="30741"/>
    <cellStyle name="Comma 5 2 9 4 3" xfId="6625"/>
    <cellStyle name="Comma 5 2 9 4 3 2" xfId="15452"/>
    <cellStyle name="Comma 5 2 9 4 3 2 2" xfId="41007"/>
    <cellStyle name="Comma 5 2 9 4 3 3" xfId="25703"/>
    <cellStyle name="Comma 5 2 9 4 3 3 2" xfId="51256"/>
    <cellStyle name="Comma 5 2 9 4 3 4" xfId="32186"/>
    <cellStyle name="Comma 5 2 9 4 4" xfId="8071"/>
    <cellStyle name="Comma 5 2 9 4 4 2" xfId="22153"/>
    <cellStyle name="Comma 5 2 9 4 4 2 2" xfId="47706"/>
    <cellStyle name="Comma 5 2 9 4 4 3" xfId="33628"/>
    <cellStyle name="Comma 5 2 9 4 5" xfId="17146"/>
    <cellStyle name="Comma 5 2 9 4 5 2" xfId="42699"/>
    <cellStyle name="Comma 5 2 9 4 6" xfId="28636"/>
    <cellStyle name="Comma 5 2 9 5" xfId="4124"/>
    <cellStyle name="Comma 5 2 9 5 2" xfId="12962"/>
    <cellStyle name="Comma 5 2 9 5 2 2" xfId="23213"/>
    <cellStyle name="Comma 5 2 9 5 2 2 2" xfId="48766"/>
    <cellStyle name="Comma 5 2 9 5 2 3" xfId="38517"/>
    <cellStyle name="Comma 5 2 9 5 3" xfId="9383"/>
    <cellStyle name="Comma 5 2 9 5 3 2" xfId="34940"/>
    <cellStyle name="Comma 5 2 9 5 4" xfId="18206"/>
    <cellStyle name="Comma 5 2 9 5 4 2" xfId="43759"/>
    <cellStyle name="Comma 5 2 9 5 5" xfId="29696"/>
    <cellStyle name="Comma 5 2 9 6" xfId="1901"/>
    <cellStyle name="Comma 5 2 9 6 2" xfId="11266"/>
    <cellStyle name="Comma 5 2 9 6 2 2" xfId="36821"/>
    <cellStyle name="Comma 5 2 9 6 3" xfId="21270"/>
    <cellStyle name="Comma 5 2 9 6 3 2" xfId="46823"/>
    <cellStyle name="Comma 5 2 9 6 4" xfId="27753"/>
    <cellStyle name="Comma 5 2 9 7" xfId="5582"/>
    <cellStyle name="Comma 5 2 9 7 2" xfId="14409"/>
    <cellStyle name="Comma 5 2 9 7 2 2" xfId="39964"/>
    <cellStyle name="Comma 5 2 9 7 3" xfId="24660"/>
    <cellStyle name="Comma 5 2 9 7 3 2" xfId="50213"/>
    <cellStyle name="Comma 5 2 9 7 4" xfId="31143"/>
    <cellStyle name="Comma 5 2 9 8" xfId="7026"/>
    <cellStyle name="Comma 5 2 9 8 2" xfId="19752"/>
    <cellStyle name="Comma 5 2 9 8 2 2" xfId="45305"/>
    <cellStyle name="Comma 5 2 9 8 3" xfId="32583"/>
    <cellStyle name="Comma 5 2 9 9" xfId="16263"/>
    <cellStyle name="Comma 5 2 9 9 2" xfId="41816"/>
    <cellStyle name="Comma 5 3" xfId="113"/>
    <cellStyle name="Comma 5 3 10" xfId="4103"/>
    <cellStyle name="Comma 5 3 10 2" xfId="5561"/>
    <cellStyle name="Comma 5 3 10 2 2" xfId="14388"/>
    <cellStyle name="Comma 5 3 10 2 2 2" xfId="39943"/>
    <cellStyle name="Comma 5 3 10 2 3" xfId="24639"/>
    <cellStyle name="Comma 5 3 10 2 3 2" xfId="50192"/>
    <cellStyle name="Comma 5 3 10 2 4" xfId="31122"/>
    <cellStyle name="Comma 5 3 10 3" xfId="7005"/>
    <cellStyle name="Comma 5 3 10 3 2" xfId="23192"/>
    <cellStyle name="Comma 5 3 10 3 2 2" xfId="48745"/>
    <cellStyle name="Comma 5 3 10 3 3" xfId="32562"/>
    <cellStyle name="Comma 5 3 10 4" xfId="18185"/>
    <cellStyle name="Comma 5 3 10 4 2" xfId="43738"/>
    <cellStyle name="Comma 5 3 10 5" xfId="29675"/>
    <cellStyle name="Comma 5 3 11" xfId="1422"/>
    <cellStyle name="Comma 5 3 11 2" xfId="10799"/>
    <cellStyle name="Comma 5 3 11 2 2" xfId="36354"/>
    <cellStyle name="Comma 5 3 11 3" xfId="20803"/>
    <cellStyle name="Comma 5 3 11 3 2" xfId="46356"/>
    <cellStyle name="Comma 5 3 11 4" xfId="27286"/>
    <cellStyle name="Comma 5 3 12" xfId="5531"/>
    <cellStyle name="Comma 5 3 12 2" xfId="14358"/>
    <cellStyle name="Comma 5 3 12 2 2" xfId="39913"/>
    <cellStyle name="Comma 5 3 12 3" xfId="24609"/>
    <cellStyle name="Comma 5 3 12 3 2" xfId="50162"/>
    <cellStyle name="Comma 5 3 12 4" xfId="31092"/>
    <cellStyle name="Comma 5 3 13" xfId="6975"/>
    <cellStyle name="Comma 5 3 13 2" xfId="19586"/>
    <cellStyle name="Comma 5 3 13 2 2" xfId="45139"/>
    <cellStyle name="Comma 5 3 13 3" xfId="32532"/>
    <cellStyle name="Comma 5 3 14" xfId="15796"/>
    <cellStyle name="Comma 5 3 14 2" xfId="41349"/>
    <cellStyle name="Comma 5 3 15" xfId="26069"/>
    <cellStyle name="Comma 5 3 2" xfId="157"/>
    <cellStyle name="Comma 5 3 2 10" xfId="5663"/>
    <cellStyle name="Comma 5 3 2 10 2" xfId="14490"/>
    <cellStyle name="Comma 5 3 2 10 2 2" xfId="40045"/>
    <cellStyle name="Comma 5 3 2 10 3" xfId="24741"/>
    <cellStyle name="Comma 5 3 2 10 3 2" xfId="50294"/>
    <cellStyle name="Comma 5 3 2 10 4" xfId="31224"/>
    <cellStyle name="Comma 5 3 2 11" xfId="7107"/>
    <cellStyle name="Comma 5 3 2 11 2" xfId="19616"/>
    <cellStyle name="Comma 5 3 2 11 2 2" xfId="45169"/>
    <cellStyle name="Comma 5 3 2 11 3" xfId="32664"/>
    <cellStyle name="Comma 5 3 2 12" xfId="15853"/>
    <cellStyle name="Comma 5 3 2 12 2" xfId="41406"/>
    <cellStyle name="Comma 5 3 2 13" xfId="26099"/>
    <cellStyle name="Comma 5 3 2 2" xfId="269"/>
    <cellStyle name="Comma 5 3 2 2 10" xfId="16057"/>
    <cellStyle name="Comma 5 3 2 2 10 2" xfId="41610"/>
    <cellStyle name="Comma 5 3 2 2 11" xfId="26203"/>
    <cellStyle name="Comma 5 3 2 2 2" xfId="591"/>
    <cellStyle name="Comma 5 3 2 2 2 2" xfId="3077"/>
    <cellStyle name="Comma 5 3 2 2 2 2 2" xfId="12224"/>
    <cellStyle name="Comma 5 3 2 2 2 2 2 2" xfId="22438"/>
    <cellStyle name="Comma 5 3 2 2 2 2 2 2 2" xfId="47991"/>
    <cellStyle name="Comma 5 3 2 2 2 2 2 3" xfId="37779"/>
    <cellStyle name="Comma 5 3 2 2 2 2 3" xfId="8646"/>
    <cellStyle name="Comma 5 3 2 2 2 2 3 2" xfId="34203"/>
    <cellStyle name="Comma 5 3 2 2 2 2 4" xfId="17431"/>
    <cellStyle name="Comma 5 3 2 2 2 2 4 2" xfId="42984"/>
    <cellStyle name="Comma 5 3 2 2 2 2 5" xfId="28921"/>
    <cellStyle name="Comma 5 3 2 2 2 3" xfId="4472"/>
    <cellStyle name="Comma 5 3 2 2 2 3 2" xfId="13310"/>
    <cellStyle name="Comma 5 3 2 2 2 3 2 2" xfId="23561"/>
    <cellStyle name="Comma 5 3 2 2 2 3 2 2 2" xfId="49114"/>
    <cellStyle name="Comma 5 3 2 2 2 3 2 3" xfId="38865"/>
    <cellStyle name="Comma 5 3 2 2 2 3 3" xfId="9731"/>
    <cellStyle name="Comma 5 3 2 2 2 3 3 2" xfId="35288"/>
    <cellStyle name="Comma 5 3 2 2 2 3 4" xfId="18554"/>
    <cellStyle name="Comma 5 3 2 2 2 3 4 2" xfId="44107"/>
    <cellStyle name="Comma 5 3 2 2 2 3 5" xfId="30044"/>
    <cellStyle name="Comma 5 3 2 2 2 4" xfId="2186"/>
    <cellStyle name="Comma 5 3 2 2 2 4 2" xfId="11551"/>
    <cellStyle name="Comma 5 3 2 2 2 4 2 2" xfId="37106"/>
    <cellStyle name="Comma 5 3 2 2 2 4 3" xfId="21555"/>
    <cellStyle name="Comma 5 3 2 2 2 4 3 2" xfId="47108"/>
    <cellStyle name="Comma 5 3 2 2 2 4 4" xfId="28038"/>
    <cellStyle name="Comma 5 3 2 2 2 5" xfId="5928"/>
    <cellStyle name="Comma 5 3 2 2 2 5 2" xfId="14755"/>
    <cellStyle name="Comma 5 3 2 2 2 5 2 2" xfId="40310"/>
    <cellStyle name="Comma 5 3 2 2 2 5 3" xfId="25006"/>
    <cellStyle name="Comma 5 3 2 2 2 5 3 2" xfId="50559"/>
    <cellStyle name="Comma 5 3 2 2 2 5 4" xfId="31489"/>
    <cellStyle name="Comma 5 3 2 2 2 6" xfId="7372"/>
    <cellStyle name="Comma 5 3 2 2 2 6 2" xfId="20037"/>
    <cellStyle name="Comma 5 3 2 2 2 6 2 2" xfId="45590"/>
    <cellStyle name="Comma 5 3 2 2 2 6 3" xfId="32929"/>
    <cellStyle name="Comma 5 3 2 2 2 7" xfId="16548"/>
    <cellStyle name="Comma 5 3 2 2 2 7 2" xfId="42101"/>
    <cellStyle name="Comma 5 3 2 2 2 8" xfId="26520"/>
    <cellStyle name="Comma 5 3 2 2 3" xfId="657"/>
    <cellStyle name="Comma 5 3 2 2 3 2" xfId="3143"/>
    <cellStyle name="Comma 5 3 2 2 3 2 2" xfId="12286"/>
    <cellStyle name="Comma 5 3 2 2 3 2 2 2" xfId="22504"/>
    <cellStyle name="Comma 5 3 2 2 3 2 2 2 2" xfId="48057"/>
    <cellStyle name="Comma 5 3 2 2 3 2 2 3" xfId="37841"/>
    <cellStyle name="Comma 5 3 2 2 3 2 3" xfId="8708"/>
    <cellStyle name="Comma 5 3 2 2 3 2 3 2" xfId="34265"/>
    <cellStyle name="Comma 5 3 2 2 3 2 4" xfId="17497"/>
    <cellStyle name="Comma 5 3 2 2 3 2 4 2" xfId="43050"/>
    <cellStyle name="Comma 5 3 2 2 3 2 5" xfId="28987"/>
    <cellStyle name="Comma 5 3 2 2 3 3" xfId="4821"/>
    <cellStyle name="Comma 5 3 2 2 3 3 2" xfId="13658"/>
    <cellStyle name="Comma 5 3 2 2 3 3 2 2" xfId="23909"/>
    <cellStyle name="Comma 5 3 2 2 3 3 2 2 2" xfId="49462"/>
    <cellStyle name="Comma 5 3 2 2 3 3 2 3" xfId="39213"/>
    <cellStyle name="Comma 5 3 2 2 3 3 3" xfId="10079"/>
    <cellStyle name="Comma 5 3 2 2 3 3 3 2" xfId="35636"/>
    <cellStyle name="Comma 5 3 2 2 3 3 4" xfId="18902"/>
    <cellStyle name="Comma 5 3 2 2 3 3 4 2" xfId="44455"/>
    <cellStyle name="Comma 5 3 2 2 3 3 5" xfId="30392"/>
    <cellStyle name="Comma 5 3 2 2 3 4" xfId="2252"/>
    <cellStyle name="Comma 5 3 2 2 3 4 2" xfId="11617"/>
    <cellStyle name="Comma 5 3 2 2 3 4 2 2" xfId="37172"/>
    <cellStyle name="Comma 5 3 2 2 3 4 3" xfId="21621"/>
    <cellStyle name="Comma 5 3 2 2 3 4 3 2" xfId="47174"/>
    <cellStyle name="Comma 5 3 2 2 3 4 4" xfId="28104"/>
    <cellStyle name="Comma 5 3 2 2 3 5" xfId="6276"/>
    <cellStyle name="Comma 5 3 2 2 3 5 2" xfId="15103"/>
    <cellStyle name="Comma 5 3 2 2 3 5 2 2" xfId="40658"/>
    <cellStyle name="Comma 5 3 2 2 3 5 3" xfId="25354"/>
    <cellStyle name="Comma 5 3 2 2 3 5 3 2" xfId="50907"/>
    <cellStyle name="Comma 5 3 2 2 3 5 4" xfId="31837"/>
    <cellStyle name="Comma 5 3 2 2 3 6" xfId="7722"/>
    <cellStyle name="Comma 5 3 2 2 3 6 2" xfId="20103"/>
    <cellStyle name="Comma 5 3 2 2 3 6 2 2" xfId="45656"/>
    <cellStyle name="Comma 5 3 2 2 3 6 3" xfId="33279"/>
    <cellStyle name="Comma 5 3 2 2 3 7" xfId="16614"/>
    <cellStyle name="Comma 5 3 2 2 3 7 2" xfId="42167"/>
    <cellStyle name="Comma 5 3 2 2 3 8" xfId="26586"/>
    <cellStyle name="Comma 5 3 2 2 4" xfId="1363"/>
    <cellStyle name="Comma 5 3 2 2 4 2" xfId="3792"/>
    <cellStyle name="Comma 5 3 2 2 4 2 2" xfId="12928"/>
    <cellStyle name="Comma 5 3 2 2 4 2 2 2" xfId="23147"/>
    <cellStyle name="Comma 5 3 2 2 4 2 2 2 2" xfId="48700"/>
    <cellStyle name="Comma 5 3 2 2 4 2 2 3" xfId="38483"/>
    <cellStyle name="Comma 5 3 2 2 4 2 3" xfId="9349"/>
    <cellStyle name="Comma 5 3 2 2 4 2 3 2" xfId="34906"/>
    <cellStyle name="Comma 5 3 2 2 4 2 4" xfId="18140"/>
    <cellStyle name="Comma 5 3 2 2 4 2 4 2" xfId="43693"/>
    <cellStyle name="Comma 5 3 2 2 4 2 5" xfId="29630"/>
    <cellStyle name="Comma 5 3 2 2 4 3" xfId="5455"/>
    <cellStyle name="Comma 5 3 2 2 4 3 2" xfId="14292"/>
    <cellStyle name="Comma 5 3 2 2 4 3 2 2" xfId="24543"/>
    <cellStyle name="Comma 5 3 2 2 4 3 2 2 2" xfId="50096"/>
    <cellStyle name="Comma 5 3 2 2 4 3 2 3" xfId="39847"/>
    <cellStyle name="Comma 5 3 2 2 4 3 3" xfId="10713"/>
    <cellStyle name="Comma 5 3 2 2 4 3 3 2" xfId="36270"/>
    <cellStyle name="Comma 5 3 2 2 4 3 4" xfId="19536"/>
    <cellStyle name="Comma 5 3 2 2 4 3 4 2" xfId="45089"/>
    <cellStyle name="Comma 5 3 2 2 4 3 5" xfId="31026"/>
    <cellStyle name="Comma 5 3 2 2 4 4" xfId="1866"/>
    <cellStyle name="Comma 5 3 2 2 4 4 2" xfId="11234"/>
    <cellStyle name="Comma 5 3 2 2 4 4 2 2" xfId="36789"/>
    <cellStyle name="Comma 5 3 2 2 4 4 3" xfId="21238"/>
    <cellStyle name="Comma 5 3 2 2 4 4 3 2" xfId="46791"/>
    <cellStyle name="Comma 5 3 2 2 4 4 4" xfId="27721"/>
    <cellStyle name="Comma 5 3 2 2 4 5" xfId="6910"/>
    <cellStyle name="Comma 5 3 2 2 4 5 2" xfId="15737"/>
    <cellStyle name="Comma 5 3 2 2 4 5 2 2" xfId="41292"/>
    <cellStyle name="Comma 5 3 2 2 4 5 3" xfId="25988"/>
    <cellStyle name="Comma 5 3 2 2 4 5 3 2" xfId="51541"/>
    <cellStyle name="Comma 5 3 2 2 4 5 4" xfId="32471"/>
    <cellStyle name="Comma 5 3 2 2 4 6" xfId="8356"/>
    <cellStyle name="Comma 5 3 2 2 4 6 2" xfId="20746"/>
    <cellStyle name="Comma 5 3 2 2 4 6 2 2" xfId="46299"/>
    <cellStyle name="Comma 5 3 2 2 4 6 3" xfId="33913"/>
    <cellStyle name="Comma 5 3 2 2 4 7" xfId="16231"/>
    <cellStyle name="Comma 5 3 2 2 4 7 2" xfId="41784"/>
    <cellStyle name="Comma 5 3 2 2 4 8" xfId="27229"/>
    <cellStyle name="Comma 5 3 2 2 5" xfId="2760"/>
    <cellStyle name="Comma 5 3 2 2 5 2" xfId="12077"/>
    <cellStyle name="Comma 5 3 2 2 5 2 2" xfId="22121"/>
    <cellStyle name="Comma 5 3 2 2 5 2 2 2" xfId="47674"/>
    <cellStyle name="Comma 5 3 2 2 5 2 3" xfId="37632"/>
    <cellStyle name="Comma 5 3 2 2 5 3" xfId="8480"/>
    <cellStyle name="Comma 5 3 2 2 5 3 2" xfId="34037"/>
    <cellStyle name="Comma 5 3 2 2 5 4" xfId="17114"/>
    <cellStyle name="Comma 5 3 2 2 5 4 2" xfId="42667"/>
    <cellStyle name="Comma 5 3 2 2 5 5" xfId="28604"/>
    <cellStyle name="Comma 5 3 2 2 6" xfId="4411"/>
    <cellStyle name="Comma 5 3 2 2 6 2" xfId="13249"/>
    <cellStyle name="Comma 5 3 2 2 6 2 2" xfId="23500"/>
    <cellStyle name="Comma 5 3 2 2 6 2 2 2" xfId="49053"/>
    <cellStyle name="Comma 5 3 2 2 6 2 3" xfId="38804"/>
    <cellStyle name="Comma 5 3 2 2 6 3" xfId="9670"/>
    <cellStyle name="Comma 5 3 2 2 6 3 2" xfId="35227"/>
    <cellStyle name="Comma 5 3 2 2 6 4" xfId="18493"/>
    <cellStyle name="Comma 5 3 2 2 6 4 2" xfId="44046"/>
    <cellStyle name="Comma 5 3 2 2 6 5" xfId="29983"/>
    <cellStyle name="Comma 5 3 2 2 7" xfId="1683"/>
    <cellStyle name="Comma 5 3 2 2 7 2" xfId="11060"/>
    <cellStyle name="Comma 5 3 2 2 7 2 2" xfId="36615"/>
    <cellStyle name="Comma 5 3 2 2 7 3" xfId="21064"/>
    <cellStyle name="Comma 5 3 2 2 7 3 2" xfId="46617"/>
    <cellStyle name="Comma 5 3 2 2 7 4" xfId="27547"/>
    <cellStyle name="Comma 5 3 2 2 8" xfId="5867"/>
    <cellStyle name="Comma 5 3 2 2 8 2" xfId="14694"/>
    <cellStyle name="Comma 5 3 2 2 8 2 2" xfId="40249"/>
    <cellStyle name="Comma 5 3 2 2 8 3" xfId="24945"/>
    <cellStyle name="Comma 5 3 2 2 8 3 2" xfId="50498"/>
    <cellStyle name="Comma 5 3 2 2 8 4" xfId="31428"/>
    <cellStyle name="Comma 5 3 2 2 9" xfId="7311"/>
    <cellStyle name="Comma 5 3 2 2 9 2" xfId="19720"/>
    <cellStyle name="Comma 5 3 2 2 9 2 2" xfId="45273"/>
    <cellStyle name="Comma 5 3 2 2 9 3" xfId="32868"/>
    <cellStyle name="Comma 5 3 2 3" xfId="487"/>
    <cellStyle name="Comma 5 3 2 3 10" xfId="26416"/>
    <cellStyle name="Comma 5 3 2 3 2" xfId="658"/>
    <cellStyle name="Comma 5 3 2 3 2 2" xfId="3144"/>
    <cellStyle name="Comma 5 3 2 3 2 2 2" xfId="12287"/>
    <cellStyle name="Comma 5 3 2 3 2 2 2 2" xfId="22505"/>
    <cellStyle name="Comma 5 3 2 3 2 2 2 2 2" xfId="48058"/>
    <cellStyle name="Comma 5 3 2 3 2 2 2 3" xfId="37842"/>
    <cellStyle name="Comma 5 3 2 3 2 2 3" xfId="8709"/>
    <cellStyle name="Comma 5 3 2 3 2 2 3 2" xfId="34266"/>
    <cellStyle name="Comma 5 3 2 3 2 2 4" xfId="17498"/>
    <cellStyle name="Comma 5 3 2 3 2 2 4 2" xfId="43051"/>
    <cellStyle name="Comma 5 3 2 3 2 2 5" xfId="28988"/>
    <cellStyle name="Comma 5 3 2 3 2 3" xfId="4473"/>
    <cellStyle name="Comma 5 3 2 3 2 3 2" xfId="13311"/>
    <cellStyle name="Comma 5 3 2 3 2 3 2 2" xfId="23562"/>
    <cellStyle name="Comma 5 3 2 3 2 3 2 2 2" xfId="49115"/>
    <cellStyle name="Comma 5 3 2 3 2 3 2 3" xfId="38866"/>
    <cellStyle name="Comma 5 3 2 3 2 3 3" xfId="9732"/>
    <cellStyle name="Comma 5 3 2 3 2 3 3 2" xfId="35289"/>
    <cellStyle name="Comma 5 3 2 3 2 3 4" xfId="18555"/>
    <cellStyle name="Comma 5 3 2 3 2 3 4 2" xfId="44108"/>
    <cellStyle name="Comma 5 3 2 3 2 3 5" xfId="30045"/>
    <cellStyle name="Comma 5 3 2 3 2 4" xfId="2253"/>
    <cellStyle name="Comma 5 3 2 3 2 4 2" xfId="11618"/>
    <cellStyle name="Comma 5 3 2 3 2 4 2 2" xfId="37173"/>
    <cellStyle name="Comma 5 3 2 3 2 4 3" xfId="21622"/>
    <cellStyle name="Comma 5 3 2 3 2 4 3 2" xfId="47175"/>
    <cellStyle name="Comma 5 3 2 3 2 4 4" xfId="28105"/>
    <cellStyle name="Comma 5 3 2 3 2 5" xfId="5929"/>
    <cellStyle name="Comma 5 3 2 3 2 5 2" xfId="14756"/>
    <cellStyle name="Comma 5 3 2 3 2 5 2 2" xfId="40311"/>
    <cellStyle name="Comma 5 3 2 3 2 5 3" xfId="25007"/>
    <cellStyle name="Comma 5 3 2 3 2 5 3 2" xfId="50560"/>
    <cellStyle name="Comma 5 3 2 3 2 5 4" xfId="31490"/>
    <cellStyle name="Comma 5 3 2 3 2 6" xfId="7373"/>
    <cellStyle name="Comma 5 3 2 3 2 6 2" xfId="20104"/>
    <cellStyle name="Comma 5 3 2 3 2 6 2 2" xfId="45657"/>
    <cellStyle name="Comma 5 3 2 3 2 6 3" xfId="32930"/>
    <cellStyle name="Comma 5 3 2 3 2 7" xfId="16615"/>
    <cellStyle name="Comma 5 3 2 3 2 7 2" xfId="42168"/>
    <cellStyle name="Comma 5 3 2 3 2 8" xfId="26587"/>
    <cellStyle name="Comma 5 3 2 3 3" xfId="1259"/>
    <cellStyle name="Comma 5 3 2 3 3 2" xfId="3688"/>
    <cellStyle name="Comma 5 3 2 3 3 2 2" xfId="12824"/>
    <cellStyle name="Comma 5 3 2 3 3 2 2 2" xfId="23043"/>
    <cellStyle name="Comma 5 3 2 3 3 2 2 2 2" xfId="48596"/>
    <cellStyle name="Comma 5 3 2 3 3 2 2 3" xfId="38379"/>
    <cellStyle name="Comma 5 3 2 3 3 2 3" xfId="9245"/>
    <cellStyle name="Comma 5 3 2 3 3 2 3 2" xfId="34802"/>
    <cellStyle name="Comma 5 3 2 3 3 2 4" xfId="18036"/>
    <cellStyle name="Comma 5 3 2 3 3 2 4 2" xfId="43589"/>
    <cellStyle name="Comma 5 3 2 3 3 2 5" xfId="29526"/>
    <cellStyle name="Comma 5 3 2 3 3 3" xfId="4822"/>
    <cellStyle name="Comma 5 3 2 3 3 3 2" xfId="13659"/>
    <cellStyle name="Comma 5 3 2 3 3 3 2 2" xfId="23910"/>
    <cellStyle name="Comma 5 3 2 3 3 3 2 2 2" xfId="49463"/>
    <cellStyle name="Comma 5 3 2 3 3 3 2 3" xfId="39214"/>
    <cellStyle name="Comma 5 3 2 3 3 3 3" xfId="10080"/>
    <cellStyle name="Comma 5 3 2 3 3 3 3 2" xfId="35637"/>
    <cellStyle name="Comma 5 3 2 3 3 3 4" xfId="18903"/>
    <cellStyle name="Comma 5 3 2 3 3 3 4 2" xfId="44456"/>
    <cellStyle name="Comma 5 3 2 3 3 3 5" xfId="30393"/>
    <cellStyle name="Comma 5 3 2 3 3 4" xfId="2082"/>
    <cellStyle name="Comma 5 3 2 3 3 4 2" xfId="11447"/>
    <cellStyle name="Comma 5 3 2 3 3 4 2 2" xfId="37002"/>
    <cellStyle name="Comma 5 3 2 3 3 4 3" xfId="21451"/>
    <cellStyle name="Comma 5 3 2 3 3 4 3 2" xfId="47004"/>
    <cellStyle name="Comma 5 3 2 3 3 4 4" xfId="27934"/>
    <cellStyle name="Comma 5 3 2 3 3 5" xfId="6277"/>
    <cellStyle name="Comma 5 3 2 3 3 5 2" xfId="15104"/>
    <cellStyle name="Comma 5 3 2 3 3 5 2 2" xfId="40659"/>
    <cellStyle name="Comma 5 3 2 3 3 5 3" xfId="25355"/>
    <cellStyle name="Comma 5 3 2 3 3 5 3 2" xfId="50908"/>
    <cellStyle name="Comma 5 3 2 3 3 5 4" xfId="31838"/>
    <cellStyle name="Comma 5 3 2 3 3 6" xfId="7723"/>
    <cellStyle name="Comma 5 3 2 3 3 6 2" xfId="20642"/>
    <cellStyle name="Comma 5 3 2 3 3 6 2 2" xfId="46195"/>
    <cellStyle name="Comma 5 3 2 3 3 6 3" xfId="33280"/>
    <cellStyle name="Comma 5 3 2 3 3 7" xfId="16444"/>
    <cellStyle name="Comma 5 3 2 3 3 7 2" xfId="41997"/>
    <cellStyle name="Comma 5 3 2 3 3 8" xfId="27125"/>
    <cellStyle name="Comma 5 3 2 3 4" xfId="2973"/>
    <cellStyle name="Comma 5 3 2 3 4 2" xfId="5351"/>
    <cellStyle name="Comma 5 3 2 3 4 2 2" xfId="14188"/>
    <cellStyle name="Comma 5 3 2 3 4 2 2 2" xfId="24439"/>
    <cellStyle name="Comma 5 3 2 3 4 2 2 2 2" xfId="49992"/>
    <cellStyle name="Comma 5 3 2 3 4 2 2 3" xfId="39743"/>
    <cellStyle name="Comma 5 3 2 3 4 2 3" xfId="10609"/>
    <cellStyle name="Comma 5 3 2 3 4 2 3 2" xfId="36166"/>
    <cellStyle name="Comma 5 3 2 3 4 2 4" xfId="19432"/>
    <cellStyle name="Comma 5 3 2 3 4 2 4 2" xfId="44985"/>
    <cellStyle name="Comma 5 3 2 3 4 2 5" xfId="30922"/>
    <cellStyle name="Comma 5 3 2 3 4 3" xfId="6806"/>
    <cellStyle name="Comma 5 3 2 3 4 3 2" xfId="15633"/>
    <cellStyle name="Comma 5 3 2 3 4 3 2 2" xfId="41188"/>
    <cellStyle name="Comma 5 3 2 3 4 3 3" xfId="25884"/>
    <cellStyle name="Comma 5 3 2 3 4 3 3 2" xfId="51437"/>
    <cellStyle name="Comma 5 3 2 3 4 3 4" xfId="32367"/>
    <cellStyle name="Comma 5 3 2 3 4 4" xfId="8252"/>
    <cellStyle name="Comma 5 3 2 3 4 4 2" xfId="22334"/>
    <cellStyle name="Comma 5 3 2 3 4 4 2 2" xfId="47887"/>
    <cellStyle name="Comma 5 3 2 3 4 4 3" xfId="33809"/>
    <cellStyle name="Comma 5 3 2 3 4 5" xfId="17327"/>
    <cellStyle name="Comma 5 3 2 3 4 5 2" xfId="42880"/>
    <cellStyle name="Comma 5 3 2 3 4 6" xfId="28817"/>
    <cellStyle name="Comma 5 3 2 3 5" xfId="4307"/>
    <cellStyle name="Comma 5 3 2 3 5 2" xfId="13145"/>
    <cellStyle name="Comma 5 3 2 3 5 2 2" xfId="23396"/>
    <cellStyle name="Comma 5 3 2 3 5 2 2 2" xfId="48949"/>
    <cellStyle name="Comma 5 3 2 3 5 2 3" xfId="38700"/>
    <cellStyle name="Comma 5 3 2 3 5 3" xfId="9566"/>
    <cellStyle name="Comma 5 3 2 3 5 3 2" xfId="35123"/>
    <cellStyle name="Comma 5 3 2 3 5 4" xfId="18389"/>
    <cellStyle name="Comma 5 3 2 3 5 4 2" xfId="43942"/>
    <cellStyle name="Comma 5 3 2 3 5 5" xfId="29879"/>
    <cellStyle name="Comma 5 3 2 3 6" xfId="1579"/>
    <cellStyle name="Comma 5 3 2 3 6 2" xfId="10956"/>
    <cellStyle name="Comma 5 3 2 3 6 2 2" xfId="36511"/>
    <cellStyle name="Comma 5 3 2 3 6 3" xfId="20960"/>
    <cellStyle name="Comma 5 3 2 3 6 3 2" xfId="46513"/>
    <cellStyle name="Comma 5 3 2 3 6 4" xfId="27443"/>
    <cellStyle name="Comma 5 3 2 3 7" xfId="5763"/>
    <cellStyle name="Comma 5 3 2 3 7 2" xfId="14590"/>
    <cellStyle name="Comma 5 3 2 3 7 2 2" xfId="40145"/>
    <cellStyle name="Comma 5 3 2 3 7 3" xfId="24841"/>
    <cellStyle name="Comma 5 3 2 3 7 3 2" xfId="50394"/>
    <cellStyle name="Comma 5 3 2 3 7 4" xfId="31324"/>
    <cellStyle name="Comma 5 3 2 3 8" xfId="7207"/>
    <cellStyle name="Comma 5 3 2 3 8 2" xfId="19933"/>
    <cellStyle name="Comma 5 3 2 3 8 2 2" xfId="45486"/>
    <cellStyle name="Comma 5 3 2 3 8 3" xfId="32764"/>
    <cellStyle name="Comma 5 3 2 3 9" xfId="15953"/>
    <cellStyle name="Comma 5 3 2 3 9 2" xfId="41506"/>
    <cellStyle name="Comma 5 3 2 4" xfId="387"/>
    <cellStyle name="Comma 5 3 2 4 2" xfId="2873"/>
    <cellStyle name="Comma 5 3 2 4 2 2" xfId="12161"/>
    <cellStyle name="Comma 5 3 2 4 2 2 2" xfId="22234"/>
    <cellStyle name="Comma 5 3 2 4 2 2 2 2" xfId="47787"/>
    <cellStyle name="Comma 5 3 2 4 2 2 3" xfId="37716"/>
    <cellStyle name="Comma 5 3 2 4 2 3" xfId="8427"/>
    <cellStyle name="Comma 5 3 2 4 2 3 2" xfId="33984"/>
    <cellStyle name="Comma 5 3 2 4 2 4" xfId="17227"/>
    <cellStyle name="Comma 5 3 2 4 2 4 2" xfId="42780"/>
    <cellStyle name="Comma 5 3 2 4 2 5" xfId="28717"/>
    <cellStyle name="Comma 5 3 2 4 3" xfId="4471"/>
    <cellStyle name="Comma 5 3 2 4 3 2" xfId="13309"/>
    <cellStyle name="Comma 5 3 2 4 3 2 2" xfId="23560"/>
    <cellStyle name="Comma 5 3 2 4 3 2 2 2" xfId="49113"/>
    <cellStyle name="Comma 5 3 2 4 3 2 3" xfId="38864"/>
    <cellStyle name="Comma 5 3 2 4 3 3" xfId="9730"/>
    <cellStyle name="Comma 5 3 2 4 3 3 2" xfId="35287"/>
    <cellStyle name="Comma 5 3 2 4 3 4" xfId="18553"/>
    <cellStyle name="Comma 5 3 2 4 3 4 2" xfId="44106"/>
    <cellStyle name="Comma 5 3 2 4 3 5" xfId="30043"/>
    <cellStyle name="Comma 5 3 2 4 4" xfId="1982"/>
    <cellStyle name="Comma 5 3 2 4 4 2" xfId="11347"/>
    <cellStyle name="Comma 5 3 2 4 4 2 2" xfId="36902"/>
    <cellStyle name="Comma 5 3 2 4 4 3" xfId="21351"/>
    <cellStyle name="Comma 5 3 2 4 4 3 2" xfId="46904"/>
    <cellStyle name="Comma 5 3 2 4 4 4" xfId="27834"/>
    <cellStyle name="Comma 5 3 2 4 5" xfId="5927"/>
    <cellStyle name="Comma 5 3 2 4 5 2" xfId="14754"/>
    <cellStyle name="Comma 5 3 2 4 5 2 2" xfId="40309"/>
    <cellStyle name="Comma 5 3 2 4 5 3" xfId="25005"/>
    <cellStyle name="Comma 5 3 2 4 5 3 2" xfId="50558"/>
    <cellStyle name="Comma 5 3 2 4 5 4" xfId="31488"/>
    <cellStyle name="Comma 5 3 2 4 6" xfId="7371"/>
    <cellStyle name="Comma 5 3 2 4 6 2" xfId="19833"/>
    <cellStyle name="Comma 5 3 2 4 6 2 2" xfId="45386"/>
    <cellStyle name="Comma 5 3 2 4 6 3" xfId="32928"/>
    <cellStyle name="Comma 5 3 2 4 7" xfId="16344"/>
    <cellStyle name="Comma 5 3 2 4 7 2" xfId="41897"/>
    <cellStyle name="Comma 5 3 2 4 8" xfId="26316"/>
    <cellStyle name="Comma 5 3 2 5" xfId="656"/>
    <cellStyle name="Comma 5 3 2 5 2" xfId="3142"/>
    <cellStyle name="Comma 5 3 2 5 2 2" xfId="12285"/>
    <cellStyle name="Comma 5 3 2 5 2 2 2" xfId="22503"/>
    <cellStyle name="Comma 5 3 2 5 2 2 2 2" xfId="48056"/>
    <cellStyle name="Comma 5 3 2 5 2 2 3" xfId="37840"/>
    <cellStyle name="Comma 5 3 2 5 2 3" xfId="8707"/>
    <cellStyle name="Comma 5 3 2 5 2 3 2" xfId="34264"/>
    <cellStyle name="Comma 5 3 2 5 2 4" xfId="17496"/>
    <cellStyle name="Comma 5 3 2 5 2 4 2" xfId="43049"/>
    <cellStyle name="Comma 5 3 2 5 2 5" xfId="28986"/>
    <cellStyle name="Comma 5 3 2 5 3" xfId="4820"/>
    <cellStyle name="Comma 5 3 2 5 3 2" xfId="13657"/>
    <cellStyle name="Comma 5 3 2 5 3 2 2" xfId="23908"/>
    <cellStyle name="Comma 5 3 2 5 3 2 2 2" xfId="49461"/>
    <cellStyle name="Comma 5 3 2 5 3 2 3" xfId="39212"/>
    <cellStyle name="Comma 5 3 2 5 3 3" xfId="10078"/>
    <cellStyle name="Comma 5 3 2 5 3 3 2" xfId="35635"/>
    <cellStyle name="Comma 5 3 2 5 3 4" xfId="18901"/>
    <cellStyle name="Comma 5 3 2 5 3 4 2" xfId="44454"/>
    <cellStyle name="Comma 5 3 2 5 3 5" xfId="30391"/>
    <cellStyle name="Comma 5 3 2 5 4" xfId="2251"/>
    <cellStyle name="Comma 5 3 2 5 4 2" xfId="11616"/>
    <cellStyle name="Comma 5 3 2 5 4 2 2" xfId="37171"/>
    <cellStyle name="Comma 5 3 2 5 4 3" xfId="21620"/>
    <cellStyle name="Comma 5 3 2 5 4 3 2" xfId="47173"/>
    <cellStyle name="Comma 5 3 2 5 4 4" xfId="28103"/>
    <cellStyle name="Comma 5 3 2 5 5" xfId="6275"/>
    <cellStyle name="Comma 5 3 2 5 5 2" xfId="15102"/>
    <cellStyle name="Comma 5 3 2 5 5 2 2" xfId="40657"/>
    <cellStyle name="Comma 5 3 2 5 5 3" xfId="25353"/>
    <cellStyle name="Comma 5 3 2 5 5 3 2" xfId="50906"/>
    <cellStyle name="Comma 5 3 2 5 5 4" xfId="31836"/>
    <cellStyle name="Comma 5 3 2 5 6" xfId="7721"/>
    <cellStyle name="Comma 5 3 2 5 6 2" xfId="20102"/>
    <cellStyle name="Comma 5 3 2 5 6 2 2" xfId="45655"/>
    <cellStyle name="Comma 5 3 2 5 6 3" xfId="33278"/>
    <cellStyle name="Comma 5 3 2 5 7" xfId="16613"/>
    <cellStyle name="Comma 5 3 2 5 7 2" xfId="42166"/>
    <cellStyle name="Comma 5 3 2 5 8" xfId="26585"/>
    <cellStyle name="Comma 5 3 2 6" xfId="1159"/>
    <cellStyle name="Comma 5 3 2 6 2" xfId="3588"/>
    <cellStyle name="Comma 5 3 2 6 2 2" xfId="12724"/>
    <cellStyle name="Comma 5 3 2 6 2 2 2" xfId="22943"/>
    <cellStyle name="Comma 5 3 2 6 2 2 2 2" xfId="48496"/>
    <cellStyle name="Comma 5 3 2 6 2 2 3" xfId="38279"/>
    <cellStyle name="Comma 5 3 2 6 2 3" xfId="9145"/>
    <cellStyle name="Comma 5 3 2 6 2 3 2" xfId="34702"/>
    <cellStyle name="Comma 5 3 2 6 2 4" xfId="17936"/>
    <cellStyle name="Comma 5 3 2 6 2 4 2" xfId="43489"/>
    <cellStyle name="Comma 5 3 2 6 2 5" xfId="29426"/>
    <cellStyle name="Comma 5 3 2 6 3" xfId="5251"/>
    <cellStyle name="Comma 5 3 2 6 3 2" xfId="14088"/>
    <cellStyle name="Comma 5 3 2 6 3 2 2" xfId="24339"/>
    <cellStyle name="Comma 5 3 2 6 3 2 2 2" xfId="49892"/>
    <cellStyle name="Comma 5 3 2 6 3 2 3" xfId="39643"/>
    <cellStyle name="Comma 5 3 2 6 3 3" xfId="10509"/>
    <cellStyle name="Comma 5 3 2 6 3 3 2" xfId="36066"/>
    <cellStyle name="Comma 5 3 2 6 3 4" xfId="19332"/>
    <cellStyle name="Comma 5 3 2 6 3 4 2" xfId="44885"/>
    <cellStyle name="Comma 5 3 2 6 3 5" xfId="30822"/>
    <cellStyle name="Comma 5 3 2 6 4" xfId="1759"/>
    <cellStyle name="Comma 5 3 2 6 4 2" xfId="11130"/>
    <cellStyle name="Comma 5 3 2 6 4 2 2" xfId="36685"/>
    <cellStyle name="Comma 5 3 2 6 4 3" xfId="21134"/>
    <cellStyle name="Comma 5 3 2 6 4 3 2" xfId="46687"/>
    <cellStyle name="Comma 5 3 2 6 4 4" xfId="27617"/>
    <cellStyle name="Comma 5 3 2 6 5" xfId="6706"/>
    <cellStyle name="Comma 5 3 2 6 5 2" xfId="15533"/>
    <cellStyle name="Comma 5 3 2 6 5 2 2" xfId="41088"/>
    <cellStyle name="Comma 5 3 2 6 5 3" xfId="25784"/>
    <cellStyle name="Comma 5 3 2 6 5 3 2" xfId="51337"/>
    <cellStyle name="Comma 5 3 2 6 5 4" xfId="32267"/>
    <cellStyle name="Comma 5 3 2 6 6" xfId="8152"/>
    <cellStyle name="Comma 5 3 2 6 6 2" xfId="20542"/>
    <cellStyle name="Comma 5 3 2 6 6 2 2" xfId="46095"/>
    <cellStyle name="Comma 5 3 2 6 6 3" xfId="33709"/>
    <cellStyle name="Comma 5 3 2 6 7" xfId="16127"/>
    <cellStyle name="Comma 5 3 2 6 7 2" xfId="41680"/>
    <cellStyle name="Comma 5 3 2 6 8" xfId="27025"/>
    <cellStyle name="Comma 5 3 2 7" xfId="2656"/>
    <cellStyle name="Comma 5 3 2 7 2" xfId="11976"/>
    <cellStyle name="Comma 5 3 2 7 2 2" xfId="22017"/>
    <cellStyle name="Comma 5 3 2 7 2 2 2" xfId="47570"/>
    <cellStyle name="Comma 5 3 2 7 2 3" xfId="37531"/>
    <cellStyle name="Comma 5 3 2 7 3" xfId="8562"/>
    <cellStyle name="Comma 5 3 2 7 3 2" xfId="34119"/>
    <cellStyle name="Comma 5 3 2 7 4" xfId="17010"/>
    <cellStyle name="Comma 5 3 2 7 4 2" xfId="42563"/>
    <cellStyle name="Comma 5 3 2 7 5" xfId="28500"/>
    <cellStyle name="Comma 5 3 2 8" xfId="4207"/>
    <cellStyle name="Comma 5 3 2 8 2" xfId="13045"/>
    <cellStyle name="Comma 5 3 2 8 2 2" xfId="23296"/>
    <cellStyle name="Comma 5 3 2 8 2 2 2" xfId="48849"/>
    <cellStyle name="Comma 5 3 2 8 2 3" xfId="38600"/>
    <cellStyle name="Comma 5 3 2 8 3" xfId="9466"/>
    <cellStyle name="Comma 5 3 2 8 3 2" xfId="35023"/>
    <cellStyle name="Comma 5 3 2 8 4" xfId="18289"/>
    <cellStyle name="Comma 5 3 2 8 4 2" xfId="43842"/>
    <cellStyle name="Comma 5 3 2 8 5" xfId="29779"/>
    <cellStyle name="Comma 5 3 2 9" xfId="1479"/>
    <cellStyle name="Comma 5 3 2 9 2" xfId="10856"/>
    <cellStyle name="Comma 5 3 2 9 2 2" xfId="36411"/>
    <cellStyle name="Comma 5 3 2 9 3" xfId="20860"/>
    <cellStyle name="Comma 5 3 2 9 3 2" xfId="46413"/>
    <cellStyle name="Comma 5 3 2 9 4" xfId="27343"/>
    <cellStyle name="Comma 5 3 3" xfId="204"/>
    <cellStyle name="Comma 5 3 3 10" xfId="7150"/>
    <cellStyle name="Comma 5 3 3 10 2" xfId="19659"/>
    <cellStyle name="Comma 5 3 3 10 2 2" xfId="45212"/>
    <cellStyle name="Comma 5 3 3 10 3" xfId="32707"/>
    <cellStyle name="Comma 5 3 3 11" xfId="15896"/>
    <cellStyle name="Comma 5 3 3 11 2" xfId="41449"/>
    <cellStyle name="Comma 5 3 3 12" xfId="26142"/>
    <cellStyle name="Comma 5 3 3 2" xfId="530"/>
    <cellStyle name="Comma 5 3 3 2 10" xfId="26459"/>
    <cellStyle name="Comma 5 3 3 2 2" xfId="660"/>
    <cellStyle name="Comma 5 3 3 2 2 2" xfId="3146"/>
    <cellStyle name="Comma 5 3 3 2 2 2 2" xfId="12289"/>
    <cellStyle name="Comma 5 3 3 2 2 2 2 2" xfId="22507"/>
    <cellStyle name="Comma 5 3 3 2 2 2 2 2 2" xfId="48060"/>
    <cellStyle name="Comma 5 3 3 2 2 2 2 3" xfId="37844"/>
    <cellStyle name="Comma 5 3 3 2 2 2 3" xfId="8711"/>
    <cellStyle name="Comma 5 3 3 2 2 2 3 2" xfId="34268"/>
    <cellStyle name="Comma 5 3 3 2 2 2 4" xfId="17500"/>
    <cellStyle name="Comma 5 3 3 2 2 2 4 2" xfId="43053"/>
    <cellStyle name="Comma 5 3 3 2 2 2 5" xfId="28990"/>
    <cellStyle name="Comma 5 3 3 2 2 3" xfId="4475"/>
    <cellStyle name="Comma 5 3 3 2 2 3 2" xfId="13313"/>
    <cellStyle name="Comma 5 3 3 2 2 3 2 2" xfId="23564"/>
    <cellStyle name="Comma 5 3 3 2 2 3 2 2 2" xfId="49117"/>
    <cellStyle name="Comma 5 3 3 2 2 3 2 3" xfId="38868"/>
    <cellStyle name="Comma 5 3 3 2 2 3 3" xfId="9734"/>
    <cellStyle name="Comma 5 3 3 2 2 3 3 2" xfId="35291"/>
    <cellStyle name="Comma 5 3 3 2 2 3 4" xfId="18557"/>
    <cellStyle name="Comma 5 3 3 2 2 3 4 2" xfId="44110"/>
    <cellStyle name="Comma 5 3 3 2 2 3 5" xfId="30047"/>
    <cellStyle name="Comma 5 3 3 2 2 4" xfId="2255"/>
    <cellStyle name="Comma 5 3 3 2 2 4 2" xfId="11620"/>
    <cellStyle name="Comma 5 3 3 2 2 4 2 2" xfId="37175"/>
    <cellStyle name="Comma 5 3 3 2 2 4 3" xfId="21624"/>
    <cellStyle name="Comma 5 3 3 2 2 4 3 2" xfId="47177"/>
    <cellStyle name="Comma 5 3 3 2 2 4 4" xfId="28107"/>
    <cellStyle name="Comma 5 3 3 2 2 5" xfId="5931"/>
    <cellStyle name="Comma 5 3 3 2 2 5 2" xfId="14758"/>
    <cellStyle name="Comma 5 3 3 2 2 5 2 2" xfId="40313"/>
    <cellStyle name="Comma 5 3 3 2 2 5 3" xfId="25009"/>
    <cellStyle name="Comma 5 3 3 2 2 5 3 2" xfId="50562"/>
    <cellStyle name="Comma 5 3 3 2 2 5 4" xfId="31492"/>
    <cellStyle name="Comma 5 3 3 2 2 6" xfId="7375"/>
    <cellStyle name="Comma 5 3 3 2 2 6 2" xfId="20106"/>
    <cellStyle name="Comma 5 3 3 2 2 6 2 2" xfId="45659"/>
    <cellStyle name="Comma 5 3 3 2 2 6 3" xfId="32932"/>
    <cellStyle name="Comma 5 3 3 2 2 7" xfId="16617"/>
    <cellStyle name="Comma 5 3 3 2 2 7 2" xfId="42170"/>
    <cellStyle name="Comma 5 3 3 2 2 8" xfId="26589"/>
    <cellStyle name="Comma 5 3 3 2 3" xfId="1302"/>
    <cellStyle name="Comma 5 3 3 2 3 2" xfId="3731"/>
    <cellStyle name="Comma 5 3 3 2 3 2 2" xfId="12867"/>
    <cellStyle name="Comma 5 3 3 2 3 2 2 2" xfId="23086"/>
    <cellStyle name="Comma 5 3 3 2 3 2 2 2 2" xfId="48639"/>
    <cellStyle name="Comma 5 3 3 2 3 2 2 3" xfId="38422"/>
    <cellStyle name="Comma 5 3 3 2 3 2 3" xfId="9288"/>
    <cellStyle name="Comma 5 3 3 2 3 2 3 2" xfId="34845"/>
    <cellStyle name="Comma 5 3 3 2 3 2 4" xfId="18079"/>
    <cellStyle name="Comma 5 3 3 2 3 2 4 2" xfId="43632"/>
    <cellStyle name="Comma 5 3 3 2 3 2 5" xfId="29569"/>
    <cellStyle name="Comma 5 3 3 2 3 3" xfId="4824"/>
    <cellStyle name="Comma 5 3 3 2 3 3 2" xfId="13661"/>
    <cellStyle name="Comma 5 3 3 2 3 3 2 2" xfId="23912"/>
    <cellStyle name="Comma 5 3 3 2 3 3 2 2 2" xfId="49465"/>
    <cellStyle name="Comma 5 3 3 2 3 3 2 3" xfId="39216"/>
    <cellStyle name="Comma 5 3 3 2 3 3 3" xfId="10082"/>
    <cellStyle name="Comma 5 3 3 2 3 3 3 2" xfId="35639"/>
    <cellStyle name="Comma 5 3 3 2 3 3 4" xfId="18905"/>
    <cellStyle name="Comma 5 3 3 2 3 3 4 2" xfId="44458"/>
    <cellStyle name="Comma 5 3 3 2 3 3 5" xfId="30395"/>
    <cellStyle name="Comma 5 3 3 2 3 4" xfId="2125"/>
    <cellStyle name="Comma 5 3 3 2 3 4 2" xfId="11490"/>
    <cellStyle name="Comma 5 3 3 2 3 4 2 2" xfId="37045"/>
    <cellStyle name="Comma 5 3 3 2 3 4 3" xfId="21494"/>
    <cellStyle name="Comma 5 3 3 2 3 4 3 2" xfId="47047"/>
    <cellStyle name="Comma 5 3 3 2 3 4 4" xfId="27977"/>
    <cellStyle name="Comma 5 3 3 2 3 5" xfId="6279"/>
    <cellStyle name="Comma 5 3 3 2 3 5 2" xfId="15106"/>
    <cellStyle name="Comma 5 3 3 2 3 5 2 2" xfId="40661"/>
    <cellStyle name="Comma 5 3 3 2 3 5 3" xfId="25357"/>
    <cellStyle name="Comma 5 3 3 2 3 5 3 2" xfId="50910"/>
    <cellStyle name="Comma 5 3 3 2 3 5 4" xfId="31840"/>
    <cellStyle name="Comma 5 3 3 2 3 6" xfId="7725"/>
    <cellStyle name="Comma 5 3 3 2 3 6 2" xfId="20685"/>
    <cellStyle name="Comma 5 3 3 2 3 6 2 2" xfId="46238"/>
    <cellStyle name="Comma 5 3 3 2 3 6 3" xfId="33282"/>
    <cellStyle name="Comma 5 3 3 2 3 7" xfId="16487"/>
    <cellStyle name="Comma 5 3 3 2 3 7 2" xfId="42040"/>
    <cellStyle name="Comma 5 3 3 2 3 8" xfId="27168"/>
    <cellStyle name="Comma 5 3 3 2 4" xfId="3016"/>
    <cellStyle name="Comma 5 3 3 2 4 2" xfId="5394"/>
    <cellStyle name="Comma 5 3 3 2 4 2 2" xfId="14231"/>
    <cellStyle name="Comma 5 3 3 2 4 2 2 2" xfId="24482"/>
    <cellStyle name="Comma 5 3 3 2 4 2 2 2 2" xfId="50035"/>
    <cellStyle name="Comma 5 3 3 2 4 2 2 3" xfId="39786"/>
    <cellStyle name="Comma 5 3 3 2 4 2 3" xfId="10652"/>
    <cellStyle name="Comma 5 3 3 2 4 2 3 2" xfId="36209"/>
    <cellStyle name="Comma 5 3 3 2 4 2 4" xfId="19475"/>
    <cellStyle name="Comma 5 3 3 2 4 2 4 2" xfId="45028"/>
    <cellStyle name="Comma 5 3 3 2 4 2 5" xfId="30965"/>
    <cellStyle name="Comma 5 3 3 2 4 3" xfId="6849"/>
    <cellStyle name="Comma 5 3 3 2 4 3 2" xfId="15676"/>
    <cellStyle name="Comma 5 3 3 2 4 3 2 2" xfId="41231"/>
    <cellStyle name="Comma 5 3 3 2 4 3 3" xfId="25927"/>
    <cellStyle name="Comma 5 3 3 2 4 3 3 2" xfId="51480"/>
    <cellStyle name="Comma 5 3 3 2 4 3 4" xfId="32410"/>
    <cellStyle name="Comma 5 3 3 2 4 4" xfId="8295"/>
    <cellStyle name="Comma 5 3 3 2 4 4 2" xfId="22377"/>
    <cellStyle name="Comma 5 3 3 2 4 4 2 2" xfId="47930"/>
    <cellStyle name="Comma 5 3 3 2 4 4 3" xfId="33852"/>
    <cellStyle name="Comma 5 3 3 2 4 5" xfId="17370"/>
    <cellStyle name="Comma 5 3 3 2 4 5 2" xfId="42923"/>
    <cellStyle name="Comma 5 3 3 2 4 6" xfId="28860"/>
    <cellStyle name="Comma 5 3 3 2 5" xfId="4350"/>
    <cellStyle name="Comma 5 3 3 2 5 2" xfId="13188"/>
    <cellStyle name="Comma 5 3 3 2 5 2 2" xfId="23439"/>
    <cellStyle name="Comma 5 3 3 2 5 2 2 2" xfId="48992"/>
    <cellStyle name="Comma 5 3 3 2 5 2 3" xfId="38743"/>
    <cellStyle name="Comma 5 3 3 2 5 3" xfId="9609"/>
    <cellStyle name="Comma 5 3 3 2 5 3 2" xfId="35166"/>
    <cellStyle name="Comma 5 3 3 2 5 4" xfId="18432"/>
    <cellStyle name="Comma 5 3 3 2 5 4 2" xfId="43985"/>
    <cellStyle name="Comma 5 3 3 2 5 5" xfId="29922"/>
    <cellStyle name="Comma 5 3 3 2 6" xfId="1622"/>
    <cellStyle name="Comma 5 3 3 2 6 2" xfId="10999"/>
    <cellStyle name="Comma 5 3 3 2 6 2 2" xfId="36554"/>
    <cellStyle name="Comma 5 3 3 2 6 3" xfId="21003"/>
    <cellStyle name="Comma 5 3 3 2 6 3 2" xfId="46556"/>
    <cellStyle name="Comma 5 3 3 2 6 4" xfId="27486"/>
    <cellStyle name="Comma 5 3 3 2 7" xfId="5806"/>
    <cellStyle name="Comma 5 3 3 2 7 2" xfId="14633"/>
    <cellStyle name="Comma 5 3 3 2 7 2 2" xfId="40188"/>
    <cellStyle name="Comma 5 3 3 2 7 3" xfId="24884"/>
    <cellStyle name="Comma 5 3 3 2 7 3 2" xfId="50437"/>
    <cellStyle name="Comma 5 3 3 2 7 4" xfId="31367"/>
    <cellStyle name="Comma 5 3 3 2 8" xfId="7250"/>
    <cellStyle name="Comma 5 3 3 2 8 2" xfId="19976"/>
    <cellStyle name="Comma 5 3 3 2 8 2 2" xfId="45529"/>
    <cellStyle name="Comma 5 3 3 2 8 3" xfId="32807"/>
    <cellStyle name="Comma 5 3 3 2 9" xfId="15996"/>
    <cellStyle name="Comma 5 3 3 2 9 2" xfId="41549"/>
    <cellStyle name="Comma 5 3 3 3" xfId="430"/>
    <cellStyle name="Comma 5 3 3 3 2" xfId="2916"/>
    <cellStyle name="Comma 5 3 3 3 2 2" xfId="12204"/>
    <cellStyle name="Comma 5 3 3 3 2 2 2" xfId="22277"/>
    <cellStyle name="Comma 5 3 3 3 2 2 2 2" xfId="47830"/>
    <cellStyle name="Comma 5 3 3 3 2 2 3" xfId="37759"/>
    <cellStyle name="Comma 5 3 3 3 2 3" xfId="8405"/>
    <cellStyle name="Comma 5 3 3 3 2 3 2" xfId="33962"/>
    <cellStyle name="Comma 5 3 3 3 2 4" xfId="17270"/>
    <cellStyle name="Comma 5 3 3 3 2 4 2" xfId="42823"/>
    <cellStyle name="Comma 5 3 3 3 2 5" xfId="28760"/>
    <cellStyle name="Comma 5 3 3 3 3" xfId="4474"/>
    <cellStyle name="Comma 5 3 3 3 3 2" xfId="13312"/>
    <cellStyle name="Comma 5 3 3 3 3 2 2" xfId="23563"/>
    <cellStyle name="Comma 5 3 3 3 3 2 2 2" xfId="49116"/>
    <cellStyle name="Comma 5 3 3 3 3 2 3" xfId="38867"/>
    <cellStyle name="Comma 5 3 3 3 3 3" xfId="9733"/>
    <cellStyle name="Comma 5 3 3 3 3 3 2" xfId="35290"/>
    <cellStyle name="Comma 5 3 3 3 3 4" xfId="18556"/>
    <cellStyle name="Comma 5 3 3 3 3 4 2" xfId="44109"/>
    <cellStyle name="Comma 5 3 3 3 3 5" xfId="30046"/>
    <cellStyle name="Comma 5 3 3 3 4" xfId="2025"/>
    <cellStyle name="Comma 5 3 3 3 4 2" xfId="11390"/>
    <cellStyle name="Comma 5 3 3 3 4 2 2" xfId="36945"/>
    <cellStyle name="Comma 5 3 3 3 4 3" xfId="21394"/>
    <cellStyle name="Comma 5 3 3 3 4 3 2" xfId="46947"/>
    <cellStyle name="Comma 5 3 3 3 4 4" xfId="27877"/>
    <cellStyle name="Comma 5 3 3 3 5" xfId="5930"/>
    <cellStyle name="Comma 5 3 3 3 5 2" xfId="14757"/>
    <cellStyle name="Comma 5 3 3 3 5 2 2" xfId="40312"/>
    <cellStyle name="Comma 5 3 3 3 5 3" xfId="25008"/>
    <cellStyle name="Comma 5 3 3 3 5 3 2" xfId="50561"/>
    <cellStyle name="Comma 5 3 3 3 5 4" xfId="31491"/>
    <cellStyle name="Comma 5 3 3 3 6" xfId="7374"/>
    <cellStyle name="Comma 5 3 3 3 6 2" xfId="19876"/>
    <cellStyle name="Comma 5 3 3 3 6 2 2" xfId="45429"/>
    <cellStyle name="Comma 5 3 3 3 6 3" xfId="32931"/>
    <cellStyle name="Comma 5 3 3 3 7" xfId="16387"/>
    <cellStyle name="Comma 5 3 3 3 7 2" xfId="41940"/>
    <cellStyle name="Comma 5 3 3 3 8" xfId="26359"/>
    <cellStyle name="Comma 5 3 3 4" xfId="659"/>
    <cellStyle name="Comma 5 3 3 4 2" xfId="3145"/>
    <cellStyle name="Comma 5 3 3 4 2 2" xfId="12288"/>
    <cellStyle name="Comma 5 3 3 4 2 2 2" xfId="22506"/>
    <cellStyle name="Comma 5 3 3 4 2 2 2 2" xfId="48059"/>
    <cellStyle name="Comma 5 3 3 4 2 2 3" xfId="37843"/>
    <cellStyle name="Comma 5 3 3 4 2 3" xfId="8710"/>
    <cellStyle name="Comma 5 3 3 4 2 3 2" xfId="34267"/>
    <cellStyle name="Comma 5 3 3 4 2 4" xfId="17499"/>
    <cellStyle name="Comma 5 3 3 4 2 4 2" xfId="43052"/>
    <cellStyle name="Comma 5 3 3 4 2 5" xfId="28989"/>
    <cellStyle name="Comma 5 3 3 4 3" xfId="4823"/>
    <cellStyle name="Comma 5 3 3 4 3 2" xfId="13660"/>
    <cellStyle name="Comma 5 3 3 4 3 2 2" xfId="23911"/>
    <cellStyle name="Comma 5 3 3 4 3 2 2 2" xfId="49464"/>
    <cellStyle name="Comma 5 3 3 4 3 2 3" xfId="39215"/>
    <cellStyle name="Comma 5 3 3 4 3 3" xfId="10081"/>
    <cellStyle name="Comma 5 3 3 4 3 3 2" xfId="35638"/>
    <cellStyle name="Comma 5 3 3 4 3 4" xfId="18904"/>
    <cellStyle name="Comma 5 3 3 4 3 4 2" xfId="44457"/>
    <cellStyle name="Comma 5 3 3 4 3 5" xfId="30394"/>
    <cellStyle name="Comma 5 3 3 4 4" xfId="2254"/>
    <cellStyle name="Comma 5 3 3 4 4 2" xfId="11619"/>
    <cellStyle name="Comma 5 3 3 4 4 2 2" xfId="37174"/>
    <cellStyle name="Comma 5 3 3 4 4 3" xfId="21623"/>
    <cellStyle name="Comma 5 3 3 4 4 3 2" xfId="47176"/>
    <cellStyle name="Comma 5 3 3 4 4 4" xfId="28106"/>
    <cellStyle name="Comma 5 3 3 4 5" xfId="6278"/>
    <cellStyle name="Comma 5 3 3 4 5 2" xfId="15105"/>
    <cellStyle name="Comma 5 3 3 4 5 2 2" xfId="40660"/>
    <cellStyle name="Comma 5 3 3 4 5 3" xfId="25356"/>
    <cellStyle name="Comma 5 3 3 4 5 3 2" xfId="50909"/>
    <cellStyle name="Comma 5 3 3 4 5 4" xfId="31839"/>
    <cellStyle name="Comma 5 3 3 4 6" xfId="7724"/>
    <cellStyle name="Comma 5 3 3 4 6 2" xfId="20105"/>
    <cellStyle name="Comma 5 3 3 4 6 2 2" xfId="45658"/>
    <cellStyle name="Comma 5 3 3 4 6 3" xfId="33281"/>
    <cellStyle name="Comma 5 3 3 4 7" xfId="16616"/>
    <cellStyle name="Comma 5 3 3 4 7 2" xfId="42169"/>
    <cellStyle name="Comma 5 3 3 4 8" xfId="26588"/>
    <cellStyle name="Comma 5 3 3 5" xfId="1202"/>
    <cellStyle name="Comma 5 3 3 5 2" xfId="3631"/>
    <cellStyle name="Comma 5 3 3 5 2 2" xfId="12767"/>
    <cellStyle name="Comma 5 3 3 5 2 2 2" xfId="22986"/>
    <cellStyle name="Comma 5 3 3 5 2 2 2 2" xfId="48539"/>
    <cellStyle name="Comma 5 3 3 5 2 2 3" xfId="38322"/>
    <cellStyle name="Comma 5 3 3 5 2 3" xfId="9188"/>
    <cellStyle name="Comma 5 3 3 5 2 3 2" xfId="34745"/>
    <cellStyle name="Comma 5 3 3 5 2 4" xfId="17979"/>
    <cellStyle name="Comma 5 3 3 5 2 4 2" xfId="43532"/>
    <cellStyle name="Comma 5 3 3 5 2 5" xfId="29469"/>
    <cellStyle name="Comma 5 3 3 5 3" xfId="5294"/>
    <cellStyle name="Comma 5 3 3 5 3 2" xfId="14131"/>
    <cellStyle name="Comma 5 3 3 5 3 2 2" xfId="24382"/>
    <cellStyle name="Comma 5 3 3 5 3 2 2 2" xfId="49935"/>
    <cellStyle name="Comma 5 3 3 5 3 2 3" xfId="39686"/>
    <cellStyle name="Comma 5 3 3 5 3 3" xfId="10552"/>
    <cellStyle name="Comma 5 3 3 5 3 3 2" xfId="36109"/>
    <cellStyle name="Comma 5 3 3 5 3 4" xfId="19375"/>
    <cellStyle name="Comma 5 3 3 5 3 4 2" xfId="44928"/>
    <cellStyle name="Comma 5 3 3 5 3 5" xfId="30865"/>
    <cellStyle name="Comma 5 3 3 5 4" xfId="1805"/>
    <cellStyle name="Comma 5 3 3 5 4 2" xfId="11173"/>
    <cellStyle name="Comma 5 3 3 5 4 2 2" xfId="36728"/>
    <cellStyle name="Comma 5 3 3 5 4 3" xfId="21177"/>
    <cellStyle name="Comma 5 3 3 5 4 3 2" xfId="46730"/>
    <cellStyle name="Comma 5 3 3 5 4 4" xfId="27660"/>
    <cellStyle name="Comma 5 3 3 5 5" xfId="6749"/>
    <cellStyle name="Comma 5 3 3 5 5 2" xfId="15576"/>
    <cellStyle name="Comma 5 3 3 5 5 2 2" xfId="41131"/>
    <cellStyle name="Comma 5 3 3 5 5 3" xfId="25827"/>
    <cellStyle name="Comma 5 3 3 5 5 3 2" xfId="51380"/>
    <cellStyle name="Comma 5 3 3 5 5 4" xfId="32310"/>
    <cellStyle name="Comma 5 3 3 5 6" xfId="8195"/>
    <cellStyle name="Comma 5 3 3 5 6 2" xfId="20585"/>
    <cellStyle name="Comma 5 3 3 5 6 2 2" xfId="46138"/>
    <cellStyle name="Comma 5 3 3 5 6 3" xfId="33752"/>
    <cellStyle name="Comma 5 3 3 5 7" xfId="16170"/>
    <cellStyle name="Comma 5 3 3 5 7 2" xfId="41723"/>
    <cellStyle name="Comma 5 3 3 5 8" xfId="27068"/>
    <cellStyle name="Comma 5 3 3 6" xfId="2699"/>
    <cellStyle name="Comma 5 3 3 6 2" xfId="12016"/>
    <cellStyle name="Comma 5 3 3 6 2 2" xfId="22060"/>
    <cellStyle name="Comma 5 3 3 6 2 2 2" xfId="47613"/>
    <cellStyle name="Comma 5 3 3 6 2 3" xfId="37571"/>
    <cellStyle name="Comma 5 3 3 6 3" xfId="8628"/>
    <cellStyle name="Comma 5 3 3 6 3 2" xfId="34185"/>
    <cellStyle name="Comma 5 3 3 6 4" xfId="17053"/>
    <cellStyle name="Comma 5 3 3 6 4 2" xfId="42606"/>
    <cellStyle name="Comma 5 3 3 6 5" xfId="28543"/>
    <cellStyle name="Comma 5 3 3 7" xfId="4250"/>
    <cellStyle name="Comma 5 3 3 7 2" xfId="13088"/>
    <cellStyle name="Comma 5 3 3 7 2 2" xfId="23339"/>
    <cellStyle name="Comma 5 3 3 7 2 2 2" xfId="48892"/>
    <cellStyle name="Comma 5 3 3 7 2 3" xfId="38643"/>
    <cellStyle name="Comma 5 3 3 7 3" xfId="9509"/>
    <cellStyle name="Comma 5 3 3 7 3 2" xfId="35066"/>
    <cellStyle name="Comma 5 3 3 7 4" xfId="18332"/>
    <cellStyle name="Comma 5 3 3 7 4 2" xfId="43885"/>
    <cellStyle name="Comma 5 3 3 7 5" xfId="29822"/>
    <cellStyle name="Comma 5 3 3 8" xfId="1522"/>
    <cellStyle name="Comma 5 3 3 8 2" xfId="10899"/>
    <cellStyle name="Comma 5 3 3 8 2 2" xfId="36454"/>
    <cellStyle name="Comma 5 3 3 8 3" xfId="20903"/>
    <cellStyle name="Comma 5 3 3 8 3 2" xfId="46456"/>
    <cellStyle name="Comma 5 3 3 8 4" xfId="27386"/>
    <cellStyle name="Comma 5 3 3 9" xfId="5706"/>
    <cellStyle name="Comma 5 3 3 9 2" xfId="14533"/>
    <cellStyle name="Comma 5 3 3 9 2 2" xfId="40088"/>
    <cellStyle name="Comma 5 3 3 9 3" xfId="24784"/>
    <cellStyle name="Comma 5 3 3 9 3 2" xfId="50337"/>
    <cellStyle name="Comma 5 3 3 9 4" xfId="31267"/>
    <cellStyle name="Comma 5 3 4" xfId="239"/>
    <cellStyle name="Comma 5 3 4 10" xfId="7077"/>
    <cellStyle name="Comma 5 3 4 10 2" xfId="19691"/>
    <cellStyle name="Comma 5 3 4 10 2 2" xfId="45244"/>
    <cellStyle name="Comma 5 3 4 10 3" xfId="32634"/>
    <cellStyle name="Comma 5 3 4 11" xfId="15823"/>
    <cellStyle name="Comma 5 3 4 11 2" xfId="41376"/>
    <cellStyle name="Comma 5 3 4 12" xfId="26174"/>
    <cellStyle name="Comma 5 3 4 2" xfId="562"/>
    <cellStyle name="Comma 5 3 4 2 10" xfId="26491"/>
    <cellStyle name="Comma 5 3 4 2 2" xfId="662"/>
    <cellStyle name="Comma 5 3 4 2 2 2" xfId="3148"/>
    <cellStyle name="Comma 5 3 4 2 2 2 2" xfId="12291"/>
    <cellStyle name="Comma 5 3 4 2 2 2 2 2" xfId="22509"/>
    <cellStyle name="Comma 5 3 4 2 2 2 2 2 2" xfId="48062"/>
    <cellStyle name="Comma 5 3 4 2 2 2 2 3" xfId="37846"/>
    <cellStyle name="Comma 5 3 4 2 2 2 3" xfId="8713"/>
    <cellStyle name="Comma 5 3 4 2 2 2 3 2" xfId="34270"/>
    <cellStyle name="Comma 5 3 4 2 2 2 4" xfId="17502"/>
    <cellStyle name="Comma 5 3 4 2 2 2 4 2" xfId="43055"/>
    <cellStyle name="Comma 5 3 4 2 2 2 5" xfId="28992"/>
    <cellStyle name="Comma 5 3 4 2 2 3" xfId="4477"/>
    <cellStyle name="Comma 5 3 4 2 2 3 2" xfId="13315"/>
    <cellStyle name="Comma 5 3 4 2 2 3 2 2" xfId="23566"/>
    <cellStyle name="Comma 5 3 4 2 2 3 2 2 2" xfId="49119"/>
    <cellStyle name="Comma 5 3 4 2 2 3 2 3" xfId="38870"/>
    <cellStyle name="Comma 5 3 4 2 2 3 3" xfId="9736"/>
    <cellStyle name="Comma 5 3 4 2 2 3 3 2" xfId="35293"/>
    <cellStyle name="Comma 5 3 4 2 2 3 4" xfId="18559"/>
    <cellStyle name="Comma 5 3 4 2 2 3 4 2" xfId="44112"/>
    <cellStyle name="Comma 5 3 4 2 2 3 5" xfId="30049"/>
    <cellStyle name="Comma 5 3 4 2 2 4" xfId="2257"/>
    <cellStyle name="Comma 5 3 4 2 2 4 2" xfId="11622"/>
    <cellStyle name="Comma 5 3 4 2 2 4 2 2" xfId="37177"/>
    <cellStyle name="Comma 5 3 4 2 2 4 3" xfId="21626"/>
    <cellStyle name="Comma 5 3 4 2 2 4 3 2" xfId="47179"/>
    <cellStyle name="Comma 5 3 4 2 2 4 4" xfId="28109"/>
    <cellStyle name="Comma 5 3 4 2 2 5" xfId="5933"/>
    <cellStyle name="Comma 5 3 4 2 2 5 2" xfId="14760"/>
    <cellStyle name="Comma 5 3 4 2 2 5 2 2" xfId="40315"/>
    <cellStyle name="Comma 5 3 4 2 2 5 3" xfId="25011"/>
    <cellStyle name="Comma 5 3 4 2 2 5 3 2" xfId="50564"/>
    <cellStyle name="Comma 5 3 4 2 2 5 4" xfId="31494"/>
    <cellStyle name="Comma 5 3 4 2 2 6" xfId="7377"/>
    <cellStyle name="Comma 5 3 4 2 2 6 2" xfId="20108"/>
    <cellStyle name="Comma 5 3 4 2 2 6 2 2" xfId="45661"/>
    <cellStyle name="Comma 5 3 4 2 2 6 3" xfId="32934"/>
    <cellStyle name="Comma 5 3 4 2 2 7" xfId="16619"/>
    <cellStyle name="Comma 5 3 4 2 2 7 2" xfId="42172"/>
    <cellStyle name="Comma 5 3 4 2 2 8" xfId="26591"/>
    <cellStyle name="Comma 5 3 4 2 3" xfId="1334"/>
    <cellStyle name="Comma 5 3 4 2 3 2" xfId="3763"/>
    <cellStyle name="Comma 5 3 4 2 3 2 2" xfId="12899"/>
    <cellStyle name="Comma 5 3 4 2 3 2 2 2" xfId="23118"/>
    <cellStyle name="Comma 5 3 4 2 3 2 2 2 2" xfId="48671"/>
    <cellStyle name="Comma 5 3 4 2 3 2 2 3" xfId="38454"/>
    <cellStyle name="Comma 5 3 4 2 3 2 3" xfId="9320"/>
    <cellStyle name="Comma 5 3 4 2 3 2 3 2" xfId="34877"/>
    <cellStyle name="Comma 5 3 4 2 3 2 4" xfId="18111"/>
    <cellStyle name="Comma 5 3 4 2 3 2 4 2" xfId="43664"/>
    <cellStyle name="Comma 5 3 4 2 3 2 5" xfId="29601"/>
    <cellStyle name="Comma 5 3 4 2 3 3" xfId="4826"/>
    <cellStyle name="Comma 5 3 4 2 3 3 2" xfId="13663"/>
    <cellStyle name="Comma 5 3 4 2 3 3 2 2" xfId="23914"/>
    <cellStyle name="Comma 5 3 4 2 3 3 2 2 2" xfId="49467"/>
    <cellStyle name="Comma 5 3 4 2 3 3 2 3" xfId="39218"/>
    <cellStyle name="Comma 5 3 4 2 3 3 3" xfId="10084"/>
    <cellStyle name="Comma 5 3 4 2 3 3 3 2" xfId="35641"/>
    <cellStyle name="Comma 5 3 4 2 3 3 4" xfId="18907"/>
    <cellStyle name="Comma 5 3 4 2 3 3 4 2" xfId="44460"/>
    <cellStyle name="Comma 5 3 4 2 3 3 5" xfId="30397"/>
    <cellStyle name="Comma 5 3 4 2 3 4" xfId="2157"/>
    <cellStyle name="Comma 5 3 4 2 3 4 2" xfId="11522"/>
    <cellStyle name="Comma 5 3 4 2 3 4 2 2" xfId="37077"/>
    <cellStyle name="Comma 5 3 4 2 3 4 3" xfId="21526"/>
    <cellStyle name="Comma 5 3 4 2 3 4 3 2" xfId="47079"/>
    <cellStyle name="Comma 5 3 4 2 3 4 4" xfId="28009"/>
    <cellStyle name="Comma 5 3 4 2 3 5" xfId="6281"/>
    <cellStyle name="Comma 5 3 4 2 3 5 2" xfId="15108"/>
    <cellStyle name="Comma 5 3 4 2 3 5 2 2" xfId="40663"/>
    <cellStyle name="Comma 5 3 4 2 3 5 3" xfId="25359"/>
    <cellStyle name="Comma 5 3 4 2 3 5 3 2" xfId="50912"/>
    <cellStyle name="Comma 5 3 4 2 3 5 4" xfId="31842"/>
    <cellStyle name="Comma 5 3 4 2 3 6" xfId="7727"/>
    <cellStyle name="Comma 5 3 4 2 3 6 2" xfId="20717"/>
    <cellStyle name="Comma 5 3 4 2 3 6 2 2" xfId="46270"/>
    <cellStyle name="Comma 5 3 4 2 3 6 3" xfId="33284"/>
    <cellStyle name="Comma 5 3 4 2 3 7" xfId="16519"/>
    <cellStyle name="Comma 5 3 4 2 3 7 2" xfId="42072"/>
    <cellStyle name="Comma 5 3 4 2 3 8" xfId="27200"/>
    <cellStyle name="Comma 5 3 4 2 4" xfId="3048"/>
    <cellStyle name="Comma 5 3 4 2 4 2" xfId="5426"/>
    <cellStyle name="Comma 5 3 4 2 4 2 2" xfId="14263"/>
    <cellStyle name="Comma 5 3 4 2 4 2 2 2" xfId="24514"/>
    <cellStyle name="Comma 5 3 4 2 4 2 2 2 2" xfId="50067"/>
    <cellStyle name="Comma 5 3 4 2 4 2 2 3" xfId="39818"/>
    <cellStyle name="Comma 5 3 4 2 4 2 3" xfId="10684"/>
    <cellStyle name="Comma 5 3 4 2 4 2 3 2" xfId="36241"/>
    <cellStyle name="Comma 5 3 4 2 4 2 4" xfId="19507"/>
    <cellStyle name="Comma 5 3 4 2 4 2 4 2" xfId="45060"/>
    <cellStyle name="Comma 5 3 4 2 4 2 5" xfId="30997"/>
    <cellStyle name="Comma 5 3 4 2 4 3" xfId="6881"/>
    <cellStyle name="Comma 5 3 4 2 4 3 2" xfId="15708"/>
    <cellStyle name="Comma 5 3 4 2 4 3 2 2" xfId="41263"/>
    <cellStyle name="Comma 5 3 4 2 4 3 3" xfId="25959"/>
    <cellStyle name="Comma 5 3 4 2 4 3 3 2" xfId="51512"/>
    <cellStyle name="Comma 5 3 4 2 4 3 4" xfId="32442"/>
    <cellStyle name="Comma 5 3 4 2 4 4" xfId="8327"/>
    <cellStyle name="Comma 5 3 4 2 4 4 2" xfId="22409"/>
    <cellStyle name="Comma 5 3 4 2 4 4 2 2" xfId="47962"/>
    <cellStyle name="Comma 5 3 4 2 4 4 3" xfId="33884"/>
    <cellStyle name="Comma 5 3 4 2 4 5" xfId="17402"/>
    <cellStyle name="Comma 5 3 4 2 4 5 2" xfId="42955"/>
    <cellStyle name="Comma 5 3 4 2 4 6" xfId="28892"/>
    <cellStyle name="Comma 5 3 4 2 5" xfId="4382"/>
    <cellStyle name="Comma 5 3 4 2 5 2" xfId="13220"/>
    <cellStyle name="Comma 5 3 4 2 5 2 2" xfId="23471"/>
    <cellStyle name="Comma 5 3 4 2 5 2 2 2" xfId="49024"/>
    <cellStyle name="Comma 5 3 4 2 5 2 3" xfId="38775"/>
    <cellStyle name="Comma 5 3 4 2 5 3" xfId="9641"/>
    <cellStyle name="Comma 5 3 4 2 5 3 2" xfId="35198"/>
    <cellStyle name="Comma 5 3 4 2 5 4" xfId="18464"/>
    <cellStyle name="Comma 5 3 4 2 5 4 2" xfId="44017"/>
    <cellStyle name="Comma 5 3 4 2 5 5" xfId="29954"/>
    <cellStyle name="Comma 5 3 4 2 6" xfId="1654"/>
    <cellStyle name="Comma 5 3 4 2 6 2" xfId="11031"/>
    <cellStyle name="Comma 5 3 4 2 6 2 2" xfId="36586"/>
    <cellStyle name="Comma 5 3 4 2 6 3" xfId="21035"/>
    <cellStyle name="Comma 5 3 4 2 6 3 2" xfId="46588"/>
    <cellStyle name="Comma 5 3 4 2 6 4" xfId="27518"/>
    <cellStyle name="Comma 5 3 4 2 7" xfId="5838"/>
    <cellStyle name="Comma 5 3 4 2 7 2" xfId="14665"/>
    <cellStyle name="Comma 5 3 4 2 7 2 2" xfId="40220"/>
    <cellStyle name="Comma 5 3 4 2 7 3" xfId="24916"/>
    <cellStyle name="Comma 5 3 4 2 7 3 2" xfId="50469"/>
    <cellStyle name="Comma 5 3 4 2 7 4" xfId="31399"/>
    <cellStyle name="Comma 5 3 4 2 8" xfId="7282"/>
    <cellStyle name="Comma 5 3 4 2 8 2" xfId="20008"/>
    <cellStyle name="Comma 5 3 4 2 8 2 2" xfId="45561"/>
    <cellStyle name="Comma 5 3 4 2 8 3" xfId="32839"/>
    <cellStyle name="Comma 5 3 4 2 9" xfId="16028"/>
    <cellStyle name="Comma 5 3 4 2 9 2" xfId="41581"/>
    <cellStyle name="Comma 5 3 4 3" xfId="357"/>
    <cellStyle name="Comma 5 3 4 3 2" xfId="2843"/>
    <cellStyle name="Comma 5 3 4 3 2 2" xfId="12131"/>
    <cellStyle name="Comma 5 3 4 3 2 2 2" xfId="22204"/>
    <cellStyle name="Comma 5 3 4 3 2 2 2 2" xfId="47757"/>
    <cellStyle name="Comma 5 3 4 3 2 2 3" xfId="37686"/>
    <cellStyle name="Comma 5 3 4 3 2 3" xfId="8467"/>
    <cellStyle name="Comma 5 3 4 3 2 3 2" xfId="34024"/>
    <cellStyle name="Comma 5 3 4 3 2 4" xfId="17197"/>
    <cellStyle name="Comma 5 3 4 3 2 4 2" xfId="42750"/>
    <cellStyle name="Comma 5 3 4 3 2 5" xfId="28687"/>
    <cellStyle name="Comma 5 3 4 3 3" xfId="4476"/>
    <cellStyle name="Comma 5 3 4 3 3 2" xfId="13314"/>
    <cellStyle name="Comma 5 3 4 3 3 2 2" xfId="23565"/>
    <cellStyle name="Comma 5 3 4 3 3 2 2 2" xfId="49118"/>
    <cellStyle name="Comma 5 3 4 3 3 2 3" xfId="38869"/>
    <cellStyle name="Comma 5 3 4 3 3 3" xfId="9735"/>
    <cellStyle name="Comma 5 3 4 3 3 3 2" xfId="35292"/>
    <cellStyle name="Comma 5 3 4 3 3 4" xfId="18558"/>
    <cellStyle name="Comma 5 3 4 3 3 4 2" xfId="44111"/>
    <cellStyle name="Comma 5 3 4 3 3 5" xfId="30048"/>
    <cellStyle name="Comma 5 3 4 3 4" xfId="1952"/>
    <cellStyle name="Comma 5 3 4 3 4 2" xfId="11317"/>
    <cellStyle name="Comma 5 3 4 3 4 2 2" xfId="36872"/>
    <cellStyle name="Comma 5 3 4 3 4 3" xfId="21321"/>
    <cellStyle name="Comma 5 3 4 3 4 3 2" xfId="46874"/>
    <cellStyle name="Comma 5 3 4 3 4 4" xfId="27804"/>
    <cellStyle name="Comma 5 3 4 3 5" xfId="5932"/>
    <cellStyle name="Comma 5 3 4 3 5 2" xfId="14759"/>
    <cellStyle name="Comma 5 3 4 3 5 2 2" xfId="40314"/>
    <cellStyle name="Comma 5 3 4 3 5 3" xfId="25010"/>
    <cellStyle name="Comma 5 3 4 3 5 3 2" xfId="50563"/>
    <cellStyle name="Comma 5 3 4 3 5 4" xfId="31493"/>
    <cellStyle name="Comma 5 3 4 3 6" xfId="7376"/>
    <cellStyle name="Comma 5 3 4 3 6 2" xfId="19803"/>
    <cellStyle name="Comma 5 3 4 3 6 2 2" xfId="45356"/>
    <cellStyle name="Comma 5 3 4 3 6 3" xfId="32933"/>
    <cellStyle name="Comma 5 3 4 3 7" xfId="16314"/>
    <cellStyle name="Comma 5 3 4 3 7 2" xfId="41867"/>
    <cellStyle name="Comma 5 3 4 3 8" xfId="26286"/>
    <cellStyle name="Comma 5 3 4 4" xfId="661"/>
    <cellStyle name="Comma 5 3 4 4 2" xfId="3147"/>
    <cellStyle name="Comma 5 3 4 4 2 2" xfId="12290"/>
    <cellStyle name="Comma 5 3 4 4 2 2 2" xfId="22508"/>
    <cellStyle name="Comma 5 3 4 4 2 2 2 2" xfId="48061"/>
    <cellStyle name="Comma 5 3 4 4 2 2 3" xfId="37845"/>
    <cellStyle name="Comma 5 3 4 4 2 3" xfId="8712"/>
    <cellStyle name="Comma 5 3 4 4 2 3 2" xfId="34269"/>
    <cellStyle name="Comma 5 3 4 4 2 4" xfId="17501"/>
    <cellStyle name="Comma 5 3 4 4 2 4 2" xfId="43054"/>
    <cellStyle name="Comma 5 3 4 4 2 5" xfId="28991"/>
    <cellStyle name="Comma 5 3 4 4 3" xfId="4825"/>
    <cellStyle name="Comma 5 3 4 4 3 2" xfId="13662"/>
    <cellStyle name="Comma 5 3 4 4 3 2 2" xfId="23913"/>
    <cellStyle name="Comma 5 3 4 4 3 2 2 2" xfId="49466"/>
    <cellStyle name="Comma 5 3 4 4 3 2 3" xfId="39217"/>
    <cellStyle name="Comma 5 3 4 4 3 3" xfId="10083"/>
    <cellStyle name="Comma 5 3 4 4 3 3 2" xfId="35640"/>
    <cellStyle name="Comma 5 3 4 4 3 4" xfId="18906"/>
    <cellStyle name="Comma 5 3 4 4 3 4 2" xfId="44459"/>
    <cellStyle name="Comma 5 3 4 4 3 5" xfId="30396"/>
    <cellStyle name="Comma 5 3 4 4 4" xfId="2256"/>
    <cellStyle name="Comma 5 3 4 4 4 2" xfId="11621"/>
    <cellStyle name="Comma 5 3 4 4 4 2 2" xfId="37176"/>
    <cellStyle name="Comma 5 3 4 4 4 3" xfId="21625"/>
    <cellStyle name="Comma 5 3 4 4 4 3 2" xfId="47178"/>
    <cellStyle name="Comma 5 3 4 4 4 4" xfId="28108"/>
    <cellStyle name="Comma 5 3 4 4 5" xfId="6280"/>
    <cellStyle name="Comma 5 3 4 4 5 2" xfId="15107"/>
    <cellStyle name="Comma 5 3 4 4 5 2 2" xfId="40662"/>
    <cellStyle name="Comma 5 3 4 4 5 3" xfId="25358"/>
    <cellStyle name="Comma 5 3 4 4 5 3 2" xfId="50911"/>
    <cellStyle name="Comma 5 3 4 4 5 4" xfId="31841"/>
    <cellStyle name="Comma 5 3 4 4 6" xfId="7726"/>
    <cellStyle name="Comma 5 3 4 4 6 2" xfId="20107"/>
    <cellStyle name="Comma 5 3 4 4 6 2 2" xfId="45660"/>
    <cellStyle name="Comma 5 3 4 4 6 3" xfId="33283"/>
    <cellStyle name="Comma 5 3 4 4 7" xfId="16618"/>
    <cellStyle name="Comma 5 3 4 4 7 2" xfId="42171"/>
    <cellStyle name="Comma 5 3 4 4 8" xfId="26590"/>
    <cellStyle name="Comma 5 3 4 5" xfId="1129"/>
    <cellStyle name="Comma 5 3 4 5 2" xfId="3558"/>
    <cellStyle name="Comma 5 3 4 5 2 2" xfId="12694"/>
    <cellStyle name="Comma 5 3 4 5 2 2 2" xfId="22913"/>
    <cellStyle name="Comma 5 3 4 5 2 2 2 2" xfId="48466"/>
    <cellStyle name="Comma 5 3 4 5 2 2 3" xfId="38249"/>
    <cellStyle name="Comma 5 3 4 5 2 3" xfId="9115"/>
    <cellStyle name="Comma 5 3 4 5 2 3 2" xfId="34672"/>
    <cellStyle name="Comma 5 3 4 5 2 4" xfId="17906"/>
    <cellStyle name="Comma 5 3 4 5 2 4 2" xfId="43459"/>
    <cellStyle name="Comma 5 3 4 5 2 5" xfId="29396"/>
    <cellStyle name="Comma 5 3 4 5 3" xfId="5221"/>
    <cellStyle name="Comma 5 3 4 5 3 2" xfId="14058"/>
    <cellStyle name="Comma 5 3 4 5 3 2 2" xfId="24309"/>
    <cellStyle name="Comma 5 3 4 5 3 2 2 2" xfId="49862"/>
    <cellStyle name="Comma 5 3 4 5 3 2 3" xfId="39613"/>
    <cellStyle name="Comma 5 3 4 5 3 3" xfId="10479"/>
    <cellStyle name="Comma 5 3 4 5 3 3 2" xfId="36036"/>
    <cellStyle name="Comma 5 3 4 5 3 4" xfId="19302"/>
    <cellStyle name="Comma 5 3 4 5 3 4 2" xfId="44855"/>
    <cellStyle name="Comma 5 3 4 5 3 5" xfId="30792"/>
    <cellStyle name="Comma 5 3 4 5 4" xfId="1837"/>
    <cellStyle name="Comma 5 3 4 5 4 2" xfId="11205"/>
    <cellStyle name="Comma 5 3 4 5 4 2 2" xfId="36760"/>
    <cellStyle name="Comma 5 3 4 5 4 3" xfId="21209"/>
    <cellStyle name="Comma 5 3 4 5 4 3 2" xfId="46762"/>
    <cellStyle name="Comma 5 3 4 5 4 4" xfId="27692"/>
    <cellStyle name="Comma 5 3 4 5 5" xfId="6676"/>
    <cellStyle name="Comma 5 3 4 5 5 2" xfId="15503"/>
    <cellStyle name="Comma 5 3 4 5 5 2 2" xfId="41058"/>
    <cellStyle name="Comma 5 3 4 5 5 3" xfId="25754"/>
    <cellStyle name="Comma 5 3 4 5 5 3 2" xfId="51307"/>
    <cellStyle name="Comma 5 3 4 5 5 4" xfId="32237"/>
    <cellStyle name="Comma 5 3 4 5 6" xfId="8122"/>
    <cellStyle name="Comma 5 3 4 5 6 2" xfId="20512"/>
    <cellStyle name="Comma 5 3 4 5 6 2 2" xfId="46065"/>
    <cellStyle name="Comma 5 3 4 5 6 3" xfId="33679"/>
    <cellStyle name="Comma 5 3 4 5 7" xfId="16202"/>
    <cellStyle name="Comma 5 3 4 5 7 2" xfId="41755"/>
    <cellStyle name="Comma 5 3 4 5 8" xfId="26995"/>
    <cellStyle name="Comma 5 3 4 6" xfId="2731"/>
    <cellStyle name="Comma 5 3 4 6 2" xfId="12048"/>
    <cellStyle name="Comma 5 3 4 6 2 2" xfId="22092"/>
    <cellStyle name="Comma 5 3 4 6 2 2 2" xfId="47645"/>
    <cellStyle name="Comma 5 3 4 6 2 3" xfId="37603"/>
    <cellStyle name="Comma 5 3 4 6 3" xfId="8625"/>
    <cellStyle name="Comma 5 3 4 6 3 2" xfId="34182"/>
    <cellStyle name="Comma 5 3 4 6 4" xfId="17085"/>
    <cellStyle name="Comma 5 3 4 6 4 2" xfId="42638"/>
    <cellStyle name="Comma 5 3 4 6 5" xfId="28575"/>
    <cellStyle name="Comma 5 3 4 7" xfId="4177"/>
    <cellStyle name="Comma 5 3 4 7 2" xfId="13015"/>
    <cellStyle name="Comma 5 3 4 7 2 2" xfId="23266"/>
    <cellStyle name="Comma 5 3 4 7 2 2 2" xfId="48819"/>
    <cellStyle name="Comma 5 3 4 7 2 3" xfId="38570"/>
    <cellStyle name="Comma 5 3 4 7 3" xfId="9436"/>
    <cellStyle name="Comma 5 3 4 7 3 2" xfId="34993"/>
    <cellStyle name="Comma 5 3 4 7 4" xfId="18259"/>
    <cellStyle name="Comma 5 3 4 7 4 2" xfId="43812"/>
    <cellStyle name="Comma 5 3 4 7 5" xfId="29749"/>
    <cellStyle name="Comma 5 3 4 8" xfId="1449"/>
    <cellStyle name="Comma 5 3 4 8 2" xfId="10826"/>
    <cellStyle name="Comma 5 3 4 8 2 2" xfId="36381"/>
    <cellStyle name="Comma 5 3 4 8 3" xfId="20830"/>
    <cellStyle name="Comma 5 3 4 8 3 2" xfId="46383"/>
    <cellStyle name="Comma 5 3 4 8 4" xfId="27313"/>
    <cellStyle name="Comma 5 3 4 9" xfId="5633"/>
    <cellStyle name="Comma 5 3 4 9 2" xfId="14460"/>
    <cellStyle name="Comma 5 3 4 9 2 2" xfId="40015"/>
    <cellStyle name="Comma 5 3 4 9 3" xfId="24711"/>
    <cellStyle name="Comma 5 3 4 9 3 2" xfId="50264"/>
    <cellStyle name="Comma 5 3 4 9 4" xfId="31194"/>
    <cellStyle name="Comma 5 3 5" xfId="457"/>
    <cellStyle name="Comma 5 3 5 10" xfId="26386"/>
    <cellStyle name="Comma 5 3 5 2" xfId="663"/>
    <cellStyle name="Comma 5 3 5 2 2" xfId="3149"/>
    <cellStyle name="Comma 5 3 5 2 2 2" xfId="12292"/>
    <cellStyle name="Comma 5 3 5 2 2 2 2" xfId="22510"/>
    <cellStyle name="Comma 5 3 5 2 2 2 2 2" xfId="48063"/>
    <cellStyle name="Comma 5 3 5 2 2 2 3" xfId="37847"/>
    <cellStyle name="Comma 5 3 5 2 2 3" xfId="8714"/>
    <cellStyle name="Comma 5 3 5 2 2 3 2" xfId="34271"/>
    <cellStyle name="Comma 5 3 5 2 2 4" xfId="17503"/>
    <cellStyle name="Comma 5 3 5 2 2 4 2" xfId="43056"/>
    <cellStyle name="Comma 5 3 5 2 2 5" xfId="28993"/>
    <cellStyle name="Comma 5 3 5 2 3" xfId="4478"/>
    <cellStyle name="Comma 5 3 5 2 3 2" xfId="13316"/>
    <cellStyle name="Comma 5 3 5 2 3 2 2" xfId="23567"/>
    <cellStyle name="Comma 5 3 5 2 3 2 2 2" xfId="49120"/>
    <cellStyle name="Comma 5 3 5 2 3 2 3" xfId="38871"/>
    <cellStyle name="Comma 5 3 5 2 3 3" xfId="9737"/>
    <cellStyle name="Comma 5 3 5 2 3 3 2" xfId="35294"/>
    <cellStyle name="Comma 5 3 5 2 3 4" xfId="18560"/>
    <cellStyle name="Comma 5 3 5 2 3 4 2" xfId="44113"/>
    <cellStyle name="Comma 5 3 5 2 3 5" xfId="30050"/>
    <cellStyle name="Comma 5 3 5 2 4" xfId="2258"/>
    <cellStyle name="Comma 5 3 5 2 4 2" xfId="11623"/>
    <cellStyle name="Comma 5 3 5 2 4 2 2" xfId="37178"/>
    <cellStyle name="Comma 5 3 5 2 4 3" xfId="21627"/>
    <cellStyle name="Comma 5 3 5 2 4 3 2" xfId="47180"/>
    <cellStyle name="Comma 5 3 5 2 4 4" xfId="28110"/>
    <cellStyle name="Comma 5 3 5 2 5" xfId="5934"/>
    <cellStyle name="Comma 5 3 5 2 5 2" xfId="14761"/>
    <cellStyle name="Comma 5 3 5 2 5 2 2" xfId="40316"/>
    <cellStyle name="Comma 5 3 5 2 5 3" xfId="25012"/>
    <cellStyle name="Comma 5 3 5 2 5 3 2" xfId="50565"/>
    <cellStyle name="Comma 5 3 5 2 5 4" xfId="31495"/>
    <cellStyle name="Comma 5 3 5 2 6" xfId="7378"/>
    <cellStyle name="Comma 5 3 5 2 6 2" xfId="20109"/>
    <cellStyle name="Comma 5 3 5 2 6 2 2" xfId="45662"/>
    <cellStyle name="Comma 5 3 5 2 6 3" xfId="32935"/>
    <cellStyle name="Comma 5 3 5 2 7" xfId="16620"/>
    <cellStyle name="Comma 5 3 5 2 7 2" xfId="42173"/>
    <cellStyle name="Comma 5 3 5 2 8" xfId="26592"/>
    <cellStyle name="Comma 5 3 5 3" xfId="1229"/>
    <cellStyle name="Comma 5 3 5 3 2" xfId="3658"/>
    <cellStyle name="Comma 5 3 5 3 2 2" xfId="12794"/>
    <cellStyle name="Comma 5 3 5 3 2 2 2" xfId="23013"/>
    <cellStyle name="Comma 5 3 5 3 2 2 2 2" xfId="48566"/>
    <cellStyle name="Comma 5 3 5 3 2 2 3" xfId="38349"/>
    <cellStyle name="Comma 5 3 5 3 2 3" xfId="9215"/>
    <cellStyle name="Comma 5 3 5 3 2 3 2" xfId="34772"/>
    <cellStyle name="Comma 5 3 5 3 2 4" xfId="18006"/>
    <cellStyle name="Comma 5 3 5 3 2 4 2" xfId="43559"/>
    <cellStyle name="Comma 5 3 5 3 2 5" xfId="29496"/>
    <cellStyle name="Comma 5 3 5 3 3" xfId="4827"/>
    <cellStyle name="Comma 5 3 5 3 3 2" xfId="13664"/>
    <cellStyle name="Comma 5 3 5 3 3 2 2" xfId="23915"/>
    <cellStyle name="Comma 5 3 5 3 3 2 2 2" xfId="49468"/>
    <cellStyle name="Comma 5 3 5 3 3 2 3" xfId="39219"/>
    <cellStyle name="Comma 5 3 5 3 3 3" xfId="10085"/>
    <cellStyle name="Comma 5 3 5 3 3 3 2" xfId="35642"/>
    <cellStyle name="Comma 5 3 5 3 3 4" xfId="18908"/>
    <cellStyle name="Comma 5 3 5 3 3 4 2" xfId="44461"/>
    <cellStyle name="Comma 5 3 5 3 3 5" xfId="30398"/>
    <cellStyle name="Comma 5 3 5 3 4" xfId="2052"/>
    <cellStyle name="Comma 5 3 5 3 4 2" xfId="11417"/>
    <cellStyle name="Comma 5 3 5 3 4 2 2" xfId="36972"/>
    <cellStyle name="Comma 5 3 5 3 4 3" xfId="21421"/>
    <cellStyle name="Comma 5 3 5 3 4 3 2" xfId="46974"/>
    <cellStyle name="Comma 5 3 5 3 4 4" xfId="27904"/>
    <cellStyle name="Comma 5 3 5 3 5" xfId="6282"/>
    <cellStyle name="Comma 5 3 5 3 5 2" xfId="15109"/>
    <cellStyle name="Comma 5 3 5 3 5 2 2" xfId="40664"/>
    <cellStyle name="Comma 5 3 5 3 5 3" xfId="25360"/>
    <cellStyle name="Comma 5 3 5 3 5 3 2" xfId="50913"/>
    <cellStyle name="Comma 5 3 5 3 5 4" xfId="31843"/>
    <cellStyle name="Comma 5 3 5 3 6" xfId="7728"/>
    <cellStyle name="Comma 5 3 5 3 6 2" xfId="20612"/>
    <cellStyle name="Comma 5 3 5 3 6 2 2" xfId="46165"/>
    <cellStyle name="Comma 5 3 5 3 6 3" xfId="33285"/>
    <cellStyle name="Comma 5 3 5 3 7" xfId="16414"/>
    <cellStyle name="Comma 5 3 5 3 7 2" xfId="41967"/>
    <cellStyle name="Comma 5 3 5 3 8" xfId="27095"/>
    <cellStyle name="Comma 5 3 5 4" xfId="2943"/>
    <cellStyle name="Comma 5 3 5 4 2" xfId="5321"/>
    <cellStyle name="Comma 5 3 5 4 2 2" xfId="14158"/>
    <cellStyle name="Comma 5 3 5 4 2 2 2" xfId="24409"/>
    <cellStyle name="Comma 5 3 5 4 2 2 2 2" xfId="49962"/>
    <cellStyle name="Comma 5 3 5 4 2 2 3" xfId="39713"/>
    <cellStyle name="Comma 5 3 5 4 2 3" xfId="10579"/>
    <cellStyle name="Comma 5 3 5 4 2 3 2" xfId="36136"/>
    <cellStyle name="Comma 5 3 5 4 2 4" xfId="19402"/>
    <cellStyle name="Comma 5 3 5 4 2 4 2" xfId="44955"/>
    <cellStyle name="Comma 5 3 5 4 2 5" xfId="30892"/>
    <cellStyle name="Comma 5 3 5 4 3" xfId="6776"/>
    <cellStyle name="Comma 5 3 5 4 3 2" xfId="15603"/>
    <cellStyle name="Comma 5 3 5 4 3 2 2" xfId="41158"/>
    <cellStyle name="Comma 5 3 5 4 3 3" xfId="25854"/>
    <cellStyle name="Comma 5 3 5 4 3 3 2" xfId="51407"/>
    <cellStyle name="Comma 5 3 5 4 3 4" xfId="32337"/>
    <cellStyle name="Comma 5 3 5 4 4" xfId="8222"/>
    <cellStyle name="Comma 5 3 5 4 4 2" xfId="22304"/>
    <cellStyle name="Comma 5 3 5 4 4 2 2" xfId="47857"/>
    <cellStyle name="Comma 5 3 5 4 4 3" xfId="33779"/>
    <cellStyle name="Comma 5 3 5 4 5" xfId="17297"/>
    <cellStyle name="Comma 5 3 5 4 5 2" xfId="42850"/>
    <cellStyle name="Comma 5 3 5 4 6" xfId="28787"/>
    <cellStyle name="Comma 5 3 5 5" xfId="4277"/>
    <cellStyle name="Comma 5 3 5 5 2" xfId="13115"/>
    <cellStyle name="Comma 5 3 5 5 2 2" xfId="23366"/>
    <cellStyle name="Comma 5 3 5 5 2 2 2" xfId="48919"/>
    <cellStyle name="Comma 5 3 5 5 2 3" xfId="38670"/>
    <cellStyle name="Comma 5 3 5 5 3" xfId="9536"/>
    <cellStyle name="Comma 5 3 5 5 3 2" xfId="35093"/>
    <cellStyle name="Comma 5 3 5 5 4" xfId="18359"/>
    <cellStyle name="Comma 5 3 5 5 4 2" xfId="43912"/>
    <cellStyle name="Comma 5 3 5 5 5" xfId="29849"/>
    <cellStyle name="Comma 5 3 5 6" xfId="1549"/>
    <cellStyle name="Comma 5 3 5 6 2" xfId="10926"/>
    <cellStyle name="Comma 5 3 5 6 2 2" xfId="36481"/>
    <cellStyle name="Comma 5 3 5 6 3" xfId="20930"/>
    <cellStyle name="Comma 5 3 5 6 3 2" xfId="46483"/>
    <cellStyle name="Comma 5 3 5 6 4" xfId="27413"/>
    <cellStyle name="Comma 5 3 5 7" xfId="5733"/>
    <cellStyle name="Comma 5 3 5 7 2" xfId="14560"/>
    <cellStyle name="Comma 5 3 5 7 2 2" xfId="40115"/>
    <cellStyle name="Comma 5 3 5 7 3" xfId="24811"/>
    <cellStyle name="Comma 5 3 5 7 3 2" xfId="50364"/>
    <cellStyle name="Comma 5 3 5 7 4" xfId="31294"/>
    <cellStyle name="Comma 5 3 5 8" xfId="7177"/>
    <cellStyle name="Comma 5 3 5 8 2" xfId="19903"/>
    <cellStyle name="Comma 5 3 5 8 2 2" xfId="45456"/>
    <cellStyle name="Comma 5 3 5 8 3" xfId="32734"/>
    <cellStyle name="Comma 5 3 5 9" xfId="15923"/>
    <cellStyle name="Comma 5 3 5 9 2" xfId="41476"/>
    <cellStyle name="Comma 5 3 6" xfId="330"/>
    <cellStyle name="Comma 5 3 6 10" xfId="26259"/>
    <cellStyle name="Comma 5 3 6 2" xfId="664"/>
    <cellStyle name="Comma 5 3 6 2 2" xfId="3150"/>
    <cellStyle name="Comma 5 3 6 2 2 2" xfId="12293"/>
    <cellStyle name="Comma 5 3 6 2 2 2 2" xfId="22511"/>
    <cellStyle name="Comma 5 3 6 2 2 2 2 2" xfId="48064"/>
    <cellStyle name="Comma 5 3 6 2 2 2 3" xfId="37848"/>
    <cellStyle name="Comma 5 3 6 2 2 3" xfId="8715"/>
    <cellStyle name="Comma 5 3 6 2 2 3 2" xfId="34272"/>
    <cellStyle name="Comma 5 3 6 2 2 4" xfId="17504"/>
    <cellStyle name="Comma 5 3 6 2 2 4 2" xfId="43057"/>
    <cellStyle name="Comma 5 3 6 2 2 5" xfId="28994"/>
    <cellStyle name="Comma 5 3 6 2 3" xfId="4479"/>
    <cellStyle name="Comma 5 3 6 2 3 2" xfId="13317"/>
    <cellStyle name="Comma 5 3 6 2 3 2 2" xfId="23568"/>
    <cellStyle name="Comma 5 3 6 2 3 2 2 2" xfId="49121"/>
    <cellStyle name="Comma 5 3 6 2 3 2 3" xfId="38872"/>
    <cellStyle name="Comma 5 3 6 2 3 3" xfId="9738"/>
    <cellStyle name="Comma 5 3 6 2 3 3 2" xfId="35295"/>
    <cellStyle name="Comma 5 3 6 2 3 4" xfId="18561"/>
    <cellStyle name="Comma 5 3 6 2 3 4 2" xfId="44114"/>
    <cellStyle name="Comma 5 3 6 2 3 5" xfId="30051"/>
    <cellStyle name="Comma 5 3 6 2 4" xfId="2259"/>
    <cellStyle name="Comma 5 3 6 2 4 2" xfId="11624"/>
    <cellStyle name="Comma 5 3 6 2 4 2 2" xfId="37179"/>
    <cellStyle name="Comma 5 3 6 2 4 3" xfId="21628"/>
    <cellStyle name="Comma 5 3 6 2 4 3 2" xfId="47181"/>
    <cellStyle name="Comma 5 3 6 2 4 4" xfId="28111"/>
    <cellStyle name="Comma 5 3 6 2 5" xfId="5935"/>
    <cellStyle name="Comma 5 3 6 2 5 2" xfId="14762"/>
    <cellStyle name="Comma 5 3 6 2 5 2 2" xfId="40317"/>
    <cellStyle name="Comma 5 3 6 2 5 3" xfId="25013"/>
    <cellStyle name="Comma 5 3 6 2 5 3 2" xfId="50566"/>
    <cellStyle name="Comma 5 3 6 2 5 4" xfId="31496"/>
    <cellStyle name="Comma 5 3 6 2 6" xfId="7379"/>
    <cellStyle name="Comma 5 3 6 2 6 2" xfId="20110"/>
    <cellStyle name="Comma 5 3 6 2 6 2 2" xfId="45663"/>
    <cellStyle name="Comma 5 3 6 2 6 3" xfId="32936"/>
    <cellStyle name="Comma 5 3 6 2 7" xfId="16621"/>
    <cellStyle name="Comma 5 3 6 2 7 2" xfId="42174"/>
    <cellStyle name="Comma 5 3 6 2 8" xfId="26593"/>
    <cellStyle name="Comma 5 3 6 3" xfId="1102"/>
    <cellStyle name="Comma 5 3 6 3 2" xfId="3531"/>
    <cellStyle name="Comma 5 3 6 3 2 2" xfId="12667"/>
    <cellStyle name="Comma 5 3 6 3 2 2 2" xfId="22886"/>
    <cellStyle name="Comma 5 3 6 3 2 2 2 2" xfId="48439"/>
    <cellStyle name="Comma 5 3 6 3 2 2 3" xfId="38222"/>
    <cellStyle name="Comma 5 3 6 3 2 3" xfId="9088"/>
    <cellStyle name="Comma 5 3 6 3 2 3 2" xfId="34645"/>
    <cellStyle name="Comma 5 3 6 3 2 4" xfId="17879"/>
    <cellStyle name="Comma 5 3 6 3 2 4 2" xfId="43432"/>
    <cellStyle name="Comma 5 3 6 3 2 5" xfId="29369"/>
    <cellStyle name="Comma 5 3 6 3 3" xfId="4828"/>
    <cellStyle name="Comma 5 3 6 3 3 2" xfId="13665"/>
    <cellStyle name="Comma 5 3 6 3 3 2 2" xfId="23916"/>
    <cellStyle name="Comma 5 3 6 3 3 2 2 2" xfId="49469"/>
    <cellStyle name="Comma 5 3 6 3 3 2 3" xfId="39220"/>
    <cellStyle name="Comma 5 3 6 3 3 3" xfId="10086"/>
    <cellStyle name="Comma 5 3 6 3 3 3 2" xfId="35643"/>
    <cellStyle name="Comma 5 3 6 3 3 4" xfId="18909"/>
    <cellStyle name="Comma 5 3 6 3 3 4 2" xfId="44462"/>
    <cellStyle name="Comma 5 3 6 3 3 5" xfId="30399"/>
    <cellStyle name="Comma 5 3 6 3 4" xfId="2589"/>
    <cellStyle name="Comma 5 3 6 3 4 2" xfId="11953"/>
    <cellStyle name="Comma 5 3 6 3 4 2 2" xfId="37508"/>
    <cellStyle name="Comma 5 3 6 3 4 3" xfId="21957"/>
    <cellStyle name="Comma 5 3 6 3 4 3 2" xfId="47510"/>
    <cellStyle name="Comma 5 3 6 3 4 4" xfId="28440"/>
    <cellStyle name="Comma 5 3 6 3 5" xfId="6283"/>
    <cellStyle name="Comma 5 3 6 3 5 2" xfId="15110"/>
    <cellStyle name="Comma 5 3 6 3 5 2 2" xfId="40665"/>
    <cellStyle name="Comma 5 3 6 3 5 3" xfId="25361"/>
    <cellStyle name="Comma 5 3 6 3 5 3 2" xfId="50914"/>
    <cellStyle name="Comma 5 3 6 3 5 4" xfId="31844"/>
    <cellStyle name="Comma 5 3 6 3 6" xfId="7729"/>
    <cellStyle name="Comma 5 3 6 3 6 2" xfId="20485"/>
    <cellStyle name="Comma 5 3 6 3 6 2 2" xfId="46038"/>
    <cellStyle name="Comma 5 3 6 3 6 3" xfId="33286"/>
    <cellStyle name="Comma 5 3 6 3 7" xfId="16950"/>
    <cellStyle name="Comma 5 3 6 3 7 2" xfId="42503"/>
    <cellStyle name="Comma 5 3 6 3 8" xfId="26968"/>
    <cellStyle name="Comma 5 3 6 4" xfId="2816"/>
    <cellStyle name="Comma 5 3 6 4 2" xfId="5194"/>
    <cellStyle name="Comma 5 3 6 4 2 2" xfId="14031"/>
    <cellStyle name="Comma 5 3 6 4 2 2 2" xfId="24282"/>
    <cellStyle name="Comma 5 3 6 4 2 2 2 2" xfId="49835"/>
    <cellStyle name="Comma 5 3 6 4 2 2 3" xfId="39586"/>
    <cellStyle name="Comma 5 3 6 4 2 3" xfId="10452"/>
    <cellStyle name="Comma 5 3 6 4 2 3 2" xfId="36009"/>
    <cellStyle name="Comma 5 3 6 4 2 4" xfId="19275"/>
    <cellStyle name="Comma 5 3 6 4 2 4 2" xfId="44828"/>
    <cellStyle name="Comma 5 3 6 4 2 5" xfId="30765"/>
    <cellStyle name="Comma 5 3 6 4 3" xfId="6649"/>
    <cellStyle name="Comma 5 3 6 4 3 2" xfId="15476"/>
    <cellStyle name="Comma 5 3 6 4 3 2 2" xfId="41031"/>
    <cellStyle name="Comma 5 3 6 4 3 3" xfId="25727"/>
    <cellStyle name="Comma 5 3 6 4 3 3 2" xfId="51280"/>
    <cellStyle name="Comma 5 3 6 4 3 4" xfId="32210"/>
    <cellStyle name="Comma 5 3 6 4 4" xfId="8095"/>
    <cellStyle name="Comma 5 3 6 4 4 2" xfId="22177"/>
    <cellStyle name="Comma 5 3 6 4 4 2 2" xfId="47730"/>
    <cellStyle name="Comma 5 3 6 4 4 3" xfId="33652"/>
    <cellStyle name="Comma 5 3 6 4 5" xfId="17170"/>
    <cellStyle name="Comma 5 3 6 4 5 2" xfId="42723"/>
    <cellStyle name="Comma 5 3 6 4 6" xfId="28660"/>
    <cellStyle name="Comma 5 3 6 5" xfId="4148"/>
    <cellStyle name="Comma 5 3 6 5 2" xfId="12986"/>
    <cellStyle name="Comma 5 3 6 5 2 2" xfId="23237"/>
    <cellStyle name="Comma 5 3 6 5 2 2 2" xfId="48790"/>
    <cellStyle name="Comma 5 3 6 5 2 3" xfId="38541"/>
    <cellStyle name="Comma 5 3 6 5 3" xfId="9407"/>
    <cellStyle name="Comma 5 3 6 5 3 2" xfId="34964"/>
    <cellStyle name="Comma 5 3 6 5 4" xfId="18230"/>
    <cellStyle name="Comma 5 3 6 5 4 2" xfId="43783"/>
    <cellStyle name="Comma 5 3 6 5 5" xfId="29720"/>
    <cellStyle name="Comma 5 3 6 6" xfId="1925"/>
    <cellStyle name="Comma 5 3 6 6 2" xfId="11290"/>
    <cellStyle name="Comma 5 3 6 6 2 2" xfId="36845"/>
    <cellStyle name="Comma 5 3 6 6 3" xfId="21294"/>
    <cellStyle name="Comma 5 3 6 6 3 2" xfId="46847"/>
    <cellStyle name="Comma 5 3 6 6 4" xfId="27777"/>
    <cellStyle name="Comma 5 3 6 7" xfId="5606"/>
    <cellStyle name="Comma 5 3 6 7 2" xfId="14433"/>
    <cellStyle name="Comma 5 3 6 7 2 2" xfId="39988"/>
    <cellStyle name="Comma 5 3 6 7 3" xfId="24684"/>
    <cellStyle name="Comma 5 3 6 7 3 2" xfId="50237"/>
    <cellStyle name="Comma 5 3 6 7 4" xfId="31167"/>
    <cellStyle name="Comma 5 3 6 8" xfId="7050"/>
    <cellStyle name="Comma 5 3 6 8 2" xfId="19776"/>
    <cellStyle name="Comma 5 3 6 8 2 2" xfId="45329"/>
    <cellStyle name="Comma 5 3 6 8 3" xfId="32607"/>
    <cellStyle name="Comma 5 3 6 9" xfId="16287"/>
    <cellStyle name="Comma 5 3 6 9 2" xfId="41840"/>
    <cellStyle name="Comma 5 3 7" xfId="655"/>
    <cellStyle name="Comma 5 3 7 2" xfId="3141"/>
    <cellStyle name="Comma 5 3 7 2 2" xfId="12284"/>
    <cellStyle name="Comma 5 3 7 2 2 2" xfId="22502"/>
    <cellStyle name="Comma 5 3 7 2 2 2 2" xfId="48055"/>
    <cellStyle name="Comma 5 3 7 2 2 3" xfId="37839"/>
    <cellStyle name="Comma 5 3 7 2 3" xfId="8706"/>
    <cellStyle name="Comma 5 3 7 2 3 2" xfId="34263"/>
    <cellStyle name="Comma 5 3 7 2 4" xfId="17495"/>
    <cellStyle name="Comma 5 3 7 2 4 2" xfId="43048"/>
    <cellStyle name="Comma 5 3 7 2 5" xfId="28985"/>
    <cellStyle name="Comma 5 3 7 3" xfId="4470"/>
    <cellStyle name="Comma 5 3 7 3 2" xfId="13308"/>
    <cellStyle name="Comma 5 3 7 3 2 2" xfId="23559"/>
    <cellStyle name="Comma 5 3 7 3 2 2 2" xfId="49112"/>
    <cellStyle name="Comma 5 3 7 3 2 3" xfId="38863"/>
    <cellStyle name="Comma 5 3 7 3 3" xfId="9729"/>
    <cellStyle name="Comma 5 3 7 3 3 2" xfId="35286"/>
    <cellStyle name="Comma 5 3 7 3 4" xfId="18552"/>
    <cellStyle name="Comma 5 3 7 3 4 2" xfId="44105"/>
    <cellStyle name="Comma 5 3 7 3 5" xfId="30042"/>
    <cellStyle name="Comma 5 3 7 4" xfId="2250"/>
    <cellStyle name="Comma 5 3 7 4 2" xfId="11615"/>
    <cellStyle name="Comma 5 3 7 4 2 2" xfId="37170"/>
    <cellStyle name="Comma 5 3 7 4 3" xfId="21619"/>
    <cellStyle name="Comma 5 3 7 4 3 2" xfId="47172"/>
    <cellStyle name="Comma 5 3 7 4 4" xfId="28102"/>
    <cellStyle name="Comma 5 3 7 5" xfId="5926"/>
    <cellStyle name="Comma 5 3 7 5 2" xfId="14753"/>
    <cellStyle name="Comma 5 3 7 5 2 2" xfId="40308"/>
    <cellStyle name="Comma 5 3 7 5 3" xfId="25004"/>
    <cellStyle name="Comma 5 3 7 5 3 2" xfId="50557"/>
    <cellStyle name="Comma 5 3 7 5 4" xfId="31487"/>
    <cellStyle name="Comma 5 3 7 6" xfId="7370"/>
    <cellStyle name="Comma 5 3 7 6 2" xfId="20101"/>
    <cellStyle name="Comma 5 3 7 6 2 2" xfId="45654"/>
    <cellStyle name="Comma 5 3 7 6 3" xfId="32927"/>
    <cellStyle name="Comma 5 3 7 7" xfId="16612"/>
    <cellStyle name="Comma 5 3 7 7 2" xfId="42165"/>
    <cellStyle name="Comma 5 3 7 8" xfId="26584"/>
    <cellStyle name="Comma 5 3 8" xfId="1057"/>
    <cellStyle name="Comma 5 3 8 2" xfId="3486"/>
    <cellStyle name="Comma 5 3 8 2 2" xfId="12622"/>
    <cellStyle name="Comma 5 3 8 2 2 2" xfId="22841"/>
    <cellStyle name="Comma 5 3 8 2 2 2 2" xfId="48394"/>
    <cellStyle name="Comma 5 3 8 2 2 3" xfId="38177"/>
    <cellStyle name="Comma 5 3 8 2 3" xfId="9044"/>
    <cellStyle name="Comma 5 3 8 2 3 2" xfId="34601"/>
    <cellStyle name="Comma 5 3 8 2 4" xfId="17834"/>
    <cellStyle name="Comma 5 3 8 2 4 2" xfId="43387"/>
    <cellStyle name="Comma 5 3 8 2 5" xfId="29324"/>
    <cellStyle name="Comma 5 3 8 3" xfId="4819"/>
    <cellStyle name="Comma 5 3 8 3 2" xfId="13656"/>
    <cellStyle name="Comma 5 3 8 3 2 2" xfId="23907"/>
    <cellStyle name="Comma 5 3 8 3 2 2 2" xfId="49460"/>
    <cellStyle name="Comma 5 3 8 3 2 3" xfId="39211"/>
    <cellStyle name="Comma 5 3 8 3 3" xfId="10077"/>
    <cellStyle name="Comma 5 3 8 3 3 2" xfId="35634"/>
    <cellStyle name="Comma 5 3 8 3 4" xfId="18900"/>
    <cellStyle name="Comma 5 3 8 3 4 2" xfId="44453"/>
    <cellStyle name="Comma 5 3 8 3 5" xfId="30390"/>
    <cellStyle name="Comma 5 3 8 4" xfId="1725"/>
    <cellStyle name="Comma 5 3 8 4 2" xfId="11099"/>
    <cellStyle name="Comma 5 3 8 4 2 2" xfId="36654"/>
    <cellStyle name="Comma 5 3 8 4 3" xfId="21103"/>
    <cellStyle name="Comma 5 3 8 4 3 2" xfId="46656"/>
    <cellStyle name="Comma 5 3 8 4 4" xfId="27586"/>
    <cellStyle name="Comma 5 3 8 5" xfId="6274"/>
    <cellStyle name="Comma 5 3 8 5 2" xfId="15101"/>
    <cellStyle name="Comma 5 3 8 5 2 2" xfId="40656"/>
    <cellStyle name="Comma 5 3 8 5 3" xfId="25352"/>
    <cellStyle name="Comma 5 3 8 5 3 2" xfId="50905"/>
    <cellStyle name="Comma 5 3 8 5 4" xfId="31835"/>
    <cellStyle name="Comma 5 3 8 6" xfId="7720"/>
    <cellStyle name="Comma 5 3 8 6 2" xfId="20440"/>
    <cellStyle name="Comma 5 3 8 6 2 2" xfId="45993"/>
    <cellStyle name="Comma 5 3 8 6 3" xfId="33277"/>
    <cellStyle name="Comma 5 3 8 7" xfId="16096"/>
    <cellStyle name="Comma 5 3 8 7 2" xfId="41649"/>
    <cellStyle name="Comma 5 3 8 8" xfId="26923"/>
    <cellStyle name="Comma 5 3 9" xfId="2623"/>
    <cellStyle name="Comma 5 3 9 2" xfId="5149"/>
    <cellStyle name="Comma 5 3 9 2 2" xfId="13986"/>
    <cellStyle name="Comma 5 3 9 2 2 2" xfId="24237"/>
    <cellStyle name="Comma 5 3 9 2 2 2 2" xfId="49790"/>
    <cellStyle name="Comma 5 3 9 2 2 3" xfId="39541"/>
    <cellStyle name="Comma 5 3 9 2 3" xfId="10407"/>
    <cellStyle name="Comma 5 3 9 2 3 2" xfId="35964"/>
    <cellStyle name="Comma 5 3 9 2 4" xfId="19230"/>
    <cellStyle name="Comma 5 3 9 2 4 2" xfId="44783"/>
    <cellStyle name="Comma 5 3 9 2 5" xfId="30720"/>
    <cellStyle name="Comma 5 3 9 3" xfId="6604"/>
    <cellStyle name="Comma 5 3 9 3 2" xfId="15431"/>
    <cellStyle name="Comma 5 3 9 3 2 2" xfId="40986"/>
    <cellStyle name="Comma 5 3 9 3 3" xfId="25682"/>
    <cellStyle name="Comma 5 3 9 3 3 2" xfId="51235"/>
    <cellStyle name="Comma 5 3 9 3 4" xfId="32165"/>
    <cellStyle name="Comma 5 3 9 4" xfId="8050"/>
    <cellStyle name="Comma 5 3 9 4 2" xfId="21986"/>
    <cellStyle name="Comma 5 3 9 4 2 2" xfId="47539"/>
    <cellStyle name="Comma 5 3 9 4 3" xfId="33607"/>
    <cellStyle name="Comma 5 3 9 5" xfId="16979"/>
    <cellStyle name="Comma 5 3 9 5 2" xfId="42532"/>
    <cellStyle name="Comma 5 3 9 6" xfId="28469"/>
    <cellStyle name="Comma 5 4" xfId="125"/>
    <cellStyle name="Comma 5 4 10" xfId="4111"/>
    <cellStyle name="Comma 5 4 10 2" xfId="5569"/>
    <cellStyle name="Comma 5 4 10 2 2" xfId="14396"/>
    <cellStyle name="Comma 5 4 10 2 2 2" xfId="39951"/>
    <cellStyle name="Comma 5 4 10 2 3" xfId="24647"/>
    <cellStyle name="Comma 5 4 10 2 3 2" xfId="50200"/>
    <cellStyle name="Comma 5 4 10 2 4" xfId="31130"/>
    <cellStyle name="Comma 5 4 10 3" xfId="7013"/>
    <cellStyle name="Comma 5 4 10 3 2" xfId="23200"/>
    <cellStyle name="Comma 5 4 10 3 2 2" xfId="48753"/>
    <cellStyle name="Comma 5 4 10 3 3" xfId="32570"/>
    <cellStyle name="Comma 5 4 10 4" xfId="18193"/>
    <cellStyle name="Comma 5 4 10 4 2" xfId="43746"/>
    <cellStyle name="Comma 5 4 10 5" xfId="29683"/>
    <cellStyle name="Comma 5 4 11" xfId="1430"/>
    <cellStyle name="Comma 5 4 11 2" xfId="10807"/>
    <cellStyle name="Comma 5 4 11 2 2" xfId="36362"/>
    <cellStyle name="Comma 5 4 11 3" xfId="20811"/>
    <cellStyle name="Comma 5 4 11 3 2" xfId="46364"/>
    <cellStyle name="Comma 5 4 11 4" xfId="27294"/>
    <cellStyle name="Comma 5 4 12" xfId="5539"/>
    <cellStyle name="Comma 5 4 12 2" xfId="14366"/>
    <cellStyle name="Comma 5 4 12 2 2" xfId="39921"/>
    <cellStyle name="Comma 5 4 12 3" xfId="24617"/>
    <cellStyle name="Comma 5 4 12 3 2" xfId="50170"/>
    <cellStyle name="Comma 5 4 12 4" xfId="31100"/>
    <cellStyle name="Comma 5 4 13" xfId="6983"/>
    <cellStyle name="Comma 5 4 13 2" xfId="19592"/>
    <cellStyle name="Comma 5 4 13 2 2" xfId="45145"/>
    <cellStyle name="Comma 5 4 13 3" xfId="32540"/>
    <cellStyle name="Comma 5 4 14" xfId="15804"/>
    <cellStyle name="Comma 5 4 14 2" xfId="41357"/>
    <cellStyle name="Comma 5 4 15" xfId="26075"/>
    <cellStyle name="Comma 5 4 2" xfId="165"/>
    <cellStyle name="Comma 5 4 2 10" xfId="5671"/>
    <cellStyle name="Comma 5 4 2 10 2" xfId="14498"/>
    <cellStyle name="Comma 5 4 2 10 2 2" xfId="40053"/>
    <cellStyle name="Comma 5 4 2 10 3" xfId="24749"/>
    <cellStyle name="Comma 5 4 2 10 3 2" xfId="50302"/>
    <cellStyle name="Comma 5 4 2 10 4" xfId="31232"/>
    <cellStyle name="Comma 5 4 2 11" xfId="7115"/>
    <cellStyle name="Comma 5 4 2 11 2" xfId="19624"/>
    <cellStyle name="Comma 5 4 2 11 2 2" xfId="45177"/>
    <cellStyle name="Comma 5 4 2 11 3" xfId="32672"/>
    <cellStyle name="Comma 5 4 2 12" xfId="15861"/>
    <cellStyle name="Comma 5 4 2 12 2" xfId="41414"/>
    <cellStyle name="Comma 5 4 2 13" xfId="26107"/>
    <cellStyle name="Comma 5 4 2 2" xfId="277"/>
    <cellStyle name="Comma 5 4 2 2 10" xfId="16065"/>
    <cellStyle name="Comma 5 4 2 2 10 2" xfId="41618"/>
    <cellStyle name="Comma 5 4 2 2 11" xfId="26211"/>
    <cellStyle name="Comma 5 4 2 2 2" xfId="599"/>
    <cellStyle name="Comma 5 4 2 2 2 2" xfId="3085"/>
    <cellStyle name="Comma 5 4 2 2 2 2 2" xfId="12228"/>
    <cellStyle name="Comma 5 4 2 2 2 2 2 2" xfId="22446"/>
    <cellStyle name="Comma 5 4 2 2 2 2 2 2 2" xfId="47999"/>
    <cellStyle name="Comma 5 4 2 2 2 2 2 3" xfId="37783"/>
    <cellStyle name="Comma 5 4 2 2 2 2 3" xfId="8650"/>
    <cellStyle name="Comma 5 4 2 2 2 2 3 2" xfId="34207"/>
    <cellStyle name="Comma 5 4 2 2 2 2 4" xfId="17439"/>
    <cellStyle name="Comma 5 4 2 2 2 2 4 2" xfId="42992"/>
    <cellStyle name="Comma 5 4 2 2 2 2 5" xfId="28929"/>
    <cellStyle name="Comma 5 4 2 2 2 3" xfId="4482"/>
    <cellStyle name="Comma 5 4 2 2 2 3 2" xfId="13320"/>
    <cellStyle name="Comma 5 4 2 2 2 3 2 2" xfId="23571"/>
    <cellStyle name="Comma 5 4 2 2 2 3 2 2 2" xfId="49124"/>
    <cellStyle name="Comma 5 4 2 2 2 3 2 3" xfId="38875"/>
    <cellStyle name="Comma 5 4 2 2 2 3 3" xfId="9741"/>
    <cellStyle name="Comma 5 4 2 2 2 3 3 2" xfId="35298"/>
    <cellStyle name="Comma 5 4 2 2 2 3 4" xfId="18564"/>
    <cellStyle name="Comma 5 4 2 2 2 3 4 2" xfId="44117"/>
    <cellStyle name="Comma 5 4 2 2 2 3 5" xfId="30054"/>
    <cellStyle name="Comma 5 4 2 2 2 4" xfId="2194"/>
    <cellStyle name="Comma 5 4 2 2 2 4 2" xfId="11559"/>
    <cellStyle name="Comma 5 4 2 2 2 4 2 2" xfId="37114"/>
    <cellStyle name="Comma 5 4 2 2 2 4 3" xfId="21563"/>
    <cellStyle name="Comma 5 4 2 2 2 4 3 2" xfId="47116"/>
    <cellStyle name="Comma 5 4 2 2 2 4 4" xfId="28046"/>
    <cellStyle name="Comma 5 4 2 2 2 5" xfId="5938"/>
    <cellStyle name="Comma 5 4 2 2 2 5 2" xfId="14765"/>
    <cellStyle name="Comma 5 4 2 2 2 5 2 2" xfId="40320"/>
    <cellStyle name="Comma 5 4 2 2 2 5 3" xfId="25016"/>
    <cellStyle name="Comma 5 4 2 2 2 5 3 2" xfId="50569"/>
    <cellStyle name="Comma 5 4 2 2 2 5 4" xfId="31499"/>
    <cellStyle name="Comma 5 4 2 2 2 6" xfId="7382"/>
    <cellStyle name="Comma 5 4 2 2 2 6 2" xfId="20045"/>
    <cellStyle name="Comma 5 4 2 2 2 6 2 2" xfId="45598"/>
    <cellStyle name="Comma 5 4 2 2 2 6 3" xfId="32939"/>
    <cellStyle name="Comma 5 4 2 2 2 7" xfId="16556"/>
    <cellStyle name="Comma 5 4 2 2 2 7 2" xfId="42109"/>
    <cellStyle name="Comma 5 4 2 2 2 8" xfId="26528"/>
    <cellStyle name="Comma 5 4 2 2 3" xfId="667"/>
    <cellStyle name="Comma 5 4 2 2 3 2" xfId="3153"/>
    <cellStyle name="Comma 5 4 2 2 3 2 2" xfId="12296"/>
    <cellStyle name="Comma 5 4 2 2 3 2 2 2" xfId="22514"/>
    <cellStyle name="Comma 5 4 2 2 3 2 2 2 2" xfId="48067"/>
    <cellStyle name="Comma 5 4 2 2 3 2 2 3" xfId="37851"/>
    <cellStyle name="Comma 5 4 2 2 3 2 3" xfId="8718"/>
    <cellStyle name="Comma 5 4 2 2 3 2 3 2" xfId="34275"/>
    <cellStyle name="Comma 5 4 2 2 3 2 4" xfId="17507"/>
    <cellStyle name="Comma 5 4 2 2 3 2 4 2" xfId="43060"/>
    <cellStyle name="Comma 5 4 2 2 3 2 5" xfId="28997"/>
    <cellStyle name="Comma 5 4 2 2 3 3" xfId="4831"/>
    <cellStyle name="Comma 5 4 2 2 3 3 2" xfId="13668"/>
    <cellStyle name="Comma 5 4 2 2 3 3 2 2" xfId="23919"/>
    <cellStyle name="Comma 5 4 2 2 3 3 2 2 2" xfId="49472"/>
    <cellStyle name="Comma 5 4 2 2 3 3 2 3" xfId="39223"/>
    <cellStyle name="Comma 5 4 2 2 3 3 3" xfId="10089"/>
    <cellStyle name="Comma 5 4 2 2 3 3 3 2" xfId="35646"/>
    <cellStyle name="Comma 5 4 2 2 3 3 4" xfId="18912"/>
    <cellStyle name="Comma 5 4 2 2 3 3 4 2" xfId="44465"/>
    <cellStyle name="Comma 5 4 2 2 3 3 5" xfId="30402"/>
    <cellStyle name="Comma 5 4 2 2 3 4" xfId="2262"/>
    <cellStyle name="Comma 5 4 2 2 3 4 2" xfId="11627"/>
    <cellStyle name="Comma 5 4 2 2 3 4 2 2" xfId="37182"/>
    <cellStyle name="Comma 5 4 2 2 3 4 3" xfId="21631"/>
    <cellStyle name="Comma 5 4 2 2 3 4 3 2" xfId="47184"/>
    <cellStyle name="Comma 5 4 2 2 3 4 4" xfId="28114"/>
    <cellStyle name="Comma 5 4 2 2 3 5" xfId="6286"/>
    <cellStyle name="Comma 5 4 2 2 3 5 2" xfId="15113"/>
    <cellStyle name="Comma 5 4 2 2 3 5 2 2" xfId="40668"/>
    <cellStyle name="Comma 5 4 2 2 3 5 3" xfId="25364"/>
    <cellStyle name="Comma 5 4 2 2 3 5 3 2" xfId="50917"/>
    <cellStyle name="Comma 5 4 2 2 3 5 4" xfId="31847"/>
    <cellStyle name="Comma 5 4 2 2 3 6" xfId="7732"/>
    <cellStyle name="Comma 5 4 2 2 3 6 2" xfId="20113"/>
    <cellStyle name="Comma 5 4 2 2 3 6 2 2" xfId="45666"/>
    <cellStyle name="Comma 5 4 2 2 3 6 3" xfId="33289"/>
    <cellStyle name="Comma 5 4 2 2 3 7" xfId="16624"/>
    <cellStyle name="Comma 5 4 2 2 3 7 2" xfId="42177"/>
    <cellStyle name="Comma 5 4 2 2 3 8" xfId="26596"/>
    <cellStyle name="Comma 5 4 2 2 4" xfId="1371"/>
    <cellStyle name="Comma 5 4 2 2 4 2" xfId="3800"/>
    <cellStyle name="Comma 5 4 2 2 4 2 2" xfId="12936"/>
    <cellStyle name="Comma 5 4 2 2 4 2 2 2" xfId="23155"/>
    <cellStyle name="Comma 5 4 2 2 4 2 2 2 2" xfId="48708"/>
    <cellStyle name="Comma 5 4 2 2 4 2 2 3" xfId="38491"/>
    <cellStyle name="Comma 5 4 2 2 4 2 3" xfId="9357"/>
    <cellStyle name="Comma 5 4 2 2 4 2 3 2" xfId="34914"/>
    <cellStyle name="Comma 5 4 2 2 4 2 4" xfId="18148"/>
    <cellStyle name="Comma 5 4 2 2 4 2 4 2" xfId="43701"/>
    <cellStyle name="Comma 5 4 2 2 4 2 5" xfId="29638"/>
    <cellStyle name="Comma 5 4 2 2 4 3" xfId="5463"/>
    <cellStyle name="Comma 5 4 2 2 4 3 2" xfId="14300"/>
    <cellStyle name="Comma 5 4 2 2 4 3 2 2" xfId="24551"/>
    <cellStyle name="Comma 5 4 2 2 4 3 2 2 2" xfId="50104"/>
    <cellStyle name="Comma 5 4 2 2 4 3 2 3" xfId="39855"/>
    <cellStyle name="Comma 5 4 2 2 4 3 3" xfId="10721"/>
    <cellStyle name="Comma 5 4 2 2 4 3 3 2" xfId="36278"/>
    <cellStyle name="Comma 5 4 2 2 4 3 4" xfId="19544"/>
    <cellStyle name="Comma 5 4 2 2 4 3 4 2" xfId="45097"/>
    <cellStyle name="Comma 5 4 2 2 4 3 5" xfId="31034"/>
    <cellStyle name="Comma 5 4 2 2 4 4" xfId="1874"/>
    <cellStyle name="Comma 5 4 2 2 4 4 2" xfId="11242"/>
    <cellStyle name="Comma 5 4 2 2 4 4 2 2" xfId="36797"/>
    <cellStyle name="Comma 5 4 2 2 4 4 3" xfId="21246"/>
    <cellStyle name="Comma 5 4 2 2 4 4 3 2" xfId="46799"/>
    <cellStyle name="Comma 5 4 2 2 4 4 4" xfId="27729"/>
    <cellStyle name="Comma 5 4 2 2 4 5" xfId="6918"/>
    <cellStyle name="Comma 5 4 2 2 4 5 2" xfId="15745"/>
    <cellStyle name="Comma 5 4 2 2 4 5 2 2" xfId="41300"/>
    <cellStyle name="Comma 5 4 2 2 4 5 3" xfId="25996"/>
    <cellStyle name="Comma 5 4 2 2 4 5 3 2" xfId="51549"/>
    <cellStyle name="Comma 5 4 2 2 4 5 4" xfId="32479"/>
    <cellStyle name="Comma 5 4 2 2 4 6" xfId="8364"/>
    <cellStyle name="Comma 5 4 2 2 4 6 2" xfId="20754"/>
    <cellStyle name="Comma 5 4 2 2 4 6 2 2" xfId="46307"/>
    <cellStyle name="Comma 5 4 2 2 4 6 3" xfId="33921"/>
    <cellStyle name="Comma 5 4 2 2 4 7" xfId="16239"/>
    <cellStyle name="Comma 5 4 2 2 4 7 2" xfId="41792"/>
    <cellStyle name="Comma 5 4 2 2 4 8" xfId="27237"/>
    <cellStyle name="Comma 5 4 2 2 5" xfId="2768"/>
    <cellStyle name="Comma 5 4 2 2 5 2" xfId="12085"/>
    <cellStyle name="Comma 5 4 2 2 5 2 2" xfId="22129"/>
    <cellStyle name="Comma 5 4 2 2 5 2 2 2" xfId="47682"/>
    <cellStyle name="Comma 5 4 2 2 5 2 3" xfId="37640"/>
    <cellStyle name="Comma 5 4 2 2 5 3" xfId="8477"/>
    <cellStyle name="Comma 5 4 2 2 5 3 2" xfId="34034"/>
    <cellStyle name="Comma 5 4 2 2 5 4" xfId="17122"/>
    <cellStyle name="Comma 5 4 2 2 5 4 2" xfId="42675"/>
    <cellStyle name="Comma 5 4 2 2 5 5" xfId="28612"/>
    <cellStyle name="Comma 5 4 2 2 6" xfId="4419"/>
    <cellStyle name="Comma 5 4 2 2 6 2" xfId="13257"/>
    <cellStyle name="Comma 5 4 2 2 6 2 2" xfId="23508"/>
    <cellStyle name="Comma 5 4 2 2 6 2 2 2" xfId="49061"/>
    <cellStyle name="Comma 5 4 2 2 6 2 3" xfId="38812"/>
    <cellStyle name="Comma 5 4 2 2 6 3" xfId="9678"/>
    <cellStyle name="Comma 5 4 2 2 6 3 2" xfId="35235"/>
    <cellStyle name="Comma 5 4 2 2 6 4" xfId="18501"/>
    <cellStyle name="Comma 5 4 2 2 6 4 2" xfId="44054"/>
    <cellStyle name="Comma 5 4 2 2 6 5" xfId="29991"/>
    <cellStyle name="Comma 5 4 2 2 7" xfId="1691"/>
    <cellStyle name="Comma 5 4 2 2 7 2" xfId="11068"/>
    <cellStyle name="Comma 5 4 2 2 7 2 2" xfId="36623"/>
    <cellStyle name="Comma 5 4 2 2 7 3" xfId="21072"/>
    <cellStyle name="Comma 5 4 2 2 7 3 2" xfId="46625"/>
    <cellStyle name="Comma 5 4 2 2 7 4" xfId="27555"/>
    <cellStyle name="Comma 5 4 2 2 8" xfId="5875"/>
    <cellStyle name="Comma 5 4 2 2 8 2" xfId="14702"/>
    <cellStyle name="Comma 5 4 2 2 8 2 2" xfId="40257"/>
    <cellStyle name="Comma 5 4 2 2 8 3" xfId="24953"/>
    <cellStyle name="Comma 5 4 2 2 8 3 2" xfId="50506"/>
    <cellStyle name="Comma 5 4 2 2 8 4" xfId="31436"/>
    <cellStyle name="Comma 5 4 2 2 9" xfId="7319"/>
    <cellStyle name="Comma 5 4 2 2 9 2" xfId="19728"/>
    <cellStyle name="Comma 5 4 2 2 9 2 2" xfId="45281"/>
    <cellStyle name="Comma 5 4 2 2 9 3" xfId="32876"/>
    <cellStyle name="Comma 5 4 2 3" xfId="495"/>
    <cellStyle name="Comma 5 4 2 3 10" xfId="26424"/>
    <cellStyle name="Comma 5 4 2 3 2" xfId="668"/>
    <cellStyle name="Comma 5 4 2 3 2 2" xfId="3154"/>
    <cellStyle name="Comma 5 4 2 3 2 2 2" xfId="12297"/>
    <cellStyle name="Comma 5 4 2 3 2 2 2 2" xfId="22515"/>
    <cellStyle name="Comma 5 4 2 3 2 2 2 2 2" xfId="48068"/>
    <cellStyle name="Comma 5 4 2 3 2 2 2 3" xfId="37852"/>
    <cellStyle name="Comma 5 4 2 3 2 2 3" xfId="8719"/>
    <cellStyle name="Comma 5 4 2 3 2 2 3 2" xfId="34276"/>
    <cellStyle name="Comma 5 4 2 3 2 2 4" xfId="17508"/>
    <cellStyle name="Comma 5 4 2 3 2 2 4 2" xfId="43061"/>
    <cellStyle name="Comma 5 4 2 3 2 2 5" xfId="28998"/>
    <cellStyle name="Comma 5 4 2 3 2 3" xfId="4483"/>
    <cellStyle name="Comma 5 4 2 3 2 3 2" xfId="13321"/>
    <cellStyle name="Comma 5 4 2 3 2 3 2 2" xfId="23572"/>
    <cellStyle name="Comma 5 4 2 3 2 3 2 2 2" xfId="49125"/>
    <cellStyle name="Comma 5 4 2 3 2 3 2 3" xfId="38876"/>
    <cellStyle name="Comma 5 4 2 3 2 3 3" xfId="9742"/>
    <cellStyle name="Comma 5 4 2 3 2 3 3 2" xfId="35299"/>
    <cellStyle name="Comma 5 4 2 3 2 3 4" xfId="18565"/>
    <cellStyle name="Comma 5 4 2 3 2 3 4 2" xfId="44118"/>
    <cellStyle name="Comma 5 4 2 3 2 3 5" xfId="30055"/>
    <cellStyle name="Comma 5 4 2 3 2 4" xfId="2263"/>
    <cellStyle name="Comma 5 4 2 3 2 4 2" xfId="11628"/>
    <cellStyle name="Comma 5 4 2 3 2 4 2 2" xfId="37183"/>
    <cellStyle name="Comma 5 4 2 3 2 4 3" xfId="21632"/>
    <cellStyle name="Comma 5 4 2 3 2 4 3 2" xfId="47185"/>
    <cellStyle name="Comma 5 4 2 3 2 4 4" xfId="28115"/>
    <cellStyle name="Comma 5 4 2 3 2 5" xfId="5939"/>
    <cellStyle name="Comma 5 4 2 3 2 5 2" xfId="14766"/>
    <cellStyle name="Comma 5 4 2 3 2 5 2 2" xfId="40321"/>
    <cellStyle name="Comma 5 4 2 3 2 5 3" xfId="25017"/>
    <cellStyle name="Comma 5 4 2 3 2 5 3 2" xfId="50570"/>
    <cellStyle name="Comma 5 4 2 3 2 5 4" xfId="31500"/>
    <cellStyle name="Comma 5 4 2 3 2 6" xfId="7383"/>
    <cellStyle name="Comma 5 4 2 3 2 6 2" xfId="20114"/>
    <cellStyle name="Comma 5 4 2 3 2 6 2 2" xfId="45667"/>
    <cellStyle name="Comma 5 4 2 3 2 6 3" xfId="32940"/>
    <cellStyle name="Comma 5 4 2 3 2 7" xfId="16625"/>
    <cellStyle name="Comma 5 4 2 3 2 7 2" xfId="42178"/>
    <cellStyle name="Comma 5 4 2 3 2 8" xfId="26597"/>
    <cellStyle name="Comma 5 4 2 3 3" xfId="1267"/>
    <cellStyle name="Comma 5 4 2 3 3 2" xfId="3696"/>
    <cellStyle name="Comma 5 4 2 3 3 2 2" xfId="12832"/>
    <cellStyle name="Comma 5 4 2 3 3 2 2 2" xfId="23051"/>
    <cellStyle name="Comma 5 4 2 3 3 2 2 2 2" xfId="48604"/>
    <cellStyle name="Comma 5 4 2 3 3 2 2 3" xfId="38387"/>
    <cellStyle name="Comma 5 4 2 3 3 2 3" xfId="9253"/>
    <cellStyle name="Comma 5 4 2 3 3 2 3 2" xfId="34810"/>
    <cellStyle name="Comma 5 4 2 3 3 2 4" xfId="18044"/>
    <cellStyle name="Comma 5 4 2 3 3 2 4 2" xfId="43597"/>
    <cellStyle name="Comma 5 4 2 3 3 2 5" xfId="29534"/>
    <cellStyle name="Comma 5 4 2 3 3 3" xfId="4832"/>
    <cellStyle name="Comma 5 4 2 3 3 3 2" xfId="13669"/>
    <cellStyle name="Comma 5 4 2 3 3 3 2 2" xfId="23920"/>
    <cellStyle name="Comma 5 4 2 3 3 3 2 2 2" xfId="49473"/>
    <cellStyle name="Comma 5 4 2 3 3 3 2 3" xfId="39224"/>
    <cellStyle name="Comma 5 4 2 3 3 3 3" xfId="10090"/>
    <cellStyle name="Comma 5 4 2 3 3 3 3 2" xfId="35647"/>
    <cellStyle name="Comma 5 4 2 3 3 3 4" xfId="18913"/>
    <cellStyle name="Comma 5 4 2 3 3 3 4 2" xfId="44466"/>
    <cellStyle name="Comma 5 4 2 3 3 3 5" xfId="30403"/>
    <cellStyle name="Comma 5 4 2 3 3 4" xfId="2090"/>
    <cellStyle name="Comma 5 4 2 3 3 4 2" xfId="11455"/>
    <cellStyle name="Comma 5 4 2 3 3 4 2 2" xfId="37010"/>
    <cellStyle name="Comma 5 4 2 3 3 4 3" xfId="21459"/>
    <cellStyle name="Comma 5 4 2 3 3 4 3 2" xfId="47012"/>
    <cellStyle name="Comma 5 4 2 3 3 4 4" xfId="27942"/>
    <cellStyle name="Comma 5 4 2 3 3 5" xfId="6287"/>
    <cellStyle name="Comma 5 4 2 3 3 5 2" xfId="15114"/>
    <cellStyle name="Comma 5 4 2 3 3 5 2 2" xfId="40669"/>
    <cellStyle name="Comma 5 4 2 3 3 5 3" xfId="25365"/>
    <cellStyle name="Comma 5 4 2 3 3 5 3 2" xfId="50918"/>
    <cellStyle name="Comma 5 4 2 3 3 5 4" xfId="31848"/>
    <cellStyle name="Comma 5 4 2 3 3 6" xfId="7733"/>
    <cellStyle name="Comma 5 4 2 3 3 6 2" xfId="20650"/>
    <cellStyle name="Comma 5 4 2 3 3 6 2 2" xfId="46203"/>
    <cellStyle name="Comma 5 4 2 3 3 6 3" xfId="33290"/>
    <cellStyle name="Comma 5 4 2 3 3 7" xfId="16452"/>
    <cellStyle name="Comma 5 4 2 3 3 7 2" xfId="42005"/>
    <cellStyle name="Comma 5 4 2 3 3 8" xfId="27133"/>
    <cellStyle name="Comma 5 4 2 3 4" xfId="2981"/>
    <cellStyle name="Comma 5 4 2 3 4 2" xfId="5359"/>
    <cellStyle name="Comma 5 4 2 3 4 2 2" xfId="14196"/>
    <cellStyle name="Comma 5 4 2 3 4 2 2 2" xfId="24447"/>
    <cellStyle name="Comma 5 4 2 3 4 2 2 2 2" xfId="50000"/>
    <cellStyle name="Comma 5 4 2 3 4 2 2 3" xfId="39751"/>
    <cellStyle name="Comma 5 4 2 3 4 2 3" xfId="10617"/>
    <cellStyle name="Comma 5 4 2 3 4 2 3 2" xfId="36174"/>
    <cellStyle name="Comma 5 4 2 3 4 2 4" xfId="19440"/>
    <cellStyle name="Comma 5 4 2 3 4 2 4 2" xfId="44993"/>
    <cellStyle name="Comma 5 4 2 3 4 2 5" xfId="30930"/>
    <cellStyle name="Comma 5 4 2 3 4 3" xfId="6814"/>
    <cellStyle name="Comma 5 4 2 3 4 3 2" xfId="15641"/>
    <cellStyle name="Comma 5 4 2 3 4 3 2 2" xfId="41196"/>
    <cellStyle name="Comma 5 4 2 3 4 3 3" xfId="25892"/>
    <cellStyle name="Comma 5 4 2 3 4 3 3 2" xfId="51445"/>
    <cellStyle name="Comma 5 4 2 3 4 3 4" xfId="32375"/>
    <cellStyle name="Comma 5 4 2 3 4 4" xfId="8260"/>
    <cellStyle name="Comma 5 4 2 3 4 4 2" xfId="22342"/>
    <cellStyle name="Comma 5 4 2 3 4 4 2 2" xfId="47895"/>
    <cellStyle name="Comma 5 4 2 3 4 4 3" xfId="33817"/>
    <cellStyle name="Comma 5 4 2 3 4 5" xfId="17335"/>
    <cellStyle name="Comma 5 4 2 3 4 5 2" xfId="42888"/>
    <cellStyle name="Comma 5 4 2 3 4 6" xfId="28825"/>
    <cellStyle name="Comma 5 4 2 3 5" xfId="4315"/>
    <cellStyle name="Comma 5 4 2 3 5 2" xfId="13153"/>
    <cellStyle name="Comma 5 4 2 3 5 2 2" xfId="23404"/>
    <cellStyle name="Comma 5 4 2 3 5 2 2 2" xfId="48957"/>
    <cellStyle name="Comma 5 4 2 3 5 2 3" xfId="38708"/>
    <cellStyle name="Comma 5 4 2 3 5 3" xfId="9574"/>
    <cellStyle name="Comma 5 4 2 3 5 3 2" xfId="35131"/>
    <cellStyle name="Comma 5 4 2 3 5 4" xfId="18397"/>
    <cellStyle name="Comma 5 4 2 3 5 4 2" xfId="43950"/>
    <cellStyle name="Comma 5 4 2 3 5 5" xfId="29887"/>
    <cellStyle name="Comma 5 4 2 3 6" xfId="1587"/>
    <cellStyle name="Comma 5 4 2 3 6 2" xfId="10964"/>
    <cellStyle name="Comma 5 4 2 3 6 2 2" xfId="36519"/>
    <cellStyle name="Comma 5 4 2 3 6 3" xfId="20968"/>
    <cellStyle name="Comma 5 4 2 3 6 3 2" xfId="46521"/>
    <cellStyle name="Comma 5 4 2 3 6 4" xfId="27451"/>
    <cellStyle name="Comma 5 4 2 3 7" xfId="5771"/>
    <cellStyle name="Comma 5 4 2 3 7 2" xfId="14598"/>
    <cellStyle name="Comma 5 4 2 3 7 2 2" xfId="40153"/>
    <cellStyle name="Comma 5 4 2 3 7 3" xfId="24849"/>
    <cellStyle name="Comma 5 4 2 3 7 3 2" xfId="50402"/>
    <cellStyle name="Comma 5 4 2 3 7 4" xfId="31332"/>
    <cellStyle name="Comma 5 4 2 3 8" xfId="7215"/>
    <cellStyle name="Comma 5 4 2 3 8 2" xfId="19941"/>
    <cellStyle name="Comma 5 4 2 3 8 2 2" xfId="45494"/>
    <cellStyle name="Comma 5 4 2 3 8 3" xfId="32772"/>
    <cellStyle name="Comma 5 4 2 3 9" xfId="15961"/>
    <cellStyle name="Comma 5 4 2 3 9 2" xfId="41514"/>
    <cellStyle name="Comma 5 4 2 4" xfId="395"/>
    <cellStyle name="Comma 5 4 2 4 2" xfId="2881"/>
    <cellStyle name="Comma 5 4 2 4 2 2" xfId="12169"/>
    <cellStyle name="Comma 5 4 2 4 2 2 2" xfId="22242"/>
    <cellStyle name="Comma 5 4 2 4 2 2 2 2" xfId="47795"/>
    <cellStyle name="Comma 5 4 2 4 2 2 3" xfId="37724"/>
    <cellStyle name="Comma 5 4 2 4 2 3" xfId="8419"/>
    <cellStyle name="Comma 5 4 2 4 2 3 2" xfId="33976"/>
    <cellStyle name="Comma 5 4 2 4 2 4" xfId="17235"/>
    <cellStyle name="Comma 5 4 2 4 2 4 2" xfId="42788"/>
    <cellStyle name="Comma 5 4 2 4 2 5" xfId="28725"/>
    <cellStyle name="Comma 5 4 2 4 3" xfId="4481"/>
    <cellStyle name="Comma 5 4 2 4 3 2" xfId="13319"/>
    <cellStyle name="Comma 5 4 2 4 3 2 2" xfId="23570"/>
    <cellStyle name="Comma 5 4 2 4 3 2 2 2" xfId="49123"/>
    <cellStyle name="Comma 5 4 2 4 3 2 3" xfId="38874"/>
    <cellStyle name="Comma 5 4 2 4 3 3" xfId="9740"/>
    <cellStyle name="Comma 5 4 2 4 3 3 2" xfId="35297"/>
    <cellStyle name="Comma 5 4 2 4 3 4" xfId="18563"/>
    <cellStyle name="Comma 5 4 2 4 3 4 2" xfId="44116"/>
    <cellStyle name="Comma 5 4 2 4 3 5" xfId="30053"/>
    <cellStyle name="Comma 5 4 2 4 4" xfId="1990"/>
    <cellStyle name="Comma 5 4 2 4 4 2" xfId="11355"/>
    <cellStyle name="Comma 5 4 2 4 4 2 2" xfId="36910"/>
    <cellStyle name="Comma 5 4 2 4 4 3" xfId="21359"/>
    <cellStyle name="Comma 5 4 2 4 4 3 2" xfId="46912"/>
    <cellStyle name="Comma 5 4 2 4 4 4" xfId="27842"/>
    <cellStyle name="Comma 5 4 2 4 5" xfId="5937"/>
    <cellStyle name="Comma 5 4 2 4 5 2" xfId="14764"/>
    <cellStyle name="Comma 5 4 2 4 5 2 2" xfId="40319"/>
    <cellStyle name="Comma 5 4 2 4 5 3" xfId="25015"/>
    <cellStyle name="Comma 5 4 2 4 5 3 2" xfId="50568"/>
    <cellStyle name="Comma 5 4 2 4 5 4" xfId="31498"/>
    <cellStyle name="Comma 5 4 2 4 6" xfId="7381"/>
    <cellStyle name="Comma 5 4 2 4 6 2" xfId="19841"/>
    <cellStyle name="Comma 5 4 2 4 6 2 2" xfId="45394"/>
    <cellStyle name="Comma 5 4 2 4 6 3" xfId="32938"/>
    <cellStyle name="Comma 5 4 2 4 7" xfId="16352"/>
    <cellStyle name="Comma 5 4 2 4 7 2" xfId="41905"/>
    <cellStyle name="Comma 5 4 2 4 8" xfId="26324"/>
    <cellStyle name="Comma 5 4 2 5" xfId="666"/>
    <cellStyle name="Comma 5 4 2 5 2" xfId="3152"/>
    <cellStyle name="Comma 5 4 2 5 2 2" xfId="12295"/>
    <cellStyle name="Comma 5 4 2 5 2 2 2" xfId="22513"/>
    <cellStyle name="Comma 5 4 2 5 2 2 2 2" xfId="48066"/>
    <cellStyle name="Comma 5 4 2 5 2 2 3" xfId="37850"/>
    <cellStyle name="Comma 5 4 2 5 2 3" xfId="8717"/>
    <cellStyle name="Comma 5 4 2 5 2 3 2" xfId="34274"/>
    <cellStyle name="Comma 5 4 2 5 2 4" xfId="17506"/>
    <cellStyle name="Comma 5 4 2 5 2 4 2" xfId="43059"/>
    <cellStyle name="Comma 5 4 2 5 2 5" xfId="28996"/>
    <cellStyle name="Comma 5 4 2 5 3" xfId="4830"/>
    <cellStyle name="Comma 5 4 2 5 3 2" xfId="13667"/>
    <cellStyle name="Comma 5 4 2 5 3 2 2" xfId="23918"/>
    <cellStyle name="Comma 5 4 2 5 3 2 2 2" xfId="49471"/>
    <cellStyle name="Comma 5 4 2 5 3 2 3" xfId="39222"/>
    <cellStyle name="Comma 5 4 2 5 3 3" xfId="10088"/>
    <cellStyle name="Comma 5 4 2 5 3 3 2" xfId="35645"/>
    <cellStyle name="Comma 5 4 2 5 3 4" xfId="18911"/>
    <cellStyle name="Comma 5 4 2 5 3 4 2" xfId="44464"/>
    <cellStyle name="Comma 5 4 2 5 3 5" xfId="30401"/>
    <cellStyle name="Comma 5 4 2 5 4" xfId="2261"/>
    <cellStyle name="Comma 5 4 2 5 4 2" xfId="11626"/>
    <cellStyle name="Comma 5 4 2 5 4 2 2" xfId="37181"/>
    <cellStyle name="Comma 5 4 2 5 4 3" xfId="21630"/>
    <cellStyle name="Comma 5 4 2 5 4 3 2" xfId="47183"/>
    <cellStyle name="Comma 5 4 2 5 4 4" xfId="28113"/>
    <cellStyle name="Comma 5 4 2 5 5" xfId="6285"/>
    <cellStyle name="Comma 5 4 2 5 5 2" xfId="15112"/>
    <cellStyle name="Comma 5 4 2 5 5 2 2" xfId="40667"/>
    <cellStyle name="Comma 5 4 2 5 5 3" xfId="25363"/>
    <cellStyle name="Comma 5 4 2 5 5 3 2" xfId="50916"/>
    <cellStyle name="Comma 5 4 2 5 5 4" xfId="31846"/>
    <cellStyle name="Comma 5 4 2 5 6" xfId="7731"/>
    <cellStyle name="Comma 5 4 2 5 6 2" xfId="20112"/>
    <cellStyle name="Comma 5 4 2 5 6 2 2" xfId="45665"/>
    <cellStyle name="Comma 5 4 2 5 6 3" xfId="33288"/>
    <cellStyle name="Comma 5 4 2 5 7" xfId="16623"/>
    <cellStyle name="Comma 5 4 2 5 7 2" xfId="42176"/>
    <cellStyle name="Comma 5 4 2 5 8" xfId="26595"/>
    <cellStyle name="Comma 5 4 2 6" xfId="1167"/>
    <cellStyle name="Comma 5 4 2 6 2" xfId="3596"/>
    <cellStyle name="Comma 5 4 2 6 2 2" xfId="12732"/>
    <cellStyle name="Comma 5 4 2 6 2 2 2" xfId="22951"/>
    <cellStyle name="Comma 5 4 2 6 2 2 2 2" xfId="48504"/>
    <cellStyle name="Comma 5 4 2 6 2 2 3" xfId="38287"/>
    <cellStyle name="Comma 5 4 2 6 2 3" xfId="9153"/>
    <cellStyle name="Comma 5 4 2 6 2 3 2" xfId="34710"/>
    <cellStyle name="Comma 5 4 2 6 2 4" xfId="17944"/>
    <cellStyle name="Comma 5 4 2 6 2 4 2" xfId="43497"/>
    <cellStyle name="Comma 5 4 2 6 2 5" xfId="29434"/>
    <cellStyle name="Comma 5 4 2 6 3" xfId="5259"/>
    <cellStyle name="Comma 5 4 2 6 3 2" xfId="14096"/>
    <cellStyle name="Comma 5 4 2 6 3 2 2" xfId="24347"/>
    <cellStyle name="Comma 5 4 2 6 3 2 2 2" xfId="49900"/>
    <cellStyle name="Comma 5 4 2 6 3 2 3" xfId="39651"/>
    <cellStyle name="Comma 5 4 2 6 3 3" xfId="10517"/>
    <cellStyle name="Comma 5 4 2 6 3 3 2" xfId="36074"/>
    <cellStyle name="Comma 5 4 2 6 3 4" xfId="19340"/>
    <cellStyle name="Comma 5 4 2 6 3 4 2" xfId="44893"/>
    <cellStyle name="Comma 5 4 2 6 3 5" xfId="30830"/>
    <cellStyle name="Comma 5 4 2 6 4" xfId="1767"/>
    <cellStyle name="Comma 5 4 2 6 4 2" xfId="11138"/>
    <cellStyle name="Comma 5 4 2 6 4 2 2" xfId="36693"/>
    <cellStyle name="Comma 5 4 2 6 4 3" xfId="21142"/>
    <cellStyle name="Comma 5 4 2 6 4 3 2" xfId="46695"/>
    <cellStyle name="Comma 5 4 2 6 4 4" xfId="27625"/>
    <cellStyle name="Comma 5 4 2 6 5" xfId="6714"/>
    <cellStyle name="Comma 5 4 2 6 5 2" xfId="15541"/>
    <cellStyle name="Comma 5 4 2 6 5 2 2" xfId="41096"/>
    <cellStyle name="Comma 5 4 2 6 5 3" xfId="25792"/>
    <cellStyle name="Comma 5 4 2 6 5 3 2" xfId="51345"/>
    <cellStyle name="Comma 5 4 2 6 5 4" xfId="32275"/>
    <cellStyle name="Comma 5 4 2 6 6" xfId="8160"/>
    <cellStyle name="Comma 5 4 2 6 6 2" xfId="20550"/>
    <cellStyle name="Comma 5 4 2 6 6 2 2" xfId="46103"/>
    <cellStyle name="Comma 5 4 2 6 6 3" xfId="33717"/>
    <cellStyle name="Comma 5 4 2 6 7" xfId="16135"/>
    <cellStyle name="Comma 5 4 2 6 7 2" xfId="41688"/>
    <cellStyle name="Comma 5 4 2 6 8" xfId="27033"/>
    <cellStyle name="Comma 5 4 2 7" xfId="2664"/>
    <cellStyle name="Comma 5 4 2 7 2" xfId="11981"/>
    <cellStyle name="Comma 5 4 2 7 2 2" xfId="22025"/>
    <cellStyle name="Comma 5 4 2 7 2 2 2" xfId="47578"/>
    <cellStyle name="Comma 5 4 2 7 2 3" xfId="37536"/>
    <cellStyle name="Comma 5 4 2 7 3" xfId="8578"/>
    <cellStyle name="Comma 5 4 2 7 3 2" xfId="34135"/>
    <cellStyle name="Comma 5 4 2 7 4" xfId="17018"/>
    <cellStyle name="Comma 5 4 2 7 4 2" xfId="42571"/>
    <cellStyle name="Comma 5 4 2 7 5" xfId="28508"/>
    <cellStyle name="Comma 5 4 2 8" xfId="4215"/>
    <cellStyle name="Comma 5 4 2 8 2" xfId="13053"/>
    <cellStyle name="Comma 5 4 2 8 2 2" xfId="23304"/>
    <cellStyle name="Comma 5 4 2 8 2 2 2" xfId="48857"/>
    <cellStyle name="Comma 5 4 2 8 2 3" xfId="38608"/>
    <cellStyle name="Comma 5 4 2 8 3" xfId="9474"/>
    <cellStyle name="Comma 5 4 2 8 3 2" xfId="35031"/>
    <cellStyle name="Comma 5 4 2 8 4" xfId="18297"/>
    <cellStyle name="Comma 5 4 2 8 4 2" xfId="43850"/>
    <cellStyle name="Comma 5 4 2 8 5" xfId="29787"/>
    <cellStyle name="Comma 5 4 2 9" xfId="1487"/>
    <cellStyle name="Comma 5 4 2 9 2" xfId="10864"/>
    <cellStyle name="Comma 5 4 2 9 2 2" xfId="36419"/>
    <cellStyle name="Comma 5 4 2 9 3" xfId="20868"/>
    <cellStyle name="Comma 5 4 2 9 3 2" xfId="46421"/>
    <cellStyle name="Comma 5 4 2 9 4" xfId="27351"/>
    <cellStyle name="Comma 5 4 3" xfId="212"/>
    <cellStyle name="Comma 5 4 3 10" xfId="7158"/>
    <cellStyle name="Comma 5 4 3 10 2" xfId="19667"/>
    <cellStyle name="Comma 5 4 3 10 2 2" xfId="45220"/>
    <cellStyle name="Comma 5 4 3 10 3" xfId="32715"/>
    <cellStyle name="Comma 5 4 3 11" xfId="15904"/>
    <cellStyle name="Comma 5 4 3 11 2" xfId="41457"/>
    <cellStyle name="Comma 5 4 3 12" xfId="26150"/>
    <cellStyle name="Comma 5 4 3 2" xfId="538"/>
    <cellStyle name="Comma 5 4 3 2 10" xfId="26467"/>
    <cellStyle name="Comma 5 4 3 2 2" xfId="670"/>
    <cellStyle name="Comma 5 4 3 2 2 2" xfId="3156"/>
    <cellStyle name="Comma 5 4 3 2 2 2 2" xfId="12299"/>
    <cellStyle name="Comma 5 4 3 2 2 2 2 2" xfId="22517"/>
    <cellStyle name="Comma 5 4 3 2 2 2 2 2 2" xfId="48070"/>
    <cellStyle name="Comma 5 4 3 2 2 2 2 3" xfId="37854"/>
    <cellStyle name="Comma 5 4 3 2 2 2 3" xfId="8721"/>
    <cellStyle name="Comma 5 4 3 2 2 2 3 2" xfId="34278"/>
    <cellStyle name="Comma 5 4 3 2 2 2 4" xfId="17510"/>
    <cellStyle name="Comma 5 4 3 2 2 2 4 2" xfId="43063"/>
    <cellStyle name="Comma 5 4 3 2 2 2 5" xfId="29000"/>
    <cellStyle name="Comma 5 4 3 2 2 3" xfId="4485"/>
    <cellStyle name="Comma 5 4 3 2 2 3 2" xfId="13323"/>
    <cellStyle name="Comma 5 4 3 2 2 3 2 2" xfId="23574"/>
    <cellStyle name="Comma 5 4 3 2 2 3 2 2 2" xfId="49127"/>
    <cellStyle name="Comma 5 4 3 2 2 3 2 3" xfId="38878"/>
    <cellStyle name="Comma 5 4 3 2 2 3 3" xfId="9744"/>
    <cellStyle name="Comma 5 4 3 2 2 3 3 2" xfId="35301"/>
    <cellStyle name="Comma 5 4 3 2 2 3 4" xfId="18567"/>
    <cellStyle name="Comma 5 4 3 2 2 3 4 2" xfId="44120"/>
    <cellStyle name="Comma 5 4 3 2 2 3 5" xfId="30057"/>
    <cellStyle name="Comma 5 4 3 2 2 4" xfId="2265"/>
    <cellStyle name="Comma 5 4 3 2 2 4 2" xfId="11630"/>
    <cellStyle name="Comma 5 4 3 2 2 4 2 2" xfId="37185"/>
    <cellStyle name="Comma 5 4 3 2 2 4 3" xfId="21634"/>
    <cellStyle name="Comma 5 4 3 2 2 4 3 2" xfId="47187"/>
    <cellStyle name="Comma 5 4 3 2 2 4 4" xfId="28117"/>
    <cellStyle name="Comma 5 4 3 2 2 5" xfId="5941"/>
    <cellStyle name="Comma 5 4 3 2 2 5 2" xfId="14768"/>
    <cellStyle name="Comma 5 4 3 2 2 5 2 2" xfId="40323"/>
    <cellStyle name="Comma 5 4 3 2 2 5 3" xfId="25019"/>
    <cellStyle name="Comma 5 4 3 2 2 5 3 2" xfId="50572"/>
    <cellStyle name="Comma 5 4 3 2 2 5 4" xfId="31502"/>
    <cellStyle name="Comma 5 4 3 2 2 6" xfId="7385"/>
    <cellStyle name="Comma 5 4 3 2 2 6 2" xfId="20116"/>
    <cellStyle name="Comma 5 4 3 2 2 6 2 2" xfId="45669"/>
    <cellStyle name="Comma 5 4 3 2 2 6 3" xfId="32942"/>
    <cellStyle name="Comma 5 4 3 2 2 7" xfId="16627"/>
    <cellStyle name="Comma 5 4 3 2 2 7 2" xfId="42180"/>
    <cellStyle name="Comma 5 4 3 2 2 8" xfId="26599"/>
    <cellStyle name="Comma 5 4 3 2 3" xfId="1310"/>
    <cellStyle name="Comma 5 4 3 2 3 2" xfId="3739"/>
    <cellStyle name="Comma 5 4 3 2 3 2 2" xfId="12875"/>
    <cellStyle name="Comma 5 4 3 2 3 2 2 2" xfId="23094"/>
    <cellStyle name="Comma 5 4 3 2 3 2 2 2 2" xfId="48647"/>
    <cellStyle name="Comma 5 4 3 2 3 2 2 3" xfId="38430"/>
    <cellStyle name="Comma 5 4 3 2 3 2 3" xfId="9296"/>
    <cellStyle name="Comma 5 4 3 2 3 2 3 2" xfId="34853"/>
    <cellStyle name="Comma 5 4 3 2 3 2 4" xfId="18087"/>
    <cellStyle name="Comma 5 4 3 2 3 2 4 2" xfId="43640"/>
    <cellStyle name="Comma 5 4 3 2 3 2 5" xfId="29577"/>
    <cellStyle name="Comma 5 4 3 2 3 3" xfId="4834"/>
    <cellStyle name="Comma 5 4 3 2 3 3 2" xfId="13671"/>
    <cellStyle name="Comma 5 4 3 2 3 3 2 2" xfId="23922"/>
    <cellStyle name="Comma 5 4 3 2 3 3 2 2 2" xfId="49475"/>
    <cellStyle name="Comma 5 4 3 2 3 3 2 3" xfId="39226"/>
    <cellStyle name="Comma 5 4 3 2 3 3 3" xfId="10092"/>
    <cellStyle name="Comma 5 4 3 2 3 3 3 2" xfId="35649"/>
    <cellStyle name="Comma 5 4 3 2 3 3 4" xfId="18915"/>
    <cellStyle name="Comma 5 4 3 2 3 3 4 2" xfId="44468"/>
    <cellStyle name="Comma 5 4 3 2 3 3 5" xfId="30405"/>
    <cellStyle name="Comma 5 4 3 2 3 4" xfId="2133"/>
    <cellStyle name="Comma 5 4 3 2 3 4 2" xfId="11498"/>
    <cellStyle name="Comma 5 4 3 2 3 4 2 2" xfId="37053"/>
    <cellStyle name="Comma 5 4 3 2 3 4 3" xfId="21502"/>
    <cellStyle name="Comma 5 4 3 2 3 4 3 2" xfId="47055"/>
    <cellStyle name="Comma 5 4 3 2 3 4 4" xfId="27985"/>
    <cellStyle name="Comma 5 4 3 2 3 5" xfId="6289"/>
    <cellStyle name="Comma 5 4 3 2 3 5 2" xfId="15116"/>
    <cellStyle name="Comma 5 4 3 2 3 5 2 2" xfId="40671"/>
    <cellStyle name="Comma 5 4 3 2 3 5 3" xfId="25367"/>
    <cellStyle name="Comma 5 4 3 2 3 5 3 2" xfId="50920"/>
    <cellStyle name="Comma 5 4 3 2 3 5 4" xfId="31850"/>
    <cellStyle name="Comma 5 4 3 2 3 6" xfId="7735"/>
    <cellStyle name="Comma 5 4 3 2 3 6 2" xfId="20693"/>
    <cellStyle name="Comma 5 4 3 2 3 6 2 2" xfId="46246"/>
    <cellStyle name="Comma 5 4 3 2 3 6 3" xfId="33292"/>
    <cellStyle name="Comma 5 4 3 2 3 7" xfId="16495"/>
    <cellStyle name="Comma 5 4 3 2 3 7 2" xfId="42048"/>
    <cellStyle name="Comma 5 4 3 2 3 8" xfId="27176"/>
    <cellStyle name="Comma 5 4 3 2 4" xfId="3024"/>
    <cellStyle name="Comma 5 4 3 2 4 2" xfId="5402"/>
    <cellStyle name="Comma 5 4 3 2 4 2 2" xfId="14239"/>
    <cellStyle name="Comma 5 4 3 2 4 2 2 2" xfId="24490"/>
    <cellStyle name="Comma 5 4 3 2 4 2 2 2 2" xfId="50043"/>
    <cellStyle name="Comma 5 4 3 2 4 2 2 3" xfId="39794"/>
    <cellStyle name="Comma 5 4 3 2 4 2 3" xfId="10660"/>
    <cellStyle name="Comma 5 4 3 2 4 2 3 2" xfId="36217"/>
    <cellStyle name="Comma 5 4 3 2 4 2 4" xfId="19483"/>
    <cellStyle name="Comma 5 4 3 2 4 2 4 2" xfId="45036"/>
    <cellStyle name="Comma 5 4 3 2 4 2 5" xfId="30973"/>
    <cellStyle name="Comma 5 4 3 2 4 3" xfId="6857"/>
    <cellStyle name="Comma 5 4 3 2 4 3 2" xfId="15684"/>
    <cellStyle name="Comma 5 4 3 2 4 3 2 2" xfId="41239"/>
    <cellStyle name="Comma 5 4 3 2 4 3 3" xfId="25935"/>
    <cellStyle name="Comma 5 4 3 2 4 3 3 2" xfId="51488"/>
    <cellStyle name="Comma 5 4 3 2 4 3 4" xfId="32418"/>
    <cellStyle name="Comma 5 4 3 2 4 4" xfId="8303"/>
    <cellStyle name="Comma 5 4 3 2 4 4 2" xfId="22385"/>
    <cellStyle name="Comma 5 4 3 2 4 4 2 2" xfId="47938"/>
    <cellStyle name="Comma 5 4 3 2 4 4 3" xfId="33860"/>
    <cellStyle name="Comma 5 4 3 2 4 5" xfId="17378"/>
    <cellStyle name="Comma 5 4 3 2 4 5 2" xfId="42931"/>
    <cellStyle name="Comma 5 4 3 2 4 6" xfId="28868"/>
    <cellStyle name="Comma 5 4 3 2 5" xfId="4358"/>
    <cellStyle name="Comma 5 4 3 2 5 2" xfId="13196"/>
    <cellStyle name="Comma 5 4 3 2 5 2 2" xfId="23447"/>
    <cellStyle name="Comma 5 4 3 2 5 2 2 2" xfId="49000"/>
    <cellStyle name="Comma 5 4 3 2 5 2 3" xfId="38751"/>
    <cellStyle name="Comma 5 4 3 2 5 3" xfId="9617"/>
    <cellStyle name="Comma 5 4 3 2 5 3 2" xfId="35174"/>
    <cellStyle name="Comma 5 4 3 2 5 4" xfId="18440"/>
    <cellStyle name="Comma 5 4 3 2 5 4 2" xfId="43993"/>
    <cellStyle name="Comma 5 4 3 2 5 5" xfId="29930"/>
    <cellStyle name="Comma 5 4 3 2 6" xfId="1630"/>
    <cellStyle name="Comma 5 4 3 2 6 2" xfId="11007"/>
    <cellStyle name="Comma 5 4 3 2 6 2 2" xfId="36562"/>
    <cellStyle name="Comma 5 4 3 2 6 3" xfId="21011"/>
    <cellStyle name="Comma 5 4 3 2 6 3 2" xfId="46564"/>
    <cellStyle name="Comma 5 4 3 2 6 4" xfId="27494"/>
    <cellStyle name="Comma 5 4 3 2 7" xfId="5814"/>
    <cellStyle name="Comma 5 4 3 2 7 2" xfId="14641"/>
    <cellStyle name="Comma 5 4 3 2 7 2 2" xfId="40196"/>
    <cellStyle name="Comma 5 4 3 2 7 3" xfId="24892"/>
    <cellStyle name="Comma 5 4 3 2 7 3 2" xfId="50445"/>
    <cellStyle name="Comma 5 4 3 2 7 4" xfId="31375"/>
    <cellStyle name="Comma 5 4 3 2 8" xfId="7258"/>
    <cellStyle name="Comma 5 4 3 2 8 2" xfId="19984"/>
    <cellStyle name="Comma 5 4 3 2 8 2 2" xfId="45537"/>
    <cellStyle name="Comma 5 4 3 2 8 3" xfId="32815"/>
    <cellStyle name="Comma 5 4 3 2 9" xfId="16004"/>
    <cellStyle name="Comma 5 4 3 2 9 2" xfId="41557"/>
    <cellStyle name="Comma 5 4 3 3" xfId="438"/>
    <cellStyle name="Comma 5 4 3 3 2" xfId="2924"/>
    <cellStyle name="Comma 5 4 3 3 2 2" xfId="12212"/>
    <cellStyle name="Comma 5 4 3 3 2 2 2" xfId="22285"/>
    <cellStyle name="Comma 5 4 3 3 2 2 2 2" xfId="47838"/>
    <cellStyle name="Comma 5 4 3 3 2 2 3" xfId="37767"/>
    <cellStyle name="Comma 5 4 3 3 2 3" xfId="8417"/>
    <cellStyle name="Comma 5 4 3 3 2 3 2" xfId="33974"/>
    <cellStyle name="Comma 5 4 3 3 2 4" xfId="17278"/>
    <cellStyle name="Comma 5 4 3 3 2 4 2" xfId="42831"/>
    <cellStyle name="Comma 5 4 3 3 2 5" xfId="28768"/>
    <cellStyle name="Comma 5 4 3 3 3" xfId="4484"/>
    <cellStyle name="Comma 5 4 3 3 3 2" xfId="13322"/>
    <cellStyle name="Comma 5 4 3 3 3 2 2" xfId="23573"/>
    <cellStyle name="Comma 5 4 3 3 3 2 2 2" xfId="49126"/>
    <cellStyle name="Comma 5 4 3 3 3 2 3" xfId="38877"/>
    <cellStyle name="Comma 5 4 3 3 3 3" xfId="9743"/>
    <cellStyle name="Comma 5 4 3 3 3 3 2" xfId="35300"/>
    <cellStyle name="Comma 5 4 3 3 3 4" xfId="18566"/>
    <cellStyle name="Comma 5 4 3 3 3 4 2" xfId="44119"/>
    <cellStyle name="Comma 5 4 3 3 3 5" xfId="30056"/>
    <cellStyle name="Comma 5 4 3 3 4" xfId="2033"/>
    <cellStyle name="Comma 5 4 3 3 4 2" xfId="11398"/>
    <cellStyle name="Comma 5 4 3 3 4 2 2" xfId="36953"/>
    <cellStyle name="Comma 5 4 3 3 4 3" xfId="21402"/>
    <cellStyle name="Comma 5 4 3 3 4 3 2" xfId="46955"/>
    <cellStyle name="Comma 5 4 3 3 4 4" xfId="27885"/>
    <cellStyle name="Comma 5 4 3 3 5" xfId="5940"/>
    <cellStyle name="Comma 5 4 3 3 5 2" xfId="14767"/>
    <cellStyle name="Comma 5 4 3 3 5 2 2" xfId="40322"/>
    <cellStyle name="Comma 5 4 3 3 5 3" xfId="25018"/>
    <cellStyle name="Comma 5 4 3 3 5 3 2" xfId="50571"/>
    <cellStyle name="Comma 5 4 3 3 5 4" xfId="31501"/>
    <cellStyle name="Comma 5 4 3 3 6" xfId="7384"/>
    <cellStyle name="Comma 5 4 3 3 6 2" xfId="19884"/>
    <cellStyle name="Comma 5 4 3 3 6 2 2" xfId="45437"/>
    <cellStyle name="Comma 5 4 3 3 6 3" xfId="32941"/>
    <cellStyle name="Comma 5 4 3 3 7" xfId="16395"/>
    <cellStyle name="Comma 5 4 3 3 7 2" xfId="41948"/>
    <cellStyle name="Comma 5 4 3 3 8" xfId="26367"/>
    <cellStyle name="Comma 5 4 3 4" xfId="669"/>
    <cellStyle name="Comma 5 4 3 4 2" xfId="3155"/>
    <cellStyle name="Comma 5 4 3 4 2 2" xfId="12298"/>
    <cellStyle name="Comma 5 4 3 4 2 2 2" xfId="22516"/>
    <cellStyle name="Comma 5 4 3 4 2 2 2 2" xfId="48069"/>
    <cellStyle name="Comma 5 4 3 4 2 2 3" xfId="37853"/>
    <cellStyle name="Comma 5 4 3 4 2 3" xfId="8720"/>
    <cellStyle name="Comma 5 4 3 4 2 3 2" xfId="34277"/>
    <cellStyle name="Comma 5 4 3 4 2 4" xfId="17509"/>
    <cellStyle name="Comma 5 4 3 4 2 4 2" xfId="43062"/>
    <cellStyle name="Comma 5 4 3 4 2 5" xfId="28999"/>
    <cellStyle name="Comma 5 4 3 4 3" xfId="4833"/>
    <cellStyle name="Comma 5 4 3 4 3 2" xfId="13670"/>
    <cellStyle name="Comma 5 4 3 4 3 2 2" xfId="23921"/>
    <cellStyle name="Comma 5 4 3 4 3 2 2 2" xfId="49474"/>
    <cellStyle name="Comma 5 4 3 4 3 2 3" xfId="39225"/>
    <cellStyle name="Comma 5 4 3 4 3 3" xfId="10091"/>
    <cellStyle name="Comma 5 4 3 4 3 3 2" xfId="35648"/>
    <cellStyle name="Comma 5 4 3 4 3 4" xfId="18914"/>
    <cellStyle name="Comma 5 4 3 4 3 4 2" xfId="44467"/>
    <cellStyle name="Comma 5 4 3 4 3 5" xfId="30404"/>
    <cellStyle name="Comma 5 4 3 4 4" xfId="2264"/>
    <cellStyle name="Comma 5 4 3 4 4 2" xfId="11629"/>
    <cellStyle name="Comma 5 4 3 4 4 2 2" xfId="37184"/>
    <cellStyle name="Comma 5 4 3 4 4 3" xfId="21633"/>
    <cellStyle name="Comma 5 4 3 4 4 3 2" xfId="47186"/>
    <cellStyle name="Comma 5 4 3 4 4 4" xfId="28116"/>
    <cellStyle name="Comma 5 4 3 4 5" xfId="6288"/>
    <cellStyle name="Comma 5 4 3 4 5 2" xfId="15115"/>
    <cellStyle name="Comma 5 4 3 4 5 2 2" xfId="40670"/>
    <cellStyle name="Comma 5 4 3 4 5 3" xfId="25366"/>
    <cellStyle name="Comma 5 4 3 4 5 3 2" xfId="50919"/>
    <cellStyle name="Comma 5 4 3 4 5 4" xfId="31849"/>
    <cellStyle name="Comma 5 4 3 4 6" xfId="7734"/>
    <cellStyle name="Comma 5 4 3 4 6 2" xfId="20115"/>
    <cellStyle name="Comma 5 4 3 4 6 2 2" xfId="45668"/>
    <cellStyle name="Comma 5 4 3 4 6 3" xfId="33291"/>
    <cellStyle name="Comma 5 4 3 4 7" xfId="16626"/>
    <cellStyle name="Comma 5 4 3 4 7 2" xfId="42179"/>
    <cellStyle name="Comma 5 4 3 4 8" xfId="26598"/>
    <cellStyle name="Comma 5 4 3 5" xfId="1210"/>
    <cellStyle name="Comma 5 4 3 5 2" xfId="3639"/>
    <cellStyle name="Comma 5 4 3 5 2 2" xfId="12775"/>
    <cellStyle name="Comma 5 4 3 5 2 2 2" xfId="22994"/>
    <cellStyle name="Comma 5 4 3 5 2 2 2 2" xfId="48547"/>
    <cellStyle name="Comma 5 4 3 5 2 2 3" xfId="38330"/>
    <cellStyle name="Comma 5 4 3 5 2 3" xfId="9196"/>
    <cellStyle name="Comma 5 4 3 5 2 3 2" xfId="34753"/>
    <cellStyle name="Comma 5 4 3 5 2 4" xfId="17987"/>
    <cellStyle name="Comma 5 4 3 5 2 4 2" xfId="43540"/>
    <cellStyle name="Comma 5 4 3 5 2 5" xfId="29477"/>
    <cellStyle name="Comma 5 4 3 5 3" xfId="5302"/>
    <cellStyle name="Comma 5 4 3 5 3 2" xfId="14139"/>
    <cellStyle name="Comma 5 4 3 5 3 2 2" xfId="24390"/>
    <cellStyle name="Comma 5 4 3 5 3 2 2 2" xfId="49943"/>
    <cellStyle name="Comma 5 4 3 5 3 2 3" xfId="39694"/>
    <cellStyle name="Comma 5 4 3 5 3 3" xfId="10560"/>
    <cellStyle name="Comma 5 4 3 5 3 3 2" xfId="36117"/>
    <cellStyle name="Comma 5 4 3 5 3 4" xfId="19383"/>
    <cellStyle name="Comma 5 4 3 5 3 4 2" xfId="44936"/>
    <cellStyle name="Comma 5 4 3 5 3 5" xfId="30873"/>
    <cellStyle name="Comma 5 4 3 5 4" xfId="1813"/>
    <cellStyle name="Comma 5 4 3 5 4 2" xfId="11181"/>
    <cellStyle name="Comma 5 4 3 5 4 2 2" xfId="36736"/>
    <cellStyle name="Comma 5 4 3 5 4 3" xfId="21185"/>
    <cellStyle name="Comma 5 4 3 5 4 3 2" xfId="46738"/>
    <cellStyle name="Comma 5 4 3 5 4 4" xfId="27668"/>
    <cellStyle name="Comma 5 4 3 5 5" xfId="6757"/>
    <cellStyle name="Comma 5 4 3 5 5 2" xfId="15584"/>
    <cellStyle name="Comma 5 4 3 5 5 2 2" xfId="41139"/>
    <cellStyle name="Comma 5 4 3 5 5 3" xfId="25835"/>
    <cellStyle name="Comma 5 4 3 5 5 3 2" xfId="51388"/>
    <cellStyle name="Comma 5 4 3 5 5 4" xfId="32318"/>
    <cellStyle name="Comma 5 4 3 5 6" xfId="8203"/>
    <cellStyle name="Comma 5 4 3 5 6 2" xfId="20593"/>
    <cellStyle name="Comma 5 4 3 5 6 2 2" xfId="46146"/>
    <cellStyle name="Comma 5 4 3 5 6 3" xfId="33760"/>
    <cellStyle name="Comma 5 4 3 5 7" xfId="16178"/>
    <cellStyle name="Comma 5 4 3 5 7 2" xfId="41731"/>
    <cellStyle name="Comma 5 4 3 5 8" xfId="27076"/>
    <cellStyle name="Comma 5 4 3 6" xfId="2707"/>
    <cellStyle name="Comma 5 4 3 6 2" xfId="12024"/>
    <cellStyle name="Comma 5 4 3 6 2 2" xfId="22068"/>
    <cellStyle name="Comma 5 4 3 6 2 2 2" xfId="47621"/>
    <cellStyle name="Comma 5 4 3 6 2 3" xfId="37579"/>
    <cellStyle name="Comma 5 4 3 6 3" xfId="7643"/>
    <cellStyle name="Comma 5 4 3 6 3 2" xfId="33200"/>
    <cellStyle name="Comma 5 4 3 6 4" xfId="17061"/>
    <cellStyle name="Comma 5 4 3 6 4 2" xfId="42614"/>
    <cellStyle name="Comma 5 4 3 6 5" xfId="28551"/>
    <cellStyle name="Comma 5 4 3 7" xfId="4258"/>
    <cellStyle name="Comma 5 4 3 7 2" xfId="13096"/>
    <cellStyle name="Comma 5 4 3 7 2 2" xfId="23347"/>
    <cellStyle name="Comma 5 4 3 7 2 2 2" xfId="48900"/>
    <cellStyle name="Comma 5 4 3 7 2 3" xfId="38651"/>
    <cellStyle name="Comma 5 4 3 7 3" xfId="9517"/>
    <cellStyle name="Comma 5 4 3 7 3 2" xfId="35074"/>
    <cellStyle name="Comma 5 4 3 7 4" xfId="18340"/>
    <cellStyle name="Comma 5 4 3 7 4 2" xfId="43893"/>
    <cellStyle name="Comma 5 4 3 7 5" xfId="29830"/>
    <cellStyle name="Comma 5 4 3 8" xfId="1530"/>
    <cellStyle name="Comma 5 4 3 8 2" xfId="10907"/>
    <cellStyle name="Comma 5 4 3 8 2 2" xfId="36462"/>
    <cellStyle name="Comma 5 4 3 8 3" xfId="20911"/>
    <cellStyle name="Comma 5 4 3 8 3 2" xfId="46464"/>
    <cellStyle name="Comma 5 4 3 8 4" xfId="27394"/>
    <cellStyle name="Comma 5 4 3 9" xfId="5714"/>
    <cellStyle name="Comma 5 4 3 9 2" xfId="14541"/>
    <cellStyle name="Comma 5 4 3 9 2 2" xfId="40096"/>
    <cellStyle name="Comma 5 4 3 9 3" xfId="24792"/>
    <cellStyle name="Comma 5 4 3 9 3 2" xfId="50345"/>
    <cellStyle name="Comma 5 4 3 9 4" xfId="31275"/>
    <cellStyle name="Comma 5 4 4" xfId="245"/>
    <cellStyle name="Comma 5 4 4 10" xfId="7083"/>
    <cellStyle name="Comma 5 4 4 10 2" xfId="19697"/>
    <cellStyle name="Comma 5 4 4 10 2 2" xfId="45250"/>
    <cellStyle name="Comma 5 4 4 10 3" xfId="32640"/>
    <cellStyle name="Comma 5 4 4 11" xfId="15829"/>
    <cellStyle name="Comma 5 4 4 11 2" xfId="41382"/>
    <cellStyle name="Comma 5 4 4 12" xfId="26180"/>
    <cellStyle name="Comma 5 4 4 2" xfId="568"/>
    <cellStyle name="Comma 5 4 4 2 10" xfId="26497"/>
    <cellStyle name="Comma 5 4 4 2 2" xfId="672"/>
    <cellStyle name="Comma 5 4 4 2 2 2" xfId="3158"/>
    <cellStyle name="Comma 5 4 4 2 2 2 2" xfId="12301"/>
    <cellStyle name="Comma 5 4 4 2 2 2 2 2" xfId="22519"/>
    <cellStyle name="Comma 5 4 4 2 2 2 2 2 2" xfId="48072"/>
    <cellStyle name="Comma 5 4 4 2 2 2 2 3" xfId="37856"/>
    <cellStyle name="Comma 5 4 4 2 2 2 3" xfId="8723"/>
    <cellStyle name="Comma 5 4 4 2 2 2 3 2" xfId="34280"/>
    <cellStyle name="Comma 5 4 4 2 2 2 4" xfId="17512"/>
    <cellStyle name="Comma 5 4 4 2 2 2 4 2" xfId="43065"/>
    <cellStyle name="Comma 5 4 4 2 2 2 5" xfId="29002"/>
    <cellStyle name="Comma 5 4 4 2 2 3" xfId="4487"/>
    <cellStyle name="Comma 5 4 4 2 2 3 2" xfId="13325"/>
    <cellStyle name="Comma 5 4 4 2 2 3 2 2" xfId="23576"/>
    <cellStyle name="Comma 5 4 4 2 2 3 2 2 2" xfId="49129"/>
    <cellStyle name="Comma 5 4 4 2 2 3 2 3" xfId="38880"/>
    <cellStyle name="Comma 5 4 4 2 2 3 3" xfId="9746"/>
    <cellStyle name="Comma 5 4 4 2 2 3 3 2" xfId="35303"/>
    <cellStyle name="Comma 5 4 4 2 2 3 4" xfId="18569"/>
    <cellStyle name="Comma 5 4 4 2 2 3 4 2" xfId="44122"/>
    <cellStyle name="Comma 5 4 4 2 2 3 5" xfId="30059"/>
    <cellStyle name="Comma 5 4 4 2 2 4" xfId="2267"/>
    <cellStyle name="Comma 5 4 4 2 2 4 2" xfId="11632"/>
    <cellStyle name="Comma 5 4 4 2 2 4 2 2" xfId="37187"/>
    <cellStyle name="Comma 5 4 4 2 2 4 3" xfId="21636"/>
    <cellStyle name="Comma 5 4 4 2 2 4 3 2" xfId="47189"/>
    <cellStyle name="Comma 5 4 4 2 2 4 4" xfId="28119"/>
    <cellStyle name="Comma 5 4 4 2 2 5" xfId="5943"/>
    <cellStyle name="Comma 5 4 4 2 2 5 2" xfId="14770"/>
    <cellStyle name="Comma 5 4 4 2 2 5 2 2" xfId="40325"/>
    <cellStyle name="Comma 5 4 4 2 2 5 3" xfId="25021"/>
    <cellStyle name="Comma 5 4 4 2 2 5 3 2" xfId="50574"/>
    <cellStyle name="Comma 5 4 4 2 2 5 4" xfId="31504"/>
    <cellStyle name="Comma 5 4 4 2 2 6" xfId="7387"/>
    <cellStyle name="Comma 5 4 4 2 2 6 2" xfId="20118"/>
    <cellStyle name="Comma 5 4 4 2 2 6 2 2" xfId="45671"/>
    <cellStyle name="Comma 5 4 4 2 2 6 3" xfId="32944"/>
    <cellStyle name="Comma 5 4 4 2 2 7" xfId="16629"/>
    <cellStyle name="Comma 5 4 4 2 2 7 2" xfId="42182"/>
    <cellStyle name="Comma 5 4 4 2 2 8" xfId="26601"/>
    <cellStyle name="Comma 5 4 4 2 3" xfId="1340"/>
    <cellStyle name="Comma 5 4 4 2 3 2" xfId="3769"/>
    <cellStyle name="Comma 5 4 4 2 3 2 2" xfId="12905"/>
    <cellStyle name="Comma 5 4 4 2 3 2 2 2" xfId="23124"/>
    <cellStyle name="Comma 5 4 4 2 3 2 2 2 2" xfId="48677"/>
    <cellStyle name="Comma 5 4 4 2 3 2 2 3" xfId="38460"/>
    <cellStyle name="Comma 5 4 4 2 3 2 3" xfId="9326"/>
    <cellStyle name="Comma 5 4 4 2 3 2 3 2" xfId="34883"/>
    <cellStyle name="Comma 5 4 4 2 3 2 4" xfId="18117"/>
    <cellStyle name="Comma 5 4 4 2 3 2 4 2" xfId="43670"/>
    <cellStyle name="Comma 5 4 4 2 3 2 5" xfId="29607"/>
    <cellStyle name="Comma 5 4 4 2 3 3" xfId="4836"/>
    <cellStyle name="Comma 5 4 4 2 3 3 2" xfId="13673"/>
    <cellStyle name="Comma 5 4 4 2 3 3 2 2" xfId="23924"/>
    <cellStyle name="Comma 5 4 4 2 3 3 2 2 2" xfId="49477"/>
    <cellStyle name="Comma 5 4 4 2 3 3 2 3" xfId="39228"/>
    <cellStyle name="Comma 5 4 4 2 3 3 3" xfId="10094"/>
    <cellStyle name="Comma 5 4 4 2 3 3 3 2" xfId="35651"/>
    <cellStyle name="Comma 5 4 4 2 3 3 4" xfId="18917"/>
    <cellStyle name="Comma 5 4 4 2 3 3 4 2" xfId="44470"/>
    <cellStyle name="Comma 5 4 4 2 3 3 5" xfId="30407"/>
    <cellStyle name="Comma 5 4 4 2 3 4" xfId="2163"/>
    <cellStyle name="Comma 5 4 4 2 3 4 2" xfId="11528"/>
    <cellStyle name="Comma 5 4 4 2 3 4 2 2" xfId="37083"/>
    <cellStyle name="Comma 5 4 4 2 3 4 3" xfId="21532"/>
    <cellStyle name="Comma 5 4 4 2 3 4 3 2" xfId="47085"/>
    <cellStyle name="Comma 5 4 4 2 3 4 4" xfId="28015"/>
    <cellStyle name="Comma 5 4 4 2 3 5" xfId="6291"/>
    <cellStyle name="Comma 5 4 4 2 3 5 2" xfId="15118"/>
    <cellStyle name="Comma 5 4 4 2 3 5 2 2" xfId="40673"/>
    <cellStyle name="Comma 5 4 4 2 3 5 3" xfId="25369"/>
    <cellStyle name="Comma 5 4 4 2 3 5 3 2" xfId="50922"/>
    <cellStyle name="Comma 5 4 4 2 3 5 4" xfId="31852"/>
    <cellStyle name="Comma 5 4 4 2 3 6" xfId="7737"/>
    <cellStyle name="Comma 5 4 4 2 3 6 2" xfId="20723"/>
    <cellStyle name="Comma 5 4 4 2 3 6 2 2" xfId="46276"/>
    <cellStyle name="Comma 5 4 4 2 3 6 3" xfId="33294"/>
    <cellStyle name="Comma 5 4 4 2 3 7" xfId="16525"/>
    <cellStyle name="Comma 5 4 4 2 3 7 2" xfId="42078"/>
    <cellStyle name="Comma 5 4 4 2 3 8" xfId="27206"/>
    <cellStyle name="Comma 5 4 4 2 4" xfId="3054"/>
    <cellStyle name="Comma 5 4 4 2 4 2" xfId="5432"/>
    <cellStyle name="Comma 5 4 4 2 4 2 2" xfId="14269"/>
    <cellStyle name="Comma 5 4 4 2 4 2 2 2" xfId="24520"/>
    <cellStyle name="Comma 5 4 4 2 4 2 2 2 2" xfId="50073"/>
    <cellStyle name="Comma 5 4 4 2 4 2 2 3" xfId="39824"/>
    <cellStyle name="Comma 5 4 4 2 4 2 3" xfId="10690"/>
    <cellStyle name="Comma 5 4 4 2 4 2 3 2" xfId="36247"/>
    <cellStyle name="Comma 5 4 4 2 4 2 4" xfId="19513"/>
    <cellStyle name="Comma 5 4 4 2 4 2 4 2" xfId="45066"/>
    <cellStyle name="Comma 5 4 4 2 4 2 5" xfId="31003"/>
    <cellStyle name="Comma 5 4 4 2 4 3" xfId="6887"/>
    <cellStyle name="Comma 5 4 4 2 4 3 2" xfId="15714"/>
    <cellStyle name="Comma 5 4 4 2 4 3 2 2" xfId="41269"/>
    <cellStyle name="Comma 5 4 4 2 4 3 3" xfId="25965"/>
    <cellStyle name="Comma 5 4 4 2 4 3 3 2" xfId="51518"/>
    <cellStyle name="Comma 5 4 4 2 4 3 4" xfId="32448"/>
    <cellStyle name="Comma 5 4 4 2 4 4" xfId="8333"/>
    <cellStyle name="Comma 5 4 4 2 4 4 2" xfId="22415"/>
    <cellStyle name="Comma 5 4 4 2 4 4 2 2" xfId="47968"/>
    <cellStyle name="Comma 5 4 4 2 4 4 3" xfId="33890"/>
    <cellStyle name="Comma 5 4 4 2 4 5" xfId="17408"/>
    <cellStyle name="Comma 5 4 4 2 4 5 2" xfId="42961"/>
    <cellStyle name="Comma 5 4 4 2 4 6" xfId="28898"/>
    <cellStyle name="Comma 5 4 4 2 5" xfId="4388"/>
    <cellStyle name="Comma 5 4 4 2 5 2" xfId="13226"/>
    <cellStyle name="Comma 5 4 4 2 5 2 2" xfId="23477"/>
    <cellStyle name="Comma 5 4 4 2 5 2 2 2" xfId="49030"/>
    <cellStyle name="Comma 5 4 4 2 5 2 3" xfId="38781"/>
    <cellStyle name="Comma 5 4 4 2 5 3" xfId="9647"/>
    <cellStyle name="Comma 5 4 4 2 5 3 2" xfId="35204"/>
    <cellStyle name="Comma 5 4 4 2 5 4" xfId="18470"/>
    <cellStyle name="Comma 5 4 4 2 5 4 2" xfId="44023"/>
    <cellStyle name="Comma 5 4 4 2 5 5" xfId="29960"/>
    <cellStyle name="Comma 5 4 4 2 6" xfId="1660"/>
    <cellStyle name="Comma 5 4 4 2 6 2" xfId="11037"/>
    <cellStyle name="Comma 5 4 4 2 6 2 2" xfId="36592"/>
    <cellStyle name="Comma 5 4 4 2 6 3" xfId="21041"/>
    <cellStyle name="Comma 5 4 4 2 6 3 2" xfId="46594"/>
    <cellStyle name="Comma 5 4 4 2 6 4" xfId="27524"/>
    <cellStyle name="Comma 5 4 4 2 7" xfId="5844"/>
    <cellStyle name="Comma 5 4 4 2 7 2" xfId="14671"/>
    <cellStyle name="Comma 5 4 4 2 7 2 2" xfId="40226"/>
    <cellStyle name="Comma 5 4 4 2 7 3" xfId="24922"/>
    <cellStyle name="Comma 5 4 4 2 7 3 2" xfId="50475"/>
    <cellStyle name="Comma 5 4 4 2 7 4" xfId="31405"/>
    <cellStyle name="Comma 5 4 4 2 8" xfId="7288"/>
    <cellStyle name="Comma 5 4 4 2 8 2" xfId="20014"/>
    <cellStyle name="Comma 5 4 4 2 8 2 2" xfId="45567"/>
    <cellStyle name="Comma 5 4 4 2 8 3" xfId="32845"/>
    <cellStyle name="Comma 5 4 4 2 9" xfId="16034"/>
    <cellStyle name="Comma 5 4 4 2 9 2" xfId="41587"/>
    <cellStyle name="Comma 5 4 4 3" xfId="363"/>
    <cellStyle name="Comma 5 4 4 3 2" xfId="2849"/>
    <cellStyle name="Comma 5 4 4 3 2 2" xfId="12137"/>
    <cellStyle name="Comma 5 4 4 3 2 2 2" xfId="22210"/>
    <cellStyle name="Comma 5 4 4 3 2 2 2 2" xfId="47763"/>
    <cellStyle name="Comma 5 4 4 3 2 2 3" xfId="37692"/>
    <cellStyle name="Comma 5 4 4 3 2 3" xfId="8518"/>
    <cellStyle name="Comma 5 4 4 3 2 3 2" xfId="34075"/>
    <cellStyle name="Comma 5 4 4 3 2 4" xfId="17203"/>
    <cellStyle name="Comma 5 4 4 3 2 4 2" xfId="42756"/>
    <cellStyle name="Comma 5 4 4 3 2 5" xfId="28693"/>
    <cellStyle name="Comma 5 4 4 3 3" xfId="4486"/>
    <cellStyle name="Comma 5 4 4 3 3 2" xfId="13324"/>
    <cellStyle name="Comma 5 4 4 3 3 2 2" xfId="23575"/>
    <cellStyle name="Comma 5 4 4 3 3 2 2 2" xfId="49128"/>
    <cellStyle name="Comma 5 4 4 3 3 2 3" xfId="38879"/>
    <cellStyle name="Comma 5 4 4 3 3 3" xfId="9745"/>
    <cellStyle name="Comma 5 4 4 3 3 3 2" xfId="35302"/>
    <cellStyle name="Comma 5 4 4 3 3 4" xfId="18568"/>
    <cellStyle name="Comma 5 4 4 3 3 4 2" xfId="44121"/>
    <cellStyle name="Comma 5 4 4 3 3 5" xfId="30058"/>
    <cellStyle name="Comma 5 4 4 3 4" xfId="1958"/>
    <cellStyle name="Comma 5 4 4 3 4 2" xfId="11323"/>
    <cellStyle name="Comma 5 4 4 3 4 2 2" xfId="36878"/>
    <cellStyle name="Comma 5 4 4 3 4 3" xfId="21327"/>
    <cellStyle name="Comma 5 4 4 3 4 3 2" xfId="46880"/>
    <cellStyle name="Comma 5 4 4 3 4 4" xfId="27810"/>
    <cellStyle name="Comma 5 4 4 3 5" xfId="5942"/>
    <cellStyle name="Comma 5 4 4 3 5 2" xfId="14769"/>
    <cellStyle name="Comma 5 4 4 3 5 2 2" xfId="40324"/>
    <cellStyle name="Comma 5 4 4 3 5 3" xfId="25020"/>
    <cellStyle name="Comma 5 4 4 3 5 3 2" xfId="50573"/>
    <cellStyle name="Comma 5 4 4 3 5 4" xfId="31503"/>
    <cellStyle name="Comma 5 4 4 3 6" xfId="7386"/>
    <cellStyle name="Comma 5 4 4 3 6 2" xfId="19809"/>
    <cellStyle name="Comma 5 4 4 3 6 2 2" xfId="45362"/>
    <cellStyle name="Comma 5 4 4 3 6 3" xfId="32943"/>
    <cellStyle name="Comma 5 4 4 3 7" xfId="16320"/>
    <cellStyle name="Comma 5 4 4 3 7 2" xfId="41873"/>
    <cellStyle name="Comma 5 4 4 3 8" xfId="26292"/>
    <cellStyle name="Comma 5 4 4 4" xfId="671"/>
    <cellStyle name="Comma 5 4 4 4 2" xfId="3157"/>
    <cellStyle name="Comma 5 4 4 4 2 2" xfId="12300"/>
    <cellStyle name="Comma 5 4 4 4 2 2 2" xfId="22518"/>
    <cellStyle name="Comma 5 4 4 4 2 2 2 2" xfId="48071"/>
    <cellStyle name="Comma 5 4 4 4 2 2 3" xfId="37855"/>
    <cellStyle name="Comma 5 4 4 4 2 3" xfId="8722"/>
    <cellStyle name="Comma 5 4 4 4 2 3 2" xfId="34279"/>
    <cellStyle name="Comma 5 4 4 4 2 4" xfId="17511"/>
    <cellStyle name="Comma 5 4 4 4 2 4 2" xfId="43064"/>
    <cellStyle name="Comma 5 4 4 4 2 5" xfId="29001"/>
    <cellStyle name="Comma 5 4 4 4 3" xfId="4835"/>
    <cellStyle name="Comma 5 4 4 4 3 2" xfId="13672"/>
    <cellStyle name="Comma 5 4 4 4 3 2 2" xfId="23923"/>
    <cellStyle name="Comma 5 4 4 4 3 2 2 2" xfId="49476"/>
    <cellStyle name="Comma 5 4 4 4 3 2 3" xfId="39227"/>
    <cellStyle name="Comma 5 4 4 4 3 3" xfId="10093"/>
    <cellStyle name="Comma 5 4 4 4 3 3 2" xfId="35650"/>
    <cellStyle name="Comma 5 4 4 4 3 4" xfId="18916"/>
    <cellStyle name="Comma 5 4 4 4 3 4 2" xfId="44469"/>
    <cellStyle name="Comma 5 4 4 4 3 5" xfId="30406"/>
    <cellStyle name="Comma 5 4 4 4 4" xfId="2266"/>
    <cellStyle name="Comma 5 4 4 4 4 2" xfId="11631"/>
    <cellStyle name="Comma 5 4 4 4 4 2 2" xfId="37186"/>
    <cellStyle name="Comma 5 4 4 4 4 3" xfId="21635"/>
    <cellStyle name="Comma 5 4 4 4 4 3 2" xfId="47188"/>
    <cellStyle name="Comma 5 4 4 4 4 4" xfId="28118"/>
    <cellStyle name="Comma 5 4 4 4 5" xfId="6290"/>
    <cellStyle name="Comma 5 4 4 4 5 2" xfId="15117"/>
    <cellStyle name="Comma 5 4 4 4 5 2 2" xfId="40672"/>
    <cellStyle name="Comma 5 4 4 4 5 3" xfId="25368"/>
    <cellStyle name="Comma 5 4 4 4 5 3 2" xfId="50921"/>
    <cellStyle name="Comma 5 4 4 4 5 4" xfId="31851"/>
    <cellStyle name="Comma 5 4 4 4 6" xfId="7736"/>
    <cellStyle name="Comma 5 4 4 4 6 2" xfId="20117"/>
    <cellStyle name="Comma 5 4 4 4 6 2 2" xfId="45670"/>
    <cellStyle name="Comma 5 4 4 4 6 3" xfId="33293"/>
    <cellStyle name="Comma 5 4 4 4 7" xfId="16628"/>
    <cellStyle name="Comma 5 4 4 4 7 2" xfId="42181"/>
    <cellStyle name="Comma 5 4 4 4 8" xfId="26600"/>
    <cellStyle name="Comma 5 4 4 5" xfId="1135"/>
    <cellStyle name="Comma 5 4 4 5 2" xfId="3564"/>
    <cellStyle name="Comma 5 4 4 5 2 2" xfId="12700"/>
    <cellStyle name="Comma 5 4 4 5 2 2 2" xfId="22919"/>
    <cellStyle name="Comma 5 4 4 5 2 2 2 2" xfId="48472"/>
    <cellStyle name="Comma 5 4 4 5 2 2 3" xfId="38255"/>
    <cellStyle name="Comma 5 4 4 5 2 3" xfId="9121"/>
    <cellStyle name="Comma 5 4 4 5 2 3 2" xfId="34678"/>
    <cellStyle name="Comma 5 4 4 5 2 4" xfId="17912"/>
    <cellStyle name="Comma 5 4 4 5 2 4 2" xfId="43465"/>
    <cellStyle name="Comma 5 4 4 5 2 5" xfId="29402"/>
    <cellStyle name="Comma 5 4 4 5 3" xfId="5227"/>
    <cellStyle name="Comma 5 4 4 5 3 2" xfId="14064"/>
    <cellStyle name="Comma 5 4 4 5 3 2 2" xfId="24315"/>
    <cellStyle name="Comma 5 4 4 5 3 2 2 2" xfId="49868"/>
    <cellStyle name="Comma 5 4 4 5 3 2 3" xfId="39619"/>
    <cellStyle name="Comma 5 4 4 5 3 3" xfId="10485"/>
    <cellStyle name="Comma 5 4 4 5 3 3 2" xfId="36042"/>
    <cellStyle name="Comma 5 4 4 5 3 4" xfId="19308"/>
    <cellStyle name="Comma 5 4 4 5 3 4 2" xfId="44861"/>
    <cellStyle name="Comma 5 4 4 5 3 5" xfId="30798"/>
    <cellStyle name="Comma 5 4 4 5 4" xfId="1843"/>
    <cellStyle name="Comma 5 4 4 5 4 2" xfId="11211"/>
    <cellStyle name="Comma 5 4 4 5 4 2 2" xfId="36766"/>
    <cellStyle name="Comma 5 4 4 5 4 3" xfId="21215"/>
    <cellStyle name="Comma 5 4 4 5 4 3 2" xfId="46768"/>
    <cellStyle name="Comma 5 4 4 5 4 4" xfId="27698"/>
    <cellStyle name="Comma 5 4 4 5 5" xfId="6682"/>
    <cellStyle name="Comma 5 4 4 5 5 2" xfId="15509"/>
    <cellStyle name="Comma 5 4 4 5 5 2 2" xfId="41064"/>
    <cellStyle name="Comma 5 4 4 5 5 3" xfId="25760"/>
    <cellStyle name="Comma 5 4 4 5 5 3 2" xfId="51313"/>
    <cellStyle name="Comma 5 4 4 5 5 4" xfId="32243"/>
    <cellStyle name="Comma 5 4 4 5 6" xfId="8128"/>
    <cellStyle name="Comma 5 4 4 5 6 2" xfId="20518"/>
    <cellStyle name="Comma 5 4 4 5 6 2 2" xfId="46071"/>
    <cellStyle name="Comma 5 4 4 5 6 3" xfId="33685"/>
    <cellStyle name="Comma 5 4 4 5 7" xfId="16208"/>
    <cellStyle name="Comma 5 4 4 5 7 2" xfId="41761"/>
    <cellStyle name="Comma 5 4 4 5 8" xfId="27001"/>
    <cellStyle name="Comma 5 4 4 6" xfId="2737"/>
    <cellStyle name="Comma 5 4 4 6 2" xfId="12054"/>
    <cellStyle name="Comma 5 4 4 6 2 2" xfId="22098"/>
    <cellStyle name="Comma 5 4 4 6 2 2 2" xfId="47651"/>
    <cellStyle name="Comma 5 4 4 6 2 3" xfId="37609"/>
    <cellStyle name="Comma 5 4 4 6 3" xfId="8543"/>
    <cellStyle name="Comma 5 4 4 6 3 2" xfId="34100"/>
    <cellStyle name="Comma 5 4 4 6 4" xfId="17091"/>
    <cellStyle name="Comma 5 4 4 6 4 2" xfId="42644"/>
    <cellStyle name="Comma 5 4 4 6 5" xfId="28581"/>
    <cellStyle name="Comma 5 4 4 7" xfId="4183"/>
    <cellStyle name="Comma 5 4 4 7 2" xfId="13021"/>
    <cellStyle name="Comma 5 4 4 7 2 2" xfId="23272"/>
    <cellStyle name="Comma 5 4 4 7 2 2 2" xfId="48825"/>
    <cellStyle name="Comma 5 4 4 7 2 3" xfId="38576"/>
    <cellStyle name="Comma 5 4 4 7 3" xfId="9442"/>
    <cellStyle name="Comma 5 4 4 7 3 2" xfId="34999"/>
    <cellStyle name="Comma 5 4 4 7 4" xfId="18265"/>
    <cellStyle name="Comma 5 4 4 7 4 2" xfId="43818"/>
    <cellStyle name="Comma 5 4 4 7 5" xfId="29755"/>
    <cellStyle name="Comma 5 4 4 8" xfId="1455"/>
    <cellStyle name="Comma 5 4 4 8 2" xfId="10832"/>
    <cellStyle name="Comma 5 4 4 8 2 2" xfId="36387"/>
    <cellStyle name="Comma 5 4 4 8 3" xfId="20836"/>
    <cellStyle name="Comma 5 4 4 8 3 2" xfId="46389"/>
    <cellStyle name="Comma 5 4 4 8 4" xfId="27319"/>
    <cellStyle name="Comma 5 4 4 9" xfId="5639"/>
    <cellStyle name="Comma 5 4 4 9 2" xfId="14466"/>
    <cellStyle name="Comma 5 4 4 9 2 2" xfId="40021"/>
    <cellStyle name="Comma 5 4 4 9 3" xfId="24717"/>
    <cellStyle name="Comma 5 4 4 9 3 2" xfId="50270"/>
    <cellStyle name="Comma 5 4 4 9 4" xfId="31200"/>
    <cellStyle name="Comma 5 4 5" xfId="463"/>
    <cellStyle name="Comma 5 4 5 10" xfId="26392"/>
    <cellStyle name="Comma 5 4 5 2" xfId="673"/>
    <cellStyle name="Comma 5 4 5 2 2" xfId="3159"/>
    <cellStyle name="Comma 5 4 5 2 2 2" xfId="12302"/>
    <cellStyle name="Comma 5 4 5 2 2 2 2" xfId="22520"/>
    <cellStyle name="Comma 5 4 5 2 2 2 2 2" xfId="48073"/>
    <cellStyle name="Comma 5 4 5 2 2 2 3" xfId="37857"/>
    <cellStyle name="Comma 5 4 5 2 2 3" xfId="8724"/>
    <cellStyle name="Comma 5 4 5 2 2 3 2" xfId="34281"/>
    <cellStyle name="Comma 5 4 5 2 2 4" xfId="17513"/>
    <cellStyle name="Comma 5 4 5 2 2 4 2" xfId="43066"/>
    <cellStyle name="Comma 5 4 5 2 2 5" xfId="29003"/>
    <cellStyle name="Comma 5 4 5 2 3" xfId="4488"/>
    <cellStyle name="Comma 5 4 5 2 3 2" xfId="13326"/>
    <cellStyle name="Comma 5 4 5 2 3 2 2" xfId="23577"/>
    <cellStyle name="Comma 5 4 5 2 3 2 2 2" xfId="49130"/>
    <cellStyle name="Comma 5 4 5 2 3 2 3" xfId="38881"/>
    <cellStyle name="Comma 5 4 5 2 3 3" xfId="9747"/>
    <cellStyle name="Comma 5 4 5 2 3 3 2" xfId="35304"/>
    <cellStyle name="Comma 5 4 5 2 3 4" xfId="18570"/>
    <cellStyle name="Comma 5 4 5 2 3 4 2" xfId="44123"/>
    <cellStyle name="Comma 5 4 5 2 3 5" xfId="30060"/>
    <cellStyle name="Comma 5 4 5 2 4" xfId="2268"/>
    <cellStyle name="Comma 5 4 5 2 4 2" xfId="11633"/>
    <cellStyle name="Comma 5 4 5 2 4 2 2" xfId="37188"/>
    <cellStyle name="Comma 5 4 5 2 4 3" xfId="21637"/>
    <cellStyle name="Comma 5 4 5 2 4 3 2" xfId="47190"/>
    <cellStyle name="Comma 5 4 5 2 4 4" xfId="28120"/>
    <cellStyle name="Comma 5 4 5 2 5" xfId="5944"/>
    <cellStyle name="Comma 5 4 5 2 5 2" xfId="14771"/>
    <cellStyle name="Comma 5 4 5 2 5 2 2" xfId="40326"/>
    <cellStyle name="Comma 5 4 5 2 5 3" xfId="25022"/>
    <cellStyle name="Comma 5 4 5 2 5 3 2" xfId="50575"/>
    <cellStyle name="Comma 5 4 5 2 5 4" xfId="31505"/>
    <cellStyle name="Comma 5 4 5 2 6" xfId="7388"/>
    <cellStyle name="Comma 5 4 5 2 6 2" xfId="20119"/>
    <cellStyle name="Comma 5 4 5 2 6 2 2" xfId="45672"/>
    <cellStyle name="Comma 5 4 5 2 6 3" xfId="32945"/>
    <cellStyle name="Comma 5 4 5 2 7" xfId="16630"/>
    <cellStyle name="Comma 5 4 5 2 7 2" xfId="42183"/>
    <cellStyle name="Comma 5 4 5 2 8" xfId="26602"/>
    <cellStyle name="Comma 5 4 5 3" xfId="1235"/>
    <cellStyle name="Comma 5 4 5 3 2" xfId="3664"/>
    <cellStyle name="Comma 5 4 5 3 2 2" xfId="12800"/>
    <cellStyle name="Comma 5 4 5 3 2 2 2" xfId="23019"/>
    <cellStyle name="Comma 5 4 5 3 2 2 2 2" xfId="48572"/>
    <cellStyle name="Comma 5 4 5 3 2 2 3" xfId="38355"/>
    <cellStyle name="Comma 5 4 5 3 2 3" xfId="9221"/>
    <cellStyle name="Comma 5 4 5 3 2 3 2" xfId="34778"/>
    <cellStyle name="Comma 5 4 5 3 2 4" xfId="18012"/>
    <cellStyle name="Comma 5 4 5 3 2 4 2" xfId="43565"/>
    <cellStyle name="Comma 5 4 5 3 2 5" xfId="29502"/>
    <cellStyle name="Comma 5 4 5 3 3" xfId="4837"/>
    <cellStyle name="Comma 5 4 5 3 3 2" xfId="13674"/>
    <cellStyle name="Comma 5 4 5 3 3 2 2" xfId="23925"/>
    <cellStyle name="Comma 5 4 5 3 3 2 2 2" xfId="49478"/>
    <cellStyle name="Comma 5 4 5 3 3 2 3" xfId="39229"/>
    <cellStyle name="Comma 5 4 5 3 3 3" xfId="10095"/>
    <cellStyle name="Comma 5 4 5 3 3 3 2" xfId="35652"/>
    <cellStyle name="Comma 5 4 5 3 3 4" xfId="18918"/>
    <cellStyle name="Comma 5 4 5 3 3 4 2" xfId="44471"/>
    <cellStyle name="Comma 5 4 5 3 3 5" xfId="30408"/>
    <cellStyle name="Comma 5 4 5 3 4" xfId="2058"/>
    <cellStyle name="Comma 5 4 5 3 4 2" xfId="11423"/>
    <cellStyle name="Comma 5 4 5 3 4 2 2" xfId="36978"/>
    <cellStyle name="Comma 5 4 5 3 4 3" xfId="21427"/>
    <cellStyle name="Comma 5 4 5 3 4 3 2" xfId="46980"/>
    <cellStyle name="Comma 5 4 5 3 4 4" xfId="27910"/>
    <cellStyle name="Comma 5 4 5 3 5" xfId="6292"/>
    <cellStyle name="Comma 5 4 5 3 5 2" xfId="15119"/>
    <cellStyle name="Comma 5 4 5 3 5 2 2" xfId="40674"/>
    <cellStyle name="Comma 5 4 5 3 5 3" xfId="25370"/>
    <cellStyle name="Comma 5 4 5 3 5 3 2" xfId="50923"/>
    <cellStyle name="Comma 5 4 5 3 5 4" xfId="31853"/>
    <cellStyle name="Comma 5 4 5 3 6" xfId="7738"/>
    <cellStyle name="Comma 5 4 5 3 6 2" xfId="20618"/>
    <cellStyle name="Comma 5 4 5 3 6 2 2" xfId="46171"/>
    <cellStyle name="Comma 5 4 5 3 6 3" xfId="33295"/>
    <cellStyle name="Comma 5 4 5 3 7" xfId="16420"/>
    <cellStyle name="Comma 5 4 5 3 7 2" xfId="41973"/>
    <cellStyle name="Comma 5 4 5 3 8" xfId="27101"/>
    <cellStyle name="Comma 5 4 5 4" xfId="2949"/>
    <cellStyle name="Comma 5 4 5 4 2" xfId="5327"/>
    <cellStyle name="Comma 5 4 5 4 2 2" xfId="14164"/>
    <cellStyle name="Comma 5 4 5 4 2 2 2" xfId="24415"/>
    <cellStyle name="Comma 5 4 5 4 2 2 2 2" xfId="49968"/>
    <cellStyle name="Comma 5 4 5 4 2 2 3" xfId="39719"/>
    <cellStyle name="Comma 5 4 5 4 2 3" xfId="10585"/>
    <cellStyle name="Comma 5 4 5 4 2 3 2" xfId="36142"/>
    <cellStyle name="Comma 5 4 5 4 2 4" xfId="19408"/>
    <cellStyle name="Comma 5 4 5 4 2 4 2" xfId="44961"/>
    <cellStyle name="Comma 5 4 5 4 2 5" xfId="30898"/>
    <cellStyle name="Comma 5 4 5 4 3" xfId="6782"/>
    <cellStyle name="Comma 5 4 5 4 3 2" xfId="15609"/>
    <cellStyle name="Comma 5 4 5 4 3 2 2" xfId="41164"/>
    <cellStyle name="Comma 5 4 5 4 3 3" xfId="25860"/>
    <cellStyle name="Comma 5 4 5 4 3 3 2" xfId="51413"/>
    <cellStyle name="Comma 5 4 5 4 3 4" xfId="32343"/>
    <cellStyle name="Comma 5 4 5 4 4" xfId="8228"/>
    <cellStyle name="Comma 5 4 5 4 4 2" xfId="22310"/>
    <cellStyle name="Comma 5 4 5 4 4 2 2" xfId="47863"/>
    <cellStyle name="Comma 5 4 5 4 4 3" xfId="33785"/>
    <cellStyle name="Comma 5 4 5 4 5" xfId="17303"/>
    <cellStyle name="Comma 5 4 5 4 5 2" xfId="42856"/>
    <cellStyle name="Comma 5 4 5 4 6" xfId="28793"/>
    <cellStyle name="Comma 5 4 5 5" xfId="4283"/>
    <cellStyle name="Comma 5 4 5 5 2" xfId="13121"/>
    <cellStyle name="Comma 5 4 5 5 2 2" xfId="23372"/>
    <cellStyle name="Comma 5 4 5 5 2 2 2" xfId="48925"/>
    <cellStyle name="Comma 5 4 5 5 2 3" xfId="38676"/>
    <cellStyle name="Comma 5 4 5 5 3" xfId="9542"/>
    <cellStyle name="Comma 5 4 5 5 3 2" xfId="35099"/>
    <cellStyle name="Comma 5 4 5 5 4" xfId="18365"/>
    <cellStyle name="Comma 5 4 5 5 4 2" xfId="43918"/>
    <cellStyle name="Comma 5 4 5 5 5" xfId="29855"/>
    <cellStyle name="Comma 5 4 5 6" xfId="1555"/>
    <cellStyle name="Comma 5 4 5 6 2" xfId="10932"/>
    <cellStyle name="Comma 5 4 5 6 2 2" xfId="36487"/>
    <cellStyle name="Comma 5 4 5 6 3" xfId="20936"/>
    <cellStyle name="Comma 5 4 5 6 3 2" xfId="46489"/>
    <cellStyle name="Comma 5 4 5 6 4" xfId="27419"/>
    <cellStyle name="Comma 5 4 5 7" xfId="5739"/>
    <cellStyle name="Comma 5 4 5 7 2" xfId="14566"/>
    <cellStyle name="Comma 5 4 5 7 2 2" xfId="40121"/>
    <cellStyle name="Comma 5 4 5 7 3" xfId="24817"/>
    <cellStyle name="Comma 5 4 5 7 3 2" xfId="50370"/>
    <cellStyle name="Comma 5 4 5 7 4" xfId="31300"/>
    <cellStyle name="Comma 5 4 5 8" xfId="7183"/>
    <cellStyle name="Comma 5 4 5 8 2" xfId="19909"/>
    <cellStyle name="Comma 5 4 5 8 2 2" xfId="45462"/>
    <cellStyle name="Comma 5 4 5 8 3" xfId="32740"/>
    <cellStyle name="Comma 5 4 5 9" xfId="15929"/>
    <cellStyle name="Comma 5 4 5 9 2" xfId="41482"/>
    <cellStyle name="Comma 5 4 6" xfId="338"/>
    <cellStyle name="Comma 5 4 6 10" xfId="26267"/>
    <cellStyle name="Comma 5 4 6 2" xfId="674"/>
    <cellStyle name="Comma 5 4 6 2 2" xfId="3160"/>
    <cellStyle name="Comma 5 4 6 2 2 2" xfId="12303"/>
    <cellStyle name="Comma 5 4 6 2 2 2 2" xfId="22521"/>
    <cellStyle name="Comma 5 4 6 2 2 2 2 2" xfId="48074"/>
    <cellStyle name="Comma 5 4 6 2 2 2 3" xfId="37858"/>
    <cellStyle name="Comma 5 4 6 2 2 3" xfId="8725"/>
    <cellStyle name="Comma 5 4 6 2 2 3 2" xfId="34282"/>
    <cellStyle name="Comma 5 4 6 2 2 4" xfId="17514"/>
    <cellStyle name="Comma 5 4 6 2 2 4 2" xfId="43067"/>
    <cellStyle name="Comma 5 4 6 2 2 5" xfId="29004"/>
    <cellStyle name="Comma 5 4 6 2 3" xfId="4489"/>
    <cellStyle name="Comma 5 4 6 2 3 2" xfId="13327"/>
    <cellStyle name="Comma 5 4 6 2 3 2 2" xfId="23578"/>
    <cellStyle name="Comma 5 4 6 2 3 2 2 2" xfId="49131"/>
    <cellStyle name="Comma 5 4 6 2 3 2 3" xfId="38882"/>
    <cellStyle name="Comma 5 4 6 2 3 3" xfId="9748"/>
    <cellStyle name="Comma 5 4 6 2 3 3 2" xfId="35305"/>
    <cellStyle name="Comma 5 4 6 2 3 4" xfId="18571"/>
    <cellStyle name="Comma 5 4 6 2 3 4 2" xfId="44124"/>
    <cellStyle name="Comma 5 4 6 2 3 5" xfId="30061"/>
    <cellStyle name="Comma 5 4 6 2 4" xfId="2269"/>
    <cellStyle name="Comma 5 4 6 2 4 2" xfId="11634"/>
    <cellStyle name="Comma 5 4 6 2 4 2 2" xfId="37189"/>
    <cellStyle name="Comma 5 4 6 2 4 3" xfId="21638"/>
    <cellStyle name="Comma 5 4 6 2 4 3 2" xfId="47191"/>
    <cellStyle name="Comma 5 4 6 2 4 4" xfId="28121"/>
    <cellStyle name="Comma 5 4 6 2 5" xfId="5945"/>
    <cellStyle name="Comma 5 4 6 2 5 2" xfId="14772"/>
    <cellStyle name="Comma 5 4 6 2 5 2 2" xfId="40327"/>
    <cellStyle name="Comma 5 4 6 2 5 3" xfId="25023"/>
    <cellStyle name="Comma 5 4 6 2 5 3 2" xfId="50576"/>
    <cellStyle name="Comma 5 4 6 2 5 4" xfId="31506"/>
    <cellStyle name="Comma 5 4 6 2 6" xfId="7389"/>
    <cellStyle name="Comma 5 4 6 2 6 2" xfId="20120"/>
    <cellStyle name="Comma 5 4 6 2 6 2 2" xfId="45673"/>
    <cellStyle name="Comma 5 4 6 2 6 3" xfId="32946"/>
    <cellStyle name="Comma 5 4 6 2 7" xfId="16631"/>
    <cellStyle name="Comma 5 4 6 2 7 2" xfId="42184"/>
    <cellStyle name="Comma 5 4 6 2 8" xfId="26603"/>
    <cellStyle name="Comma 5 4 6 3" xfId="1110"/>
    <cellStyle name="Comma 5 4 6 3 2" xfId="3539"/>
    <cellStyle name="Comma 5 4 6 3 2 2" xfId="12675"/>
    <cellStyle name="Comma 5 4 6 3 2 2 2" xfId="22894"/>
    <cellStyle name="Comma 5 4 6 3 2 2 2 2" xfId="48447"/>
    <cellStyle name="Comma 5 4 6 3 2 2 3" xfId="38230"/>
    <cellStyle name="Comma 5 4 6 3 2 3" xfId="9096"/>
    <cellStyle name="Comma 5 4 6 3 2 3 2" xfId="34653"/>
    <cellStyle name="Comma 5 4 6 3 2 4" xfId="17887"/>
    <cellStyle name="Comma 5 4 6 3 2 4 2" xfId="43440"/>
    <cellStyle name="Comma 5 4 6 3 2 5" xfId="29377"/>
    <cellStyle name="Comma 5 4 6 3 3" xfId="4838"/>
    <cellStyle name="Comma 5 4 6 3 3 2" xfId="13675"/>
    <cellStyle name="Comma 5 4 6 3 3 2 2" xfId="23926"/>
    <cellStyle name="Comma 5 4 6 3 3 2 2 2" xfId="49479"/>
    <cellStyle name="Comma 5 4 6 3 3 2 3" xfId="39230"/>
    <cellStyle name="Comma 5 4 6 3 3 3" xfId="10096"/>
    <cellStyle name="Comma 5 4 6 3 3 3 2" xfId="35653"/>
    <cellStyle name="Comma 5 4 6 3 3 4" xfId="18919"/>
    <cellStyle name="Comma 5 4 6 3 3 4 2" xfId="44472"/>
    <cellStyle name="Comma 5 4 6 3 3 5" xfId="30409"/>
    <cellStyle name="Comma 5 4 6 3 4" xfId="2573"/>
    <cellStyle name="Comma 5 4 6 3 4 2" xfId="11937"/>
    <cellStyle name="Comma 5 4 6 3 4 2 2" xfId="37492"/>
    <cellStyle name="Comma 5 4 6 3 4 3" xfId="21941"/>
    <cellStyle name="Comma 5 4 6 3 4 3 2" xfId="47494"/>
    <cellStyle name="Comma 5 4 6 3 4 4" xfId="28424"/>
    <cellStyle name="Comma 5 4 6 3 5" xfId="6293"/>
    <cellStyle name="Comma 5 4 6 3 5 2" xfId="15120"/>
    <cellStyle name="Comma 5 4 6 3 5 2 2" xfId="40675"/>
    <cellStyle name="Comma 5 4 6 3 5 3" xfId="25371"/>
    <cellStyle name="Comma 5 4 6 3 5 3 2" xfId="50924"/>
    <cellStyle name="Comma 5 4 6 3 5 4" xfId="31854"/>
    <cellStyle name="Comma 5 4 6 3 6" xfId="7739"/>
    <cellStyle name="Comma 5 4 6 3 6 2" xfId="20493"/>
    <cellStyle name="Comma 5 4 6 3 6 2 2" xfId="46046"/>
    <cellStyle name="Comma 5 4 6 3 6 3" xfId="33296"/>
    <cellStyle name="Comma 5 4 6 3 7" xfId="16934"/>
    <cellStyle name="Comma 5 4 6 3 7 2" xfId="42487"/>
    <cellStyle name="Comma 5 4 6 3 8" xfId="26976"/>
    <cellStyle name="Comma 5 4 6 4" xfId="2824"/>
    <cellStyle name="Comma 5 4 6 4 2" xfId="5202"/>
    <cellStyle name="Comma 5 4 6 4 2 2" xfId="14039"/>
    <cellStyle name="Comma 5 4 6 4 2 2 2" xfId="24290"/>
    <cellStyle name="Comma 5 4 6 4 2 2 2 2" xfId="49843"/>
    <cellStyle name="Comma 5 4 6 4 2 2 3" xfId="39594"/>
    <cellStyle name="Comma 5 4 6 4 2 3" xfId="10460"/>
    <cellStyle name="Comma 5 4 6 4 2 3 2" xfId="36017"/>
    <cellStyle name="Comma 5 4 6 4 2 4" xfId="19283"/>
    <cellStyle name="Comma 5 4 6 4 2 4 2" xfId="44836"/>
    <cellStyle name="Comma 5 4 6 4 2 5" xfId="30773"/>
    <cellStyle name="Comma 5 4 6 4 3" xfId="6657"/>
    <cellStyle name="Comma 5 4 6 4 3 2" xfId="15484"/>
    <cellStyle name="Comma 5 4 6 4 3 2 2" xfId="41039"/>
    <cellStyle name="Comma 5 4 6 4 3 3" xfId="25735"/>
    <cellStyle name="Comma 5 4 6 4 3 3 2" xfId="51288"/>
    <cellStyle name="Comma 5 4 6 4 3 4" xfId="32218"/>
    <cellStyle name="Comma 5 4 6 4 4" xfId="8103"/>
    <cellStyle name="Comma 5 4 6 4 4 2" xfId="22185"/>
    <cellStyle name="Comma 5 4 6 4 4 2 2" xfId="47738"/>
    <cellStyle name="Comma 5 4 6 4 4 3" xfId="33660"/>
    <cellStyle name="Comma 5 4 6 4 5" xfId="17178"/>
    <cellStyle name="Comma 5 4 6 4 5 2" xfId="42731"/>
    <cellStyle name="Comma 5 4 6 4 6" xfId="28668"/>
    <cellStyle name="Comma 5 4 6 5" xfId="4156"/>
    <cellStyle name="Comma 5 4 6 5 2" xfId="12994"/>
    <cellStyle name="Comma 5 4 6 5 2 2" xfId="23245"/>
    <cellStyle name="Comma 5 4 6 5 2 2 2" xfId="48798"/>
    <cellStyle name="Comma 5 4 6 5 2 3" xfId="38549"/>
    <cellStyle name="Comma 5 4 6 5 3" xfId="9415"/>
    <cellStyle name="Comma 5 4 6 5 3 2" xfId="34972"/>
    <cellStyle name="Comma 5 4 6 5 4" xfId="18238"/>
    <cellStyle name="Comma 5 4 6 5 4 2" xfId="43791"/>
    <cellStyle name="Comma 5 4 6 5 5" xfId="29728"/>
    <cellStyle name="Comma 5 4 6 6" xfId="1933"/>
    <cellStyle name="Comma 5 4 6 6 2" xfId="11298"/>
    <cellStyle name="Comma 5 4 6 6 2 2" xfId="36853"/>
    <cellStyle name="Comma 5 4 6 6 3" xfId="21302"/>
    <cellStyle name="Comma 5 4 6 6 3 2" xfId="46855"/>
    <cellStyle name="Comma 5 4 6 6 4" xfId="27785"/>
    <cellStyle name="Comma 5 4 6 7" xfId="5614"/>
    <cellStyle name="Comma 5 4 6 7 2" xfId="14441"/>
    <cellStyle name="Comma 5 4 6 7 2 2" xfId="39996"/>
    <cellStyle name="Comma 5 4 6 7 3" xfId="24692"/>
    <cellStyle name="Comma 5 4 6 7 3 2" xfId="50245"/>
    <cellStyle name="Comma 5 4 6 7 4" xfId="31175"/>
    <cellStyle name="Comma 5 4 6 8" xfId="7058"/>
    <cellStyle name="Comma 5 4 6 8 2" xfId="19784"/>
    <cellStyle name="Comma 5 4 6 8 2 2" xfId="45337"/>
    <cellStyle name="Comma 5 4 6 8 3" xfId="32615"/>
    <cellStyle name="Comma 5 4 6 9" xfId="16295"/>
    <cellStyle name="Comma 5 4 6 9 2" xfId="41848"/>
    <cellStyle name="Comma 5 4 7" xfId="665"/>
    <cellStyle name="Comma 5 4 7 2" xfId="3151"/>
    <cellStyle name="Comma 5 4 7 2 2" xfId="12294"/>
    <cellStyle name="Comma 5 4 7 2 2 2" xfId="22512"/>
    <cellStyle name="Comma 5 4 7 2 2 2 2" xfId="48065"/>
    <cellStyle name="Comma 5 4 7 2 2 3" xfId="37849"/>
    <cellStyle name="Comma 5 4 7 2 3" xfId="8716"/>
    <cellStyle name="Comma 5 4 7 2 3 2" xfId="34273"/>
    <cellStyle name="Comma 5 4 7 2 4" xfId="17505"/>
    <cellStyle name="Comma 5 4 7 2 4 2" xfId="43058"/>
    <cellStyle name="Comma 5 4 7 2 5" xfId="28995"/>
    <cellStyle name="Comma 5 4 7 3" xfId="4480"/>
    <cellStyle name="Comma 5 4 7 3 2" xfId="13318"/>
    <cellStyle name="Comma 5 4 7 3 2 2" xfId="23569"/>
    <cellStyle name="Comma 5 4 7 3 2 2 2" xfId="49122"/>
    <cellStyle name="Comma 5 4 7 3 2 3" xfId="38873"/>
    <cellStyle name="Comma 5 4 7 3 3" xfId="9739"/>
    <cellStyle name="Comma 5 4 7 3 3 2" xfId="35296"/>
    <cellStyle name="Comma 5 4 7 3 4" xfId="18562"/>
    <cellStyle name="Comma 5 4 7 3 4 2" xfId="44115"/>
    <cellStyle name="Comma 5 4 7 3 5" xfId="30052"/>
    <cellStyle name="Comma 5 4 7 4" xfId="2260"/>
    <cellStyle name="Comma 5 4 7 4 2" xfId="11625"/>
    <cellStyle name="Comma 5 4 7 4 2 2" xfId="37180"/>
    <cellStyle name="Comma 5 4 7 4 3" xfId="21629"/>
    <cellStyle name="Comma 5 4 7 4 3 2" xfId="47182"/>
    <cellStyle name="Comma 5 4 7 4 4" xfId="28112"/>
    <cellStyle name="Comma 5 4 7 5" xfId="5936"/>
    <cellStyle name="Comma 5 4 7 5 2" xfId="14763"/>
    <cellStyle name="Comma 5 4 7 5 2 2" xfId="40318"/>
    <cellStyle name="Comma 5 4 7 5 3" xfId="25014"/>
    <cellStyle name="Comma 5 4 7 5 3 2" xfId="50567"/>
    <cellStyle name="Comma 5 4 7 5 4" xfId="31497"/>
    <cellStyle name="Comma 5 4 7 6" xfId="7380"/>
    <cellStyle name="Comma 5 4 7 6 2" xfId="20111"/>
    <cellStyle name="Comma 5 4 7 6 2 2" xfId="45664"/>
    <cellStyle name="Comma 5 4 7 6 3" xfId="32937"/>
    <cellStyle name="Comma 5 4 7 7" xfId="16622"/>
    <cellStyle name="Comma 5 4 7 7 2" xfId="42175"/>
    <cellStyle name="Comma 5 4 7 8" xfId="26594"/>
    <cellStyle name="Comma 5 4 8" xfId="1065"/>
    <cellStyle name="Comma 5 4 8 2" xfId="3494"/>
    <cellStyle name="Comma 5 4 8 2 2" xfId="12630"/>
    <cellStyle name="Comma 5 4 8 2 2 2" xfId="22849"/>
    <cellStyle name="Comma 5 4 8 2 2 2 2" xfId="48402"/>
    <cellStyle name="Comma 5 4 8 2 2 3" xfId="38185"/>
    <cellStyle name="Comma 5 4 8 2 3" xfId="9052"/>
    <cellStyle name="Comma 5 4 8 2 3 2" xfId="34609"/>
    <cellStyle name="Comma 5 4 8 2 4" xfId="17842"/>
    <cellStyle name="Comma 5 4 8 2 4 2" xfId="43395"/>
    <cellStyle name="Comma 5 4 8 2 5" xfId="29332"/>
    <cellStyle name="Comma 5 4 8 3" xfId="4829"/>
    <cellStyle name="Comma 5 4 8 3 2" xfId="13666"/>
    <cellStyle name="Comma 5 4 8 3 2 2" xfId="23917"/>
    <cellStyle name="Comma 5 4 8 3 2 2 2" xfId="49470"/>
    <cellStyle name="Comma 5 4 8 3 2 3" xfId="39221"/>
    <cellStyle name="Comma 5 4 8 3 3" xfId="10087"/>
    <cellStyle name="Comma 5 4 8 3 3 2" xfId="35644"/>
    <cellStyle name="Comma 5 4 8 3 4" xfId="18910"/>
    <cellStyle name="Comma 5 4 8 3 4 2" xfId="44463"/>
    <cellStyle name="Comma 5 4 8 3 5" xfId="30400"/>
    <cellStyle name="Comma 5 4 8 4" xfId="1731"/>
    <cellStyle name="Comma 5 4 8 4 2" xfId="11105"/>
    <cellStyle name="Comma 5 4 8 4 2 2" xfId="36660"/>
    <cellStyle name="Comma 5 4 8 4 3" xfId="21109"/>
    <cellStyle name="Comma 5 4 8 4 3 2" xfId="46662"/>
    <cellStyle name="Comma 5 4 8 4 4" xfId="27592"/>
    <cellStyle name="Comma 5 4 8 5" xfId="6284"/>
    <cellStyle name="Comma 5 4 8 5 2" xfId="15111"/>
    <cellStyle name="Comma 5 4 8 5 2 2" xfId="40666"/>
    <cellStyle name="Comma 5 4 8 5 3" xfId="25362"/>
    <cellStyle name="Comma 5 4 8 5 3 2" xfId="50915"/>
    <cellStyle name="Comma 5 4 8 5 4" xfId="31845"/>
    <cellStyle name="Comma 5 4 8 6" xfId="7730"/>
    <cellStyle name="Comma 5 4 8 6 2" xfId="20448"/>
    <cellStyle name="Comma 5 4 8 6 2 2" xfId="46001"/>
    <cellStyle name="Comma 5 4 8 6 3" xfId="33287"/>
    <cellStyle name="Comma 5 4 8 7" xfId="16102"/>
    <cellStyle name="Comma 5 4 8 7 2" xfId="41655"/>
    <cellStyle name="Comma 5 4 8 8" xfId="26931"/>
    <cellStyle name="Comma 5 4 9" xfId="2631"/>
    <cellStyle name="Comma 5 4 9 2" xfId="5157"/>
    <cellStyle name="Comma 5 4 9 2 2" xfId="13994"/>
    <cellStyle name="Comma 5 4 9 2 2 2" xfId="24245"/>
    <cellStyle name="Comma 5 4 9 2 2 2 2" xfId="49798"/>
    <cellStyle name="Comma 5 4 9 2 2 3" xfId="39549"/>
    <cellStyle name="Comma 5 4 9 2 3" xfId="10415"/>
    <cellStyle name="Comma 5 4 9 2 3 2" xfId="35972"/>
    <cellStyle name="Comma 5 4 9 2 4" xfId="19238"/>
    <cellStyle name="Comma 5 4 9 2 4 2" xfId="44791"/>
    <cellStyle name="Comma 5 4 9 2 5" xfId="30728"/>
    <cellStyle name="Comma 5 4 9 3" xfId="6612"/>
    <cellStyle name="Comma 5 4 9 3 2" xfId="15439"/>
    <cellStyle name="Comma 5 4 9 3 2 2" xfId="40994"/>
    <cellStyle name="Comma 5 4 9 3 3" xfId="25690"/>
    <cellStyle name="Comma 5 4 9 3 3 2" xfId="51243"/>
    <cellStyle name="Comma 5 4 9 3 4" xfId="32173"/>
    <cellStyle name="Comma 5 4 9 4" xfId="8058"/>
    <cellStyle name="Comma 5 4 9 4 2" xfId="21993"/>
    <cellStyle name="Comma 5 4 9 4 2 2" xfId="47546"/>
    <cellStyle name="Comma 5 4 9 4 3" xfId="33615"/>
    <cellStyle name="Comma 5 4 9 5" xfId="16986"/>
    <cellStyle name="Comma 5 4 9 5 2" xfId="42539"/>
    <cellStyle name="Comma 5 4 9 6" xfId="28476"/>
    <cellStyle name="Comma 5 5" xfId="140"/>
    <cellStyle name="Comma 5 5 10" xfId="1408"/>
    <cellStyle name="Comma 5 5 10 2" xfId="10785"/>
    <cellStyle name="Comma 5 5 10 2 2" xfId="36340"/>
    <cellStyle name="Comma 5 5 10 3" xfId="20789"/>
    <cellStyle name="Comma 5 5 10 3 2" xfId="46342"/>
    <cellStyle name="Comma 5 5 10 4" xfId="27272"/>
    <cellStyle name="Comma 5 5 11" xfId="5519"/>
    <cellStyle name="Comma 5 5 11 2" xfId="14346"/>
    <cellStyle name="Comma 5 5 11 2 2" xfId="39901"/>
    <cellStyle name="Comma 5 5 11 3" xfId="24597"/>
    <cellStyle name="Comma 5 5 11 3 2" xfId="50150"/>
    <cellStyle name="Comma 5 5 11 4" xfId="31080"/>
    <cellStyle name="Comma 5 5 12" xfId="6959"/>
    <cellStyle name="Comma 5 5 12 2" xfId="19604"/>
    <cellStyle name="Comma 5 5 12 2 2" xfId="45157"/>
    <cellStyle name="Comma 5 5 12 3" xfId="32517"/>
    <cellStyle name="Comma 5 5 13" xfId="15782"/>
    <cellStyle name="Comma 5 5 13 2" xfId="41335"/>
    <cellStyle name="Comma 5 5 14" xfId="26087"/>
    <cellStyle name="Comma 5 5 2" xfId="190"/>
    <cellStyle name="Comma 5 5 2 10" xfId="7138"/>
    <cellStyle name="Comma 5 5 2 10 2" xfId="19647"/>
    <cellStyle name="Comma 5 5 2 10 2 2" xfId="45200"/>
    <cellStyle name="Comma 5 5 2 10 3" xfId="32695"/>
    <cellStyle name="Comma 5 5 2 11" xfId="15884"/>
    <cellStyle name="Comma 5 5 2 11 2" xfId="41437"/>
    <cellStyle name="Comma 5 5 2 12" xfId="26130"/>
    <cellStyle name="Comma 5 5 2 2" xfId="518"/>
    <cellStyle name="Comma 5 5 2 2 10" xfId="26447"/>
    <cellStyle name="Comma 5 5 2 2 2" xfId="677"/>
    <cellStyle name="Comma 5 5 2 2 2 2" xfId="3163"/>
    <cellStyle name="Comma 5 5 2 2 2 2 2" xfId="12306"/>
    <cellStyle name="Comma 5 5 2 2 2 2 2 2" xfId="22524"/>
    <cellStyle name="Comma 5 5 2 2 2 2 2 2 2" xfId="48077"/>
    <cellStyle name="Comma 5 5 2 2 2 2 2 3" xfId="37861"/>
    <cellStyle name="Comma 5 5 2 2 2 2 3" xfId="8728"/>
    <cellStyle name="Comma 5 5 2 2 2 2 3 2" xfId="34285"/>
    <cellStyle name="Comma 5 5 2 2 2 2 4" xfId="17517"/>
    <cellStyle name="Comma 5 5 2 2 2 2 4 2" xfId="43070"/>
    <cellStyle name="Comma 5 5 2 2 2 2 5" xfId="29007"/>
    <cellStyle name="Comma 5 5 2 2 2 3" xfId="4492"/>
    <cellStyle name="Comma 5 5 2 2 2 3 2" xfId="13330"/>
    <cellStyle name="Comma 5 5 2 2 2 3 2 2" xfId="23581"/>
    <cellStyle name="Comma 5 5 2 2 2 3 2 2 2" xfId="49134"/>
    <cellStyle name="Comma 5 5 2 2 2 3 2 3" xfId="38885"/>
    <cellStyle name="Comma 5 5 2 2 2 3 3" xfId="9751"/>
    <cellStyle name="Comma 5 5 2 2 2 3 3 2" xfId="35308"/>
    <cellStyle name="Comma 5 5 2 2 2 3 4" xfId="18574"/>
    <cellStyle name="Comma 5 5 2 2 2 3 4 2" xfId="44127"/>
    <cellStyle name="Comma 5 5 2 2 2 3 5" xfId="30064"/>
    <cellStyle name="Comma 5 5 2 2 2 4" xfId="2272"/>
    <cellStyle name="Comma 5 5 2 2 2 4 2" xfId="11637"/>
    <cellStyle name="Comma 5 5 2 2 2 4 2 2" xfId="37192"/>
    <cellStyle name="Comma 5 5 2 2 2 4 3" xfId="21641"/>
    <cellStyle name="Comma 5 5 2 2 2 4 3 2" xfId="47194"/>
    <cellStyle name="Comma 5 5 2 2 2 4 4" xfId="28124"/>
    <cellStyle name="Comma 5 5 2 2 2 5" xfId="5948"/>
    <cellStyle name="Comma 5 5 2 2 2 5 2" xfId="14775"/>
    <cellStyle name="Comma 5 5 2 2 2 5 2 2" xfId="40330"/>
    <cellStyle name="Comma 5 5 2 2 2 5 3" xfId="25026"/>
    <cellStyle name="Comma 5 5 2 2 2 5 3 2" xfId="50579"/>
    <cellStyle name="Comma 5 5 2 2 2 5 4" xfId="31509"/>
    <cellStyle name="Comma 5 5 2 2 2 6" xfId="7392"/>
    <cellStyle name="Comma 5 5 2 2 2 6 2" xfId="20123"/>
    <cellStyle name="Comma 5 5 2 2 2 6 2 2" xfId="45676"/>
    <cellStyle name="Comma 5 5 2 2 2 6 3" xfId="32949"/>
    <cellStyle name="Comma 5 5 2 2 2 7" xfId="16634"/>
    <cellStyle name="Comma 5 5 2 2 2 7 2" xfId="42187"/>
    <cellStyle name="Comma 5 5 2 2 2 8" xfId="26606"/>
    <cellStyle name="Comma 5 5 2 2 3" xfId="1290"/>
    <cellStyle name="Comma 5 5 2 2 3 2" xfId="3719"/>
    <cellStyle name="Comma 5 5 2 2 3 2 2" xfId="12855"/>
    <cellStyle name="Comma 5 5 2 2 3 2 2 2" xfId="23074"/>
    <cellStyle name="Comma 5 5 2 2 3 2 2 2 2" xfId="48627"/>
    <cellStyle name="Comma 5 5 2 2 3 2 2 3" xfId="38410"/>
    <cellStyle name="Comma 5 5 2 2 3 2 3" xfId="9276"/>
    <cellStyle name="Comma 5 5 2 2 3 2 3 2" xfId="34833"/>
    <cellStyle name="Comma 5 5 2 2 3 2 4" xfId="18067"/>
    <cellStyle name="Comma 5 5 2 2 3 2 4 2" xfId="43620"/>
    <cellStyle name="Comma 5 5 2 2 3 2 5" xfId="29557"/>
    <cellStyle name="Comma 5 5 2 2 3 3" xfId="4841"/>
    <cellStyle name="Comma 5 5 2 2 3 3 2" xfId="13678"/>
    <cellStyle name="Comma 5 5 2 2 3 3 2 2" xfId="23929"/>
    <cellStyle name="Comma 5 5 2 2 3 3 2 2 2" xfId="49482"/>
    <cellStyle name="Comma 5 5 2 2 3 3 2 3" xfId="39233"/>
    <cellStyle name="Comma 5 5 2 2 3 3 3" xfId="10099"/>
    <cellStyle name="Comma 5 5 2 2 3 3 3 2" xfId="35656"/>
    <cellStyle name="Comma 5 5 2 2 3 3 4" xfId="18922"/>
    <cellStyle name="Comma 5 5 2 2 3 3 4 2" xfId="44475"/>
    <cellStyle name="Comma 5 5 2 2 3 3 5" xfId="30412"/>
    <cellStyle name="Comma 5 5 2 2 3 4" xfId="2113"/>
    <cellStyle name="Comma 5 5 2 2 3 4 2" xfId="11478"/>
    <cellStyle name="Comma 5 5 2 2 3 4 2 2" xfId="37033"/>
    <cellStyle name="Comma 5 5 2 2 3 4 3" xfId="21482"/>
    <cellStyle name="Comma 5 5 2 2 3 4 3 2" xfId="47035"/>
    <cellStyle name="Comma 5 5 2 2 3 4 4" xfId="27965"/>
    <cellStyle name="Comma 5 5 2 2 3 5" xfId="6296"/>
    <cellStyle name="Comma 5 5 2 2 3 5 2" xfId="15123"/>
    <cellStyle name="Comma 5 5 2 2 3 5 2 2" xfId="40678"/>
    <cellStyle name="Comma 5 5 2 2 3 5 3" xfId="25374"/>
    <cellStyle name="Comma 5 5 2 2 3 5 3 2" xfId="50927"/>
    <cellStyle name="Comma 5 5 2 2 3 5 4" xfId="31857"/>
    <cellStyle name="Comma 5 5 2 2 3 6" xfId="7742"/>
    <cellStyle name="Comma 5 5 2 2 3 6 2" xfId="20673"/>
    <cellStyle name="Comma 5 5 2 2 3 6 2 2" xfId="46226"/>
    <cellStyle name="Comma 5 5 2 2 3 6 3" xfId="33299"/>
    <cellStyle name="Comma 5 5 2 2 3 7" xfId="16475"/>
    <cellStyle name="Comma 5 5 2 2 3 7 2" xfId="42028"/>
    <cellStyle name="Comma 5 5 2 2 3 8" xfId="27156"/>
    <cellStyle name="Comma 5 5 2 2 4" xfId="3004"/>
    <cellStyle name="Comma 5 5 2 2 4 2" xfId="5382"/>
    <cellStyle name="Comma 5 5 2 2 4 2 2" xfId="14219"/>
    <cellStyle name="Comma 5 5 2 2 4 2 2 2" xfId="24470"/>
    <cellStyle name="Comma 5 5 2 2 4 2 2 2 2" xfId="50023"/>
    <cellStyle name="Comma 5 5 2 2 4 2 2 3" xfId="39774"/>
    <cellStyle name="Comma 5 5 2 2 4 2 3" xfId="10640"/>
    <cellStyle name="Comma 5 5 2 2 4 2 3 2" xfId="36197"/>
    <cellStyle name="Comma 5 5 2 2 4 2 4" xfId="19463"/>
    <cellStyle name="Comma 5 5 2 2 4 2 4 2" xfId="45016"/>
    <cellStyle name="Comma 5 5 2 2 4 2 5" xfId="30953"/>
    <cellStyle name="Comma 5 5 2 2 4 3" xfId="6837"/>
    <cellStyle name="Comma 5 5 2 2 4 3 2" xfId="15664"/>
    <cellStyle name="Comma 5 5 2 2 4 3 2 2" xfId="41219"/>
    <cellStyle name="Comma 5 5 2 2 4 3 3" xfId="25915"/>
    <cellStyle name="Comma 5 5 2 2 4 3 3 2" xfId="51468"/>
    <cellStyle name="Comma 5 5 2 2 4 3 4" xfId="32398"/>
    <cellStyle name="Comma 5 5 2 2 4 4" xfId="8283"/>
    <cellStyle name="Comma 5 5 2 2 4 4 2" xfId="22365"/>
    <cellStyle name="Comma 5 5 2 2 4 4 2 2" xfId="47918"/>
    <cellStyle name="Comma 5 5 2 2 4 4 3" xfId="33840"/>
    <cellStyle name="Comma 5 5 2 2 4 5" xfId="17358"/>
    <cellStyle name="Comma 5 5 2 2 4 5 2" xfId="42911"/>
    <cellStyle name="Comma 5 5 2 2 4 6" xfId="28848"/>
    <cellStyle name="Comma 5 5 2 2 5" xfId="4338"/>
    <cellStyle name="Comma 5 5 2 2 5 2" xfId="13176"/>
    <cellStyle name="Comma 5 5 2 2 5 2 2" xfId="23427"/>
    <cellStyle name="Comma 5 5 2 2 5 2 2 2" xfId="48980"/>
    <cellStyle name="Comma 5 5 2 2 5 2 3" xfId="38731"/>
    <cellStyle name="Comma 5 5 2 2 5 3" xfId="9597"/>
    <cellStyle name="Comma 5 5 2 2 5 3 2" xfId="35154"/>
    <cellStyle name="Comma 5 5 2 2 5 4" xfId="18420"/>
    <cellStyle name="Comma 5 5 2 2 5 4 2" xfId="43973"/>
    <cellStyle name="Comma 5 5 2 2 5 5" xfId="29910"/>
    <cellStyle name="Comma 5 5 2 2 6" xfId="1610"/>
    <cellStyle name="Comma 5 5 2 2 6 2" xfId="10987"/>
    <cellStyle name="Comma 5 5 2 2 6 2 2" xfId="36542"/>
    <cellStyle name="Comma 5 5 2 2 6 3" xfId="20991"/>
    <cellStyle name="Comma 5 5 2 2 6 3 2" xfId="46544"/>
    <cellStyle name="Comma 5 5 2 2 6 4" xfId="27474"/>
    <cellStyle name="Comma 5 5 2 2 7" xfId="5794"/>
    <cellStyle name="Comma 5 5 2 2 7 2" xfId="14621"/>
    <cellStyle name="Comma 5 5 2 2 7 2 2" xfId="40176"/>
    <cellStyle name="Comma 5 5 2 2 7 3" xfId="24872"/>
    <cellStyle name="Comma 5 5 2 2 7 3 2" xfId="50425"/>
    <cellStyle name="Comma 5 5 2 2 7 4" xfId="31355"/>
    <cellStyle name="Comma 5 5 2 2 8" xfId="7238"/>
    <cellStyle name="Comma 5 5 2 2 8 2" xfId="19964"/>
    <cellStyle name="Comma 5 5 2 2 8 2 2" xfId="45517"/>
    <cellStyle name="Comma 5 5 2 2 8 3" xfId="32795"/>
    <cellStyle name="Comma 5 5 2 2 9" xfId="15984"/>
    <cellStyle name="Comma 5 5 2 2 9 2" xfId="41537"/>
    <cellStyle name="Comma 5 5 2 3" xfId="418"/>
    <cellStyle name="Comma 5 5 2 3 2" xfId="2904"/>
    <cellStyle name="Comma 5 5 2 3 2 2" xfId="12192"/>
    <cellStyle name="Comma 5 5 2 3 2 2 2" xfId="22265"/>
    <cellStyle name="Comma 5 5 2 3 2 2 2 2" xfId="47818"/>
    <cellStyle name="Comma 5 5 2 3 2 2 3" xfId="37747"/>
    <cellStyle name="Comma 5 5 2 3 2 3" xfId="8632"/>
    <cellStyle name="Comma 5 5 2 3 2 3 2" xfId="34189"/>
    <cellStyle name="Comma 5 5 2 3 2 4" xfId="17258"/>
    <cellStyle name="Comma 5 5 2 3 2 4 2" xfId="42811"/>
    <cellStyle name="Comma 5 5 2 3 2 5" xfId="28748"/>
    <cellStyle name="Comma 5 5 2 3 3" xfId="4491"/>
    <cellStyle name="Comma 5 5 2 3 3 2" xfId="13329"/>
    <cellStyle name="Comma 5 5 2 3 3 2 2" xfId="23580"/>
    <cellStyle name="Comma 5 5 2 3 3 2 2 2" xfId="49133"/>
    <cellStyle name="Comma 5 5 2 3 3 2 3" xfId="38884"/>
    <cellStyle name="Comma 5 5 2 3 3 3" xfId="9750"/>
    <cellStyle name="Comma 5 5 2 3 3 3 2" xfId="35307"/>
    <cellStyle name="Comma 5 5 2 3 3 4" xfId="18573"/>
    <cellStyle name="Comma 5 5 2 3 3 4 2" xfId="44126"/>
    <cellStyle name="Comma 5 5 2 3 3 5" xfId="30063"/>
    <cellStyle name="Comma 5 5 2 3 4" xfId="2013"/>
    <cellStyle name="Comma 5 5 2 3 4 2" xfId="11378"/>
    <cellStyle name="Comma 5 5 2 3 4 2 2" xfId="36933"/>
    <cellStyle name="Comma 5 5 2 3 4 3" xfId="21382"/>
    <cellStyle name="Comma 5 5 2 3 4 3 2" xfId="46935"/>
    <cellStyle name="Comma 5 5 2 3 4 4" xfId="27865"/>
    <cellStyle name="Comma 5 5 2 3 5" xfId="5947"/>
    <cellStyle name="Comma 5 5 2 3 5 2" xfId="14774"/>
    <cellStyle name="Comma 5 5 2 3 5 2 2" xfId="40329"/>
    <cellStyle name="Comma 5 5 2 3 5 3" xfId="25025"/>
    <cellStyle name="Comma 5 5 2 3 5 3 2" xfId="50578"/>
    <cellStyle name="Comma 5 5 2 3 5 4" xfId="31508"/>
    <cellStyle name="Comma 5 5 2 3 6" xfId="7391"/>
    <cellStyle name="Comma 5 5 2 3 6 2" xfId="19864"/>
    <cellStyle name="Comma 5 5 2 3 6 2 2" xfId="45417"/>
    <cellStyle name="Comma 5 5 2 3 6 3" xfId="32948"/>
    <cellStyle name="Comma 5 5 2 3 7" xfId="16375"/>
    <cellStyle name="Comma 5 5 2 3 7 2" xfId="41928"/>
    <cellStyle name="Comma 5 5 2 3 8" xfId="26347"/>
    <cellStyle name="Comma 5 5 2 4" xfId="676"/>
    <cellStyle name="Comma 5 5 2 4 2" xfId="3162"/>
    <cellStyle name="Comma 5 5 2 4 2 2" xfId="12305"/>
    <cellStyle name="Comma 5 5 2 4 2 2 2" xfId="22523"/>
    <cellStyle name="Comma 5 5 2 4 2 2 2 2" xfId="48076"/>
    <cellStyle name="Comma 5 5 2 4 2 2 3" xfId="37860"/>
    <cellStyle name="Comma 5 5 2 4 2 3" xfId="8727"/>
    <cellStyle name="Comma 5 5 2 4 2 3 2" xfId="34284"/>
    <cellStyle name="Comma 5 5 2 4 2 4" xfId="17516"/>
    <cellStyle name="Comma 5 5 2 4 2 4 2" xfId="43069"/>
    <cellStyle name="Comma 5 5 2 4 2 5" xfId="29006"/>
    <cellStyle name="Comma 5 5 2 4 3" xfId="4840"/>
    <cellStyle name="Comma 5 5 2 4 3 2" xfId="13677"/>
    <cellStyle name="Comma 5 5 2 4 3 2 2" xfId="23928"/>
    <cellStyle name="Comma 5 5 2 4 3 2 2 2" xfId="49481"/>
    <cellStyle name="Comma 5 5 2 4 3 2 3" xfId="39232"/>
    <cellStyle name="Comma 5 5 2 4 3 3" xfId="10098"/>
    <cellStyle name="Comma 5 5 2 4 3 3 2" xfId="35655"/>
    <cellStyle name="Comma 5 5 2 4 3 4" xfId="18921"/>
    <cellStyle name="Comma 5 5 2 4 3 4 2" xfId="44474"/>
    <cellStyle name="Comma 5 5 2 4 3 5" xfId="30411"/>
    <cellStyle name="Comma 5 5 2 4 4" xfId="2271"/>
    <cellStyle name="Comma 5 5 2 4 4 2" xfId="11636"/>
    <cellStyle name="Comma 5 5 2 4 4 2 2" xfId="37191"/>
    <cellStyle name="Comma 5 5 2 4 4 3" xfId="21640"/>
    <cellStyle name="Comma 5 5 2 4 4 3 2" xfId="47193"/>
    <cellStyle name="Comma 5 5 2 4 4 4" xfId="28123"/>
    <cellStyle name="Comma 5 5 2 4 5" xfId="6295"/>
    <cellStyle name="Comma 5 5 2 4 5 2" xfId="15122"/>
    <cellStyle name="Comma 5 5 2 4 5 2 2" xfId="40677"/>
    <cellStyle name="Comma 5 5 2 4 5 3" xfId="25373"/>
    <cellStyle name="Comma 5 5 2 4 5 3 2" xfId="50926"/>
    <cellStyle name="Comma 5 5 2 4 5 4" xfId="31856"/>
    <cellStyle name="Comma 5 5 2 4 6" xfId="7741"/>
    <cellStyle name="Comma 5 5 2 4 6 2" xfId="20122"/>
    <cellStyle name="Comma 5 5 2 4 6 2 2" xfId="45675"/>
    <cellStyle name="Comma 5 5 2 4 6 3" xfId="33298"/>
    <cellStyle name="Comma 5 5 2 4 7" xfId="16633"/>
    <cellStyle name="Comma 5 5 2 4 7 2" xfId="42186"/>
    <cellStyle name="Comma 5 5 2 4 8" xfId="26605"/>
    <cellStyle name="Comma 5 5 2 5" xfId="1190"/>
    <cellStyle name="Comma 5 5 2 5 2" xfId="3619"/>
    <cellStyle name="Comma 5 5 2 5 2 2" xfId="12755"/>
    <cellStyle name="Comma 5 5 2 5 2 2 2" xfId="22974"/>
    <cellStyle name="Comma 5 5 2 5 2 2 2 2" xfId="48527"/>
    <cellStyle name="Comma 5 5 2 5 2 2 3" xfId="38310"/>
    <cellStyle name="Comma 5 5 2 5 2 3" xfId="9176"/>
    <cellStyle name="Comma 5 5 2 5 2 3 2" xfId="34733"/>
    <cellStyle name="Comma 5 5 2 5 2 4" xfId="17967"/>
    <cellStyle name="Comma 5 5 2 5 2 4 2" xfId="43520"/>
    <cellStyle name="Comma 5 5 2 5 2 5" xfId="29457"/>
    <cellStyle name="Comma 5 5 2 5 3" xfId="5282"/>
    <cellStyle name="Comma 5 5 2 5 3 2" xfId="14119"/>
    <cellStyle name="Comma 5 5 2 5 3 2 2" xfId="24370"/>
    <cellStyle name="Comma 5 5 2 5 3 2 2 2" xfId="49923"/>
    <cellStyle name="Comma 5 5 2 5 3 2 3" xfId="39674"/>
    <cellStyle name="Comma 5 5 2 5 3 3" xfId="10540"/>
    <cellStyle name="Comma 5 5 2 5 3 3 2" xfId="36097"/>
    <cellStyle name="Comma 5 5 2 5 3 4" xfId="19363"/>
    <cellStyle name="Comma 5 5 2 5 3 4 2" xfId="44916"/>
    <cellStyle name="Comma 5 5 2 5 3 5" xfId="30853"/>
    <cellStyle name="Comma 5 5 2 5 4" xfId="1792"/>
    <cellStyle name="Comma 5 5 2 5 4 2" xfId="11161"/>
    <cellStyle name="Comma 5 5 2 5 4 2 2" xfId="36716"/>
    <cellStyle name="Comma 5 5 2 5 4 3" xfId="21165"/>
    <cellStyle name="Comma 5 5 2 5 4 3 2" xfId="46718"/>
    <cellStyle name="Comma 5 5 2 5 4 4" xfId="27648"/>
    <cellStyle name="Comma 5 5 2 5 5" xfId="6737"/>
    <cellStyle name="Comma 5 5 2 5 5 2" xfId="15564"/>
    <cellStyle name="Comma 5 5 2 5 5 2 2" xfId="41119"/>
    <cellStyle name="Comma 5 5 2 5 5 3" xfId="25815"/>
    <cellStyle name="Comma 5 5 2 5 5 3 2" xfId="51368"/>
    <cellStyle name="Comma 5 5 2 5 5 4" xfId="32298"/>
    <cellStyle name="Comma 5 5 2 5 6" xfId="8183"/>
    <cellStyle name="Comma 5 5 2 5 6 2" xfId="20573"/>
    <cellStyle name="Comma 5 5 2 5 6 2 2" xfId="46126"/>
    <cellStyle name="Comma 5 5 2 5 6 3" xfId="33740"/>
    <cellStyle name="Comma 5 5 2 5 7" xfId="16158"/>
    <cellStyle name="Comma 5 5 2 5 7 2" xfId="41711"/>
    <cellStyle name="Comma 5 5 2 5 8" xfId="27056"/>
    <cellStyle name="Comma 5 5 2 6" xfId="2687"/>
    <cellStyle name="Comma 5 5 2 6 2" xfId="12004"/>
    <cellStyle name="Comma 5 5 2 6 2 2" xfId="22048"/>
    <cellStyle name="Comma 5 5 2 6 2 2 2" xfId="47601"/>
    <cellStyle name="Comma 5 5 2 6 2 3" xfId="37559"/>
    <cellStyle name="Comma 5 5 2 6 3" xfId="8496"/>
    <cellStyle name="Comma 5 5 2 6 3 2" xfId="34053"/>
    <cellStyle name="Comma 5 5 2 6 4" xfId="17041"/>
    <cellStyle name="Comma 5 5 2 6 4 2" xfId="42594"/>
    <cellStyle name="Comma 5 5 2 6 5" xfId="28531"/>
    <cellStyle name="Comma 5 5 2 7" xfId="4238"/>
    <cellStyle name="Comma 5 5 2 7 2" xfId="13076"/>
    <cellStyle name="Comma 5 5 2 7 2 2" xfId="23327"/>
    <cellStyle name="Comma 5 5 2 7 2 2 2" xfId="48880"/>
    <cellStyle name="Comma 5 5 2 7 2 3" xfId="38631"/>
    <cellStyle name="Comma 5 5 2 7 3" xfId="9497"/>
    <cellStyle name="Comma 5 5 2 7 3 2" xfId="35054"/>
    <cellStyle name="Comma 5 5 2 7 4" xfId="18320"/>
    <cellStyle name="Comma 5 5 2 7 4 2" xfId="43873"/>
    <cellStyle name="Comma 5 5 2 7 5" xfId="29810"/>
    <cellStyle name="Comma 5 5 2 8" xfId="1510"/>
    <cellStyle name="Comma 5 5 2 8 2" xfId="10887"/>
    <cellStyle name="Comma 5 5 2 8 2 2" xfId="36442"/>
    <cellStyle name="Comma 5 5 2 8 3" xfId="20891"/>
    <cellStyle name="Comma 5 5 2 8 3 2" xfId="46444"/>
    <cellStyle name="Comma 5 5 2 8 4" xfId="27374"/>
    <cellStyle name="Comma 5 5 2 9" xfId="5694"/>
    <cellStyle name="Comma 5 5 2 9 2" xfId="14521"/>
    <cellStyle name="Comma 5 5 2 9 2 2" xfId="40076"/>
    <cellStyle name="Comma 5 5 2 9 3" xfId="24772"/>
    <cellStyle name="Comma 5 5 2 9 3 2" xfId="50325"/>
    <cellStyle name="Comma 5 5 2 9 4" xfId="31255"/>
    <cellStyle name="Comma 5 5 3" xfId="257"/>
    <cellStyle name="Comma 5 5 3 10" xfId="7095"/>
    <cellStyle name="Comma 5 5 3 10 2" xfId="19709"/>
    <cellStyle name="Comma 5 5 3 10 2 2" xfId="45262"/>
    <cellStyle name="Comma 5 5 3 10 3" xfId="32652"/>
    <cellStyle name="Comma 5 5 3 11" xfId="15841"/>
    <cellStyle name="Comma 5 5 3 11 2" xfId="41394"/>
    <cellStyle name="Comma 5 5 3 12" xfId="26192"/>
    <cellStyle name="Comma 5 5 3 2" xfId="580"/>
    <cellStyle name="Comma 5 5 3 2 10" xfId="26509"/>
    <cellStyle name="Comma 5 5 3 2 2" xfId="679"/>
    <cellStyle name="Comma 5 5 3 2 2 2" xfId="3165"/>
    <cellStyle name="Comma 5 5 3 2 2 2 2" xfId="12308"/>
    <cellStyle name="Comma 5 5 3 2 2 2 2 2" xfId="22526"/>
    <cellStyle name="Comma 5 5 3 2 2 2 2 2 2" xfId="48079"/>
    <cellStyle name="Comma 5 5 3 2 2 2 2 3" xfId="37863"/>
    <cellStyle name="Comma 5 5 3 2 2 2 3" xfId="8730"/>
    <cellStyle name="Comma 5 5 3 2 2 2 3 2" xfId="34287"/>
    <cellStyle name="Comma 5 5 3 2 2 2 4" xfId="17519"/>
    <cellStyle name="Comma 5 5 3 2 2 2 4 2" xfId="43072"/>
    <cellStyle name="Comma 5 5 3 2 2 2 5" xfId="29009"/>
    <cellStyle name="Comma 5 5 3 2 2 3" xfId="4494"/>
    <cellStyle name="Comma 5 5 3 2 2 3 2" xfId="13332"/>
    <cellStyle name="Comma 5 5 3 2 2 3 2 2" xfId="23583"/>
    <cellStyle name="Comma 5 5 3 2 2 3 2 2 2" xfId="49136"/>
    <cellStyle name="Comma 5 5 3 2 2 3 2 3" xfId="38887"/>
    <cellStyle name="Comma 5 5 3 2 2 3 3" xfId="9753"/>
    <cellStyle name="Comma 5 5 3 2 2 3 3 2" xfId="35310"/>
    <cellStyle name="Comma 5 5 3 2 2 3 4" xfId="18576"/>
    <cellStyle name="Comma 5 5 3 2 2 3 4 2" xfId="44129"/>
    <cellStyle name="Comma 5 5 3 2 2 3 5" xfId="30066"/>
    <cellStyle name="Comma 5 5 3 2 2 4" xfId="2274"/>
    <cellStyle name="Comma 5 5 3 2 2 4 2" xfId="11639"/>
    <cellStyle name="Comma 5 5 3 2 2 4 2 2" xfId="37194"/>
    <cellStyle name="Comma 5 5 3 2 2 4 3" xfId="21643"/>
    <cellStyle name="Comma 5 5 3 2 2 4 3 2" xfId="47196"/>
    <cellStyle name="Comma 5 5 3 2 2 4 4" xfId="28126"/>
    <cellStyle name="Comma 5 5 3 2 2 5" xfId="5950"/>
    <cellStyle name="Comma 5 5 3 2 2 5 2" xfId="14777"/>
    <cellStyle name="Comma 5 5 3 2 2 5 2 2" xfId="40332"/>
    <cellStyle name="Comma 5 5 3 2 2 5 3" xfId="25028"/>
    <cellStyle name="Comma 5 5 3 2 2 5 3 2" xfId="50581"/>
    <cellStyle name="Comma 5 5 3 2 2 5 4" xfId="31511"/>
    <cellStyle name="Comma 5 5 3 2 2 6" xfId="7394"/>
    <cellStyle name="Comma 5 5 3 2 2 6 2" xfId="20125"/>
    <cellStyle name="Comma 5 5 3 2 2 6 2 2" xfId="45678"/>
    <cellStyle name="Comma 5 5 3 2 2 6 3" xfId="32951"/>
    <cellStyle name="Comma 5 5 3 2 2 7" xfId="16636"/>
    <cellStyle name="Comma 5 5 3 2 2 7 2" xfId="42189"/>
    <cellStyle name="Comma 5 5 3 2 2 8" xfId="26608"/>
    <cellStyle name="Comma 5 5 3 2 3" xfId="1352"/>
    <cellStyle name="Comma 5 5 3 2 3 2" xfId="3781"/>
    <cellStyle name="Comma 5 5 3 2 3 2 2" xfId="12917"/>
    <cellStyle name="Comma 5 5 3 2 3 2 2 2" xfId="23136"/>
    <cellStyle name="Comma 5 5 3 2 3 2 2 2 2" xfId="48689"/>
    <cellStyle name="Comma 5 5 3 2 3 2 2 3" xfId="38472"/>
    <cellStyle name="Comma 5 5 3 2 3 2 3" xfId="9338"/>
    <cellStyle name="Comma 5 5 3 2 3 2 3 2" xfId="34895"/>
    <cellStyle name="Comma 5 5 3 2 3 2 4" xfId="18129"/>
    <cellStyle name="Comma 5 5 3 2 3 2 4 2" xfId="43682"/>
    <cellStyle name="Comma 5 5 3 2 3 2 5" xfId="29619"/>
    <cellStyle name="Comma 5 5 3 2 3 3" xfId="4843"/>
    <cellStyle name="Comma 5 5 3 2 3 3 2" xfId="13680"/>
    <cellStyle name="Comma 5 5 3 2 3 3 2 2" xfId="23931"/>
    <cellStyle name="Comma 5 5 3 2 3 3 2 2 2" xfId="49484"/>
    <cellStyle name="Comma 5 5 3 2 3 3 2 3" xfId="39235"/>
    <cellStyle name="Comma 5 5 3 2 3 3 3" xfId="10101"/>
    <cellStyle name="Comma 5 5 3 2 3 3 3 2" xfId="35658"/>
    <cellStyle name="Comma 5 5 3 2 3 3 4" xfId="18924"/>
    <cellStyle name="Comma 5 5 3 2 3 3 4 2" xfId="44477"/>
    <cellStyle name="Comma 5 5 3 2 3 3 5" xfId="30414"/>
    <cellStyle name="Comma 5 5 3 2 3 4" xfId="2175"/>
    <cellStyle name="Comma 5 5 3 2 3 4 2" xfId="11540"/>
    <cellStyle name="Comma 5 5 3 2 3 4 2 2" xfId="37095"/>
    <cellStyle name="Comma 5 5 3 2 3 4 3" xfId="21544"/>
    <cellStyle name="Comma 5 5 3 2 3 4 3 2" xfId="47097"/>
    <cellStyle name="Comma 5 5 3 2 3 4 4" xfId="28027"/>
    <cellStyle name="Comma 5 5 3 2 3 5" xfId="6298"/>
    <cellStyle name="Comma 5 5 3 2 3 5 2" xfId="15125"/>
    <cellStyle name="Comma 5 5 3 2 3 5 2 2" xfId="40680"/>
    <cellStyle name="Comma 5 5 3 2 3 5 3" xfId="25376"/>
    <cellStyle name="Comma 5 5 3 2 3 5 3 2" xfId="50929"/>
    <cellStyle name="Comma 5 5 3 2 3 5 4" xfId="31859"/>
    <cellStyle name="Comma 5 5 3 2 3 6" xfId="7744"/>
    <cellStyle name="Comma 5 5 3 2 3 6 2" xfId="20735"/>
    <cellStyle name="Comma 5 5 3 2 3 6 2 2" xfId="46288"/>
    <cellStyle name="Comma 5 5 3 2 3 6 3" xfId="33301"/>
    <cellStyle name="Comma 5 5 3 2 3 7" xfId="16537"/>
    <cellStyle name="Comma 5 5 3 2 3 7 2" xfId="42090"/>
    <cellStyle name="Comma 5 5 3 2 3 8" xfId="27218"/>
    <cellStyle name="Comma 5 5 3 2 4" xfId="3066"/>
    <cellStyle name="Comma 5 5 3 2 4 2" xfId="5444"/>
    <cellStyle name="Comma 5 5 3 2 4 2 2" xfId="14281"/>
    <cellStyle name="Comma 5 5 3 2 4 2 2 2" xfId="24532"/>
    <cellStyle name="Comma 5 5 3 2 4 2 2 2 2" xfId="50085"/>
    <cellStyle name="Comma 5 5 3 2 4 2 2 3" xfId="39836"/>
    <cellStyle name="Comma 5 5 3 2 4 2 3" xfId="10702"/>
    <cellStyle name="Comma 5 5 3 2 4 2 3 2" xfId="36259"/>
    <cellStyle name="Comma 5 5 3 2 4 2 4" xfId="19525"/>
    <cellStyle name="Comma 5 5 3 2 4 2 4 2" xfId="45078"/>
    <cellStyle name="Comma 5 5 3 2 4 2 5" xfId="31015"/>
    <cellStyle name="Comma 5 5 3 2 4 3" xfId="6899"/>
    <cellStyle name="Comma 5 5 3 2 4 3 2" xfId="15726"/>
    <cellStyle name="Comma 5 5 3 2 4 3 2 2" xfId="41281"/>
    <cellStyle name="Comma 5 5 3 2 4 3 3" xfId="25977"/>
    <cellStyle name="Comma 5 5 3 2 4 3 3 2" xfId="51530"/>
    <cellStyle name="Comma 5 5 3 2 4 3 4" xfId="32460"/>
    <cellStyle name="Comma 5 5 3 2 4 4" xfId="8345"/>
    <cellStyle name="Comma 5 5 3 2 4 4 2" xfId="22427"/>
    <cellStyle name="Comma 5 5 3 2 4 4 2 2" xfId="47980"/>
    <cellStyle name="Comma 5 5 3 2 4 4 3" xfId="33902"/>
    <cellStyle name="Comma 5 5 3 2 4 5" xfId="17420"/>
    <cellStyle name="Comma 5 5 3 2 4 5 2" xfId="42973"/>
    <cellStyle name="Comma 5 5 3 2 4 6" xfId="28910"/>
    <cellStyle name="Comma 5 5 3 2 5" xfId="4400"/>
    <cellStyle name="Comma 5 5 3 2 5 2" xfId="13238"/>
    <cellStyle name="Comma 5 5 3 2 5 2 2" xfId="23489"/>
    <cellStyle name="Comma 5 5 3 2 5 2 2 2" xfId="49042"/>
    <cellStyle name="Comma 5 5 3 2 5 2 3" xfId="38793"/>
    <cellStyle name="Comma 5 5 3 2 5 3" xfId="9659"/>
    <cellStyle name="Comma 5 5 3 2 5 3 2" xfId="35216"/>
    <cellStyle name="Comma 5 5 3 2 5 4" xfId="18482"/>
    <cellStyle name="Comma 5 5 3 2 5 4 2" xfId="44035"/>
    <cellStyle name="Comma 5 5 3 2 5 5" xfId="29972"/>
    <cellStyle name="Comma 5 5 3 2 6" xfId="1672"/>
    <cellStyle name="Comma 5 5 3 2 6 2" xfId="11049"/>
    <cellStyle name="Comma 5 5 3 2 6 2 2" xfId="36604"/>
    <cellStyle name="Comma 5 5 3 2 6 3" xfId="21053"/>
    <cellStyle name="Comma 5 5 3 2 6 3 2" xfId="46606"/>
    <cellStyle name="Comma 5 5 3 2 6 4" xfId="27536"/>
    <cellStyle name="Comma 5 5 3 2 7" xfId="5856"/>
    <cellStyle name="Comma 5 5 3 2 7 2" xfId="14683"/>
    <cellStyle name="Comma 5 5 3 2 7 2 2" xfId="40238"/>
    <cellStyle name="Comma 5 5 3 2 7 3" xfId="24934"/>
    <cellStyle name="Comma 5 5 3 2 7 3 2" xfId="50487"/>
    <cellStyle name="Comma 5 5 3 2 7 4" xfId="31417"/>
    <cellStyle name="Comma 5 5 3 2 8" xfId="7300"/>
    <cellStyle name="Comma 5 5 3 2 8 2" xfId="20026"/>
    <cellStyle name="Comma 5 5 3 2 8 2 2" xfId="45579"/>
    <cellStyle name="Comma 5 5 3 2 8 3" xfId="32857"/>
    <cellStyle name="Comma 5 5 3 2 9" xfId="16046"/>
    <cellStyle name="Comma 5 5 3 2 9 2" xfId="41599"/>
    <cellStyle name="Comma 5 5 3 3" xfId="375"/>
    <cellStyle name="Comma 5 5 3 3 2" xfId="2861"/>
    <cellStyle name="Comma 5 5 3 3 2 2" xfId="12149"/>
    <cellStyle name="Comma 5 5 3 3 2 2 2" xfId="22222"/>
    <cellStyle name="Comma 5 5 3 3 2 2 2 2" xfId="47775"/>
    <cellStyle name="Comma 5 5 3 3 2 2 3" xfId="37704"/>
    <cellStyle name="Comma 5 5 3 3 2 3" xfId="8462"/>
    <cellStyle name="Comma 5 5 3 3 2 3 2" xfId="34019"/>
    <cellStyle name="Comma 5 5 3 3 2 4" xfId="17215"/>
    <cellStyle name="Comma 5 5 3 3 2 4 2" xfId="42768"/>
    <cellStyle name="Comma 5 5 3 3 2 5" xfId="28705"/>
    <cellStyle name="Comma 5 5 3 3 3" xfId="4493"/>
    <cellStyle name="Comma 5 5 3 3 3 2" xfId="13331"/>
    <cellStyle name="Comma 5 5 3 3 3 2 2" xfId="23582"/>
    <cellStyle name="Comma 5 5 3 3 3 2 2 2" xfId="49135"/>
    <cellStyle name="Comma 5 5 3 3 3 2 3" xfId="38886"/>
    <cellStyle name="Comma 5 5 3 3 3 3" xfId="9752"/>
    <cellStyle name="Comma 5 5 3 3 3 3 2" xfId="35309"/>
    <cellStyle name="Comma 5 5 3 3 3 4" xfId="18575"/>
    <cellStyle name="Comma 5 5 3 3 3 4 2" xfId="44128"/>
    <cellStyle name="Comma 5 5 3 3 3 5" xfId="30065"/>
    <cellStyle name="Comma 5 5 3 3 4" xfId="1970"/>
    <cellStyle name="Comma 5 5 3 3 4 2" xfId="11335"/>
    <cellStyle name="Comma 5 5 3 3 4 2 2" xfId="36890"/>
    <cellStyle name="Comma 5 5 3 3 4 3" xfId="21339"/>
    <cellStyle name="Comma 5 5 3 3 4 3 2" xfId="46892"/>
    <cellStyle name="Comma 5 5 3 3 4 4" xfId="27822"/>
    <cellStyle name="Comma 5 5 3 3 5" xfId="5949"/>
    <cellStyle name="Comma 5 5 3 3 5 2" xfId="14776"/>
    <cellStyle name="Comma 5 5 3 3 5 2 2" xfId="40331"/>
    <cellStyle name="Comma 5 5 3 3 5 3" xfId="25027"/>
    <cellStyle name="Comma 5 5 3 3 5 3 2" xfId="50580"/>
    <cellStyle name="Comma 5 5 3 3 5 4" xfId="31510"/>
    <cellStyle name="Comma 5 5 3 3 6" xfId="7393"/>
    <cellStyle name="Comma 5 5 3 3 6 2" xfId="19821"/>
    <cellStyle name="Comma 5 5 3 3 6 2 2" xfId="45374"/>
    <cellStyle name="Comma 5 5 3 3 6 3" xfId="32950"/>
    <cellStyle name="Comma 5 5 3 3 7" xfId="16332"/>
    <cellStyle name="Comma 5 5 3 3 7 2" xfId="41885"/>
    <cellStyle name="Comma 5 5 3 3 8" xfId="26304"/>
    <cellStyle name="Comma 5 5 3 4" xfId="678"/>
    <cellStyle name="Comma 5 5 3 4 2" xfId="3164"/>
    <cellStyle name="Comma 5 5 3 4 2 2" xfId="12307"/>
    <cellStyle name="Comma 5 5 3 4 2 2 2" xfId="22525"/>
    <cellStyle name="Comma 5 5 3 4 2 2 2 2" xfId="48078"/>
    <cellStyle name="Comma 5 5 3 4 2 2 3" xfId="37862"/>
    <cellStyle name="Comma 5 5 3 4 2 3" xfId="8729"/>
    <cellStyle name="Comma 5 5 3 4 2 3 2" xfId="34286"/>
    <cellStyle name="Comma 5 5 3 4 2 4" xfId="17518"/>
    <cellStyle name="Comma 5 5 3 4 2 4 2" xfId="43071"/>
    <cellStyle name="Comma 5 5 3 4 2 5" xfId="29008"/>
    <cellStyle name="Comma 5 5 3 4 3" xfId="4842"/>
    <cellStyle name="Comma 5 5 3 4 3 2" xfId="13679"/>
    <cellStyle name="Comma 5 5 3 4 3 2 2" xfId="23930"/>
    <cellStyle name="Comma 5 5 3 4 3 2 2 2" xfId="49483"/>
    <cellStyle name="Comma 5 5 3 4 3 2 3" xfId="39234"/>
    <cellStyle name="Comma 5 5 3 4 3 3" xfId="10100"/>
    <cellStyle name="Comma 5 5 3 4 3 3 2" xfId="35657"/>
    <cellStyle name="Comma 5 5 3 4 3 4" xfId="18923"/>
    <cellStyle name="Comma 5 5 3 4 3 4 2" xfId="44476"/>
    <cellStyle name="Comma 5 5 3 4 3 5" xfId="30413"/>
    <cellStyle name="Comma 5 5 3 4 4" xfId="2273"/>
    <cellStyle name="Comma 5 5 3 4 4 2" xfId="11638"/>
    <cellStyle name="Comma 5 5 3 4 4 2 2" xfId="37193"/>
    <cellStyle name="Comma 5 5 3 4 4 3" xfId="21642"/>
    <cellStyle name="Comma 5 5 3 4 4 3 2" xfId="47195"/>
    <cellStyle name="Comma 5 5 3 4 4 4" xfId="28125"/>
    <cellStyle name="Comma 5 5 3 4 5" xfId="6297"/>
    <cellStyle name="Comma 5 5 3 4 5 2" xfId="15124"/>
    <cellStyle name="Comma 5 5 3 4 5 2 2" xfId="40679"/>
    <cellStyle name="Comma 5 5 3 4 5 3" xfId="25375"/>
    <cellStyle name="Comma 5 5 3 4 5 3 2" xfId="50928"/>
    <cellStyle name="Comma 5 5 3 4 5 4" xfId="31858"/>
    <cellStyle name="Comma 5 5 3 4 6" xfId="7743"/>
    <cellStyle name="Comma 5 5 3 4 6 2" xfId="20124"/>
    <cellStyle name="Comma 5 5 3 4 6 2 2" xfId="45677"/>
    <cellStyle name="Comma 5 5 3 4 6 3" xfId="33300"/>
    <cellStyle name="Comma 5 5 3 4 7" xfId="16635"/>
    <cellStyle name="Comma 5 5 3 4 7 2" xfId="42188"/>
    <cellStyle name="Comma 5 5 3 4 8" xfId="26607"/>
    <cellStyle name="Comma 5 5 3 5" xfId="1147"/>
    <cellStyle name="Comma 5 5 3 5 2" xfId="3576"/>
    <cellStyle name="Comma 5 5 3 5 2 2" xfId="12712"/>
    <cellStyle name="Comma 5 5 3 5 2 2 2" xfId="22931"/>
    <cellStyle name="Comma 5 5 3 5 2 2 2 2" xfId="48484"/>
    <cellStyle name="Comma 5 5 3 5 2 2 3" xfId="38267"/>
    <cellStyle name="Comma 5 5 3 5 2 3" xfId="9133"/>
    <cellStyle name="Comma 5 5 3 5 2 3 2" xfId="34690"/>
    <cellStyle name="Comma 5 5 3 5 2 4" xfId="17924"/>
    <cellStyle name="Comma 5 5 3 5 2 4 2" xfId="43477"/>
    <cellStyle name="Comma 5 5 3 5 2 5" xfId="29414"/>
    <cellStyle name="Comma 5 5 3 5 3" xfId="5239"/>
    <cellStyle name="Comma 5 5 3 5 3 2" xfId="14076"/>
    <cellStyle name="Comma 5 5 3 5 3 2 2" xfId="24327"/>
    <cellStyle name="Comma 5 5 3 5 3 2 2 2" xfId="49880"/>
    <cellStyle name="Comma 5 5 3 5 3 2 3" xfId="39631"/>
    <cellStyle name="Comma 5 5 3 5 3 3" xfId="10497"/>
    <cellStyle name="Comma 5 5 3 5 3 3 2" xfId="36054"/>
    <cellStyle name="Comma 5 5 3 5 3 4" xfId="19320"/>
    <cellStyle name="Comma 5 5 3 5 3 4 2" xfId="44873"/>
    <cellStyle name="Comma 5 5 3 5 3 5" xfId="30810"/>
    <cellStyle name="Comma 5 5 3 5 4" xfId="1855"/>
    <cellStyle name="Comma 5 5 3 5 4 2" xfId="11223"/>
    <cellStyle name="Comma 5 5 3 5 4 2 2" xfId="36778"/>
    <cellStyle name="Comma 5 5 3 5 4 3" xfId="21227"/>
    <cellStyle name="Comma 5 5 3 5 4 3 2" xfId="46780"/>
    <cellStyle name="Comma 5 5 3 5 4 4" xfId="27710"/>
    <cellStyle name="Comma 5 5 3 5 5" xfId="6694"/>
    <cellStyle name="Comma 5 5 3 5 5 2" xfId="15521"/>
    <cellStyle name="Comma 5 5 3 5 5 2 2" xfId="41076"/>
    <cellStyle name="Comma 5 5 3 5 5 3" xfId="25772"/>
    <cellStyle name="Comma 5 5 3 5 5 3 2" xfId="51325"/>
    <cellStyle name="Comma 5 5 3 5 5 4" xfId="32255"/>
    <cellStyle name="Comma 5 5 3 5 6" xfId="8140"/>
    <cellStyle name="Comma 5 5 3 5 6 2" xfId="20530"/>
    <cellStyle name="Comma 5 5 3 5 6 2 2" xfId="46083"/>
    <cellStyle name="Comma 5 5 3 5 6 3" xfId="33697"/>
    <cellStyle name="Comma 5 5 3 5 7" xfId="16220"/>
    <cellStyle name="Comma 5 5 3 5 7 2" xfId="41773"/>
    <cellStyle name="Comma 5 5 3 5 8" xfId="27013"/>
    <cellStyle name="Comma 5 5 3 6" xfId="2749"/>
    <cellStyle name="Comma 5 5 3 6 2" xfId="12066"/>
    <cellStyle name="Comma 5 5 3 6 2 2" xfId="22110"/>
    <cellStyle name="Comma 5 5 3 6 2 2 2" xfId="47663"/>
    <cellStyle name="Comma 5 5 3 6 2 3" xfId="37621"/>
    <cellStyle name="Comma 5 5 3 6 3" xfId="8483"/>
    <cellStyle name="Comma 5 5 3 6 3 2" xfId="34040"/>
    <cellStyle name="Comma 5 5 3 6 4" xfId="17103"/>
    <cellStyle name="Comma 5 5 3 6 4 2" xfId="42656"/>
    <cellStyle name="Comma 5 5 3 6 5" xfId="28593"/>
    <cellStyle name="Comma 5 5 3 7" xfId="4195"/>
    <cellStyle name="Comma 5 5 3 7 2" xfId="13033"/>
    <cellStyle name="Comma 5 5 3 7 2 2" xfId="23284"/>
    <cellStyle name="Comma 5 5 3 7 2 2 2" xfId="48837"/>
    <cellStyle name="Comma 5 5 3 7 2 3" xfId="38588"/>
    <cellStyle name="Comma 5 5 3 7 3" xfId="9454"/>
    <cellStyle name="Comma 5 5 3 7 3 2" xfId="35011"/>
    <cellStyle name="Comma 5 5 3 7 4" xfId="18277"/>
    <cellStyle name="Comma 5 5 3 7 4 2" xfId="43830"/>
    <cellStyle name="Comma 5 5 3 7 5" xfId="29767"/>
    <cellStyle name="Comma 5 5 3 8" xfId="1467"/>
    <cellStyle name="Comma 5 5 3 8 2" xfId="10844"/>
    <cellStyle name="Comma 5 5 3 8 2 2" xfId="36399"/>
    <cellStyle name="Comma 5 5 3 8 3" xfId="20848"/>
    <cellStyle name="Comma 5 5 3 8 3 2" xfId="46401"/>
    <cellStyle name="Comma 5 5 3 8 4" xfId="27331"/>
    <cellStyle name="Comma 5 5 3 9" xfId="5651"/>
    <cellStyle name="Comma 5 5 3 9 2" xfId="14478"/>
    <cellStyle name="Comma 5 5 3 9 2 2" xfId="40033"/>
    <cellStyle name="Comma 5 5 3 9 3" xfId="24729"/>
    <cellStyle name="Comma 5 5 3 9 3 2" xfId="50282"/>
    <cellStyle name="Comma 5 5 3 9 4" xfId="31212"/>
    <cellStyle name="Comma 5 5 4" xfId="475"/>
    <cellStyle name="Comma 5 5 4 10" xfId="26404"/>
    <cellStyle name="Comma 5 5 4 2" xfId="680"/>
    <cellStyle name="Comma 5 5 4 2 2" xfId="3166"/>
    <cellStyle name="Comma 5 5 4 2 2 2" xfId="12309"/>
    <cellStyle name="Comma 5 5 4 2 2 2 2" xfId="22527"/>
    <cellStyle name="Comma 5 5 4 2 2 2 2 2" xfId="48080"/>
    <cellStyle name="Comma 5 5 4 2 2 2 3" xfId="37864"/>
    <cellStyle name="Comma 5 5 4 2 2 3" xfId="8731"/>
    <cellStyle name="Comma 5 5 4 2 2 3 2" xfId="34288"/>
    <cellStyle name="Comma 5 5 4 2 2 4" xfId="17520"/>
    <cellStyle name="Comma 5 5 4 2 2 4 2" xfId="43073"/>
    <cellStyle name="Comma 5 5 4 2 2 5" xfId="29010"/>
    <cellStyle name="Comma 5 5 4 2 3" xfId="4495"/>
    <cellStyle name="Comma 5 5 4 2 3 2" xfId="13333"/>
    <cellStyle name="Comma 5 5 4 2 3 2 2" xfId="23584"/>
    <cellStyle name="Comma 5 5 4 2 3 2 2 2" xfId="49137"/>
    <cellStyle name="Comma 5 5 4 2 3 2 3" xfId="38888"/>
    <cellStyle name="Comma 5 5 4 2 3 3" xfId="9754"/>
    <cellStyle name="Comma 5 5 4 2 3 3 2" xfId="35311"/>
    <cellStyle name="Comma 5 5 4 2 3 4" xfId="18577"/>
    <cellStyle name="Comma 5 5 4 2 3 4 2" xfId="44130"/>
    <cellStyle name="Comma 5 5 4 2 3 5" xfId="30067"/>
    <cellStyle name="Comma 5 5 4 2 4" xfId="2275"/>
    <cellStyle name="Comma 5 5 4 2 4 2" xfId="11640"/>
    <cellStyle name="Comma 5 5 4 2 4 2 2" xfId="37195"/>
    <cellStyle name="Comma 5 5 4 2 4 3" xfId="21644"/>
    <cellStyle name="Comma 5 5 4 2 4 3 2" xfId="47197"/>
    <cellStyle name="Comma 5 5 4 2 4 4" xfId="28127"/>
    <cellStyle name="Comma 5 5 4 2 5" xfId="5951"/>
    <cellStyle name="Comma 5 5 4 2 5 2" xfId="14778"/>
    <cellStyle name="Comma 5 5 4 2 5 2 2" xfId="40333"/>
    <cellStyle name="Comma 5 5 4 2 5 3" xfId="25029"/>
    <cellStyle name="Comma 5 5 4 2 5 3 2" xfId="50582"/>
    <cellStyle name="Comma 5 5 4 2 5 4" xfId="31512"/>
    <cellStyle name="Comma 5 5 4 2 6" xfId="7395"/>
    <cellStyle name="Comma 5 5 4 2 6 2" xfId="20126"/>
    <cellStyle name="Comma 5 5 4 2 6 2 2" xfId="45679"/>
    <cellStyle name="Comma 5 5 4 2 6 3" xfId="32952"/>
    <cellStyle name="Comma 5 5 4 2 7" xfId="16637"/>
    <cellStyle name="Comma 5 5 4 2 7 2" xfId="42190"/>
    <cellStyle name="Comma 5 5 4 2 8" xfId="26609"/>
    <cellStyle name="Comma 5 5 4 3" xfId="1247"/>
    <cellStyle name="Comma 5 5 4 3 2" xfId="3676"/>
    <cellStyle name="Comma 5 5 4 3 2 2" xfId="12812"/>
    <cellStyle name="Comma 5 5 4 3 2 2 2" xfId="23031"/>
    <cellStyle name="Comma 5 5 4 3 2 2 2 2" xfId="48584"/>
    <cellStyle name="Comma 5 5 4 3 2 2 3" xfId="38367"/>
    <cellStyle name="Comma 5 5 4 3 2 3" xfId="9233"/>
    <cellStyle name="Comma 5 5 4 3 2 3 2" xfId="34790"/>
    <cellStyle name="Comma 5 5 4 3 2 4" xfId="18024"/>
    <cellStyle name="Comma 5 5 4 3 2 4 2" xfId="43577"/>
    <cellStyle name="Comma 5 5 4 3 2 5" xfId="29514"/>
    <cellStyle name="Comma 5 5 4 3 3" xfId="4844"/>
    <cellStyle name="Comma 5 5 4 3 3 2" xfId="13681"/>
    <cellStyle name="Comma 5 5 4 3 3 2 2" xfId="23932"/>
    <cellStyle name="Comma 5 5 4 3 3 2 2 2" xfId="49485"/>
    <cellStyle name="Comma 5 5 4 3 3 2 3" xfId="39236"/>
    <cellStyle name="Comma 5 5 4 3 3 3" xfId="10102"/>
    <cellStyle name="Comma 5 5 4 3 3 3 2" xfId="35659"/>
    <cellStyle name="Comma 5 5 4 3 3 4" xfId="18925"/>
    <cellStyle name="Comma 5 5 4 3 3 4 2" xfId="44478"/>
    <cellStyle name="Comma 5 5 4 3 3 5" xfId="30415"/>
    <cellStyle name="Comma 5 5 4 3 4" xfId="2070"/>
    <cellStyle name="Comma 5 5 4 3 4 2" xfId="11435"/>
    <cellStyle name="Comma 5 5 4 3 4 2 2" xfId="36990"/>
    <cellStyle name="Comma 5 5 4 3 4 3" xfId="21439"/>
    <cellStyle name="Comma 5 5 4 3 4 3 2" xfId="46992"/>
    <cellStyle name="Comma 5 5 4 3 4 4" xfId="27922"/>
    <cellStyle name="Comma 5 5 4 3 5" xfId="6299"/>
    <cellStyle name="Comma 5 5 4 3 5 2" xfId="15126"/>
    <cellStyle name="Comma 5 5 4 3 5 2 2" xfId="40681"/>
    <cellStyle name="Comma 5 5 4 3 5 3" xfId="25377"/>
    <cellStyle name="Comma 5 5 4 3 5 3 2" xfId="50930"/>
    <cellStyle name="Comma 5 5 4 3 5 4" xfId="31860"/>
    <cellStyle name="Comma 5 5 4 3 6" xfId="7745"/>
    <cellStyle name="Comma 5 5 4 3 6 2" xfId="20630"/>
    <cellStyle name="Comma 5 5 4 3 6 2 2" xfId="46183"/>
    <cellStyle name="Comma 5 5 4 3 6 3" xfId="33302"/>
    <cellStyle name="Comma 5 5 4 3 7" xfId="16432"/>
    <cellStyle name="Comma 5 5 4 3 7 2" xfId="41985"/>
    <cellStyle name="Comma 5 5 4 3 8" xfId="27113"/>
    <cellStyle name="Comma 5 5 4 4" xfId="2961"/>
    <cellStyle name="Comma 5 5 4 4 2" xfId="5339"/>
    <cellStyle name="Comma 5 5 4 4 2 2" xfId="14176"/>
    <cellStyle name="Comma 5 5 4 4 2 2 2" xfId="24427"/>
    <cellStyle name="Comma 5 5 4 4 2 2 2 2" xfId="49980"/>
    <cellStyle name="Comma 5 5 4 4 2 2 3" xfId="39731"/>
    <cellStyle name="Comma 5 5 4 4 2 3" xfId="10597"/>
    <cellStyle name="Comma 5 5 4 4 2 3 2" xfId="36154"/>
    <cellStyle name="Comma 5 5 4 4 2 4" xfId="19420"/>
    <cellStyle name="Comma 5 5 4 4 2 4 2" xfId="44973"/>
    <cellStyle name="Comma 5 5 4 4 2 5" xfId="30910"/>
    <cellStyle name="Comma 5 5 4 4 3" xfId="6794"/>
    <cellStyle name="Comma 5 5 4 4 3 2" xfId="15621"/>
    <cellStyle name="Comma 5 5 4 4 3 2 2" xfId="41176"/>
    <cellStyle name="Comma 5 5 4 4 3 3" xfId="25872"/>
    <cellStyle name="Comma 5 5 4 4 3 3 2" xfId="51425"/>
    <cellStyle name="Comma 5 5 4 4 3 4" xfId="32355"/>
    <cellStyle name="Comma 5 5 4 4 4" xfId="8240"/>
    <cellStyle name="Comma 5 5 4 4 4 2" xfId="22322"/>
    <cellStyle name="Comma 5 5 4 4 4 2 2" xfId="47875"/>
    <cellStyle name="Comma 5 5 4 4 4 3" xfId="33797"/>
    <cellStyle name="Comma 5 5 4 4 5" xfId="17315"/>
    <cellStyle name="Comma 5 5 4 4 5 2" xfId="42868"/>
    <cellStyle name="Comma 5 5 4 4 6" xfId="28805"/>
    <cellStyle name="Comma 5 5 4 5" xfId="4295"/>
    <cellStyle name="Comma 5 5 4 5 2" xfId="13133"/>
    <cellStyle name="Comma 5 5 4 5 2 2" xfId="23384"/>
    <cellStyle name="Comma 5 5 4 5 2 2 2" xfId="48937"/>
    <cellStyle name="Comma 5 5 4 5 2 3" xfId="38688"/>
    <cellStyle name="Comma 5 5 4 5 3" xfId="9554"/>
    <cellStyle name="Comma 5 5 4 5 3 2" xfId="35111"/>
    <cellStyle name="Comma 5 5 4 5 4" xfId="18377"/>
    <cellStyle name="Comma 5 5 4 5 4 2" xfId="43930"/>
    <cellStyle name="Comma 5 5 4 5 5" xfId="29867"/>
    <cellStyle name="Comma 5 5 4 6" xfId="1567"/>
    <cellStyle name="Comma 5 5 4 6 2" xfId="10944"/>
    <cellStyle name="Comma 5 5 4 6 2 2" xfId="36499"/>
    <cellStyle name="Comma 5 5 4 6 3" xfId="20948"/>
    <cellStyle name="Comma 5 5 4 6 3 2" xfId="46501"/>
    <cellStyle name="Comma 5 5 4 6 4" xfId="27431"/>
    <cellStyle name="Comma 5 5 4 7" xfId="5751"/>
    <cellStyle name="Comma 5 5 4 7 2" xfId="14578"/>
    <cellStyle name="Comma 5 5 4 7 2 2" xfId="40133"/>
    <cellStyle name="Comma 5 5 4 7 3" xfId="24829"/>
    <cellStyle name="Comma 5 5 4 7 3 2" xfId="50382"/>
    <cellStyle name="Comma 5 5 4 7 4" xfId="31312"/>
    <cellStyle name="Comma 5 5 4 8" xfId="7195"/>
    <cellStyle name="Comma 5 5 4 8 2" xfId="19921"/>
    <cellStyle name="Comma 5 5 4 8 2 2" xfId="45474"/>
    <cellStyle name="Comma 5 5 4 8 3" xfId="32752"/>
    <cellStyle name="Comma 5 5 4 9" xfId="15941"/>
    <cellStyle name="Comma 5 5 4 9 2" xfId="41494"/>
    <cellStyle name="Comma 5 5 5" xfId="316"/>
    <cellStyle name="Comma 5 5 5 2" xfId="2802"/>
    <cellStyle name="Comma 5 5 5 2 2" xfId="12106"/>
    <cellStyle name="Comma 5 5 5 2 2 2" xfId="22163"/>
    <cellStyle name="Comma 5 5 5 2 2 2 2" xfId="47716"/>
    <cellStyle name="Comma 5 5 5 2 2 3" xfId="37661"/>
    <cellStyle name="Comma 5 5 5 2 3" xfId="8535"/>
    <cellStyle name="Comma 5 5 5 2 3 2" xfId="34092"/>
    <cellStyle name="Comma 5 5 5 2 4" xfId="17156"/>
    <cellStyle name="Comma 5 5 5 2 4 2" xfId="42709"/>
    <cellStyle name="Comma 5 5 5 2 5" xfId="28646"/>
    <cellStyle name="Comma 5 5 5 3" xfId="4490"/>
    <cellStyle name="Comma 5 5 5 3 2" xfId="13328"/>
    <cellStyle name="Comma 5 5 5 3 2 2" xfId="23579"/>
    <cellStyle name="Comma 5 5 5 3 2 2 2" xfId="49132"/>
    <cellStyle name="Comma 5 5 5 3 2 3" xfId="38883"/>
    <cellStyle name="Comma 5 5 5 3 3" xfId="9749"/>
    <cellStyle name="Comma 5 5 5 3 3 2" xfId="35306"/>
    <cellStyle name="Comma 5 5 5 3 4" xfId="18572"/>
    <cellStyle name="Comma 5 5 5 3 4 2" xfId="44125"/>
    <cellStyle name="Comma 5 5 5 3 5" xfId="30062"/>
    <cellStyle name="Comma 5 5 5 4" xfId="1911"/>
    <cellStyle name="Comma 5 5 5 4 2" xfId="11276"/>
    <cellStyle name="Comma 5 5 5 4 2 2" xfId="36831"/>
    <cellStyle name="Comma 5 5 5 4 3" xfId="21280"/>
    <cellStyle name="Comma 5 5 5 4 3 2" xfId="46833"/>
    <cellStyle name="Comma 5 5 5 4 4" xfId="27763"/>
    <cellStyle name="Comma 5 5 5 5" xfId="5946"/>
    <cellStyle name="Comma 5 5 5 5 2" xfId="14773"/>
    <cellStyle name="Comma 5 5 5 5 2 2" xfId="40328"/>
    <cellStyle name="Comma 5 5 5 5 3" xfId="25024"/>
    <cellStyle name="Comma 5 5 5 5 3 2" xfId="50577"/>
    <cellStyle name="Comma 5 5 5 5 4" xfId="31507"/>
    <cellStyle name="Comma 5 5 5 6" xfId="7390"/>
    <cellStyle name="Comma 5 5 5 6 2" xfId="19762"/>
    <cellStyle name="Comma 5 5 5 6 2 2" xfId="45315"/>
    <cellStyle name="Comma 5 5 5 6 3" xfId="32947"/>
    <cellStyle name="Comma 5 5 5 7" xfId="16273"/>
    <cellStyle name="Comma 5 5 5 7 2" xfId="41826"/>
    <cellStyle name="Comma 5 5 5 8" xfId="26245"/>
    <cellStyle name="Comma 5 5 6" xfId="675"/>
    <cellStyle name="Comma 5 5 6 2" xfId="3161"/>
    <cellStyle name="Comma 5 5 6 2 2" xfId="12304"/>
    <cellStyle name="Comma 5 5 6 2 2 2" xfId="22522"/>
    <cellStyle name="Comma 5 5 6 2 2 2 2" xfId="48075"/>
    <cellStyle name="Comma 5 5 6 2 2 3" xfId="37859"/>
    <cellStyle name="Comma 5 5 6 2 3" xfId="8726"/>
    <cellStyle name="Comma 5 5 6 2 3 2" xfId="34283"/>
    <cellStyle name="Comma 5 5 6 2 4" xfId="17515"/>
    <cellStyle name="Comma 5 5 6 2 4 2" xfId="43068"/>
    <cellStyle name="Comma 5 5 6 2 5" xfId="29005"/>
    <cellStyle name="Comma 5 5 6 3" xfId="4839"/>
    <cellStyle name="Comma 5 5 6 3 2" xfId="13676"/>
    <cellStyle name="Comma 5 5 6 3 2 2" xfId="23927"/>
    <cellStyle name="Comma 5 5 6 3 2 2 2" xfId="49480"/>
    <cellStyle name="Comma 5 5 6 3 2 3" xfId="39231"/>
    <cellStyle name="Comma 5 5 6 3 3" xfId="10097"/>
    <cellStyle name="Comma 5 5 6 3 3 2" xfId="35654"/>
    <cellStyle name="Comma 5 5 6 3 4" xfId="18920"/>
    <cellStyle name="Comma 5 5 6 3 4 2" xfId="44473"/>
    <cellStyle name="Comma 5 5 6 3 5" xfId="30410"/>
    <cellStyle name="Comma 5 5 6 4" xfId="2270"/>
    <cellStyle name="Comma 5 5 6 4 2" xfId="11635"/>
    <cellStyle name="Comma 5 5 6 4 2 2" xfId="37190"/>
    <cellStyle name="Comma 5 5 6 4 3" xfId="21639"/>
    <cellStyle name="Comma 5 5 6 4 3 2" xfId="47192"/>
    <cellStyle name="Comma 5 5 6 4 4" xfId="28122"/>
    <cellStyle name="Comma 5 5 6 5" xfId="6294"/>
    <cellStyle name="Comma 5 5 6 5 2" xfId="15121"/>
    <cellStyle name="Comma 5 5 6 5 2 2" xfId="40676"/>
    <cellStyle name="Comma 5 5 6 5 3" xfId="25372"/>
    <cellStyle name="Comma 5 5 6 5 3 2" xfId="50925"/>
    <cellStyle name="Comma 5 5 6 5 4" xfId="31855"/>
    <cellStyle name="Comma 5 5 6 6" xfId="7740"/>
    <cellStyle name="Comma 5 5 6 6 2" xfId="20121"/>
    <cellStyle name="Comma 5 5 6 6 2 2" xfId="45674"/>
    <cellStyle name="Comma 5 5 6 6 3" xfId="33297"/>
    <cellStyle name="Comma 5 5 6 7" xfId="16632"/>
    <cellStyle name="Comma 5 5 6 7 2" xfId="42185"/>
    <cellStyle name="Comma 5 5 6 8" xfId="26604"/>
    <cellStyle name="Comma 5 5 7" xfId="1088"/>
    <cellStyle name="Comma 5 5 7 2" xfId="3517"/>
    <cellStyle name="Comma 5 5 7 2 2" xfId="12653"/>
    <cellStyle name="Comma 5 5 7 2 2 2" xfId="22872"/>
    <cellStyle name="Comma 5 5 7 2 2 2 2" xfId="48425"/>
    <cellStyle name="Comma 5 5 7 2 2 3" xfId="38208"/>
    <cellStyle name="Comma 5 5 7 2 3" xfId="9075"/>
    <cellStyle name="Comma 5 5 7 2 3 2" xfId="34632"/>
    <cellStyle name="Comma 5 5 7 2 4" xfId="17865"/>
    <cellStyle name="Comma 5 5 7 2 4 2" xfId="43418"/>
    <cellStyle name="Comma 5 5 7 2 5" xfId="29355"/>
    <cellStyle name="Comma 5 5 7 3" xfId="5180"/>
    <cellStyle name="Comma 5 5 7 3 2" xfId="14017"/>
    <cellStyle name="Comma 5 5 7 3 2 2" xfId="24268"/>
    <cellStyle name="Comma 5 5 7 3 2 2 2" xfId="49821"/>
    <cellStyle name="Comma 5 5 7 3 2 3" xfId="39572"/>
    <cellStyle name="Comma 5 5 7 3 3" xfId="10438"/>
    <cellStyle name="Comma 5 5 7 3 3 2" xfId="35995"/>
    <cellStyle name="Comma 5 5 7 3 4" xfId="19261"/>
    <cellStyle name="Comma 5 5 7 3 4 2" xfId="44814"/>
    <cellStyle name="Comma 5 5 7 3 5" xfId="30751"/>
    <cellStyle name="Comma 5 5 7 4" xfId="1746"/>
    <cellStyle name="Comma 5 5 7 4 2" xfId="11117"/>
    <cellStyle name="Comma 5 5 7 4 2 2" xfId="36672"/>
    <cellStyle name="Comma 5 5 7 4 3" xfId="21121"/>
    <cellStyle name="Comma 5 5 7 4 3 2" xfId="46674"/>
    <cellStyle name="Comma 5 5 7 4 4" xfId="27604"/>
    <cellStyle name="Comma 5 5 7 5" xfId="6635"/>
    <cellStyle name="Comma 5 5 7 5 2" xfId="15462"/>
    <cellStyle name="Comma 5 5 7 5 2 2" xfId="41017"/>
    <cellStyle name="Comma 5 5 7 5 3" xfId="25713"/>
    <cellStyle name="Comma 5 5 7 5 3 2" xfId="51266"/>
    <cellStyle name="Comma 5 5 7 5 4" xfId="32196"/>
    <cellStyle name="Comma 5 5 7 6" xfId="8081"/>
    <cellStyle name="Comma 5 5 7 6 2" xfId="20471"/>
    <cellStyle name="Comma 5 5 7 6 2 2" xfId="46024"/>
    <cellStyle name="Comma 5 5 7 6 3" xfId="33638"/>
    <cellStyle name="Comma 5 5 7 7" xfId="16114"/>
    <cellStyle name="Comma 5 5 7 7 2" xfId="41667"/>
    <cellStyle name="Comma 5 5 7 8" xfId="26954"/>
    <cellStyle name="Comma 5 5 8" xfId="2644"/>
    <cellStyle name="Comma 5 5 8 2" xfId="5592"/>
    <cellStyle name="Comma 5 5 8 2 2" xfId="14419"/>
    <cellStyle name="Comma 5 5 8 2 2 2" xfId="39974"/>
    <cellStyle name="Comma 5 5 8 2 3" xfId="24670"/>
    <cellStyle name="Comma 5 5 8 2 3 2" xfId="50223"/>
    <cellStyle name="Comma 5 5 8 2 4" xfId="31153"/>
    <cellStyle name="Comma 5 5 8 3" xfId="7036"/>
    <cellStyle name="Comma 5 5 8 3 2" xfId="22005"/>
    <cellStyle name="Comma 5 5 8 3 2 2" xfId="47558"/>
    <cellStyle name="Comma 5 5 8 3 3" xfId="32593"/>
    <cellStyle name="Comma 5 5 8 4" xfId="16998"/>
    <cellStyle name="Comma 5 5 8 4 2" xfId="42551"/>
    <cellStyle name="Comma 5 5 8 5" xfId="28488"/>
    <cellStyle name="Comma 5 5 9" xfId="4134"/>
    <cellStyle name="Comma 5 5 9 2" xfId="12972"/>
    <cellStyle name="Comma 5 5 9 2 2" xfId="23223"/>
    <cellStyle name="Comma 5 5 9 2 2 2" xfId="48776"/>
    <cellStyle name="Comma 5 5 9 2 3" xfId="38527"/>
    <cellStyle name="Comma 5 5 9 3" xfId="9393"/>
    <cellStyle name="Comma 5 5 9 3 2" xfId="34950"/>
    <cellStyle name="Comma 5 5 9 4" xfId="18216"/>
    <cellStyle name="Comma 5 5 9 4 2" xfId="43769"/>
    <cellStyle name="Comma 5 5 9 5" xfId="29706"/>
    <cellStyle name="Comma 5 6" xfId="173"/>
    <cellStyle name="Comma 5 6 10" xfId="7121"/>
    <cellStyle name="Comma 5 6 10 2" xfId="19630"/>
    <cellStyle name="Comma 5 6 10 2 2" xfId="45183"/>
    <cellStyle name="Comma 5 6 10 3" xfId="32678"/>
    <cellStyle name="Comma 5 6 11" xfId="15867"/>
    <cellStyle name="Comma 5 6 11 2" xfId="41420"/>
    <cellStyle name="Comma 5 6 12" xfId="26113"/>
    <cellStyle name="Comma 5 6 2" xfId="501"/>
    <cellStyle name="Comma 5 6 2 10" xfId="26430"/>
    <cellStyle name="Comma 5 6 2 2" xfId="682"/>
    <cellStyle name="Comma 5 6 2 2 2" xfId="3168"/>
    <cellStyle name="Comma 5 6 2 2 2 2" xfId="12311"/>
    <cellStyle name="Comma 5 6 2 2 2 2 2" xfId="22529"/>
    <cellStyle name="Comma 5 6 2 2 2 2 2 2" xfId="48082"/>
    <cellStyle name="Comma 5 6 2 2 2 2 3" xfId="37866"/>
    <cellStyle name="Comma 5 6 2 2 2 3" xfId="8733"/>
    <cellStyle name="Comma 5 6 2 2 2 3 2" xfId="34290"/>
    <cellStyle name="Comma 5 6 2 2 2 4" xfId="17522"/>
    <cellStyle name="Comma 5 6 2 2 2 4 2" xfId="43075"/>
    <cellStyle name="Comma 5 6 2 2 2 5" xfId="29012"/>
    <cellStyle name="Comma 5 6 2 2 3" xfId="4497"/>
    <cellStyle name="Comma 5 6 2 2 3 2" xfId="13335"/>
    <cellStyle name="Comma 5 6 2 2 3 2 2" xfId="23586"/>
    <cellStyle name="Comma 5 6 2 2 3 2 2 2" xfId="49139"/>
    <cellStyle name="Comma 5 6 2 2 3 2 3" xfId="38890"/>
    <cellStyle name="Comma 5 6 2 2 3 3" xfId="9756"/>
    <cellStyle name="Comma 5 6 2 2 3 3 2" xfId="35313"/>
    <cellStyle name="Comma 5 6 2 2 3 4" xfId="18579"/>
    <cellStyle name="Comma 5 6 2 2 3 4 2" xfId="44132"/>
    <cellStyle name="Comma 5 6 2 2 3 5" xfId="30069"/>
    <cellStyle name="Comma 5 6 2 2 4" xfId="2277"/>
    <cellStyle name="Comma 5 6 2 2 4 2" xfId="11642"/>
    <cellStyle name="Comma 5 6 2 2 4 2 2" xfId="37197"/>
    <cellStyle name="Comma 5 6 2 2 4 3" xfId="21646"/>
    <cellStyle name="Comma 5 6 2 2 4 3 2" xfId="47199"/>
    <cellStyle name="Comma 5 6 2 2 4 4" xfId="28129"/>
    <cellStyle name="Comma 5 6 2 2 5" xfId="5953"/>
    <cellStyle name="Comma 5 6 2 2 5 2" xfId="14780"/>
    <cellStyle name="Comma 5 6 2 2 5 2 2" xfId="40335"/>
    <cellStyle name="Comma 5 6 2 2 5 3" xfId="25031"/>
    <cellStyle name="Comma 5 6 2 2 5 3 2" xfId="50584"/>
    <cellStyle name="Comma 5 6 2 2 5 4" xfId="31514"/>
    <cellStyle name="Comma 5 6 2 2 6" xfId="7397"/>
    <cellStyle name="Comma 5 6 2 2 6 2" xfId="20128"/>
    <cellStyle name="Comma 5 6 2 2 6 2 2" xfId="45681"/>
    <cellStyle name="Comma 5 6 2 2 6 3" xfId="32954"/>
    <cellStyle name="Comma 5 6 2 2 7" xfId="16639"/>
    <cellStyle name="Comma 5 6 2 2 7 2" xfId="42192"/>
    <cellStyle name="Comma 5 6 2 2 8" xfId="26611"/>
    <cellStyle name="Comma 5 6 2 3" xfId="1273"/>
    <cellStyle name="Comma 5 6 2 3 2" xfId="3702"/>
    <cellStyle name="Comma 5 6 2 3 2 2" xfId="12838"/>
    <cellStyle name="Comma 5 6 2 3 2 2 2" xfId="23057"/>
    <cellStyle name="Comma 5 6 2 3 2 2 2 2" xfId="48610"/>
    <cellStyle name="Comma 5 6 2 3 2 2 3" xfId="38393"/>
    <cellStyle name="Comma 5 6 2 3 2 3" xfId="9259"/>
    <cellStyle name="Comma 5 6 2 3 2 3 2" xfId="34816"/>
    <cellStyle name="Comma 5 6 2 3 2 4" xfId="18050"/>
    <cellStyle name="Comma 5 6 2 3 2 4 2" xfId="43603"/>
    <cellStyle name="Comma 5 6 2 3 2 5" xfId="29540"/>
    <cellStyle name="Comma 5 6 2 3 3" xfId="4846"/>
    <cellStyle name="Comma 5 6 2 3 3 2" xfId="13683"/>
    <cellStyle name="Comma 5 6 2 3 3 2 2" xfId="23934"/>
    <cellStyle name="Comma 5 6 2 3 3 2 2 2" xfId="49487"/>
    <cellStyle name="Comma 5 6 2 3 3 2 3" xfId="39238"/>
    <cellStyle name="Comma 5 6 2 3 3 3" xfId="10104"/>
    <cellStyle name="Comma 5 6 2 3 3 3 2" xfId="35661"/>
    <cellStyle name="Comma 5 6 2 3 3 4" xfId="18927"/>
    <cellStyle name="Comma 5 6 2 3 3 4 2" xfId="44480"/>
    <cellStyle name="Comma 5 6 2 3 3 5" xfId="30417"/>
    <cellStyle name="Comma 5 6 2 3 4" xfId="2096"/>
    <cellStyle name="Comma 5 6 2 3 4 2" xfId="11461"/>
    <cellStyle name="Comma 5 6 2 3 4 2 2" xfId="37016"/>
    <cellStyle name="Comma 5 6 2 3 4 3" xfId="21465"/>
    <cellStyle name="Comma 5 6 2 3 4 3 2" xfId="47018"/>
    <cellStyle name="Comma 5 6 2 3 4 4" xfId="27948"/>
    <cellStyle name="Comma 5 6 2 3 5" xfId="6301"/>
    <cellStyle name="Comma 5 6 2 3 5 2" xfId="15128"/>
    <cellStyle name="Comma 5 6 2 3 5 2 2" xfId="40683"/>
    <cellStyle name="Comma 5 6 2 3 5 3" xfId="25379"/>
    <cellStyle name="Comma 5 6 2 3 5 3 2" xfId="50932"/>
    <cellStyle name="Comma 5 6 2 3 5 4" xfId="31862"/>
    <cellStyle name="Comma 5 6 2 3 6" xfId="7747"/>
    <cellStyle name="Comma 5 6 2 3 6 2" xfId="20656"/>
    <cellStyle name="Comma 5 6 2 3 6 2 2" xfId="46209"/>
    <cellStyle name="Comma 5 6 2 3 6 3" xfId="33304"/>
    <cellStyle name="Comma 5 6 2 3 7" xfId="16458"/>
    <cellStyle name="Comma 5 6 2 3 7 2" xfId="42011"/>
    <cellStyle name="Comma 5 6 2 3 8" xfId="27139"/>
    <cellStyle name="Comma 5 6 2 4" xfId="2987"/>
    <cellStyle name="Comma 5 6 2 4 2" xfId="5365"/>
    <cellStyle name="Comma 5 6 2 4 2 2" xfId="14202"/>
    <cellStyle name="Comma 5 6 2 4 2 2 2" xfId="24453"/>
    <cellStyle name="Comma 5 6 2 4 2 2 2 2" xfId="50006"/>
    <cellStyle name="Comma 5 6 2 4 2 2 3" xfId="39757"/>
    <cellStyle name="Comma 5 6 2 4 2 3" xfId="10623"/>
    <cellStyle name="Comma 5 6 2 4 2 3 2" xfId="36180"/>
    <cellStyle name="Comma 5 6 2 4 2 4" xfId="19446"/>
    <cellStyle name="Comma 5 6 2 4 2 4 2" xfId="44999"/>
    <cellStyle name="Comma 5 6 2 4 2 5" xfId="30936"/>
    <cellStyle name="Comma 5 6 2 4 3" xfId="6820"/>
    <cellStyle name="Comma 5 6 2 4 3 2" xfId="15647"/>
    <cellStyle name="Comma 5 6 2 4 3 2 2" xfId="41202"/>
    <cellStyle name="Comma 5 6 2 4 3 3" xfId="25898"/>
    <cellStyle name="Comma 5 6 2 4 3 3 2" xfId="51451"/>
    <cellStyle name="Comma 5 6 2 4 3 4" xfId="32381"/>
    <cellStyle name="Comma 5 6 2 4 4" xfId="8266"/>
    <cellStyle name="Comma 5 6 2 4 4 2" xfId="22348"/>
    <cellStyle name="Comma 5 6 2 4 4 2 2" xfId="47901"/>
    <cellStyle name="Comma 5 6 2 4 4 3" xfId="33823"/>
    <cellStyle name="Comma 5 6 2 4 5" xfId="17341"/>
    <cellStyle name="Comma 5 6 2 4 5 2" xfId="42894"/>
    <cellStyle name="Comma 5 6 2 4 6" xfId="28831"/>
    <cellStyle name="Comma 5 6 2 5" xfId="4321"/>
    <cellStyle name="Comma 5 6 2 5 2" xfId="13159"/>
    <cellStyle name="Comma 5 6 2 5 2 2" xfId="23410"/>
    <cellStyle name="Comma 5 6 2 5 2 2 2" xfId="48963"/>
    <cellStyle name="Comma 5 6 2 5 2 3" xfId="38714"/>
    <cellStyle name="Comma 5 6 2 5 3" xfId="9580"/>
    <cellStyle name="Comma 5 6 2 5 3 2" xfId="35137"/>
    <cellStyle name="Comma 5 6 2 5 4" xfId="18403"/>
    <cellStyle name="Comma 5 6 2 5 4 2" xfId="43956"/>
    <cellStyle name="Comma 5 6 2 5 5" xfId="29893"/>
    <cellStyle name="Comma 5 6 2 6" xfId="1593"/>
    <cellStyle name="Comma 5 6 2 6 2" xfId="10970"/>
    <cellStyle name="Comma 5 6 2 6 2 2" xfId="36525"/>
    <cellStyle name="Comma 5 6 2 6 3" xfId="20974"/>
    <cellStyle name="Comma 5 6 2 6 3 2" xfId="46527"/>
    <cellStyle name="Comma 5 6 2 6 4" xfId="27457"/>
    <cellStyle name="Comma 5 6 2 7" xfId="5777"/>
    <cellStyle name="Comma 5 6 2 7 2" xfId="14604"/>
    <cellStyle name="Comma 5 6 2 7 2 2" xfId="40159"/>
    <cellStyle name="Comma 5 6 2 7 3" xfId="24855"/>
    <cellStyle name="Comma 5 6 2 7 3 2" xfId="50408"/>
    <cellStyle name="Comma 5 6 2 7 4" xfId="31338"/>
    <cellStyle name="Comma 5 6 2 8" xfId="7221"/>
    <cellStyle name="Comma 5 6 2 8 2" xfId="19947"/>
    <cellStyle name="Comma 5 6 2 8 2 2" xfId="45500"/>
    <cellStyle name="Comma 5 6 2 8 3" xfId="32778"/>
    <cellStyle name="Comma 5 6 2 9" xfId="15967"/>
    <cellStyle name="Comma 5 6 2 9 2" xfId="41520"/>
    <cellStyle name="Comma 5 6 3" xfId="401"/>
    <cellStyle name="Comma 5 6 3 2" xfId="2887"/>
    <cellStyle name="Comma 5 6 3 2 2" xfId="12175"/>
    <cellStyle name="Comma 5 6 3 2 2 2" xfId="22248"/>
    <cellStyle name="Comma 5 6 3 2 2 2 2" xfId="47801"/>
    <cellStyle name="Comma 5 6 3 2 2 3" xfId="37730"/>
    <cellStyle name="Comma 5 6 3 2 3" xfId="8382"/>
    <cellStyle name="Comma 5 6 3 2 3 2" xfId="33939"/>
    <cellStyle name="Comma 5 6 3 2 4" xfId="17241"/>
    <cellStyle name="Comma 5 6 3 2 4 2" xfId="42794"/>
    <cellStyle name="Comma 5 6 3 2 5" xfId="28731"/>
    <cellStyle name="Comma 5 6 3 3" xfId="4496"/>
    <cellStyle name="Comma 5 6 3 3 2" xfId="13334"/>
    <cellStyle name="Comma 5 6 3 3 2 2" xfId="23585"/>
    <cellStyle name="Comma 5 6 3 3 2 2 2" xfId="49138"/>
    <cellStyle name="Comma 5 6 3 3 2 3" xfId="38889"/>
    <cellStyle name="Comma 5 6 3 3 3" xfId="9755"/>
    <cellStyle name="Comma 5 6 3 3 3 2" xfId="35312"/>
    <cellStyle name="Comma 5 6 3 3 4" xfId="18578"/>
    <cellStyle name="Comma 5 6 3 3 4 2" xfId="44131"/>
    <cellStyle name="Comma 5 6 3 3 5" xfId="30068"/>
    <cellStyle name="Comma 5 6 3 4" xfId="1996"/>
    <cellStyle name="Comma 5 6 3 4 2" xfId="11361"/>
    <cellStyle name="Comma 5 6 3 4 2 2" xfId="36916"/>
    <cellStyle name="Comma 5 6 3 4 3" xfId="21365"/>
    <cellStyle name="Comma 5 6 3 4 3 2" xfId="46918"/>
    <cellStyle name="Comma 5 6 3 4 4" xfId="27848"/>
    <cellStyle name="Comma 5 6 3 5" xfId="5952"/>
    <cellStyle name="Comma 5 6 3 5 2" xfId="14779"/>
    <cellStyle name="Comma 5 6 3 5 2 2" xfId="40334"/>
    <cellStyle name="Comma 5 6 3 5 3" xfId="25030"/>
    <cellStyle name="Comma 5 6 3 5 3 2" xfId="50583"/>
    <cellStyle name="Comma 5 6 3 5 4" xfId="31513"/>
    <cellStyle name="Comma 5 6 3 6" xfId="7396"/>
    <cellStyle name="Comma 5 6 3 6 2" xfId="19847"/>
    <cellStyle name="Comma 5 6 3 6 2 2" xfId="45400"/>
    <cellStyle name="Comma 5 6 3 6 3" xfId="32953"/>
    <cellStyle name="Comma 5 6 3 7" xfId="16358"/>
    <cellStyle name="Comma 5 6 3 7 2" xfId="41911"/>
    <cellStyle name="Comma 5 6 3 8" xfId="26330"/>
    <cellStyle name="Comma 5 6 4" xfId="681"/>
    <cellStyle name="Comma 5 6 4 2" xfId="3167"/>
    <cellStyle name="Comma 5 6 4 2 2" xfId="12310"/>
    <cellStyle name="Comma 5 6 4 2 2 2" xfId="22528"/>
    <cellStyle name="Comma 5 6 4 2 2 2 2" xfId="48081"/>
    <cellStyle name="Comma 5 6 4 2 2 3" xfId="37865"/>
    <cellStyle name="Comma 5 6 4 2 3" xfId="8732"/>
    <cellStyle name="Comma 5 6 4 2 3 2" xfId="34289"/>
    <cellStyle name="Comma 5 6 4 2 4" xfId="17521"/>
    <cellStyle name="Comma 5 6 4 2 4 2" xfId="43074"/>
    <cellStyle name="Comma 5 6 4 2 5" xfId="29011"/>
    <cellStyle name="Comma 5 6 4 3" xfId="4845"/>
    <cellStyle name="Comma 5 6 4 3 2" xfId="13682"/>
    <cellStyle name="Comma 5 6 4 3 2 2" xfId="23933"/>
    <cellStyle name="Comma 5 6 4 3 2 2 2" xfId="49486"/>
    <cellStyle name="Comma 5 6 4 3 2 3" xfId="39237"/>
    <cellStyle name="Comma 5 6 4 3 3" xfId="10103"/>
    <cellStyle name="Comma 5 6 4 3 3 2" xfId="35660"/>
    <cellStyle name="Comma 5 6 4 3 4" xfId="18926"/>
    <cellStyle name="Comma 5 6 4 3 4 2" xfId="44479"/>
    <cellStyle name="Comma 5 6 4 3 5" xfId="30416"/>
    <cellStyle name="Comma 5 6 4 4" xfId="2276"/>
    <cellStyle name="Comma 5 6 4 4 2" xfId="11641"/>
    <cellStyle name="Comma 5 6 4 4 2 2" xfId="37196"/>
    <cellStyle name="Comma 5 6 4 4 3" xfId="21645"/>
    <cellStyle name="Comma 5 6 4 4 3 2" xfId="47198"/>
    <cellStyle name="Comma 5 6 4 4 4" xfId="28128"/>
    <cellStyle name="Comma 5 6 4 5" xfId="6300"/>
    <cellStyle name="Comma 5 6 4 5 2" xfId="15127"/>
    <cellStyle name="Comma 5 6 4 5 2 2" xfId="40682"/>
    <cellStyle name="Comma 5 6 4 5 3" xfId="25378"/>
    <cellStyle name="Comma 5 6 4 5 3 2" xfId="50931"/>
    <cellStyle name="Comma 5 6 4 5 4" xfId="31861"/>
    <cellStyle name="Comma 5 6 4 6" xfId="7746"/>
    <cellStyle name="Comma 5 6 4 6 2" xfId="20127"/>
    <cellStyle name="Comma 5 6 4 6 2 2" xfId="45680"/>
    <cellStyle name="Comma 5 6 4 6 3" xfId="33303"/>
    <cellStyle name="Comma 5 6 4 7" xfId="16638"/>
    <cellStyle name="Comma 5 6 4 7 2" xfId="42191"/>
    <cellStyle name="Comma 5 6 4 8" xfId="26610"/>
    <cellStyle name="Comma 5 6 5" xfId="1173"/>
    <cellStyle name="Comma 5 6 5 2" xfId="3602"/>
    <cellStyle name="Comma 5 6 5 2 2" xfId="12738"/>
    <cellStyle name="Comma 5 6 5 2 2 2" xfId="22957"/>
    <cellStyle name="Comma 5 6 5 2 2 2 2" xfId="48510"/>
    <cellStyle name="Comma 5 6 5 2 2 3" xfId="38293"/>
    <cellStyle name="Comma 5 6 5 2 3" xfId="9159"/>
    <cellStyle name="Comma 5 6 5 2 3 2" xfId="34716"/>
    <cellStyle name="Comma 5 6 5 2 4" xfId="17950"/>
    <cellStyle name="Comma 5 6 5 2 4 2" xfId="43503"/>
    <cellStyle name="Comma 5 6 5 2 5" xfId="29440"/>
    <cellStyle name="Comma 5 6 5 3" xfId="5265"/>
    <cellStyle name="Comma 5 6 5 3 2" xfId="14102"/>
    <cellStyle name="Comma 5 6 5 3 2 2" xfId="24353"/>
    <cellStyle name="Comma 5 6 5 3 2 2 2" xfId="49906"/>
    <cellStyle name="Comma 5 6 5 3 2 3" xfId="39657"/>
    <cellStyle name="Comma 5 6 5 3 3" xfId="10523"/>
    <cellStyle name="Comma 5 6 5 3 3 2" xfId="36080"/>
    <cellStyle name="Comma 5 6 5 3 4" xfId="19346"/>
    <cellStyle name="Comma 5 6 5 3 4 2" xfId="44899"/>
    <cellStyle name="Comma 5 6 5 3 5" xfId="30836"/>
    <cellStyle name="Comma 5 6 5 4" xfId="1775"/>
    <cellStyle name="Comma 5 6 5 4 2" xfId="11144"/>
    <cellStyle name="Comma 5 6 5 4 2 2" xfId="36699"/>
    <cellStyle name="Comma 5 6 5 4 3" xfId="21148"/>
    <cellStyle name="Comma 5 6 5 4 3 2" xfId="46701"/>
    <cellStyle name="Comma 5 6 5 4 4" xfId="27631"/>
    <cellStyle name="Comma 5 6 5 5" xfId="6720"/>
    <cellStyle name="Comma 5 6 5 5 2" xfId="15547"/>
    <cellStyle name="Comma 5 6 5 5 2 2" xfId="41102"/>
    <cellStyle name="Comma 5 6 5 5 3" xfId="25798"/>
    <cellStyle name="Comma 5 6 5 5 3 2" xfId="51351"/>
    <cellStyle name="Comma 5 6 5 5 4" xfId="32281"/>
    <cellStyle name="Comma 5 6 5 6" xfId="8166"/>
    <cellStyle name="Comma 5 6 5 6 2" xfId="20556"/>
    <cellStyle name="Comma 5 6 5 6 2 2" xfId="46109"/>
    <cellStyle name="Comma 5 6 5 6 3" xfId="33723"/>
    <cellStyle name="Comma 5 6 5 7" xfId="16141"/>
    <cellStyle name="Comma 5 6 5 7 2" xfId="41694"/>
    <cellStyle name="Comma 5 6 5 8" xfId="27039"/>
    <cellStyle name="Comma 5 6 6" xfId="2670"/>
    <cellStyle name="Comma 5 6 6 2" xfId="11987"/>
    <cellStyle name="Comma 5 6 6 2 2" xfId="22031"/>
    <cellStyle name="Comma 5 6 6 2 2 2" xfId="47584"/>
    <cellStyle name="Comma 5 6 6 2 3" xfId="37542"/>
    <cellStyle name="Comma 5 6 6 3" xfId="8561"/>
    <cellStyle name="Comma 5 6 6 3 2" xfId="34118"/>
    <cellStyle name="Comma 5 6 6 4" xfId="17024"/>
    <cellStyle name="Comma 5 6 6 4 2" xfId="42577"/>
    <cellStyle name="Comma 5 6 6 5" xfId="28514"/>
    <cellStyle name="Comma 5 6 7" xfId="4221"/>
    <cellStyle name="Comma 5 6 7 2" xfId="13059"/>
    <cellStyle name="Comma 5 6 7 2 2" xfId="23310"/>
    <cellStyle name="Comma 5 6 7 2 2 2" xfId="48863"/>
    <cellStyle name="Comma 5 6 7 2 3" xfId="38614"/>
    <cellStyle name="Comma 5 6 7 3" xfId="9480"/>
    <cellStyle name="Comma 5 6 7 3 2" xfId="35037"/>
    <cellStyle name="Comma 5 6 7 4" xfId="18303"/>
    <cellStyle name="Comma 5 6 7 4 2" xfId="43856"/>
    <cellStyle name="Comma 5 6 7 5" xfId="29793"/>
    <cellStyle name="Comma 5 6 8" xfId="1493"/>
    <cellStyle name="Comma 5 6 8 2" xfId="10870"/>
    <cellStyle name="Comma 5 6 8 2 2" xfId="36425"/>
    <cellStyle name="Comma 5 6 8 3" xfId="20874"/>
    <cellStyle name="Comma 5 6 8 3 2" xfId="46427"/>
    <cellStyle name="Comma 5 6 8 4" xfId="27357"/>
    <cellStyle name="Comma 5 6 9" xfId="5677"/>
    <cellStyle name="Comma 5 6 9 2" xfId="14504"/>
    <cellStyle name="Comma 5 6 9 2 2" xfId="40059"/>
    <cellStyle name="Comma 5 6 9 3" xfId="24755"/>
    <cellStyle name="Comma 5 6 9 3 2" xfId="50308"/>
    <cellStyle name="Comma 5 6 9 4" xfId="31238"/>
    <cellStyle name="Comma 5 7" xfId="226"/>
    <cellStyle name="Comma 5 7 10" xfId="7064"/>
    <cellStyle name="Comma 5 7 10 2" xfId="19678"/>
    <cellStyle name="Comma 5 7 10 2 2" xfId="45231"/>
    <cellStyle name="Comma 5 7 10 3" xfId="32621"/>
    <cellStyle name="Comma 5 7 11" xfId="15810"/>
    <cellStyle name="Comma 5 7 11 2" xfId="41363"/>
    <cellStyle name="Comma 5 7 12" xfId="26161"/>
    <cellStyle name="Comma 5 7 2" xfId="549"/>
    <cellStyle name="Comma 5 7 2 10" xfId="26478"/>
    <cellStyle name="Comma 5 7 2 2" xfId="684"/>
    <cellStyle name="Comma 5 7 2 2 2" xfId="3170"/>
    <cellStyle name="Comma 5 7 2 2 2 2" xfId="12313"/>
    <cellStyle name="Comma 5 7 2 2 2 2 2" xfId="22531"/>
    <cellStyle name="Comma 5 7 2 2 2 2 2 2" xfId="48084"/>
    <cellStyle name="Comma 5 7 2 2 2 2 3" xfId="37868"/>
    <cellStyle name="Comma 5 7 2 2 2 3" xfId="8735"/>
    <cellStyle name="Comma 5 7 2 2 2 3 2" xfId="34292"/>
    <cellStyle name="Comma 5 7 2 2 2 4" xfId="17524"/>
    <cellStyle name="Comma 5 7 2 2 2 4 2" xfId="43077"/>
    <cellStyle name="Comma 5 7 2 2 2 5" xfId="29014"/>
    <cellStyle name="Comma 5 7 2 2 3" xfId="4499"/>
    <cellStyle name="Comma 5 7 2 2 3 2" xfId="13337"/>
    <cellStyle name="Comma 5 7 2 2 3 2 2" xfId="23588"/>
    <cellStyle name="Comma 5 7 2 2 3 2 2 2" xfId="49141"/>
    <cellStyle name="Comma 5 7 2 2 3 2 3" xfId="38892"/>
    <cellStyle name="Comma 5 7 2 2 3 3" xfId="9758"/>
    <cellStyle name="Comma 5 7 2 2 3 3 2" xfId="35315"/>
    <cellStyle name="Comma 5 7 2 2 3 4" xfId="18581"/>
    <cellStyle name="Comma 5 7 2 2 3 4 2" xfId="44134"/>
    <cellStyle name="Comma 5 7 2 2 3 5" xfId="30071"/>
    <cellStyle name="Comma 5 7 2 2 4" xfId="2279"/>
    <cellStyle name="Comma 5 7 2 2 4 2" xfId="11644"/>
    <cellStyle name="Comma 5 7 2 2 4 2 2" xfId="37199"/>
    <cellStyle name="Comma 5 7 2 2 4 3" xfId="21648"/>
    <cellStyle name="Comma 5 7 2 2 4 3 2" xfId="47201"/>
    <cellStyle name="Comma 5 7 2 2 4 4" xfId="28131"/>
    <cellStyle name="Comma 5 7 2 2 5" xfId="5955"/>
    <cellStyle name="Comma 5 7 2 2 5 2" xfId="14782"/>
    <cellStyle name="Comma 5 7 2 2 5 2 2" xfId="40337"/>
    <cellStyle name="Comma 5 7 2 2 5 3" xfId="25033"/>
    <cellStyle name="Comma 5 7 2 2 5 3 2" xfId="50586"/>
    <cellStyle name="Comma 5 7 2 2 5 4" xfId="31516"/>
    <cellStyle name="Comma 5 7 2 2 6" xfId="7399"/>
    <cellStyle name="Comma 5 7 2 2 6 2" xfId="20130"/>
    <cellStyle name="Comma 5 7 2 2 6 2 2" xfId="45683"/>
    <cellStyle name="Comma 5 7 2 2 6 3" xfId="32956"/>
    <cellStyle name="Comma 5 7 2 2 7" xfId="16641"/>
    <cellStyle name="Comma 5 7 2 2 7 2" xfId="42194"/>
    <cellStyle name="Comma 5 7 2 2 8" xfId="26613"/>
    <cellStyle name="Comma 5 7 2 3" xfId="1321"/>
    <cellStyle name="Comma 5 7 2 3 2" xfId="3750"/>
    <cellStyle name="Comma 5 7 2 3 2 2" xfId="12886"/>
    <cellStyle name="Comma 5 7 2 3 2 2 2" xfId="23105"/>
    <cellStyle name="Comma 5 7 2 3 2 2 2 2" xfId="48658"/>
    <cellStyle name="Comma 5 7 2 3 2 2 3" xfId="38441"/>
    <cellStyle name="Comma 5 7 2 3 2 3" xfId="9307"/>
    <cellStyle name="Comma 5 7 2 3 2 3 2" xfId="34864"/>
    <cellStyle name="Comma 5 7 2 3 2 4" xfId="18098"/>
    <cellStyle name="Comma 5 7 2 3 2 4 2" xfId="43651"/>
    <cellStyle name="Comma 5 7 2 3 2 5" xfId="29588"/>
    <cellStyle name="Comma 5 7 2 3 3" xfId="4848"/>
    <cellStyle name="Comma 5 7 2 3 3 2" xfId="13685"/>
    <cellStyle name="Comma 5 7 2 3 3 2 2" xfId="23936"/>
    <cellStyle name="Comma 5 7 2 3 3 2 2 2" xfId="49489"/>
    <cellStyle name="Comma 5 7 2 3 3 2 3" xfId="39240"/>
    <cellStyle name="Comma 5 7 2 3 3 3" xfId="10106"/>
    <cellStyle name="Comma 5 7 2 3 3 3 2" xfId="35663"/>
    <cellStyle name="Comma 5 7 2 3 3 4" xfId="18929"/>
    <cellStyle name="Comma 5 7 2 3 3 4 2" xfId="44482"/>
    <cellStyle name="Comma 5 7 2 3 3 5" xfId="30419"/>
    <cellStyle name="Comma 5 7 2 3 4" xfId="2144"/>
    <cellStyle name="Comma 5 7 2 3 4 2" xfId="11509"/>
    <cellStyle name="Comma 5 7 2 3 4 2 2" xfId="37064"/>
    <cellStyle name="Comma 5 7 2 3 4 3" xfId="21513"/>
    <cellStyle name="Comma 5 7 2 3 4 3 2" xfId="47066"/>
    <cellStyle name="Comma 5 7 2 3 4 4" xfId="27996"/>
    <cellStyle name="Comma 5 7 2 3 5" xfId="6303"/>
    <cellStyle name="Comma 5 7 2 3 5 2" xfId="15130"/>
    <cellStyle name="Comma 5 7 2 3 5 2 2" xfId="40685"/>
    <cellStyle name="Comma 5 7 2 3 5 3" xfId="25381"/>
    <cellStyle name="Comma 5 7 2 3 5 3 2" xfId="50934"/>
    <cellStyle name="Comma 5 7 2 3 5 4" xfId="31864"/>
    <cellStyle name="Comma 5 7 2 3 6" xfId="7749"/>
    <cellStyle name="Comma 5 7 2 3 6 2" xfId="20704"/>
    <cellStyle name="Comma 5 7 2 3 6 2 2" xfId="46257"/>
    <cellStyle name="Comma 5 7 2 3 6 3" xfId="33306"/>
    <cellStyle name="Comma 5 7 2 3 7" xfId="16506"/>
    <cellStyle name="Comma 5 7 2 3 7 2" xfId="42059"/>
    <cellStyle name="Comma 5 7 2 3 8" xfId="27187"/>
    <cellStyle name="Comma 5 7 2 4" xfId="3035"/>
    <cellStyle name="Comma 5 7 2 4 2" xfId="5413"/>
    <cellStyle name="Comma 5 7 2 4 2 2" xfId="14250"/>
    <cellStyle name="Comma 5 7 2 4 2 2 2" xfId="24501"/>
    <cellStyle name="Comma 5 7 2 4 2 2 2 2" xfId="50054"/>
    <cellStyle name="Comma 5 7 2 4 2 2 3" xfId="39805"/>
    <cellStyle name="Comma 5 7 2 4 2 3" xfId="10671"/>
    <cellStyle name="Comma 5 7 2 4 2 3 2" xfId="36228"/>
    <cellStyle name="Comma 5 7 2 4 2 4" xfId="19494"/>
    <cellStyle name="Comma 5 7 2 4 2 4 2" xfId="45047"/>
    <cellStyle name="Comma 5 7 2 4 2 5" xfId="30984"/>
    <cellStyle name="Comma 5 7 2 4 3" xfId="6868"/>
    <cellStyle name="Comma 5 7 2 4 3 2" xfId="15695"/>
    <cellStyle name="Comma 5 7 2 4 3 2 2" xfId="41250"/>
    <cellStyle name="Comma 5 7 2 4 3 3" xfId="25946"/>
    <cellStyle name="Comma 5 7 2 4 3 3 2" xfId="51499"/>
    <cellStyle name="Comma 5 7 2 4 3 4" xfId="32429"/>
    <cellStyle name="Comma 5 7 2 4 4" xfId="8314"/>
    <cellStyle name="Comma 5 7 2 4 4 2" xfId="22396"/>
    <cellStyle name="Comma 5 7 2 4 4 2 2" xfId="47949"/>
    <cellStyle name="Comma 5 7 2 4 4 3" xfId="33871"/>
    <cellStyle name="Comma 5 7 2 4 5" xfId="17389"/>
    <cellStyle name="Comma 5 7 2 4 5 2" xfId="42942"/>
    <cellStyle name="Comma 5 7 2 4 6" xfId="28879"/>
    <cellStyle name="Comma 5 7 2 5" xfId="4369"/>
    <cellStyle name="Comma 5 7 2 5 2" xfId="13207"/>
    <cellStyle name="Comma 5 7 2 5 2 2" xfId="23458"/>
    <cellStyle name="Comma 5 7 2 5 2 2 2" xfId="49011"/>
    <cellStyle name="Comma 5 7 2 5 2 3" xfId="38762"/>
    <cellStyle name="Comma 5 7 2 5 3" xfId="9628"/>
    <cellStyle name="Comma 5 7 2 5 3 2" xfId="35185"/>
    <cellStyle name="Comma 5 7 2 5 4" xfId="18451"/>
    <cellStyle name="Comma 5 7 2 5 4 2" xfId="44004"/>
    <cellStyle name="Comma 5 7 2 5 5" xfId="29941"/>
    <cellStyle name="Comma 5 7 2 6" xfId="1641"/>
    <cellStyle name="Comma 5 7 2 6 2" xfId="11018"/>
    <cellStyle name="Comma 5 7 2 6 2 2" xfId="36573"/>
    <cellStyle name="Comma 5 7 2 6 3" xfId="21022"/>
    <cellStyle name="Comma 5 7 2 6 3 2" xfId="46575"/>
    <cellStyle name="Comma 5 7 2 6 4" xfId="27505"/>
    <cellStyle name="Comma 5 7 2 7" xfId="5825"/>
    <cellStyle name="Comma 5 7 2 7 2" xfId="14652"/>
    <cellStyle name="Comma 5 7 2 7 2 2" xfId="40207"/>
    <cellStyle name="Comma 5 7 2 7 3" xfId="24903"/>
    <cellStyle name="Comma 5 7 2 7 3 2" xfId="50456"/>
    <cellStyle name="Comma 5 7 2 7 4" xfId="31386"/>
    <cellStyle name="Comma 5 7 2 8" xfId="7269"/>
    <cellStyle name="Comma 5 7 2 8 2" xfId="19995"/>
    <cellStyle name="Comma 5 7 2 8 2 2" xfId="45548"/>
    <cellStyle name="Comma 5 7 2 8 3" xfId="32826"/>
    <cellStyle name="Comma 5 7 2 9" xfId="16015"/>
    <cellStyle name="Comma 5 7 2 9 2" xfId="41568"/>
    <cellStyle name="Comma 5 7 3" xfId="344"/>
    <cellStyle name="Comma 5 7 3 2" xfId="2830"/>
    <cellStyle name="Comma 5 7 3 2 2" xfId="12118"/>
    <cellStyle name="Comma 5 7 3 2 2 2" xfId="22191"/>
    <cellStyle name="Comma 5 7 3 2 2 2 2" xfId="47744"/>
    <cellStyle name="Comma 5 7 3 2 2 3" xfId="37673"/>
    <cellStyle name="Comma 5 7 3 2 3" xfId="8531"/>
    <cellStyle name="Comma 5 7 3 2 3 2" xfId="34088"/>
    <cellStyle name="Comma 5 7 3 2 4" xfId="17184"/>
    <cellStyle name="Comma 5 7 3 2 4 2" xfId="42737"/>
    <cellStyle name="Comma 5 7 3 2 5" xfId="28674"/>
    <cellStyle name="Comma 5 7 3 3" xfId="4498"/>
    <cellStyle name="Comma 5 7 3 3 2" xfId="13336"/>
    <cellStyle name="Comma 5 7 3 3 2 2" xfId="23587"/>
    <cellStyle name="Comma 5 7 3 3 2 2 2" xfId="49140"/>
    <cellStyle name="Comma 5 7 3 3 2 3" xfId="38891"/>
    <cellStyle name="Comma 5 7 3 3 3" xfId="9757"/>
    <cellStyle name="Comma 5 7 3 3 3 2" xfId="35314"/>
    <cellStyle name="Comma 5 7 3 3 4" xfId="18580"/>
    <cellStyle name="Comma 5 7 3 3 4 2" xfId="44133"/>
    <cellStyle name="Comma 5 7 3 3 5" xfId="30070"/>
    <cellStyle name="Comma 5 7 3 4" xfId="1939"/>
    <cellStyle name="Comma 5 7 3 4 2" xfId="11304"/>
    <cellStyle name="Comma 5 7 3 4 2 2" xfId="36859"/>
    <cellStyle name="Comma 5 7 3 4 3" xfId="21308"/>
    <cellStyle name="Comma 5 7 3 4 3 2" xfId="46861"/>
    <cellStyle name="Comma 5 7 3 4 4" xfId="27791"/>
    <cellStyle name="Comma 5 7 3 5" xfId="5954"/>
    <cellStyle name="Comma 5 7 3 5 2" xfId="14781"/>
    <cellStyle name="Comma 5 7 3 5 2 2" xfId="40336"/>
    <cellStyle name="Comma 5 7 3 5 3" xfId="25032"/>
    <cellStyle name="Comma 5 7 3 5 3 2" xfId="50585"/>
    <cellStyle name="Comma 5 7 3 5 4" xfId="31515"/>
    <cellStyle name="Comma 5 7 3 6" xfId="7398"/>
    <cellStyle name="Comma 5 7 3 6 2" xfId="19790"/>
    <cellStyle name="Comma 5 7 3 6 2 2" xfId="45343"/>
    <cellStyle name="Comma 5 7 3 6 3" xfId="32955"/>
    <cellStyle name="Comma 5 7 3 7" xfId="16301"/>
    <cellStyle name="Comma 5 7 3 7 2" xfId="41854"/>
    <cellStyle name="Comma 5 7 3 8" xfId="26273"/>
    <cellStyle name="Comma 5 7 4" xfId="683"/>
    <cellStyle name="Comma 5 7 4 2" xfId="3169"/>
    <cellStyle name="Comma 5 7 4 2 2" xfId="12312"/>
    <cellStyle name="Comma 5 7 4 2 2 2" xfId="22530"/>
    <cellStyle name="Comma 5 7 4 2 2 2 2" xfId="48083"/>
    <cellStyle name="Comma 5 7 4 2 2 3" xfId="37867"/>
    <cellStyle name="Comma 5 7 4 2 3" xfId="8734"/>
    <cellStyle name="Comma 5 7 4 2 3 2" xfId="34291"/>
    <cellStyle name="Comma 5 7 4 2 4" xfId="17523"/>
    <cellStyle name="Comma 5 7 4 2 4 2" xfId="43076"/>
    <cellStyle name="Comma 5 7 4 2 5" xfId="29013"/>
    <cellStyle name="Comma 5 7 4 3" xfId="4847"/>
    <cellStyle name="Comma 5 7 4 3 2" xfId="13684"/>
    <cellStyle name="Comma 5 7 4 3 2 2" xfId="23935"/>
    <cellStyle name="Comma 5 7 4 3 2 2 2" xfId="49488"/>
    <cellStyle name="Comma 5 7 4 3 2 3" xfId="39239"/>
    <cellStyle name="Comma 5 7 4 3 3" xfId="10105"/>
    <cellStyle name="Comma 5 7 4 3 3 2" xfId="35662"/>
    <cellStyle name="Comma 5 7 4 3 4" xfId="18928"/>
    <cellStyle name="Comma 5 7 4 3 4 2" xfId="44481"/>
    <cellStyle name="Comma 5 7 4 3 5" xfId="30418"/>
    <cellStyle name="Comma 5 7 4 4" xfId="2278"/>
    <cellStyle name="Comma 5 7 4 4 2" xfId="11643"/>
    <cellStyle name="Comma 5 7 4 4 2 2" xfId="37198"/>
    <cellStyle name="Comma 5 7 4 4 3" xfId="21647"/>
    <cellStyle name="Comma 5 7 4 4 3 2" xfId="47200"/>
    <cellStyle name="Comma 5 7 4 4 4" xfId="28130"/>
    <cellStyle name="Comma 5 7 4 5" xfId="6302"/>
    <cellStyle name="Comma 5 7 4 5 2" xfId="15129"/>
    <cellStyle name="Comma 5 7 4 5 2 2" xfId="40684"/>
    <cellStyle name="Comma 5 7 4 5 3" xfId="25380"/>
    <cellStyle name="Comma 5 7 4 5 3 2" xfId="50933"/>
    <cellStyle name="Comma 5 7 4 5 4" xfId="31863"/>
    <cellStyle name="Comma 5 7 4 6" xfId="7748"/>
    <cellStyle name="Comma 5 7 4 6 2" xfId="20129"/>
    <cellStyle name="Comma 5 7 4 6 2 2" xfId="45682"/>
    <cellStyle name="Comma 5 7 4 6 3" xfId="33305"/>
    <cellStyle name="Comma 5 7 4 7" xfId="16640"/>
    <cellStyle name="Comma 5 7 4 7 2" xfId="42193"/>
    <cellStyle name="Comma 5 7 4 8" xfId="26612"/>
    <cellStyle name="Comma 5 7 5" xfId="1116"/>
    <cellStyle name="Comma 5 7 5 2" xfId="3545"/>
    <cellStyle name="Comma 5 7 5 2 2" xfId="12681"/>
    <cellStyle name="Comma 5 7 5 2 2 2" xfId="22900"/>
    <cellStyle name="Comma 5 7 5 2 2 2 2" xfId="48453"/>
    <cellStyle name="Comma 5 7 5 2 2 3" xfId="38236"/>
    <cellStyle name="Comma 5 7 5 2 3" xfId="9102"/>
    <cellStyle name="Comma 5 7 5 2 3 2" xfId="34659"/>
    <cellStyle name="Comma 5 7 5 2 4" xfId="17893"/>
    <cellStyle name="Comma 5 7 5 2 4 2" xfId="43446"/>
    <cellStyle name="Comma 5 7 5 2 5" xfId="29383"/>
    <cellStyle name="Comma 5 7 5 3" xfId="5208"/>
    <cellStyle name="Comma 5 7 5 3 2" xfId="14045"/>
    <cellStyle name="Comma 5 7 5 3 2 2" xfId="24296"/>
    <cellStyle name="Comma 5 7 5 3 2 2 2" xfId="49849"/>
    <cellStyle name="Comma 5 7 5 3 2 3" xfId="39600"/>
    <cellStyle name="Comma 5 7 5 3 3" xfId="10466"/>
    <cellStyle name="Comma 5 7 5 3 3 2" xfId="36023"/>
    <cellStyle name="Comma 5 7 5 3 4" xfId="19289"/>
    <cellStyle name="Comma 5 7 5 3 4 2" xfId="44842"/>
    <cellStyle name="Comma 5 7 5 3 5" xfId="30779"/>
    <cellStyle name="Comma 5 7 5 4" xfId="1824"/>
    <cellStyle name="Comma 5 7 5 4 2" xfId="11192"/>
    <cellStyle name="Comma 5 7 5 4 2 2" xfId="36747"/>
    <cellStyle name="Comma 5 7 5 4 3" xfId="21196"/>
    <cellStyle name="Comma 5 7 5 4 3 2" xfId="46749"/>
    <cellStyle name="Comma 5 7 5 4 4" xfId="27679"/>
    <cellStyle name="Comma 5 7 5 5" xfId="6663"/>
    <cellStyle name="Comma 5 7 5 5 2" xfId="15490"/>
    <cellStyle name="Comma 5 7 5 5 2 2" xfId="41045"/>
    <cellStyle name="Comma 5 7 5 5 3" xfId="25741"/>
    <cellStyle name="Comma 5 7 5 5 3 2" xfId="51294"/>
    <cellStyle name="Comma 5 7 5 5 4" xfId="32224"/>
    <cellStyle name="Comma 5 7 5 6" xfId="8109"/>
    <cellStyle name="Comma 5 7 5 6 2" xfId="20499"/>
    <cellStyle name="Comma 5 7 5 6 2 2" xfId="46052"/>
    <cellStyle name="Comma 5 7 5 6 3" xfId="33666"/>
    <cellStyle name="Comma 5 7 5 7" xfId="16189"/>
    <cellStyle name="Comma 5 7 5 7 2" xfId="41742"/>
    <cellStyle name="Comma 5 7 5 8" xfId="26982"/>
    <cellStyle name="Comma 5 7 6" xfId="2718"/>
    <cellStyle name="Comma 5 7 6 2" xfId="12035"/>
    <cellStyle name="Comma 5 7 6 2 2" xfId="22079"/>
    <cellStyle name="Comma 5 7 6 2 2 2" xfId="47632"/>
    <cellStyle name="Comma 5 7 6 2 3" xfId="37590"/>
    <cellStyle name="Comma 5 7 6 3" xfId="8491"/>
    <cellStyle name="Comma 5 7 6 3 2" xfId="34048"/>
    <cellStyle name="Comma 5 7 6 4" xfId="17072"/>
    <cellStyle name="Comma 5 7 6 4 2" xfId="42625"/>
    <cellStyle name="Comma 5 7 6 5" xfId="28562"/>
    <cellStyle name="Comma 5 7 7" xfId="4164"/>
    <cellStyle name="Comma 5 7 7 2" xfId="13002"/>
    <cellStyle name="Comma 5 7 7 2 2" xfId="23253"/>
    <cellStyle name="Comma 5 7 7 2 2 2" xfId="48806"/>
    <cellStyle name="Comma 5 7 7 2 3" xfId="38557"/>
    <cellStyle name="Comma 5 7 7 3" xfId="9423"/>
    <cellStyle name="Comma 5 7 7 3 2" xfId="34980"/>
    <cellStyle name="Comma 5 7 7 4" xfId="18246"/>
    <cellStyle name="Comma 5 7 7 4 2" xfId="43799"/>
    <cellStyle name="Comma 5 7 7 5" xfId="29736"/>
    <cellStyle name="Comma 5 7 8" xfId="1436"/>
    <cellStyle name="Comma 5 7 8 2" xfId="10813"/>
    <cellStyle name="Comma 5 7 8 2 2" xfId="36368"/>
    <cellStyle name="Comma 5 7 8 3" xfId="20817"/>
    <cellStyle name="Comma 5 7 8 3 2" xfId="46370"/>
    <cellStyle name="Comma 5 7 8 4" xfId="27300"/>
    <cellStyle name="Comma 5 7 9" xfId="5620"/>
    <cellStyle name="Comma 5 7 9 2" xfId="14447"/>
    <cellStyle name="Comma 5 7 9 2 2" xfId="40002"/>
    <cellStyle name="Comma 5 7 9 3" xfId="24698"/>
    <cellStyle name="Comma 5 7 9 3 2" xfId="50251"/>
    <cellStyle name="Comma 5 7 9 4" xfId="31181"/>
    <cellStyle name="Comma 5 8" xfId="283"/>
    <cellStyle name="Comma 5 8 10" xfId="16071"/>
    <cellStyle name="Comma 5 8 10 2" xfId="41624"/>
    <cellStyle name="Comma 5 8 11" xfId="26217"/>
    <cellStyle name="Comma 5 8 2" xfId="605"/>
    <cellStyle name="Comma 5 8 2 2" xfId="3091"/>
    <cellStyle name="Comma 5 8 2 2 2" xfId="12234"/>
    <cellStyle name="Comma 5 8 2 2 2 2" xfId="22452"/>
    <cellStyle name="Comma 5 8 2 2 2 2 2" xfId="48005"/>
    <cellStyle name="Comma 5 8 2 2 2 3" xfId="37789"/>
    <cellStyle name="Comma 5 8 2 2 3" xfId="8656"/>
    <cellStyle name="Comma 5 8 2 2 3 2" xfId="34213"/>
    <cellStyle name="Comma 5 8 2 2 4" xfId="17445"/>
    <cellStyle name="Comma 5 8 2 2 4 2" xfId="42998"/>
    <cellStyle name="Comma 5 8 2 2 5" xfId="28935"/>
    <cellStyle name="Comma 5 8 2 3" xfId="4500"/>
    <cellStyle name="Comma 5 8 2 3 2" xfId="13338"/>
    <cellStyle name="Comma 5 8 2 3 2 2" xfId="23589"/>
    <cellStyle name="Comma 5 8 2 3 2 2 2" xfId="49142"/>
    <cellStyle name="Comma 5 8 2 3 2 3" xfId="38893"/>
    <cellStyle name="Comma 5 8 2 3 3" xfId="9759"/>
    <cellStyle name="Comma 5 8 2 3 3 2" xfId="35316"/>
    <cellStyle name="Comma 5 8 2 3 4" xfId="18582"/>
    <cellStyle name="Comma 5 8 2 3 4 2" xfId="44135"/>
    <cellStyle name="Comma 5 8 2 3 5" xfId="30072"/>
    <cellStyle name="Comma 5 8 2 4" xfId="2200"/>
    <cellStyle name="Comma 5 8 2 4 2" xfId="11565"/>
    <cellStyle name="Comma 5 8 2 4 2 2" xfId="37120"/>
    <cellStyle name="Comma 5 8 2 4 3" xfId="21569"/>
    <cellStyle name="Comma 5 8 2 4 3 2" xfId="47122"/>
    <cellStyle name="Comma 5 8 2 4 4" xfId="28052"/>
    <cellStyle name="Comma 5 8 2 5" xfId="5956"/>
    <cellStyle name="Comma 5 8 2 5 2" xfId="14783"/>
    <cellStyle name="Comma 5 8 2 5 2 2" xfId="40338"/>
    <cellStyle name="Comma 5 8 2 5 3" xfId="25034"/>
    <cellStyle name="Comma 5 8 2 5 3 2" xfId="50587"/>
    <cellStyle name="Comma 5 8 2 5 4" xfId="31517"/>
    <cellStyle name="Comma 5 8 2 6" xfId="7400"/>
    <cellStyle name="Comma 5 8 2 6 2" xfId="20051"/>
    <cellStyle name="Comma 5 8 2 6 2 2" xfId="45604"/>
    <cellStyle name="Comma 5 8 2 6 3" xfId="32957"/>
    <cellStyle name="Comma 5 8 2 7" xfId="16562"/>
    <cellStyle name="Comma 5 8 2 7 2" xfId="42115"/>
    <cellStyle name="Comma 5 8 2 8" xfId="26534"/>
    <cellStyle name="Comma 5 8 3" xfId="685"/>
    <cellStyle name="Comma 5 8 3 2" xfId="3171"/>
    <cellStyle name="Comma 5 8 3 2 2" xfId="12314"/>
    <cellStyle name="Comma 5 8 3 2 2 2" xfId="22532"/>
    <cellStyle name="Comma 5 8 3 2 2 2 2" xfId="48085"/>
    <cellStyle name="Comma 5 8 3 2 2 3" xfId="37869"/>
    <cellStyle name="Comma 5 8 3 2 3" xfId="8736"/>
    <cellStyle name="Comma 5 8 3 2 3 2" xfId="34293"/>
    <cellStyle name="Comma 5 8 3 2 4" xfId="17525"/>
    <cellStyle name="Comma 5 8 3 2 4 2" xfId="43078"/>
    <cellStyle name="Comma 5 8 3 2 5" xfId="29015"/>
    <cellStyle name="Comma 5 8 3 3" xfId="4849"/>
    <cellStyle name="Comma 5 8 3 3 2" xfId="13686"/>
    <cellStyle name="Comma 5 8 3 3 2 2" xfId="23937"/>
    <cellStyle name="Comma 5 8 3 3 2 2 2" xfId="49490"/>
    <cellStyle name="Comma 5 8 3 3 2 3" xfId="39241"/>
    <cellStyle name="Comma 5 8 3 3 3" xfId="10107"/>
    <cellStyle name="Comma 5 8 3 3 3 2" xfId="35664"/>
    <cellStyle name="Comma 5 8 3 3 4" xfId="18930"/>
    <cellStyle name="Comma 5 8 3 3 4 2" xfId="44483"/>
    <cellStyle name="Comma 5 8 3 3 5" xfId="30420"/>
    <cellStyle name="Comma 5 8 3 4" xfId="2280"/>
    <cellStyle name="Comma 5 8 3 4 2" xfId="11645"/>
    <cellStyle name="Comma 5 8 3 4 2 2" xfId="37200"/>
    <cellStyle name="Comma 5 8 3 4 3" xfId="21649"/>
    <cellStyle name="Comma 5 8 3 4 3 2" xfId="47202"/>
    <cellStyle name="Comma 5 8 3 4 4" xfId="28132"/>
    <cellStyle name="Comma 5 8 3 5" xfId="6304"/>
    <cellStyle name="Comma 5 8 3 5 2" xfId="15131"/>
    <cellStyle name="Comma 5 8 3 5 2 2" xfId="40686"/>
    <cellStyle name="Comma 5 8 3 5 3" xfId="25382"/>
    <cellStyle name="Comma 5 8 3 5 3 2" xfId="50935"/>
    <cellStyle name="Comma 5 8 3 5 4" xfId="31865"/>
    <cellStyle name="Comma 5 8 3 6" xfId="7750"/>
    <cellStyle name="Comma 5 8 3 6 2" xfId="20131"/>
    <cellStyle name="Comma 5 8 3 6 2 2" xfId="45684"/>
    <cellStyle name="Comma 5 8 3 6 3" xfId="33307"/>
    <cellStyle name="Comma 5 8 3 7" xfId="16642"/>
    <cellStyle name="Comma 5 8 3 7 2" xfId="42195"/>
    <cellStyle name="Comma 5 8 3 8" xfId="26614"/>
    <cellStyle name="Comma 5 8 4" xfId="1377"/>
    <cellStyle name="Comma 5 8 4 2" xfId="3806"/>
    <cellStyle name="Comma 5 8 4 2 2" xfId="12942"/>
    <cellStyle name="Comma 5 8 4 2 2 2" xfId="23161"/>
    <cellStyle name="Comma 5 8 4 2 2 2 2" xfId="48714"/>
    <cellStyle name="Comma 5 8 4 2 2 3" xfId="38497"/>
    <cellStyle name="Comma 5 8 4 2 3" xfId="9363"/>
    <cellStyle name="Comma 5 8 4 2 3 2" xfId="34920"/>
    <cellStyle name="Comma 5 8 4 2 4" xfId="18154"/>
    <cellStyle name="Comma 5 8 4 2 4 2" xfId="43707"/>
    <cellStyle name="Comma 5 8 4 2 5" xfId="29644"/>
    <cellStyle name="Comma 5 8 4 3" xfId="5469"/>
    <cellStyle name="Comma 5 8 4 3 2" xfId="14306"/>
    <cellStyle name="Comma 5 8 4 3 2 2" xfId="24557"/>
    <cellStyle name="Comma 5 8 4 3 2 2 2" xfId="50110"/>
    <cellStyle name="Comma 5 8 4 3 2 3" xfId="39861"/>
    <cellStyle name="Comma 5 8 4 3 3" xfId="10727"/>
    <cellStyle name="Comma 5 8 4 3 3 2" xfId="36284"/>
    <cellStyle name="Comma 5 8 4 3 4" xfId="19550"/>
    <cellStyle name="Comma 5 8 4 3 4 2" xfId="45103"/>
    <cellStyle name="Comma 5 8 4 3 5" xfId="31040"/>
    <cellStyle name="Comma 5 8 4 4" xfId="1880"/>
    <cellStyle name="Comma 5 8 4 4 2" xfId="11248"/>
    <cellStyle name="Comma 5 8 4 4 2 2" xfId="36803"/>
    <cellStyle name="Comma 5 8 4 4 3" xfId="21252"/>
    <cellStyle name="Comma 5 8 4 4 3 2" xfId="46805"/>
    <cellStyle name="Comma 5 8 4 4 4" xfId="27735"/>
    <cellStyle name="Comma 5 8 4 5" xfId="6924"/>
    <cellStyle name="Comma 5 8 4 5 2" xfId="15751"/>
    <cellStyle name="Comma 5 8 4 5 2 2" xfId="41306"/>
    <cellStyle name="Comma 5 8 4 5 3" xfId="26002"/>
    <cellStyle name="Comma 5 8 4 5 3 2" xfId="51555"/>
    <cellStyle name="Comma 5 8 4 5 4" xfId="32485"/>
    <cellStyle name="Comma 5 8 4 6" xfId="8370"/>
    <cellStyle name="Comma 5 8 4 6 2" xfId="20760"/>
    <cellStyle name="Comma 5 8 4 6 2 2" xfId="46313"/>
    <cellStyle name="Comma 5 8 4 6 3" xfId="33927"/>
    <cellStyle name="Comma 5 8 4 7" xfId="16245"/>
    <cellStyle name="Comma 5 8 4 7 2" xfId="41798"/>
    <cellStyle name="Comma 5 8 4 8" xfId="27243"/>
    <cellStyle name="Comma 5 8 5" xfId="2774"/>
    <cellStyle name="Comma 5 8 5 2" xfId="12091"/>
    <cellStyle name="Comma 5 8 5 2 2" xfId="22135"/>
    <cellStyle name="Comma 5 8 5 2 2 2" xfId="47688"/>
    <cellStyle name="Comma 5 8 5 2 3" xfId="37646"/>
    <cellStyle name="Comma 5 8 5 3" xfId="8603"/>
    <cellStyle name="Comma 5 8 5 3 2" xfId="34160"/>
    <cellStyle name="Comma 5 8 5 4" xfId="17128"/>
    <cellStyle name="Comma 5 8 5 4 2" xfId="42681"/>
    <cellStyle name="Comma 5 8 5 5" xfId="28618"/>
    <cellStyle name="Comma 5 8 6" xfId="4425"/>
    <cellStyle name="Comma 5 8 6 2" xfId="13263"/>
    <cellStyle name="Comma 5 8 6 2 2" xfId="23514"/>
    <cellStyle name="Comma 5 8 6 2 2 2" xfId="49067"/>
    <cellStyle name="Comma 5 8 6 2 3" xfId="38818"/>
    <cellStyle name="Comma 5 8 6 3" xfId="9684"/>
    <cellStyle name="Comma 5 8 6 3 2" xfId="35241"/>
    <cellStyle name="Comma 5 8 6 4" xfId="18507"/>
    <cellStyle name="Comma 5 8 6 4 2" xfId="44060"/>
    <cellStyle name="Comma 5 8 6 5" xfId="29997"/>
    <cellStyle name="Comma 5 8 7" xfId="1697"/>
    <cellStyle name="Comma 5 8 7 2" xfId="11074"/>
    <cellStyle name="Comma 5 8 7 2 2" xfId="36629"/>
    <cellStyle name="Comma 5 8 7 3" xfId="21078"/>
    <cellStyle name="Comma 5 8 7 3 2" xfId="46631"/>
    <cellStyle name="Comma 5 8 7 4" xfId="27561"/>
    <cellStyle name="Comma 5 8 8" xfId="5881"/>
    <cellStyle name="Comma 5 8 8 2" xfId="14708"/>
    <cellStyle name="Comma 5 8 8 2 2" xfId="40263"/>
    <cellStyle name="Comma 5 8 8 3" xfId="24959"/>
    <cellStyle name="Comma 5 8 8 3 2" xfId="50512"/>
    <cellStyle name="Comma 5 8 8 4" xfId="31442"/>
    <cellStyle name="Comma 5 8 9" xfId="7325"/>
    <cellStyle name="Comma 5 8 9 2" xfId="19734"/>
    <cellStyle name="Comma 5 8 9 2 2" xfId="45287"/>
    <cellStyle name="Comma 5 8 9 3" xfId="32882"/>
    <cellStyle name="Comma 5 9" xfId="444"/>
    <cellStyle name="Comma 5 9 10" xfId="26373"/>
    <cellStyle name="Comma 5 9 2" xfId="686"/>
    <cellStyle name="Comma 5 9 2 2" xfId="3172"/>
    <cellStyle name="Comma 5 9 2 2 2" xfId="12315"/>
    <cellStyle name="Comma 5 9 2 2 2 2" xfId="22533"/>
    <cellStyle name="Comma 5 9 2 2 2 2 2" xfId="48086"/>
    <cellStyle name="Comma 5 9 2 2 2 3" xfId="37870"/>
    <cellStyle name="Comma 5 9 2 2 3" xfId="8737"/>
    <cellStyle name="Comma 5 9 2 2 3 2" xfId="34294"/>
    <cellStyle name="Comma 5 9 2 2 4" xfId="17526"/>
    <cellStyle name="Comma 5 9 2 2 4 2" xfId="43079"/>
    <cellStyle name="Comma 5 9 2 2 5" xfId="29016"/>
    <cellStyle name="Comma 5 9 2 3" xfId="4501"/>
    <cellStyle name="Comma 5 9 2 3 2" xfId="13339"/>
    <cellStyle name="Comma 5 9 2 3 2 2" xfId="23590"/>
    <cellStyle name="Comma 5 9 2 3 2 2 2" xfId="49143"/>
    <cellStyle name="Comma 5 9 2 3 2 3" xfId="38894"/>
    <cellStyle name="Comma 5 9 2 3 3" xfId="9760"/>
    <cellStyle name="Comma 5 9 2 3 3 2" xfId="35317"/>
    <cellStyle name="Comma 5 9 2 3 4" xfId="18583"/>
    <cellStyle name="Comma 5 9 2 3 4 2" xfId="44136"/>
    <cellStyle name="Comma 5 9 2 3 5" xfId="30073"/>
    <cellStyle name="Comma 5 9 2 4" xfId="2281"/>
    <cellStyle name="Comma 5 9 2 4 2" xfId="11646"/>
    <cellStyle name="Comma 5 9 2 4 2 2" xfId="37201"/>
    <cellStyle name="Comma 5 9 2 4 3" xfId="21650"/>
    <cellStyle name="Comma 5 9 2 4 3 2" xfId="47203"/>
    <cellStyle name="Comma 5 9 2 4 4" xfId="28133"/>
    <cellStyle name="Comma 5 9 2 5" xfId="5957"/>
    <cellStyle name="Comma 5 9 2 5 2" xfId="14784"/>
    <cellStyle name="Comma 5 9 2 5 2 2" xfId="40339"/>
    <cellStyle name="Comma 5 9 2 5 3" xfId="25035"/>
    <cellStyle name="Comma 5 9 2 5 3 2" xfId="50588"/>
    <cellStyle name="Comma 5 9 2 5 4" xfId="31518"/>
    <cellStyle name="Comma 5 9 2 6" xfId="7401"/>
    <cellStyle name="Comma 5 9 2 6 2" xfId="20132"/>
    <cellStyle name="Comma 5 9 2 6 2 2" xfId="45685"/>
    <cellStyle name="Comma 5 9 2 6 3" xfId="32958"/>
    <cellStyle name="Comma 5 9 2 7" xfId="16643"/>
    <cellStyle name="Comma 5 9 2 7 2" xfId="42196"/>
    <cellStyle name="Comma 5 9 2 8" xfId="26615"/>
    <cellStyle name="Comma 5 9 3" xfId="1216"/>
    <cellStyle name="Comma 5 9 3 2" xfId="3645"/>
    <cellStyle name="Comma 5 9 3 2 2" xfId="12781"/>
    <cellStyle name="Comma 5 9 3 2 2 2" xfId="23000"/>
    <cellStyle name="Comma 5 9 3 2 2 2 2" xfId="48553"/>
    <cellStyle name="Comma 5 9 3 2 2 3" xfId="38336"/>
    <cellStyle name="Comma 5 9 3 2 3" xfId="9202"/>
    <cellStyle name="Comma 5 9 3 2 3 2" xfId="34759"/>
    <cellStyle name="Comma 5 9 3 2 4" xfId="17993"/>
    <cellStyle name="Comma 5 9 3 2 4 2" xfId="43546"/>
    <cellStyle name="Comma 5 9 3 2 5" xfId="29483"/>
    <cellStyle name="Comma 5 9 3 3" xfId="4850"/>
    <cellStyle name="Comma 5 9 3 3 2" xfId="13687"/>
    <cellStyle name="Comma 5 9 3 3 2 2" xfId="23938"/>
    <cellStyle name="Comma 5 9 3 3 2 2 2" xfId="49491"/>
    <cellStyle name="Comma 5 9 3 3 2 3" xfId="39242"/>
    <cellStyle name="Comma 5 9 3 3 3" xfId="10108"/>
    <cellStyle name="Comma 5 9 3 3 3 2" xfId="35665"/>
    <cellStyle name="Comma 5 9 3 3 4" xfId="18931"/>
    <cellStyle name="Comma 5 9 3 3 4 2" xfId="44484"/>
    <cellStyle name="Comma 5 9 3 3 5" xfId="30421"/>
    <cellStyle name="Comma 5 9 3 4" xfId="2039"/>
    <cellStyle name="Comma 5 9 3 4 2" xfId="11404"/>
    <cellStyle name="Comma 5 9 3 4 2 2" xfId="36959"/>
    <cellStyle name="Comma 5 9 3 4 3" xfId="21408"/>
    <cellStyle name="Comma 5 9 3 4 3 2" xfId="46961"/>
    <cellStyle name="Comma 5 9 3 4 4" xfId="27891"/>
    <cellStyle name="Comma 5 9 3 5" xfId="6305"/>
    <cellStyle name="Comma 5 9 3 5 2" xfId="15132"/>
    <cellStyle name="Comma 5 9 3 5 2 2" xfId="40687"/>
    <cellStyle name="Comma 5 9 3 5 3" xfId="25383"/>
    <cellStyle name="Comma 5 9 3 5 3 2" xfId="50936"/>
    <cellStyle name="Comma 5 9 3 5 4" xfId="31866"/>
    <cellStyle name="Comma 5 9 3 6" xfId="7751"/>
    <cellStyle name="Comma 5 9 3 6 2" xfId="20599"/>
    <cellStyle name="Comma 5 9 3 6 2 2" xfId="46152"/>
    <cellStyle name="Comma 5 9 3 6 3" xfId="33308"/>
    <cellStyle name="Comma 5 9 3 7" xfId="16401"/>
    <cellStyle name="Comma 5 9 3 7 2" xfId="41954"/>
    <cellStyle name="Comma 5 9 3 8" xfId="27082"/>
    <cellStyle name="Comma 5 9 4" xfId="2930"/>
    <cellStyle name="Comma 5 9 4 2" xfId="5308"/>
    <cellStyle name="Comma 5 9 4 2 2" xfId="14145"/>
    <cellStyle name="Comma 5 9 4 2 2 2" xfId="24396"/>
    <cellStyle name="Comma 5 9 4 2 2 2 2" xfId="49949"/>
    <cellStyle name="Comma 5 9 4 2 2 3" xfId="39700"/>
    <cellStyle name="Comma 5 9 4 2 3" xfId="10566"/>
    <cellStyle name="Comma 5 9 4 2 3 2" xfId="36123"/>
    <cellStyle name="Comma 5 9 4 2 4" xfId="19389"/>
    <cellStyle name="Comma 5 9 4 2 4 2" xfId="44942"/>
    <cellStyle name="Comma 5 9 4 2 5" xfId="30879"/>
    <cellStyle name="Comma 5 9 4 3" xfId="6763"/>
    <cellStyle name="Comma 5 9 4 3 2" xfId="15590"/>
    <cellStyle name="Comma 5 9 4 3 2 2" xfId="41145"/>
    <cellStyle name="Comma 5 9 4 3 3" xfId="25841"/>
    <cellStyle name="Comma 5 9 4 3 3 2" xfId="51394"/>
    <cellStyle name="Comma 5 9 4 3 4" xfId="32324"/>
    <cellStyle name="Comma 5 9 4 4" xfId="8209"/>
    <cellStyle name="Comma 5 9 4 4 2" xfId="22291"/>
    <cellStyle name="Comma 5 9 4 4 2 2" xfId="47844"/>
    <cellStyle name="Comma 5 9 4 4 3" xfId="33766"/>
    <cellStyle name="Comma 5 9 4 5" xfId="17284"/>
    <cellStyle name="Comma 5 9 4 5 2" xfId="42837"/>
    <cellStyle name="Comma 5 9 4 6" xfId="28774"/>
    <cellStyle name="Comma 5 9 5" xfId="4264"/>
    <cellStyle name="Comma 5 9 5 2" xfId="13102"/>
    <cellStyle name="Comma 5 9 5 2 2" xfId="23353"/>
    <cellStyle name="Comma 5 9 5 2 2 2" xfId="48906"/>
    <cellStyle name="Comma 5 9 5 2 3" xfId="38657"/>
    <cellStyle name="Comma 5 9 5 3" xfId="9523"/>
    <cellStyle name="Comma 5 9 5 3 2" xfId="35080"/>
    <cellStyle name="Comma 5 9 5 4" xfId="18346"/>
    <cellStyle name="Comma 5 9 5 4 2" xfId="43899"/>
    <cellStyle name="Comma 5 9 5 5" xfId="29836"/>
    <cellStyle name="Comma 5 9 6" xfId="1536"/>
    <cellStyle name="Comma 5 9 6 2" xfId="10913"/>
    <cellStyle name="Comma 5 9 6 2 2" xfId="36468"/>
    <cellStyle name="Comma 5 9 6 3" xfId="20917"/>
    <cellStyle name="Comma 5 9 6 3 2" xfId="46470"/>
    <cellStyle name="Comma 5 9 6 4" xfId="27400"/>
    <cellStyle name="Comma 5 9 7" xfId="5720"/>
    <cellStyle name="Comma 5 9 7 2" xfId="14547"/>
    <cellStyle name="Comma 5 9 7 2 2" xfId="40102"/>
    <cellStyle name="Comma 5 9 7 3" xfId="24798"/>
    <cellStyle name="Comma 5 9 7 3 2" xfId="50351"/>
    <cellStyle name="Comma 5 9 7 4" xfId="31281"/>
    <cellStyle name="Comma 5 9 8" xfId="7164"/>
    <cellStyle name="Comma 5 9 8 2" xfId="19890"/>
    <cellStyle name="Comma 5 9 8 2 2" xfId="45443"/>
    <cellStyle name="Comma 5 9 8 3" xfId="32721"/>
    <cellStyle name="Comma 5 9 9" xfId="15910"/>
    <cellStyle name="Comma 5 9 9 2" xfId="41463"/>
    <cellStyle name="Comma 6" xfId="117"/>
    <cellStyle name="Comma 6 10" xfId="4096"/>
    <cellStyle name="Comma 6 10 2" xfId="5554"/>
    <cellStyle name="Comma 6 10 2 2" xfId="14381"/>
    <cellStyle name="Comma 6 10 2 2 2" xfId="39936"/>
    <cellStyle name="Comma 6 10 2 3" xfId="24632"/>
    <cellStyle name="Comma 6 10 2 3 2" xfId="50185"/>
    <cellStyle name="Comma 6 10 2 4" xfId="31115"/>
    <cellStyle name="Comma 6 10 3" xfId="6998"/>
    <cellStyle name="Comma 6 10 3 2" xfId="23185"/>
    <cellStyle name="Comma 6 10 3 2 2" xfId="48738"/>
    <cellStyle name="Comma 6 10 3 3" xfId="32555"/>
    <cellStyle name="Comma 6 10 4" xfId="18178"/>
    <cellStyle name="Comma 6 10 4 2" xfId="43731"/>
    <cellStyle name="Comma 6 10 5" xfId="29668"/>
    <cellStyle name="Comma 6 11" xfId="1390"/>
    <cellStyle name="Comma 6 11 2" xfId="10767"/>
    <cellStyle name="Comma 6 11 2 2" xfId="36322"/>
    <cellStyle name="Comma 6 11 3" xfId="20771"/>
    <cellStyle name="Comma 6 11 3 2" xfId="46324"/>
    <cellStyle name="Comma 6 11 4" xfId="27254"/>
    <cellStyle name="Comma 6 12" xfId="5524"/>
    <cellStyle name="Comma 6 12 2" xfId="14351"/>
    <cellStyle name="Comma 6 12 2 2" xfId="39906"/>
    <cellStyle name="Comma 6 12 3" xfId="24602"/>
    <cellStyle name="Comma 6 12 3 2" xfId="50155"/>
    <cellStyle name="Comma 6 12 4" xfId="31085"/>
    <cellStyle name="Comma 6 13" xfId="6965"/>
    <cellStyle name="Comma 6 13 2" xfId="19590"/>
    <cellStyle name="Comma 6 13 2 2" xfId="45143"/>
    <cellStyle name="Comma 6 13 3" xfId="32523"/>
    <cellStyle name="Comma 6 14" xfId="15764"/>
    <cellStyle name="Comma 6 14 2" xfId="41317"/>
    <cellStyle name="Comma 6 15" xfId="26073"/>
    <cellStyle name="Comma 6 2" xfId="145"/>
    <cellStyle name="Comma 6 2 10" xfId="1413"/>
    <cellStyle name="Comma 6 2 10 2" xfId="10790"/>
    <cellStyle name="Comma 6 2 10 2 2" xfId="36345"/>
    <cellStyle name="Comma 6 2 10 3" xfId="20794"/>
    <cellStyle name="Comma 6 2 10 3 2" xfId="46347"/>
    <cellStyle name="Comma 6 2 10 4" xfId="27277"/>
    <cellStyle name="Comma 6 2 11" xfId="5597"/>
    <cellStyle name="Comma 6 2 11 2" xfId="14424"/>
    <cellStyle name="Comma 6 2 11 2 2" xfId="39979"/>
    <cellStyle name="Comma 6 2 11 3" xfId="24675"/>
    <cellStyle name="Comma 6 2 11 3 2" xfId="50228"/>
    <cellStyle name="Comma 6 2 11 4" xfId="31158"/>
    <cellStyle name="Comma 6 2 12" xfId="7041"/>
    <cellStyle name="Comma 6 2 12 2" xfId="19609"/>
    <cellStyle name="Comma 6 2 12 2 2" xfId="45162"/>
    <cellStyle name="Comma 6 2 12 3" xfId="32598"/>
    <cellStyle name="Comma 6 2 13" xfId="15787"/>
    <cellStyle name="Comma 6 2 13 2" xfId="41340"/>
    <cellStyle name="Comma 6 2 14" xfId="26092"/>
    <cellStyle name="Comma 6 2 2" xfId="261"/>
    <cellStyle name="Comma 6 2 2 10" xfId="7100"/>
    <cellStyle name="Comma 6 2 2 10 2" xfId="19713"/>
    <cellStyle name="Comma 6 2 2 10 2 2" xfId="45266"/>
    <cellStyle name="Comma 6 2 2 10 3" xfId="32657"/>
    <cellStyle name="Comma 6 2 2 11" xfId="15846"/>
    <cellStyle name="Comma 6 2 2 11 2" xfId="41399"/>
    <cellStyle name="Comma 6 2 2 12" xfId="26196"/>
    <cellStyle name="Comma 6 2 2 2" xfId="584"/>
    <cellStyle name="Comma 6 2 2 2 10" xfId="26513"/>
    <cellStyle name="Comma 6 2 2 2 2" xfId="690"/>
    <cellStyle name="Comma 6 2 2 2 2 2" xfId="3176"/>
    <cellStyle name="Comma 6 2 2 2 2 2 2" xfId="12319"/>
    <cellStyle name="Comma 6 2 2 2 2 2 2 2" xfId="22537"/>
    <cellStyle name="Comma 6 2 2 2 2 2 2 2 2" xfId="48090"/>
    <cellStyle name="Comma 6 2 2 2 2 2 2 3" xfId="37874"/>
    <cellStyle name="Comma 6 2 2 2 2 2 3" xfId="8741"/>
    <cellStyle name="Comma 6 2 2 2 2 2 3 2" xfId="34298"/>
    <cellStyle name="Comma 6 2 2 2 2 2 4" xfId="17530"/>
    <cellStyle name="Comma 6 2 2 2 2 2 4 2" xfId="43083"/>
    <cellStyle name="Comma 6 2 2 2 2 2 5" xfId="29020"/>
    <cellStyle name="Comma 6 2 2 2 2 3" xfId="4505"/>
    <cellStyle name="Comma 6 2 2 2 2 3 2" xfId="13343"/>
    <cellStyle name="Comma 6 2 2 2 2 3 2 2" xfId="23594"/>
    <cellStyle name="Comma 6 2 2 2 2 3 2 2 2" xfId="49147"/>
    <cellStyle name="Comma 6 2 2 2 2 3 2 3" xfId="38898"/>
    <cellStyle name="Comma 6 2 2 2 2 3 3" xfId="9764"/>
    <cellStyle name="Comma 6 2 2 2 2 3 3 2" xfId="35321"/>
    <cellStyle name="Comma 6 2 2 2 2 3 4" xfId="18587"/>
    <cellStyle name="Comma 6 2 2 2 2 3 4 2" xfId="44140"/>
    <cellStyle name="Comma 6 2 2 2 2 3 5" xfId="30077"/>
    <cellStyle name="Comma 6 2 2 2 2 4" xfId="2285"/>
    <cellStyle name="Comma 6 2 2 2 2 4 2" xfId="11650"/>
    <cellStyle name="Comma 6 2 2 2 2 4 2 2" xfId="37205"/>
    <cellStyle name="Comma 6 2 2 2 2 4 3" xfId="21654"/>
    <cellStyle name="Comma 6 2 2 2 2 4 3 2" xfId="47207"/>
    <cellStyle name="Comma 6 2 2 2 2 4 4" xfId="28137"/>
    <cellStyle name="Comma 6 2 2 2 2 5" xfId="5961"/>
    <cellStyle name="Comma 6 2 2 2 2 5 2" xfId="14788"/>
    <cellStyle name="Comma 6 2 2 2 2 5 2 2" xfId="40343"/>
    <cellStyle name="Comma 6 2 2 2 2 5 3" xfId="25039"/>
    <cellStyle name="Comma 6 2 2 2 2 5 3 2" xfId="50592"/>
    <cellStyle name="Comma 6 2 2 2 2 5 4" xfId="31522"/>
    <cellStyle name="Comma 6 2 2 2 2 6" xfId="7405"/>
    <cellStyle name="Comma 6 2 2 2 2 6 2" xfId="20136"/>
    <cellStyle name="Comma 6 2 2 2 2 6 2 2" xfId="45689"/>
    <cellStyle name="Comma 6 2 2 2 2 6 3" xfId="32962"/>
    <cellStyle name="Comma 6 2 2 2 2 7" xfId="16647"/>
    <cellStyle name="Comma 6 2 2 2 2 7 2" xfId="42200"/>
    <cellStyle name="Comma 6 2 2 2 2 8" xfId="26619"/>
    <cellStyle name="Comma 6 2 2 2 3" xfId="1356"/>
    <cellStyle name="Comma 6 2 2 2 3 2" xfId="3785"/>
    <cellStyle name="Comma 6 2 2 2 3 2 2" xfId="12921"/>
    <cellStyle name="Comma 6 2 2 2 3 2 2 2" xfId="23140"/>
    <cellStyle name="Comma 6 2 2 2 3 2 2 2 2" xfId="48693"/>
    <cellStyle name="Comma 6 2 2 2 3 2 2 3" xfId="38476"/>
    <cellStyle name="Comma 6 2 2 2 3 2 3" xfId="9342"/>
    <cellStyle name="Comma 6 2 2 2 3 2 3 2" xfId="34899"/>
    <cellStyle name="Comma 6 2 2 2 3 2 4" xfId="18133"/>
    <cellStyle name="Comma 6 2 2 2 3 2 4 2" xfId="43686"/>
    <cellStyle name="Comma 6 2 2 2 3 2 5" xfId="29623"/>
    <cellStyle name="Comma 6 2 2 2 3 3" xfId="4854"/>
    <cellStyle name="Comma 6 2 2 2 3 3 2" xfId="13691"/>
    <cellStyle name="Comma 6 2 2 2 3 3 2 2" xfId="23942"/>
    <cellStyle name="Comma 6 2 2 2 3 3 2 2 2" xfId="49495"/>
    <cellStyle name="Comma 6 2 2 2 3 3 2 3" xfId="39246"/>
    <cellStyle name="Comma 6 2 2 2 3 3 3" xfId="10112"/>
    <cellStyle name="Comma 6 2 2 2 3 3 3 2" xfId="35669"/>
    <cellStyle name="Comma 6 2 2 2 3 3 4" xfId="18935"/>
    <cellStyle name="Comma 6 2 2 2 3 3 4 2" xfId="44488"/>
    <cellStyle name="Comma 6 2 2 2 3 3 5" xfId="30425"/>
    <cellStyle name="Comma 6 2 2 2 3 4" xfId="2179"/>
    <cellStyle name="Comma 6 2 2 2 3 4 2" xfId="11544"/>
    <cellStyle name="Comma 6 2 2 2 3 4 2 2" xfId="37099"/>
    <cellStyle name="Comma 6 2 2 2 3 4 3" xfId="21548"/>
    <cellStyle name="Comma 6 2 2 2 3 4 3 2" xfId="47101"/>
    <cellStyle name="Comma 6 2 2 2 3 4 4" xfId="28031"/>
    <cellStyle name="Comma 6 2 2 2 3 5" xfId="6309"/>
    <cellStyle name="Comma 6 2 2 2 3 5 2" xfId="15136"/>
    <cellStyle name="Comma 6 2 2 2 3 5 2 2" xfId="40691"/>
    <cellStyle name="Comma 6 2 2 2 3 5 3" xfId="25387"/>
    <cellStyle name="Comma 6 2 2 2 3 5 3 2" xfId="50940"/>
    <cellStyle name="Comma 6 2 2 2 3 5 4" xfId="31870"/>
    <cellStyle name="Comma 6 2 2 2 3 6" xfId="7755"/>
    <cellStyle name="Comma 6 2 2 2 3 6 2" xfId="20739"/>
    <cellStyle name="Comma 6 2 2 2 3 6 2 2" xfId="46292"/>
    <cellStyle name="Comma 6 2 2 2 3 6 3" xfId="33312"/>
    <cellStyle name="Comma 6 2 2 2 3 7" xfId="16541"/>
    <cellStyle name="Comma 6 2 2 2 3 7 2" xfId="42094"/>
    <cellStyle name="Comma 6 2 2 2 3 8" xfId="27222"/>
    <cellStyle name="Comma 6 2 2 2 4" xfId="3070"/>
    <cellStyle name="Comma 6 2 2 2 4 2" xfId="5448"/>
    <cellStyle name="Comma 6 2 2 2 4 2 2" xfId="14285"/>
    <cellStyle name="Comma 6 2 2 2 4 2 2 2" xfId="24536"/>
    <cellStyle name="Comma 6 2 2 2 4 2 2 2 2" xfId="50089"/>
    <cellStyle name="Comma 6 2 2 2 4 2 2 3" xfId="39840"/>
    <cellStyle name="Comma 6 2 2 2 4 2 3" xfId="10706"/>
    <cellStyle name="Comma 6 2 2 2 4 2 3 2" xfId="36263"/>
    <cellStyle name="Comma 6 2 2 2 4 2 4" xfId="19529"/>
    <cellStyle name="Comma 6 2 2 2 4 2 4 2" xfId="45082"/>
    <cellStyle name="Comma 6 2 2 2 4 2 5" xfId="31019"/>
    <cellStyle name="Comma 6 2 2 2 4 3" xfId="6903"/>
    <cellStyle name="Comma 6 2 2 2 4 3 2" xfId="15730"/>
    <cellStyle name="Comma 6 2 2 2 4 3 2 2" xfId="41285"/>
    <cellStyle name="Comma 6 2 2 2 4 3 3" xfId="25981"/>
    <cellStyle name="Comma 6 2 2 2 4 3 3 2" xfId="51534"/>
    <cellStyle name="Comma 6 2 2 2 4 3 4" xfId="32464"/>
    <cellStyle name="Comma 6 2 2 2 4 4" xfId="8349"/>
    <cellStyle name="Comma 6 2 2 2 4 4 2" xfId="22431"/>
    <cellStyle name="Comma 6 2 2 2 4 4 2 2" xfId="47984"/>
    <cellStyle name="Comma 6 2 2 2 4 4 3" xfId="33906"/>
    <cellStyle name="Comma 6 2 2 2 4 5" xfId="17424"/>
    <cellStyle name="Comma 6 2 2 2 4 5 2" xfId="42977"/>
    <cellStyle name="Comma 6 2 2 2 4 6" xfId="28914"/>
    <cellStyle name="Comma 6 2 2 2 5" xfId="4404"/>
    <cellStyle name="Comma 6 2 2 2 5 2" xfId="13242"/>
    <cellStyle name="Comma 6 2 2 2 5 2 2" xfId="23493"/>
    <cellStyle name="Comma 6 2 2 2 5 2 2 2" xfId="49046"/>
    <cellStyle name="Comma 6 2 2 2 5 2 3" xfId="38797"/>
    <cellStyle name="Comma 6 2 2 2 5 3" xfId="9663"/>
    <cellStyle name="Comma 6 2 2 2 5 3 2" xfId="35220"/>
    <cellStyle name="Comma 6 2 2 2 5 4" xfId="18486"/>
    <cellStyle name="Comma 6 2 2 2 5 4 2" xfId="44039"/>
    <cellStyle name="Comma 6 2 2 2 5 5" xfId="29976"/>
    <cellStyle name="Comma 6 2 2 2 6" xfId="1676"/>
    <cellStyle name="Comma 6 2 2 2 6 2" xfId="11053"/>
    <cellStyle name="Comma 6 2 2 2 6 2 2" xfId="36608"/>
    <cellStyle name="Comma 6 2 2 2 6 3" xfId="21057"/>
    <cellStyle name="Comma 6 2 2 2 6 3 2" xfId="46610"/>
    <cellStyle name="Comma 6 2 2 2 6 4" xfId="27540"/>
    <cellStyle name="Comma 6 2 2 2 7" xfId="5860"/>
    <cellStyle name="Comma 6 2 2 2 7 2" xfId="14687"/>
    <cellStyle name="Comma 6 2 2 2 7 2 2" xfId="40242"/>
    <cellStyle name="Comma 6 2 2 2 7 3" xfId="24938"/>
    <cellStyle name="Comma 6 2 2 2 7 3 2" xfId="50491"/>
    <cellStyle name="Comma 6 2 2 2 7 4" xfId="31421"/>
    <cellStyle name="Comma 6 2 2 2 8" xfId="7304"/>
    <cellStyle name="Comma 6 2 2 2 8 2" xfId="20030"/>
    <cellStyle name="Comma 6 2 2 2 8 2 2" xfId="45583"/>
    <cellStyle name="Comma 6 2 2 2 8 3" xfId="32861"/>
    <cellStyle name="Comma 6 2 2 2 9" xfId="16050"/>
    <cellStyle name="Comma 6 2 2 2 9 2" xfId="41603"/>
    <cellStyle name="Comma 6 2 2 3" xfId="380"/>
    <cellStyle name="Comma 6 2 2 3 2" xfId="2866"/>
    <cellStyle name="Comma 6 2 2 3 2 2" xfId="12154"/>
    <cellStyle name="Comma 6 2 2 3 2 2 2" xfId="22227"/>
    <cellStyle name="Comma 6 2 2 3 2 2 2 2" xfId="47780"/>
    <cellStyle name="Comma 6 2 2 3 2 2 3" xfId="37709"/>
    <cellStyle name="Comma 6 2 2 3 2 3" xfId="8396"/>
    <cellStyle name="Comma 6 2 2 3 2 3 2" xfId="33953"/>
    <cellStyle name="Comma 6 2 2 3 2 4" xfId="17220"/>
    <cellStyle name="Comma 6 2 2 3 2 4 2" xfId="42773"/>
    <cellStyle name="Comma 6 2 2 3 2 5" xfId="28710"/>
    <cellStyle name="Comma 6 2 2 3 3" xfId="4504"/>
    <cellStyle name="Comma 6 2 2 3 3 2" xfId="13342"/>
    <cellStyle name="Comma 6 2 2 3 3 2 2" xfId="23593"/>
    <cellStyle name="Comma 6 2 2 3 3 2 2 2" xfId="49146"/>
    <cellStyle name="Comma 6 2 2 3 3 2 3" xfId="38897"/>
    <cellStyle name="Comma 6 2 2 3 3 3" xfId="9763"/>
    <cellStyle name="Comma 6 2 2 3 3 3 2" xfId="35320"/>
    <cellStyle name="Comma 6 2 2 3 3 4" xfId="18586"/>
    <cellStyle name="Comma 6 2 2 3 3 4 2" xfId="44139"/>
    <cellStyle name="Comma 6 2 2 3 3 5" xfId="30076"/>
    <cellStyle name="Comma 6 2 2 3 4" xfId="1975"/>
    <cellStyle name="Comma 6 2 2 3 4 2" xfId="11340"/>
    <cellStyle name="Comma 6 2 2 3 4 2 2" xfId="36895"/>
    <cellStyle name="Comma 6 2 2 3 4 3" xfId="21344"/>
    <cellStyle name="Comma 6 2 2 3 4 3 2" xfId="46897"/>
    <cellStyle name="Comma 6 2 2 3 4 4" xfId="27827"/>
    <cellStyle name="Comma 6 2 2 3 5" xfId="5960"/>
    <cellStyle name="Comma 6 2 2 3 5 2" xfId="14787"/>
    <cellStyle name="Comma 6 2 2 3 5 2 2" xfId="40342"/>
    <cellStyle name="Comma 6 2 2 3 5 3" xfId="25038"/>
    <cellStyle name="Comma 6 2 2 3 5 3 2" xfId="50591"/>
    <cellStyle name="Comma 6 2 2 3 5 4" xfId="31521"/>
    <cellStyle name="Comma 6 2 2 3 6" xfId="7404"/>
    <cellStyle name="Comma 6 2 2 3 6 2" xfId="19826"/>
    <cellStyle name="Comma 6 2 2 3 6 2 2" xfId="45379"/>
    <cellStyle name="Comma 6 2 2 3 6 3" xfId="32961"/>
    <cellStyle name="Comma 6 2 2 3 7" xfId="16337"/>
    <cellStyle name="Comma 6 2 2 3 7 2" xfId="41890"/>
    <cellStyle name="Comma 6 2 2 3 8" xfId="26309"/>
    <cellStyle name="Comma 6 2 2 4" xfId="689"/>
    <cellStyle name="Comma 6 2 2 4 2" xfId="3175"/>
    <cellStyle name="Comma 6 2 2 4 2 2" xfId="12318"/>
    <cellStyle name="Comma 6 2 2 4 2 2 2" xfId="22536"/>
    <cellStyle name="Comma 6 2 2 4 2 2 2 2" xfId="48089"/>
    <cellStyle name="Comma 6 2 2 4 2 2 3" xfId="37873"/>
    <cellStyle name="Comma 6 2 2 4 2 3" xfId="8740"/>
    <cellStyle name="Comma 6 2 2 4 2 3 2" xfId="34297"/>
    <cellStyle name="Comma 6 2 2 4 2 4" xfId="17529"/>
    <cellStyle name="Comma 6 2 2 4 2 4 2" xfId="43082"/>
    <cellStyle name="Comma 6 2 2 4 2 5" xfId="29019"/>
    <cellStyle name="Comma 6 2 2 4 3" xfId="4853"/>
    <cellStyle name="Comma 6 2 2 4 3 2" xfId="13690"/>
    <cellStyle name="Comma 6 2 2 4 3 2 2" xfId="23941"/>
    <cellStyle name="Comma 6 2 2 4 3 2 2 2" xfId="49494"/>
    <cellStyle name="Comma 6 2 2 4 3 2 3" xfId="39245"/>
    <cellStyle name="Comma 6 2 2 4 3 3" xfId="10111"/>
    <cellStyle name="Comma 6 2 2 4 3 3 2" xfId="35668"/>
    <cellStyle name="Comma 6 2 2 4 3 4" xfId="18934"/>
    <cellStyle name="Comma 6 2 2 4 3 4 2" xfId="44487"/>
    <cellStyle name="Comma 6 2 2 4 3 5" xfId="30424"/>
    <cellStyle name="Comma 6 2 2 4 4" xfId="2284"/>
    <cellStyle name="Comma 6 2 2 4 4 2" xfId="11649"/>
    <cellStyle name="Comma 6 2 2 4 4 2 2" xfId="37204"/>
    <cellStyle name="Comma 6 2 2 4 4 3" xfId="21653"/>
    <cellStyle name="Comma 6 2 2 4 4 3 2" xfId="47206"/>
    <cellStyle name="Comma 6 2 2 4 4 4" xfId="28136"/>
    <cellStyle name="Comma 6 2 2 4 5" xfId="6308"/>
    <cellStyle name="Comma 6 2 2 4 5 2" xfId="15135"/>
    <cellStyle name="Comma 6 2 2 4 5 2 2" xfId="40690"/>
    <cellStyle name="Comma 6 2 2 4 5 3" xfId="25386"/>
    <cellStyle name="Comma 6 2 2 4 5 3 2" xfId="50939"/>
    <cellStyle name="Comma 6 2 2 4 5 4" xfId="31869"/>
    <cellStyle name="Comma 6 2 2 4 6" xfId="7754"/>
    <cellStyle name="Comma 6 2 2 4 6 2" xfId="20135"/>
    <cellStyle name="Comma 6 2 2 4 6 2 2" xfId="45688"/>
    <cellStyle name="Comma 6 2 2 4 6 3" xfId="33311"/>
    <cellStyle name="Comma 6 2 2 4 7" xfId="16646"/>
    <cellStyle name="Comma 6 2 2 4 7 2" xfId="42199"/>
    <cellStyle name="Comma 6 2 2 4 8" xfId="26618"/>
    <cellStyle name="Comma 6 2 2 5" xfId="1152"/>
    <cellStyle name="Comma 6 2 2 5 2" xfId="3581"/>
    <cellStyle name="Comma 6 2 2 5 2 2" xfId="12717"/>
    <cellStyle name="Comma 6 2 2 5 2 2 2" xfId="22936"/>
    <cellStyle name="Comma 6 2 2 5 2 2 2 2" xfId="48489"/>
    <cellStyle name="Comma 6 2 2 5 2 2 3" xfId="38272"/>
    <cellStyle name="Comma 6 2 2 5 2 3" xfId="9138"/>
    <cellStyle name="Comma 6 2 2 5 2 3 2" xfId="34695"/>
    <cellStyle name="Comma 6 2 2 5 2 4" xfId="17929"/>
    <cellStyle name="Comma 6 2 2 5 2 4 2" xfId="43482"/>
    <cellStyle name="Comma 6 2 2 5 2 5" xfId="29419"/>
    <cellStyle name="Comma 6 2 2 5 3" xfId="5244"/>
    <cellStyle name="Comma 6 2 2 5 3 2" xfId="14081"/>
    <cellStyle name="Comma 6 2 2 5 3 2 2" xfId="24332"/>
    <cellStyle name="Comma 6 2 2 5 3 2 2 2" xfId="49885"/>
    <cellStyle name="Comma 6 2 2 5 3 2 3" xfId="39636"/>
    <cellStyle name="Comma 6 2 2 5 3 3" xfId="10502"/>
    <cellStyle name="Comma 6 2 2 5 3 3 2" xfId="36059"/>
    <cellStyle name="Comma 6 2 2 5 3 4" xfId="19325"/>
    <cellStyle name="Comma 6 2 2 5 3 4 2" xfId="44878"/>
    <cellStyle name="Comma 6 2 2 5 3 5" xfId="30815"/>
    <cellStyle name="Comma 6 2 2 5 4" xfId="1859"/>
    <cellStyle name="Comma 6 2 2 5 4 2" xfId="11227"/>
    <cellStyle name="Comma 6 2 2 5 4 2 2" xfId="36782"/>
    <cellStyle name="Comma 6 2 2 5 4 3" xfId="21231"/>
    <cellStyle name="Comma 6 2 2 5 4 3 2" xfId="46784"/>
    <cellStyle name="Comma 6 2 2 5 4 4" xfId="27714"/>
    <cellStyle name="Comma 6 2 2 5 5" xfId="6699"/>
    <cellStyle name="Comma 6 2 2 5 5 2" xfId="15526"/>
    <cellStyle name="Comma 6 2 2 5 5 2 2" xfId="41081"/>
    <cellStyle name="Comma 6 2 2 5 5 3" xfId="25777"/>
    <cellStyle name="Comma 6 2 2 5 5 3 2" xfId="51330"/>
    <cellStyle name="Comma 6 2 2 5 5 4" xfId="32260"/>
    <cellStyle name="Comma 6 2 2 5 6" xfId="8145"/>
    <cellStyle name="Comma 6 2 2 5 6 2" xfId="20535"/>
    <cellStyle name="Comma 6 2 2 5 6 2 2" xfId="46088"/>
    <cellStyle name="Comma 6 2 2 5 6 3" xfId="33702"/>
    <cellStyle name="Comma 6 2 2 5 7" xfId="16224"/>
    <cellStyle name="Comma 6 2 2 5 7 2" xfId="41777"/>
    <cellStyle name="Comma 6 2 2 5 8" xfId="27018"/>
    <cellStyle name="Comma 6 2 2 6" xfId="2753"/>
    <cellStyle name="Comma 6 2 2 6 2" xfId="12070"/>
    <cellStyle name="Comma 6 2 2 6 2 2" xfId="22114"/>
    <cellStyle name="Comma 6 2 2 6 2 2 2" xfId="47667"/>
    <cellStyle name="Comma 6 2 2 6 2 3" xfId="37625"/>
    <cellStyle name="Comma 6 2 2 6 3" xfId="8437"/>
    <cellStyle name="Comma 6 2 2 6 3 2" xfId="33994"/>
    <cellStyle name="Comma 6 2 2 6 4" xfId="17107"/>
    <cellStyle name="Comma 6 2 2 6 4 2" xfId="42660"/>
    <cellStyle name="Comma 6 2 2 6 5" xfId="28597"/>
    <cellStyle name="Comma 6 2 2 7" xfId="4200"/>
    <cellStyle name="Comma 6 2 2 7 2" xfId="13038"/>
    <cellStyle name="Comma 6 2 2 7 2 2" xfId="23289"/>
    <cellStyle name="Comma 6 2 2 7 2 2 2" xfId="48842"/>
    <cellStyle name="Comma 6 2 2 7 2 3" xfId="38593"/>
    <cellStyle name="Comma 6 2 2 7 3" xfId="9459"/>
    <cellStyle name="Comma 6 2 2 7 3 2" xfId="35016"/>
    <cellStyle name="Comma 6 2 2 7 4" xfId="18282"/>
    <cellStyle name="Comma 6 2 2 7 4 2" xfId="43835"/>
    <cellStyle name="Comma 6 2 2 7 5" xfId="29772"/>
    <cellStyle name="Comma 6 2 2 8" xfId="1472"/>
    <cellStyle name="Comma 6 2 2 8 2" xfId="10849"/>
    <cellStyle name="Comma 6 2 2 8 2 2" xfId="36404"/>
    <cellStyle name="Comma 6 2 2 8 3" xfId="20853"/>
    <cellStyle name="Comma 6 2 2 8 3 2" xfId="46406"/>
    <cellStyle name="Comma 6 2 2 8 4" xfId="27336"/>
    <cellStyle name="Comma 6 2 2 9" xfId="5656"/>
    <cellStyle name="Comma 6 2 2 9 2" xfId="14483"/>
    <cellStyle name="Comma 6 2 2 9 2 2" xfId="40038"/>
    <cellStyle name="Comma 6 2 2 9 3" xfId="24734"/>
    <cellStyle name="Comma 6 2 2 9 3 2" xfId="50287"/>
    <cellStyle name="Comma 6 2 2 9 4" xfId="31217"/>
    <cellStyle name="Comma 6 2 3" xfId="216"/>
    <cellStyle name="Comma 6 2 3 10" xfId="16008"/>
    <cellStyle name="Comma 6 2 3 10 2" xfId="41561"/>
    <cellStyle name="Comma 6 2 3 11" xfId="26154"/>
    <cellStyle name="Comma 6 2 3 2" xfId="542"/>
    <cellStyle name="Comma 6 2 3 2 2" xfId="3028"/>
    <cellStyle name="Comma 6 2 3 2 2 2" xfId="12216"/>
    <cellStyle name="Comma 6 2 3 2 2 2 2" xfId="22389"/>
    <cellStyle name="Comma 6 2 3 2 2 2 2 2" xfId="47942"/>
    <cellStyle name="Comma 6 2 3 2 2 2 3" xfId="37771"/>
    <cellStyle name="Comma 6 2 3 2 2 3" xfId="6937"/>
    <cellStyle name="Comma 6 2 3 2 2 3 2" xfId="32495"/>
    <cellStyle name="Comma 6 2 3 2 2 4" xfId="17382"/>
    <cellStyle name="Comma 6 2 3 2 2 4 2" xfId="42935"/>
    <cellStyle name="Comma 6 2 3 2 2 5" xfId="28872"/>
    <cellStyle name="Comma 6 2 3 2 3" xfId="4506"/>
    <cellStyle name="Comma 6 2 3 2 3 2" xfId="13344"/>
    <cellStyle name="Comma 6 2 3 2 3 2 2" xfId="23595"/>
    <cellStyle name="Comma 6 2 3 2 3 2 2 2" xfId="49148"/>
    <cellStyle name="Comma 6 2 3 2 3 2 3" xfId="38899"/>
    <cellStyle name="Comma 6 2 3 2 3 3" xfId="9765"/>
    <cellStyle name="Comma 6 2 3 2 3 3 2" xfId="35322"/>
    <cellStyle name="Comma 6 2 3 2 3 4" xfId="18588"/>
    <cellStyle name="Comma 6 2 3 2 3 4 2" xfId="44141"/>
    <cellStyle name="Comma 6 2 3 2 3 5" xfId="30078"/>
    <cellStyle name="Comma 6 2 3 2 4" xfId="2137"/>
    <cellStyle name="Comma 6 2 3 2 4 2" xfId="11502"/>
    <cellStyle name="Comma 6 2 3 2 4 2 2" xfId="37057"/>
    <cellStyle name="Comma 6 2 3 2 4 3" xfId="21506"/>
    <cellStyle name="Comma 6 2 3 2 4 3 2" xfId="47059"/>
    <cellStyle name="Comma 6 2 3 2 4 4" xfId="27989"/>
    <cellStyle name="Comma 6 2 3 2 5" xfId="5962"/>
    <cellStyle name="Comma 6 2 3 2 5 2" xfId="14789"/>
    <cellStyle name="Comma 6 2 3 2 5 2 2" xfId="40344"/>
    <cellStyle name="Comma 6 2 3 2 5 3" xfId="25040"/>
    <cellStyle name="Comma 6 2 3 2 5 3 2" xfId="50593"/>
    <cellStyle name="Comma 6 2 3 2 5 4" xfId="31523"/>
    <cellStyle name="Comma 6 2 3 2 6" xfId="7406"/>
    <cellStyle name="Comma 6 2 3 2 6 2" xfId="19988"/>
    <cellStyle name="Comma 6 2 3 2 6 2 2" xfId="45541"/>
    <cellStyle name="Comma 6 2 3 2 6 3" xfId="32963"/>
    <cellStyle name="Comma 6 2 3 2 7" xfId="16499"/>
    <cellStyle name="Comma 6 2 3 2 7 2" xfId="42052"/>
    <cellStyle name="Comma 6 2 3 2 8" xfId="26471"/>
    <cellStyle name="Comma 6 2 3 3" xfId="691"/>
    <cellStyle name="Comma 6 2 3 3 2" xfId="3177"/>
    <cellStyle name="Comma 6 2 3 3 2 2" xfId="12320"/>
    <cellStyle name="Comma 6 2 3 3 2 2 2" xfId="22538"/>
    <cellStyle name="Comma 6 2 3 3 2 2 2 2" xfId="48091"/>
    <cellStyle name="Comma 6 2 3 3 2 2 3" xfId="37875"/>
    <cellStyle name="Comma 6 2 3 3 2 3" xfId="8742"/>
    <cellStyle name="Comma 6 2 3 3 2 3 2" xfId="34299"/>
    <cellStyle name="Comma 6 2 3 3 2 4" xfId="17531"/>
    <cellStyle name="Comma 6 2 3 3 2 4 2" xfId="43084"/>
    <cellStyle name="Comma 6 2 3 3 2 5" xfId="29021"/>
    <cellStyle name="Comma 6 2 3 3 3" xfId="4855"/>
    <cellStyle name="Comma 6 2 3 3 3 2" xfId="13692"/>
    <cellStyle name="Comma 6 2 3 3 3 2 2" xfId="23943"/>
    <cellStyle name="Comma 6 2 3 3 3 2 2 2" xfId="49496"/>
    <cellStyle name="Comma 6 2 3 3 3 2 3" xfId="39247"/>
    <cellStyle name="Comma 6 2 3 3 3 3" xfId="10113"/>
    <cellStyle name="Comma 6 2 3 3 3 3 2" xfId="35670"/>
    <cellStyle name="Comma 6 2 3 3 3 4" xfId="18936"/>
    <cellStyle name="Comma 6 2 3 3 3 4 2" xfId="44489"/>
    <cellStyle name="Comma 6 2 3 3 3 5" xfId="30426"/>
    <cellStyle name="Comma 6 2 3 3 4" xfId="2286"/>
    <cellStyle name="Comma 6 2 3 3 4 2" xfId="11651"/>
    <cellStyle name="Comma 6 2 3 3 4 2 2" xfId="37206"/>
    <cellStyle name="Comma 6 2 3 3 4 3" xfId="21655"/>
    <cellStyle name="Comma 6 2 3 3 4 3 2" xfId="47208"/>
    <cellStyle name="Comma 6 2 3 3 4 4" xfId="28138"/>
    <cellStyle name="Comma 6 2 3 3 5" xfId="6310"/>
    <cellStyle name="Comma 6 2 3 3 5 2" xfId="15137"/>
    <cellStyle name="Comma 6 2 3 3 5 2 2" xfId="40692"/>
    <cellStyle name="Comma 6 2 3 3 5 3" xfId="25388"/>
    <cellStyle name="Comma 6 2 3 3 5 3 2" xfId="50941"/>
    <cellStyle name="Comma 6 2 3 3 5 4" xfId="31871"/>
    <cellStyle name="Comma 6 2 3 3 6" xfId="7756"/>
    <cellStyle name="Comma 6 2 3 3 6 2" xfId="20137"/>
    <cellStyle name="Comma 6 2 3 3 6 2 2" xfId="45690"/>
    <cellStyle name="Comma 6 2 3 3 6 3" xfId="33313"/>
    <cellStyle name="Comma 6 2 3 3 7" xfId="16648"/>
    <cellStyle name="Comma 6 2 3 3 7 2" xfId="42201"/>
    <cellStyle name="Comma 6 2 3 3 8" xfId="26620"/>
    <cellStyle name="Comma 6 2 3 4" xfId="1314"/>
    <cellStyle name="Comma 6 2 3 4 2" xfId="3743"/>
    <cellStyle name="Comma 6 2 3 4 2 2" xfId="12879"/>
    <cellStyle name="Comma 6 2 3 4 2 2 2" xfId="23098"/>
    <cellStyle name="Comma 6 2 3 4 2 2 2 2" xfId="48651"/>
    <cellStyle name="Comma 6 2 3 4 2 2 3" xfId="38434"/>
    <cellStyle name="Comma 6 2 3 4 2 3" xfId="9300"/>
    <cellStyle name="Comma 6 2 3 4 2 3 2" xfId="34857"/>
    <cellStyle name="Comma 6 2 3 4 2 4" xfId="18091"/>
    <cellStyle name="Comma 6 2 3 4 2 4 2" xfId="43644"/>
    <cellStyle name="Comma 6 2 3 4 2 5" xfId="29581"/>
    <cellStyle name="Comma 6 2 3 4 3" xfId="5406"/>
    <cellStyle name="Comma 6 2 3 4 3 2" xfId="14243"/>
    <cellStyle name="Comma 6 2 3 4 3 2 2" xfId="24494"/>
    <cellStyle name="Comma 6 2 3 4 3 2 2 2" xfId="50047"/>
    <cellStyle name="Comma 6 2 3 4 3 2 3" xfId="39798"/>
    <cellStyle name="Comma 6 2 3 4 3 3" xfId="10664"/>
    <cellStyle name="Comma 6 2 3 4 3 3 2" xfId="36221"/>
    <cellStyle name="Comma 6 2 3 4 3 4" xfId="19487"/>
    <cellStyle name="Comma 6 2 3 4 3 4 2" xfId="45040"/>
    <cellStyle name="Comma 6 2 3 4 3 5" xfId="30977"/>
    <cellStyle name="Comma 6 2 3 4 4" xfId="1817"/>
    <cellStyle name="Comma 6 2 3 4 4 2" xfId="11185"/>
    <cellStyle name="Comma 6 2 3 4 4 2 2" xfId="36740"/>
    <cellStyle name="Comma 6 2 3 4 4 3" xfId="21189"/>
    <cellStyle name="Comma 6 2 3 4 4 3 2" xfId="46742"/>
    <cellStyle name="Comma 6 2 3 4 4 4" xfId="27672"/>
    <cellStyle name="Comma 6 2 3 4 5" xfId="6861"/>
    <cellStyle name="Comma 6 2 3 4 5 2" xfId="15688"/>
    <cellStyle name="Comma 6 2 3 4 5 2 2" xfId="41243"/>
    <cellStyle name="Comma 6 2 3 4 5 3" xfId="25939"/>
    <cellStyle name="Comma 6 2 3 4 5 3 2" xfId="51492"/>
    <cellStyle name="Comma 6 2 3 4 5 4" xfId="32422"/>
    <cellStyle name="Comma 6 2 3 4 6" xfId="8307"/>
    <cellStyle name="Comma 6 2 3 4 6 2" xfId="20697"/>
    <cellStyle name="Comma 6 2 3 4 6 2 2" xfId="46250"/>
    <cellStyle name="Comma 6 2 3 4 6 3" xfId="33864"/>
    <cellStyle name="Comma 6 2 3 4 7" xfId="16182"/>
    <cellStyle name="Comma 6 2 3 4 7 2" xfId="41735"/>
    <cellStyle name="Comma 6 2 3 4 8" xfId="27180"/>
    <cellStyle name="Comma 6 2 3 5" xfId="2711"/>
    <cellStyle name="Comma 6 2 3 5 2" xfId="12028"/>
    <cellStyle name="Comma 6 2 3 5 2 2" xfId="22072"/>
    <cellStyle name="Comma 6 2 3 5 2 2 2" xfId="47625"/>
    <cellStyle name="Comma 6 2 3 5 2 3" xfId="37583"/>
    <cellStyle name="Comma 6 2 3 5 3" xfId="8481"/>
    <cellStyle name="Comma 6 2 3 5 3 2" xfId="34038"/>
    <cellStyle name="Comma 6 2 3 5 4" xfId="17065"/>
    <cellStyle name="Comma 6 2 3 5 4 2" xfId="42618"/>
    <cellStyle name="Comma 6 2 3 5 5" xfId="28555"/>
    <cellStyle name="Comma 6 2 3 6" xfId="4362"/>
    <cellStyle name="Comma 6 2 3 6 2" xfId="13200"/>
    <cellStyle name="Comma 6 2 3 6 2 2" xfId="23451"/>
    <cellStyle name="Comma 6 2 3 6 2 2 2" xfId="49004"/>
    <cellStyle name="Comma 6 2 3 6 2 3" xfId="38755"/>
    <cellStyle name="Comma 6 2 3 6 3" xfId="9621"/>
    <cellStyle name="Comma 6 2 3 6 3 2" xfId="35178"/>
    <cellStyle name="Comma 6 2 3 6 4" xfId="18444"/>
    <cellStyle name="Comma 6 2 3 6 4 2" xfId="43997"/>
    <cellStyle name="Comma 6 2 3 6 5" xfId="29934"/>
    <cellStyle name="Comma 6 2 3 7" xfId="1634"/>
    <cellStyle name="Comma 6 2 3 7 2" xfId="11011"/>
    <cellStyle name="Comma 6 2 3 7 2 2" xfId="36566"/>
    <cellStyle name="Comma 6 2 3 7 3" xfId="21015"/>
    <cellStyle name="Comma 6 2 3 7 3 2" xfId="46568"/>
    <cellStyle name="Comma 6 2 3 7 4" xfId="27498"/>
    <cellStyle name="Comma 6 2 3 8" xfId="5818"/>
    <cellStyle name="Comma 6 2 3 8 2" xfId="14645"/>
    <cellStyle name="Comma 6 2 3 8 2 2" xfId="40200"/>
    <cellStyle name="Comma 6 2 3 8 3" xfId="24896"/>
    <cellStyle name="Comma 6 2 3 8 3 2" xfId="50449"/>
    <cellStyle name="Comma 6 2 3 8 4" xfId="31379"/>
    <cellStyle name="Comma 6 2 3 9" xfId="7262"/>
    <cellStyle name="Comma 6 2 3 9 2" xfId="19671"/>
    <cellStyle name="Comma 6 2 3 9 2 2" xfId="45224"/>
    <cellStyle name="Comma 6 2 3 9 3" xfId="32819"/>
    <cellStyle name="Comma 6 2 4" xfId="480"/>
    <cellStyle name="Comma 6 2 4 10" xfId="26409"/>
    <cellStyle name="Comma 6 2 4 2" xfId="692"/>
    <cellStyle name="Comma 6 2 4 2 2" xfId="3178"/>
    <cellStyle name="Comma 6 2 4 2 2 2" xfId="12321"/>
    <cellStyle name="Comma 6 2 4 2 2 2 2" xfId="22539"/>
    <cellStyle name="Comma 6 2 4 2 2 2 2 2" xfId="48092"/>
    <cellStyle name="Comma 6 2 4 2 2 2 3" xfId="37876"/>
    <cellStyle name="Comma 6 2 4 2 2 3" xfId="8743"/>
    <cellStyle name="Comma 6 2 4 2 2 3 2" xfId="34300"/>
    <cellStyle name="Comma 6 2 4 2 2 4" xfId="17532"/>
    <cellStyle name="Comma 6 2 4 2 2 4 2" xfId="43085"/>
    <cellStyle name="Comma 6 2 4 2 2 5" xfId="29022"/>
    <cellStyle name="Comma 6 2 4 2 3" xfId="4507"/>
    <cellStyle name="Comma 6 2 4 2 3 2" xfId="13345"/>
    <cellStyle name="Comma 6 2 4 2 3 2 2" xfId="23596"/>
    <cellStyle name="Comma 6 2 4 2 3 2 2 2" xfId="49149"/>
    <cellStyle name="Comma 6 2 4 2 3 2 3" xfId="38900"/>
    <cellStyle name="Comma 6 2 4 2 3 3" xfId="9766"/>
    <cellStyle name="Comma 6 2 4 2 3 3 2" xfId="35323"/>
    <cellStyle name="Comma 6 2 4 2 3 4" xfId="18589"/>
    <cellStyle name="Comma 6 2 4 2 3 4 2" xfId="44142"/>
    <cellStyle name="Comma 6 2 4 2 3 5" xfId="30079"/>
    <cellStyle name="Comma 6 2 4 2 4" xfId="2287"/>
    <cellStyle name="Comma 6 2 4 2 4 2" xfId="11652"/>
    <cellStyle name="Comma 6 2 4 2 4 2 2" xfId="37207"/>
    <cellStyle name="Comma 6 2 4 2 4 3" xfId="21656"/>
    <cellStyle name="Comma 6 2 4 2 4 3 2" xfId="47209"/>
    <cellStyle name="Comma 6 2 4 2 4 4" xfId="28139"/>
    <cellStyle name="Comma 6 2 4 2 5" xfId="5963"/>
    <cellStyle name="Comma 6 2 4 2 5 2" xfId="14790"/>
    <cellStyle name="Comma 6 2 4 2 5 2 2" xfId="40345"/>
    <cellStyle name="Comma 6 2 4 2 5 3" xfId="25041"/>
    <cellStyle name="Comma 6 2 4 2 5 3 2" xfId="50594"/>
    <cellStyle name="Comma 6 2 4 2 5 4" xfId="31524"/>
    <cellStyle name="Comma 6 2 4 2 6" xfId="7407"/>
    <cellStyle name="Comma 6 2 4 2 6 2" xfId="20138"/>
    <cellStyle name="Comma 6 2 4 2 6 2 2" xfId="45691"/>
    <cellStyle name="Comma 6 2 4 2 6 3" xfId="32964"/>
    <cellStyle name="Comma 6 2 4 2 7" xfId="16649"/>
    <cellStyle name="Comma 6 2 4 2 7 2" xfId="42202"/>
    <cellStyle name="Comma 6 2 4 2 8" xfId="26621"/>
    <cellStyle name="Comma 6 2 4 3" xfId="1252"/>
    <cellStyle name="Comma 6 2 4 3 2" xfId="3681"/>
    <cellStyle name="Comma 6 2 4 3 2 2" xfId="12817"/>
    <cellStyle name="Comma 6 2 4 3 2 2 2" xfId="23036"/>
    <cellStyle name="Comma 6 2 4 3 2 2 2 2" xfId="48589"/>
    <cellStyle name="Comma 6 2 4 3 2 2 3" xfId="38372"/>
    <cellStyle name="Comma 6 2 4 3 2 3" xfId="9238"/>
    <cellStyle name="Comma 6 2 4 3 2 3 2" xfId="34795"/>
    <cellStyle name="Comma 6 2 4 3 2 4" xfId="18029"/>
    <cellStyle name="Comma 6 2 4 3 2 4 2" xfId="43582"/>
    <cellStyle name="Comma 6 2 4 3 2 5" xfId="29519"/>
    <cellStyle name="Comma 6 2 4 3 3" xfId="4856"/>
    <cellStyle name="Comma 6 2 4 3 3 2" xfId="13693"/>
    <cellStyle name="Comma 6 2 4 3 3 2 2" xfId="23944"/>
    <cellStyle name="Comma 6 2 4 3 3 2 2 2" xfId="49497"/>
    <cellStyle name="Comma 6 2 4 3 3 2 3" xfId="39248"/>
    <cellStyle name="Comma 6 2 4 3 3 3" xfId="10114"/>
    <cellStyle name="Comma 6 2 4 3 3 3 2" xfId="35671"/>
    <cellStyle name="Comma 6 2 4 3 3 4" xfId="18937"/>
    <cellStyle name="Comma 6 2 4 3 3 4 2" xfId="44490"/>
    <cellStyle name="Comma 6 2 4 3 3 5" xfId="30427"/>
    <cellStyle name="Comma 6 2 4 3 4" xfId="2075"/>
    <cellStyle name="Comma 6 2 4 3 4 2" xfId="11440"/>
    <cellStyle name="Comma 6 2 4 3 4 2 2" xfId="36995"/>
    <cellStyle name="Comma 6 2 4 3 4 3" xfId="21444"/>
    <cellStyle name="Comma 6 2 4 3 4 3 2" xfId="46997"/>
    <cellStyle name="Comma 6 2 4 3 4 4" xfId="27927"/>
    <cellStyle name="Comma 6 2 4 3 5" xfId="6311"/>
    <cellStyle name="Comma 6 2 4 3 5 2" xfId="15138"/>
    <cellStyle name="Comma 6 2 4 3 5 2 2" xfId="40693"/>
    <cellStyle name="Comma 6 2 4 3 5 3" xfId="25389"/>
    <cellStyle name="Comma 6 2 4 3 5 3 2" xfId="50942"/>
    <cellStyle name="Comma 6 2 4 3 5 4" xfId="31872"/>
    <cellStyle name="Comma 6 2 4 3 6" xfId="7757"/>
    <cellStyle name="Comma 6 2 4 3 6 2" xfId="20635"/>
    <cellStyle name="Comma 6 2 4 3 6 2 2" xfId="46188"/>
    <cellStyle name="Comma 6 2 4 3 6 3" xfId="33314"/>
    <cellStyle name="Comma 6 2 4 3 7" xfId="16437"/>
    <cellStyle name="Comma 6 2 4 3 7 2" xfId="41990"/>
    <cellStyle name="Comma 6 2 4 3 8" xfId="27118"/>
    <cellStyle name="Comma 6 2 4 4" xfId="2966"/>
    <cellStyle name="Comma 6 2 4 4 2" xfId="5344"/>
    <cellStyle name="Comma 6 2 4 4 2 2" xfId="14181"/>
    <cellStyle name="Comma 6 2 4 4 2 2 2" xfId="24432"/>
    <cellStyle name="Comma 6 2 4 4 2 2 2 2" xfId="49985"/>
    <cellStyle name="Comma 6 2 4 4 2 2 3" xfId="39736"/>
    <cellStyle name="Comma 6 2 4 4 2 3" xfId="10602"/>
    <cellStyle name="Comma 6 2 4 4 2 3 2" xfId="36159"/>
    <cellStyle name="Comma 6 2 4 4 2 4" xfId="19425"/>
    <cellStyle name="Comma 6 2 4 4 2 4 2" xfId="44978"/>
    <cellStyle name="Comma 6 2 4 4 2 5" xfId="30915"/>
    <cellStyle name="Comma 6 2 4 4 3" xfId="6799"/>
    <cellStyle name="Comma 6 2 4 4 3 2" xfId="15626"/>
    <cellStyle name="Comma 6 2 4 4 3 2 2" xfId="41181"/>
    <cellStyle name="Comma 6 2 4 4 3 3" xfId="25877"/>
    <cellStyle name="Comma 6 2 4 4 3 3 2" xfId="51430"/>
    <cellStyle name="Comma 6 2 4 4 3 4" xfId="32360"/>
    <cellStyle name="Comma 6 2 4 4 4" xfId="8245"/>
    <cellStyle name="Comma 6 2 4 4 4 2" xfId="22327"/>
    <cellStyle name="Comma 6 2 4 4 4 2 2" xfId="47880"/>
    <cellStyle name="Comma 6 2 4 4 4 3" xfId="33802"/>
    <cellStyle name="Comma 6 2 4 4 5" xfId="17320"/>
    <cellStyle name="Comma 6 2 4 4 5 2" xfId="42873"/>
    <cellStyle name="Comma 6 2 4 4 6" xfId="28810"/>
    <cellStyle name="Comma 6 2 4 5" xfId="4300"/>
    <cellStyle name="Comma 6 2 4 5 2" xfId="13138"/>
    <cellStyle name="Comma 6 2 4 5 2 2" xfId="23389"/>
    <cellStyle name="Comma 6 2 4 5 2 2 2" xfId="48942"/>
    <cellStyle name="Comma 6 2 4 5 2 3" xfId="38693"/>
    <cellStyle name="Comma 6 2 4 5 3" xfId="9559"/>
    <cellStyle name="Comma 6 2 4 5 3 2" xfId="35116"/>
    <cellStyle name="Comma 6 2 4 5 4" xfId="18382"/>
    <cellStyle name="Comma 6 2 4 5 4 2" xfId="43935"/>
    <cellStyle name="Comma 6 2 4 5 5" xfId="29872"/>
    <cellStyle name="Comma 6 2 4 6" xfId="1572"/>
    <cellStyle name="Comma 6 2 4 6 2" xfId="10949"/>
    <cellStyle name="Comma 6 2 4 6 2 2" xfId="36504"/>
    <cellStyle name="Comma 6 2 4 6 3" xfId="20953"/>
    <cellStyle name="Comma 6 2 4 6 3 2" xfId="46506"/>
    <cellStyle name="Comma 6 2 4 6 4" xfId="27436"/>
    <cellStyle name="Comma 6 2 4 7" xfId="5756"/>
    <cellStyle name="Comma 6 2 4 7 2" xfId="14583"/>
    <cellStyle name="Comma 6 2 4 7 2 2" xfId="40138"/>
    <cellStyle name="Comma 6 2 4 7 3" xfId="24834"/>
    <cellStyle name="Comma 6 2 4 7 3 2" xfId="50387"/>
    <cellStyle name="Comma 6 2 4 7 4" xfId="31317"/>
    <cellStyle name="Comma 6 2 4 8" xfId="7200"/>
    <cellStyle name="Comma 6 2 4 8 2" xfId="19926"/>
    <cellStyle name="Comma 6 2 4 8 2 2" xfId="45479"/>
    <cellStyle name="Comma 6 2 4 8 3" xfId="32757"/>
    <cellStyle name="Comma 6 2 4 9" xfId="15946"/>
    <cellStyle name="Comma 6 2 4 9 2" xfId="41499"/>
    <cellStyle name="Comma 6 2 5" xfId="321"/>
    <cellStyle name="Comma 6 2 5 2" xfId="2807"/>
    <cellStyle name="Comma 6 2 5 2 2" xfId="12110"/>
    <cellStyle name="Comma 6 2 5 2 2 2" xfId="22168"/>
    <cellStyle name="Comma 6 2 5 2 2 2 2" xfId="47721"/>
    <cellStyle name="Comma 6 2 5 2 2 3" xfId="37665"/>
    <cellStyle name="Comma 6 2 5 2 3" xfId="8580"/>
    <cellStyle name="Comma 6 2 5 2 3 2" xfId="34137"/>
    <cellStyle name="Comma 6 2 5 2 4" xfId="17161"/>
    <cellStyle name="Comma 6 2 5 2 4 2" xfId="42714"/>
    <cellStyle name="Comma 6 2 5 2 5" xfId="28651"/>
    <cellStyle name="Comma 6 2 5 3" xfId="4503"/>
    <cellStyle name="Comma 6 2 5 3 2" xfId="13341"/>
    <cellStyle name="Comma 6 2 5 3 2 2" xfId="23592"/>
    <cellStyle name="Comma 6 2 5 3 2 2 2" xfId="49145"/>
    <cellStyle name="Comma 6 2 5 3 2 3" xfId="38896"/>
    <cellStyle name="Comma 6 2 5 3 3" xfId="9762"/>
    <cellStyle name="Comma 6 2 5 3 3 2" xfId="35319"/>
    <cellStyle name="Comma 6 2 5 3 4" xfId="18585"/>
    <cellStyle name="Comma 6 2 5 3 4 2" xfId="44138"/>
    <cellStyle name="Comma 6 2 5 3 5" xfId="30075"/>
    <cellStyle name="Comma 6 2 5 4" xfId="1916"/>
    <cellStyle name="Comma 6 2 5 4 2" xfId="11281"/>
    <cellStyle name="Comma 6 2 5 4 2 2" xfId="36836"/>
    <cellStyle name="Comma 6 2 5 4 3" xfId="21285"/>
    <cellStyle name="Comma 6 2 5 4 3 2" xfId="46838"/>
    <cellStyle name="Comma 6 2 5 4 4" xfId="27768"/>
    <cellStyle name="Comma 6 2 5 5" xfId="5959"/>
    <cellStyle name="Comma 6 2 5 5 2" xfId="14786"/>
    <cellStyle name="Comma 6 2 5 5 2 2" xfId="40341"/>
    <cellStyle name="Comma 6 2 5 5 3" xfId="25037"/>
    <cellStyle name="Comma 6 2 5 5 3 2" xfId="50590"/>
    <cellStyle name="Comma 6 2 5 5 4" xfId="31520"/>
    <cellStyle name="Comma 6 2 5 6" xfId="7403"/>
    <cellStyle name="Comma 6 2 5 6 2" xfId="19767"/>
    <cellStyle name="Comma 6 2 5 6 2 2" xfId="45320"/>
    <cellStyle name="Comma 6 2 5 6 3" xfId="32960"/>
    <cellStyle name="Comma 6 2 5 7" xfId="16278"/>
    <cellStyle name="Comma 6 2 5 7 2" xfId="41831"/>
    <cellStyle name="Comma 6 2 5 8" xfId="26250"/>
    <cellStyle name="Comma 6 2 6" xfId="688"/>
    <cellStyle name="Comma 6 2 6 2" xfId="3174"/>
    <cellStyle name="Comma 6 2 6 2 2" xfId="12317"/>
    <cellStyle name="Comma 6 2 6 2 2 2" xfId="22535"/>
    <cellStyle name="Comma 6 2 6 2 2 2 2" xfId="48088"/>
    <cellStyle name="Comma 6 2 6 2 2 3" xfId="37872"/>
    <cellStyle name="Comma 6 2 6 2 3" xfId="8739"/>
    <cellStyle name="Comma 6 2 6 2 3 2" xfId="34296"/>
    <cellStyle name="Comma 6 2 6 2 4" xfId="17528"/>
    <cellStyle name="Comma 6 2 6 2 4 2" xfId="43081"/>
    <cellStyle name="Comma 6 2 6 2 5" xfId="29018"/>
    <cellStyle name="Comma 6 2 6 3" xfId="4852"/>
    <cellStyle name="Comma 6 2 6 3 2" xfId="13689"/>
    <cellStyle name="Comma 6 2 6 3 2 2" xfId="23940"/>
    <cellStyle name="Comma 6 2 6 3 2 2 2" xfId="49493"/>
    <cellStyle name="Comma 6 2 6 3 2 3" xfId="39244"/>
    <cellStyle name="Comma 6 2 6 3 3" xfId="10110"/>
    <cellStyle name="Comma 6 2 6 3 3 2" xfId="35667"/>
    <cellStyle name="Comma 6 2 6 3 4" xfId="18933"/>
    <cellStyle name="Comma 6 2 6 3 4 2" xfId="44486"/>
    <cellStyle name="Comma 6 2 6 3 5" xfId="30423"/>
    <cellStyle name="Comma 6 2 6 4" xfId="2283"/>
    <cellStyle name="Comma 6 2 6 4 2" xfId="11648"/>
    <cellStyle name="Comma 6 2 6 4 2 2" xfId="37203"/>
    <cellStyle name="Comma 6 2 6 4 3" xfId="21652"/>
    <cellStyle name="Comma 6 2 6 4 3 2" xfId="47205"/>
    <cellStyle name="Comma 6 2 6 4 4" xfId="28135"/>
    <cellStyle name="Comma 6 2 6 5" xfId="6307"/>
    <cellStyle name="Comma 6 2 6 5 2" xfId="15134"/>
    <cellStyle name="Comma 6 2 6 5 2 2" xfId="40689"/>
    <cellStyle name="Comma 6 2 6 5 3" xfId="25385"/>
    <cellStyle name="Comma 6 2 6 5 3 2" xfId="50938"/>
    <cellStyle name="Comma 6 2 6 5 4" xfId="31868"/>
    <cellStyle name="Comma 6 2 6 6" xfId="7753"/>
    <cellStyle name="Comma 6 2 6 6 2" xfId="20134"/>
    <cellStyle name="Comma 6 2 6 6 2 2" xfId="45687"/>
    <cellStyle name="Comma 6 2 6 6 3" xfId="33310"/>
    <cellStyle name="Comma 6 2 6 7" xfId="16645"/>
    <cellStyle name="Comma 6 2 6 7 2" xfId="42198"/>
    <cellStyle name="Comma 6 2 6 8" xfId="26617"/>
    <cellStyle name="Comma 6 2 7" xfId="1093"/>
    <cellStyle name="Comma 6 2 7 2" xfId="3522"/>
    <cellStyle name="Comma 6 2 7 2 2" xfId="12658"/>
    <cellStyle name="Comma 6 2 7 2 2 2" xfId="22877"/>
    <cellStyle name="Comma 6 2 7 2 2 2 2" xfId="48430"/>
    <cellStyle name="Comma 6 2 7 2 2 3" xfId="38213"/>
    <cellStyle name="Comma 6 2 7 2 3" xfId="9080"/>
    <cellStyle name="Comma 6 2 7 2 3 2" xfId="34637"/>
    <cellStyle name="Comma 6 2 7 2 4" xfId="17870"/>
    <cellStyle name="Comma 6 2 7 2 4 2" xfId="43423"/>
    <cellStyle name="Comma 6 2 7 2 5" xfId="29360"/>
    <cellStyle name="Comma 6 2 7 3" xfId="5185"/>
    <cellStyle name="Comma 6 2 7 3 2" xfId="14022"/>
    <cellStyle name="Comma 6 2 7 3 2 2" xfId="24273"/>
    <cellStyle name="Comma 6 2 7 3 2 2 2" xfId="49826"/>
    <cellStyle name="Comma 6 2 7 3 2 3" xfId="39577"/>
    <cellStyle name="Comma 6 2 7 3 3" xfId="10443"/>
    <cellStyle name="Comma 6 2 7 3 3 2" xfId="36000"/>
    <cellStyle name="Comma 6 2 7 3 4" xfId="19266"/>
    <cellStyle name="Comma 6 2 7 3 4 2" xfId="44819"/>
    <cellStyle name="Comma 6 2 7 3 5" xfId="30756"/>
    <cellStyle name="Comma 6 2 7 4" xfId="1751"/>
    <cellStyle name="Comma 6 2 7 4 2" xfId="11122"/>
    <cellStyle name="Comma 6 2 7 4 2 2" xfId="36677"/>
    <cellStyle name="Comma 6 2 7 4 3" xfId="21126"/>
    <cellStyle name="Comma 6 2 7 4 3 2" xfId="46679"/>
    <cellStyle name="Comma 6 2 7 4 4" xfId="27609"/>
    <cellStyle name="Comma 6 2 7 5" xfId="6640"/>
    <cellStyle name="Comma 6 2 7 5 2" xfId="15467"/>
    <cellStyle name="Comma 6 2 7 5 2 2" xfId="41022"/>
    <cellStyle name="Comma 6 2 7 5 3" xfId="25718"/>
    <cellStyle name="Comma 6 2 7 5 3 2" xfId="51271"/>
    <cellStyle name="Comma 6 2 7 5 4" xfId="32201"/>
    <cellStyle name="Comma 6 2 7 6" xfId="8086"/>
    <cellStyle name="Comma 6 2 7 6 2" xfId="20476"/>
    <cellStyle name="Comma 6 2 7 6 2 2" xfId="46029"/>
    <cellStyle name="Comma 6 2 7 6 3" xfId="33643"/>
    <cellStyle name="Comma 6 2 7 7" xfId="16119"/>
    <cellStyle name="Comma 6 2 7 7 2" xfId="41672"/>
    <cellStyle name="Comma 6 2 7 8" xfId="26959"/>
    <cellStyle name="Comma 6 2 8" xfId="2649"/>
    <cellStyle name="Comma 6 2 8 2" xfId="11971"/>
    <cellStyle name="Comma 6 2 8 2 2" xfId="22010"/>
    <cellStyle name="Comma 6 2 8 2 2 2" xfId="47563"/>
    <cellStyle name="Comma 6 2 8 2 3" xfId="37526"/>
    <cellStyle name="Comma 6 2 8 3" xfId="8573"/>
    <cellStyle name="Comma 6 2 8 3 2" xfId="34130"/>
    <cellStyle name="Comma 6 2 8 4" xfId="17003"/>
    <cellStyle name="Comma 6 2 8 4 2" xfId="42556"/>
    <cellStyle name="Comma 6 2 8 5" xfId="28493"/>
    <cellStyle name="Comma 6 2 9" xfId="4139"/>
    <cellStyle name="Comma 6 2 9 2" xfId="12977"/>
    <cellStyle name="Comma 6 2 9 2 2" xfId="23228"/>
    <cellStyle name="Comma 6 2 9 2 2 2" xfId="48781"/>
    <cellStyle name="Comma 6 2 9 2 3" xfId="38532"/>
    <cellStyle name="Comma 6 2 9 3" xfId="9398"/>
    <cellStyle name="Comma 6 2 9 3 2" xfId="34955"/>
    <cellStyle name="Comma 6 2 9 4" xfId="18221"/>
    <cellStyle name="Comma 6 2 9 4 2" xfId="43774"/>
    <cellStyle name="Comma 6 2 9 5" xfId="29711"/>
    <cellStyle name="Comma 6 3" xfId="195"/>
    <cellStyle name="Comma 6 3 10" xfId="7143"/>
    <cellStyle name="Comma 6 3 10 2" xfId="19652"/>
    <cellStyle name="Comma 6 3 10 2 2" xfId="45205"/>
    <cellStyle name="Comma 6 3 10 3" xfId="32700"/>
    <cellStyle name="Comma 6 3 11" xfId="15889"/>
    <cellStyle name="Comma 6 3 11 2" xfId="41442"/>
    <cellStyle name="Comma 6 3 12" xfId="26135"/>
    <cellStyle name="Comma 6 3 2" xfId="523"/>
    <cellStyle name="Comma 6 3 2 10" xfId="26452"/>
    <cellStyle name="Comma 6 3 2 2" xfId="694"/>
    <cellStyle name="Comma 6 3 2 2 2" xfId="3180"/>
    <cellStyle name="Comma 6 3 2 2 2 2" xfId="12323"/>
    <cellStyle name="Comma 6 3 2 2 2 2 2" xfId="22541"/>
    <cellStyle name="Comma 6 3 2 2 2 2 2 2" xfId="48094"/>
    <cellStyle name="Comma 6 3 2 2 2 2 3" xfId="37878"/>
    <cellStyle name="Comma 6 3 2 2 2 3" xfId="8745"/>
    <cellStyle name="Comma 6 3 2 2 2 3 2" xfId="34302"/>
    <cellStyle name="Comma 6 3 2 2 2 4" xfId="17534"/>
    <cellStyle name="Comma 6 3 2 2 2 4 2" xfId="43087"/>
    <cellStyle name="Comma 6 3 2 2 2 5" xfId="29024"/>
    <cellStyle name="Comma 6 3 2 2 3" xfId="4509"/>
    <cellStyle name="Comma 6 3 2 2 3 2" xfId="13347"/>
    <cellStyle name="Comma 6 3 2 2 3 2 2" xfId="23598"/>
    <cellStyle name="Comma 6 3 2 2 3 2 2 2" xfId="49151"/>
    <cellStyle name="Comma 6 3 2 2 3 2 3" xfId="38902"/>
    <cellStyle name="Comma 6 3 2 2 3 3" xfId="9768"/>
    <cellStyle name="Comma 6 3 2 2 3 3 2" xfId="35325"/>
    <cellStyle name="Comma 6 3 2 2 3 4" xfId="18591"/>
    <cellStyle name="Comma 6 3 2 2 3 4 2" xfId="44144"/>
    <cellStyle name="Comma 6 3 2 2 3 5" xfId="30081"/>
    <cellStyle name="Comma 6 3 2 2 4" xfId="2289"/>
    <cellStyle name="Comma 6 3 2 2 4 2" xfId="11654"/>
    <cellStyle name="Comma 6 3 2 2 4 2 2" xfId="37209"/>
    <cellStyle name="Comma 6 3 2 2 4 3" xfId="21658"/>
    <cellStyle name="Comma 6 3 2 2 4 3 2" xfId="47211"/>
    <cellStyle name="Comma 6 3 2 2 4 4" xfId="28141"/>
    <cellStyle name="Comma 6 3 2 2 5" xfId="5965"/>
    <cellStyle name="Comma 6 3 2 2 5 2" xfId="14792"/>
    <cellStyle name="Comma 6 3 2 2 5 2 2" xfId="40347"/>
    <cellStyle name="Comma 6 3 2 2 5 3" xfId="25043"/>
    <cellStyle name="Comma 6 3 2 2 5 3 2" xfId="50596"/>
    <cellStyle name="Comma 6 3 2 2 5 4" xfId="31526"/>
    <cellStyle name="Comma 6 3 2 2 6" xfId="7409"/>
    <cellStyle name="Comma 6 3 2 2 6 2" xfId="20140"/>
    <cellStyle name="Comma 6 3 2 2 6 2 2" xfId="45693"/>
    <cellStyle name="Comma 6 3 2 2 6 3" xfId="32966"/>
    <cellStyle name="Comma 6 3 2 2 7" xfId="16651"/>
    <cellStyle name="Comma 6 3 2 2 7 2" xfId="42204"/>
    <cellStyle name="Comma 6 3 2 2 8" xfId="26623"/>
    <cellStyle name="Comma 6 3 2 3" xfId="1295"/>
    <cellStyle name="Comma 6 3 2 3 2" xfId="3724"/>
    <cellStyle name="Comma 6 3 2 3 2 2" xfId="12860"/>
    <cellStyle name="Comma 6 3 2 3 2 2 2" xfId="23079"/>
    <cellStyle name="Comma 6 3 2 3 2 2 2 2" xfId="48632"/>
    <cellStyle name="Comma 6 3 2 3 2 2 3" xfId="38415"/>
    <cellStyle name="Comma 6 3 2 3 2 3" xfId="9281"/>
    <cellStyle name="Comma 6 3 2 3 2 3 2" xfId="34838"/>
    <cellStyle name="Comma 6 3 2 3 2 4" xfId="18072"/>
    <cellStyle name="Comma 6 3 2 3 2 4 2" xfId="43625"/>
    <cellStyle name="Comma 6 3 2 3 2 5" xfId="29562"/>
    <cellStyle name="Comma 6 3 2 3 3" xfId="4858"/>
    <cellStyle name="Comma 6 3 2 3 3 2" xfId="13695"/>
    <cellStyle name="Comma 6 3 2 3 3 2 2" xfId="23946"/>
    <cellStyle name="Comma 6 3 2 3 3 2 2 2" xfId="49499"/>
    <cellStyle name="Comma 6 3 2 3 3 2 3" xfId="39250"/>
    <cellStyle name="Comma 6 3 2 3 3 3" xfId="10116"/>
    <cellStyle name="Comma 6 3 2 3 3 3 2" xfId="35673"/>
    <cellStyle name="Comma 6 3 2 3 3 4" xfId="18939"/>
    <cellStyle name="Comma 6 3 2 3 3 4 2" xfId="44492"/>
    <cellStyle name="Comma 6 3 2 3 3 5" xfId="30429"/>
    <cellStyle name="Comma 6 3 2 3 4" xfId="2118"/>
    <cellStyle name="Comma 6 3 2 3 4 2" xfId="11483"/>
    <cellStyle name="Comma 6 3 2 3 4 2 2" xfId="37038"/>
    <cellStyle name="Comma 6 3 2 3 4 3" xfId="21487"/>
    <cellStyle name="Comma 6 3 2 3 4 3 2" xfId="47040"/>
    <cellStyle name="Comma 6 3 2 3 4 4" xfId="27970"/>
    <cellStyle name="Comma 6 3 2 3 5" xfId="6313"/>
    <cellStyle name="Comma 6 3 2 3 5 2" xfId="15140"/>
    <cellStyle name="Comma 6 3 2 3 5 2 2" xfId="40695"/>
    <cellStyle name="Comma 6 3 2 3 5 3" xfId="25391"/>
    <cellStyle name="Comma 6 3 2 3 5 3 2" xfId="50944"/>
    <cellStyle name="Comma 6 3 2 3 5 4" xfId="31874"/>
    <cellStyle name="Comma 6 3 2 3 6" xfId="7759"/>
    <cellStyle name="Comma 6 3 2 3 6 2" xfId="20678"/>
    <cellStyle name="Comma 6 3 2 3 6 2 2" xfId="46231"/>
    <cellStyle name="Comma 6 3 2 3 6 3" xfId="33316"/>
    <cellStyle name="Comma 6 3 2 3 7" xfId="16480"/>
    <cellStyle name="Comma 6 3 2 3 7 2" xfId="42033"/>
    <cellStyle name="Comma 6 3 2 3 8" xfId="27161"/>
    <cellStyle name="Comma 6 3 2 4" xfId="3009"/>
    <cellStyle name="Comma 6 3 2 4 2" xfId="5387"/>
    <cellStyle name="Comma 6 3 2 4 2 2" xfId="14224"/>
    <cellStyle name="Comma 6 3 2 4 2 2 2" xfId="24475"/>
    <cellStyle name="Comma 6 3 2 4 2 2 2 2" xfId="50028"/>
    <cellStyle name="Comma 6 3 2 4 2 2 3" xfId="39779"/>
    <cellStyle name="Comma 6 3 2 4 2 3" xfId="10645"/>
    <cellStyle name="Comma 6 3 2 4 2 3 2" xfId="36202"/>
    <cellStyle name="Comma 6 3 2 4 2 4" xfId="19468"/>
    <cellStyle name="Comma 6 3 2 4 2 4 2" xfId="45021"/>
    <cellStyle name="Comma 6 3 2 4 2 5" xfId="30958"/>
    <cellStyle name="Comma 6 3 2 4 3" xfId="6842"/>
    <cellStyle name="Comma 6 3 2 4 3 2" xfId="15669"/>
    <cellStyle name="Comma 6 3 2 4 3 2 2" xfId="41224"/>
    <cellStyle name="Comma 6 3 2 4 3 3" xfId="25920"/>
    <cellStyle name="Comma 6 3 2 4 3 3 2" xfId="51473"/>
    <cellStyle name="Comma 6 3 2 4 3 4" xfId="32403"/>
    <cellStyle name="Comma 6 3 2 4 4" xfId="8288"/>
    <cellStyle name="Comma 6 3 2 4 4 2" xfId="22370"/>
    <cellStyle name="Comma 6 3 2 4 4 2 2" xfId="47923"/>
    <cellStyle name="Comma 6 3 2 4 4 3" xfId="33845"/>
    <cellStyle name="Comma 6 3 2 4 5" xfId="17363"/>
    <cellStyle name="Comma 6 3 2 4 5 2" xfId="42916"/>
    <cellStyle name="Comma 6 3 2 4 6" xfId="28853"/>
    <cellStyle name="Comma 6 3 2 5" xfId="4343"/>
    <cellStyle name="Comma 6 3 2 5 2" xfId="13181"/>
    <cellStyle name="Comma 6 3 2 5 2 2" xfId="23432"/>
    <cellStyle name="Comma 6 3 2 5 2 2 2" xfId="48985"/>
    <cellStyle name="Comma 6 3 2 5 2 3" xfId="38736"/>
    <cellStyle name="Comma 6 3 2 5 3" xfId="9602"/>
    <cellStyle name="Comma 6 3 2 5 3 2" xfId="35159"/>
    <cellStyle name="Comma 6 3 2 5 4" xfId="18425"/>
    <cellStyle name="Comma 6 3 2 5 4 2" xfId="43978"/>
    <cellStyle name="Comma 6 3 2 5 5" xfId="29915"/>
    <cellStyle name="Comma 6 3 2 6" xfId="1615"/>
    <cellStyle name="Comma 6 3 2 6 2" xfId="10992"/>
    <cellStyle name="Comma 6 3 2 6 2 2" xfId="36547"/>
    <cellStyle name="Comma 6 3 2 6 3" xfId="20996"/>
    <cellStyle name="Comma 6 3 2 6 3 2" xfId="46549"/>
    <cellStyle name="Comma 6 3 2 6 4" xfId="27479"/>
    <cellStyle name="Comma 6 3 2 7" xfId="5799"/>
    <cellStyle name="Comma 6 3 2 7 2" xfId="14626"/>
    <cellStyle name="Comma 6 3 2 7 2 2" xfId="40181"/>
    <cellStyle name="Comma 6 3 2 7 3" xfId="24877"/>
    <cellStyle name="Comma 6 3 2 7 3 2" xfId="50430"/>
    <cellStyle name="Comma 6 3 2 7 4" xfId="31360"/>
    <cellStyle name="Comma 6 3 2 8" xfId="7243"/>
    <cellStyle name="Comma 6 3 2 8 2" xfId="19969"/>
    <cellStyle name="Comma 6 3 2 8 2 2" xfId="45522"/>
    <cellStyle name="Comma 6 3 2 8 3" xfId="32800"/>
    <cellStyle name="Comma 6 3 2 9" xfId="15989"/>
    <cellStyle name="Comma 6 3 2 9 2" xfId="41542"/>
    <cellStyle name="Comma 6 3 3" xfId="423"/>
    <cellStyle name="Comma 6 3 3 2" xfId="2909"/>
    <cellStyle name="Comma 6 3 3 2 2" xfId="12197"/>
    <cellStyle name="Comma 6 3 3 2 2 2" xfId="22270"/>
    <cellStyle name="Comma 6 3 3 2 2 2 2" xfId="47823"/>
    <cellStyle name="Comma 6 3 3 2 2 3" xfId="37752"/>
    <cellStyle name="Comma 6 3 3 2 3" xfId="8604"/>
    <cellStyle name="Comma 6 3 3 2 3 2" xfId="34161"/>
    <cellStyle name="Comma 6 3 3 2 4" xfId="17263"/>
    <cellStyle name="Comma 6 3 3 2 4 2" xfId="42816"/>
    <cellStyle name="Comma 6 3 3 2 5" xfId="28753"/>
    <cellStyle name="Comma 6 3 3 3" xfId="4508"/>
    <cellStyle name="Comma 6 3 3 3 2" xfId="13346"/>
    <cellStyle name="Comma 6 3 3 3 2 2" xfId="23597"/>
    <cellStyle name="Comma 6 3 3 3 2 2 2" xfId="49150"/>
    <cellStyle name="Comma 6 3 3 3 2 3" xfId="38901"/>
    <cellStyle name="Comma 6 3 3 3 3" xfId="9767"/>
    <cellStyle name="Comma 6 3 3 3 3 2" xfId="35324"/>
    <cellStyle name="Comma 6 3 3 3 4" xfId="18590"/>
    <cellStyle name="Comma 6 3 3 3 4 2" xfId="44143"/>
    <cellStyle name="Comma 6 3 3 3 5" xfId="30080"/>
    <cellStyle name="Comma 6 3 3 4" xfId="2018"/>
    <cellStyle name="Comma 6 3 3 4 2" xfId="11383"/>
    <cellStyle name="Comma 6 3 3 4 2 2" xfId="36938"/>
    <cellStyle name="Comma 6 3 3 4 3" xfId="21387"/>
    <cellStyle name="Comma 6 3 3 4 3 2" xfId="46940"/>
    <cellStyle name="Comma 6 3 3 4 4" xfId="27870"/>
    <cellStyle name="Comma 6 3 3 5" xfId="5964"/>
    <cellStyle name="Comma 6 3 3 5 2" xfId="14791"/>
    <cellStyle name="Comma 6 3 3 5 2 2" xfId="40346"/>
    <cellStyle name="Comma 6 3 3 5 3" xfId="25042"/>
    <cellStyle name="Comma 6 3 3 5 3 2" xfId="50595"/>
    <cellStyle name="Comma 6 3 3 5 4" xfId="31525"/>
    <cellStyle name="Comma 6 3 3 6" xfId="7408"/>
    <cellStyle name="Comma 6 3 3 6 2" xfId="19869"/>
    <cellStyle name="Comma 6 3 3 6 2 2" xfId="45422"/>
    <cellStyle name="Comma 6 3 3 6 3" xfId="32965"/>
    <cellStyle name="Comma 6 3 3 7" xfId="16380"/>
    <cellStyle name="Comma 6 3 3 7 2" xfId="41933"/>
    <cellStyle name="Comma 6 3 3 8" xfId="26352"/>
    <cellStyle name="Comma 6 3 4" xfId="693"/>
    <cellStyle name="Comma 6 3 4 2" xfId="3179"/>
    <cellStyle name="Comma 6 3 4 2 2" xfId="12322"/>
    <cellStyle name="Comma 6 3 4 2 2 2" xfId="22540"/>
    <cellStyle name="Comma 6 3 4 2 2 2 2" xfId="48093"/>
    <cellStyle name="Comma 6 3 4 2 2 3" xfId="37877"/>
    <cellStyle name="Comma 6 3 4 2 3" xfId="8744"/>
    <cellStyle name="Comma 6 3 4 2 3 2" xfId="34301"/>
    <cellStyle name="Comma 6 3 4 2 4" xfId="17533"/>
    <cellStyle name="Comma 6 3 4 2 4 2" xfId="43086"/>
    <cellStyle name="Comma 6 3 4 2 5" xfId="29023"/>
    <cellStyle name="Comma 6 3 4 3" xfId="4857"/>
    <cellStyle name="Comma 6 3 4 3 2" xfId="13694"/>
    <cellStyle name="Comma 6 3 4 3 2 2" xfId="23945"/>
    <cellStyle name="Comma 6 3 4 3 2 2 2" xfId="49498"/>
    <cellStyle name="Comma 6 3 4 3 2 3" xfId="39249"/>
    <cellStyle name="Comma 6 3 4 3 3" xfId="10115"/>
    <cellStyle name="Comma 6 3 4 3 3 2" xfId="35672"/>
    <cellStyle name="Comma 6 3 4 3 4" xfId="18938"/>
    <cellStyle name="Comma 6 3 4 3 4 2" xfId="44491"/>
    <cellStyle name="Comma 6 3 4 3 5" xfId="30428"/>
    <cellStyle name="Comma 6 3 4 4" xfId="2288"/>
    <cellStyle name="Comma 6 3 4 4 2" xfId="11653"/>
    <cellStyle name="Comma 6 3 4 4 2 2" xfId="37208"/>
    <cellStyle name="Comma 6 3 4 4 3" xfId="21657"/>
    <cellStyle name="Comma 6 3 4 4 3 2" xfId="47210"/>
    <cellStyle name="Comma 6 3 4 4 4" xfId="28140"/>
    <cellStyle name="Comma 6 3 4 5" xfId="6312"/>
    <cellStyle name="Comma 6 3 4 5 2" xfId="15139"/>
    <cellStyle name="Comma 6 3 4 5 2 2" xfId="40694"/>
    <cellStyle name="Comma 6 3 4 5 3" xfId="25390"/>
    <cellStyle name="Comma 6 3 4 5 3 2" xfId="50943"/>
    <cellStyle name="Comma 6 3 4 5 4" xfId="31873"/>
    <cellStyle name="Comma 6 3 4 6" xfId="7758"/>
    <cellStyle name="Comma 6 3 4 6 2" xfId="20139"/>
    <cellStyle name="Comma 6 3 4 6 2 2" xfId="45692"/>
    <cellStyle name="Comma 6 3 4 6 3" xfId="33315"/>
    <cellStyle name="Comma 6 3 4 7" xfId="16650"/>
    <cellStyle name="Comma 6 3 4 7 2" xfId="42203"/>
    <cellStyle name="Comma 6 3 4 8" xfId="26622"/>
    <cellStyle name="Comma 6 3 5" xfId="1195"/>
    <cellStyle name="Comma 6 3 5 2" xfId="3624"/>
    <cellStyle name="Comma 6 3 5 2 2" xfId="12760"/>
    <cellStyle name="Comma 6 3 5 2 2 2" xfId="22979"/>
    <cellStyle name="Comma 6 3 5 2 2 2 2" xfId="48532"/>
    <cellStyle name="Comma 6 3 5 2 2 3" xfId="38315"/>
    <cellStyle name="Comma 6 3 5 2 3" xfId="9181"/>
    <cellStyle name="Comma 6 3 5 2 3 2" xfId="34738"/>
    <cellStyle name="Comma 6 3 5 2 4" xfId="17972"/>
    <cellStyle name="Comma 6 3 5 2 4 2" xfId="43525"/>
    <cellStyle name="Comma 6 3 5 2 5" xfId="29462"/>
    <cellStyle name="Comma 6 3 5 3" xfId="5287"/>
    <cellStyle name="Comma 6 3 5 3 2" xfId="14124"/>
    <cellStyle name="Comma 6 3 5 3 2 2" xfId="24375"/>
    <cellStyle name="Comma 6 3 5 3 2 2 2" xfId="49928"/>
    <cellStyle name="Comma 6 3 5 3 2 3" xfId="39679"/>
    <cellStyle name="Comma 6 3 5 3 3" xfId="10545"/>
    <cellStyle name="Comma 6 3 5 3 3 2" xfId="36102"/>
    <cellStyle name="Comma 6 3 5 3 4" xfId="19368"/>
    <cellStyle name="Comma 6 3 5 3 4 2" xfId="44921"/>
    <cellStyle name="Comma 6 3 5 3 5" xfId="30858"/>
    <cellStyle name="Comma 6 3 5 4" xfId="1797"/>
    <cellStyle name="Comma 6 3 5 4 2" xfId="11166"/>
    <cellStyle name="Comma 6 3 5 4 2 2" xfId="36721"/>
    <cellStyle name="Comma 6 3 5 4 3" xfId="21170"/>
    <cellStyle name="Comma 6 3 5 4 3 2" xfId="46723"/>
    <cellStyle name="Comma 6 3 5 4 4" xfId="27653"/>
    <cellStyle name="Comma 6 3 5 5" xfId="6742"/>
    <cellStyle name="Comma 6 3 5 5 2" xfId="15569"/>
    <cellStyle name="Comma 6 3 5 5 2 2" xfId="41124"/>
    <cellStyle name="Comma 6 3 5 5 3" xfId="25820"/>
    <cellStyle name="Comma 6 3 5 5 3 2" xfId="51373"/>
    <cellStyle name="Comma 6 3 5 5 4" xfId="32303"/>
    <cellStyle name="Comma 6 3 5 6" xfId="8188"/>
    <cellStyle name="Comma 6 3 5 6 2" xfId="20578"/>
    <cellStyle name="Comma 6 3 5 6 2 2" xfId="46131"/>
    <cellStyle name="Comma 6 3 5 6 3" xfId="33745"/>
    <cellStyle name="Comma 6 3 5 7" xfId="16163"/>
    <cellStyle name="Comma 6 3 5 7 2" xfId="41716"/>
    <cellStyle name="Comma 6 3 5 8" xfId="27061"/>
    <cellStyle name="Comma 6 3 6" xfId="2692"/>
    <cellStyle name="Comma 6 3 6 2" xfId="12009"/>
    <cellStyle name="Comma 6 3 6 2 2" xfId="22053"/>
    <cellStyle name="Comma 6 3 6 2 2 2" xfId="47606"/>
    <cellStyle name="Comma 6 3 6 2 3" xfId="37564"/>
    <cellStyle name="Comma 6 3 6 3" xfId="8441"/>
    <cellStyle name="Comma 6 3 6 3 2" xfId="33998"/>
    <cellStyle name="Comma 6 3 6 4" xfId="17046"/>
    <cellStyle name="Comma 6 3 6 4 2" xfId="42599"/>
    <cellStyle name="Comma 6 3 6 5" xfId="28536"/>
    <cellStyle name="Comma 6 3 7" xfId="4243"/>
    <cellStyle name="Comma 6 3 7 2" xfId="13081"/>
    <cellStyle name="Comma 6 3 7 2 2" xfId="23332"/>
    <cellStyle name="Comma 6 3 7 2 2 2" xfId="48885"/>
    <cellStyle name="Comma 6 3 7 2 3" xfId="38636"/>
    <cellStyle name="Comma 6 3 7 3" xfId="9502"/>
    <cellStyle name="Comma 6 3 7 3 2" xfId="35059"/>
    <cellStyle name="Comma 6 3 7 4" xfId="18325"/>
    <cellStyle name="Comma 6 3 7 4 2" xfId="43878"/>
    <cellStyle name="Comma 6 3 7 5" xfId="29815"/>
    <cellStyle name="Comma 6 3 8" xfId="1515"/>
    <cellStyle name="Comma 6 3 8 2" xfId="10892"/>
    <cellStyle name="Comma 6 3 8 2 2" xfId="36447"/>
    <cellStyle name="Comma 6 3 8 3" xfId="20896"/>
    <cellStyle name="Comma 6 3 8 3 2" xfId="46449"/>
    <cellStyle name="Comma 6 3 8 4" xfId="27379"/>
    <cellStyle name="Comma 6 3 9" xfId="5699"/>
    <cellStyle name="Comma 6 3 9 2" xfId="14526"/>
    <cellStyle name="Comma 6 3 9 2 2" xfId="40081"/>
    <cellStyle name="Comma 6 3 9 3" xfId="24777"/>
    <cellStyle name="Comma 6 3 9 3 2" xfId="50330"/>
    <cellStyle name="Comma 6 3 9 4" xfId="31260"/>
    <cellStyle name="Comma 6 4" xfId="243"/>
    <cellStyle name="Comma 6 4 10" xfId="7081"/>
    <cellStyle name="Comma 6 4 10 2" xfId="19695"/>
    <cellStyle name="Comma 6 4 10 2 2" xfId="45248"/>
    <cellStyle name="Comma 6 4 10 3" xfId="32638"/>
    <cellStyle name="Comma 6 4 11" xfId="15827"/>
    <cellStyle name="Comma 6 4 11 2" xfId="41380"/>
    <cellStyle name="Comma 6 4 12" xfId="26178"/>
    <cellStyle name="Comma 6 4 2" xfId="566"/>
    <cellStyle name="Comma 6 4 2 10" xfId="26495"/>
    <cellStyle name="Comma 6 4 2 2" xfId="696"/>
    <cellStyle name="Comma 6 4 2 2 2" xfId="3182"/>
    <cellStyle name="Comma 6 4 2 2 2 2" xfId="12325"/>
    <cellStyle name="Comma 6 4 2 2 2 2 2" xfId="22543"/>
    <cellStyle name="Comma 6 4 2 2 2 2 2 2" xfId="48096"/>
    <cellStyle name="Comma 6 4 2 2 2 2 3" xfId="37880"/>
    <cellStyle name="Comma 6 4 2 2 2 3" xfId="8747"/>
    <cellStyle name="Comma 6 4 2 2 2 3 2" xfId="34304"/>
    <cellStyle name="Comma 6 4 2 2 2 4" xfId="17536"/>
    <cellStyle name="Comma 6 4 2 2 2 4 2" xfId="43089"/>
    <cellStyle name="Comma 6 4 2 2 2 5" xfId="29026"/>
    <cellStyle name="Comma 6 4 2 2 3" xfId="4511"/>
    <cellStyle name="Comma 6 4 2 2 3 2" xfId="13349"/>
    <cellStyle name="Comma 6 4 2 2 3 2 2" xfId="23600"/>
    <cellStyle name="Comma 6 4 2 2 3 2 2 2" xfId="49153"/>
    <cellStyle name="Comma 6 4 2 2 3 2 3" xfId="38904"/>
    <cellStyle name="Comma 6 4 2 2 3 3" xfId="9770"/>
    <cellStyle name="Comma 6 4 2 2 3 3 2" xfId="35327"/>
    <cellStyle name="Comma 6 4 2 2 3 4" xfId="18593"/>
    <cellStyle name="Comma 6 4 2 2 3 4 2" xfId="44146"/>
    <cellStyle name="Comma 6 4 2 2 3 5" xfId="30083"/>
    <cellStyle name="Comma 6 4 2 2 4" xfId="2291"/>
    <cellStyle name="Comma 6 4 2 2 4 2" xfId="11656"/>
    <cellStyle name="Comma 6 4 2 2 4 2 2" xfId="37211"/>
    <cellStyle name="Comma 6 4 2 2 4 3" xfId="21660"/>
    <cellStyle name="Comma 6 4 2 2 4 3 2" xfId="47213"/>
    <cellStyle name="Comma 6 4 2 2 4 4" xfId="28143"/>
    <cellStyle name="Comma 6 4 2 2 5" xfId="5967"/>
    <cellStyle name="Comma 6 4 2 2 5 2" xfId="14794"/>
    <cellStyle name="Comma 6 4 2 2 5 2 2" xfId="40349"/>
    <cellStyle name="Comma 6 4 2 2 5 3" xfId="25045"/>
    <cellStyle name="Comma 6 4 2 2 5 3 2" xfId="50598"/>
    <cellStyle name="Comma 6 4 2 2 5 4" xfId="31528"/>
    <cellStyle name="Comma 6 4 2 2 6" xfId="7411"/>
    <cellStyle name="Comma 6 4 2 2 6 2" xfId="20142"/>
    <cellStyle name="Comma 6 4 2 2 6 2 2" xfId="45695"/>
    <cellStyle name="Comma 6 4 2 2 6 3" xfId="32968"/>
    <cellStyle name="Comma 6 4 2 2 7" xfId="16653"/>
    <cellStyle name="Comma 6 4 2 2 7 2" xfId="42206"/>
    <cellStyle name="Comma 6 4 2 2 8" xfId="26625"/>
    <cellStyle name="Comma 6 4 2 3" xfId="1338"/>
    <cellStyle name="Comma 6 4 2 3 2" xfId="3767"/>
    <cellStyle name="Comma 6 4 2 3 2 2" xfId="12903"/>
    <cellStyle name="Comma 6 4 2 3 2 2 2" xfId="23122"/>
    <cellStyle name="Comma 6 4 2 3 2 2 2 2" xfId="48675"/>
    <cellStyle name="Comma 6 4 2 3 2 2 3" xfId="38458"/>
    <cellStyle name="Comma 6 4 2 3 2 3" xfId="9324"/>
    <cellStyle name="Comma 6 4 2 3 2 3 2" xfId="34881"/>
    <cellStyle name="Comma 6 4 2 3 2 4" xfId="18115"/>
    <cellStyle name="Comma 6 4 2 3 2 4 2" xfId="43668"/>
    <cellStyle name="Comma 6 4 2 3 2 5" xfId="29605"/>
    <cellStyle name="Comma 6 4 2 3 3" xfId="4860"/>
    <cellStyle name="Comma 6 4 2 3 3 2" xfId="13697"/>
    <cellStyle name="Comma 6 4 2 3 3 2 2" xfId="23948"/>
    <cellStyle name="Comma 6 4 2 3 3 2 2 2" xfId="49501"/>
    <cellStyle name="Comma 6 4 2 3 3 2 3" xfId="39252"/>
    <cellStyle name="Comma 6 4 2 3 3 3" xfId="10118"/>
    <cellStyle name="Comma 6 4 2 3 3 3 2" xfId="35675"/>
    <cellStyle name="Comma 6 4 2 3 3 4" xfId="18941"/>
    <cellStyle name="Comma 6 4 2 3 3 4 2" xfId="44494"/>
    <cellStyle name="Comma 6 4 2 3 3 5" xfId="30431"/>
    <cellStyle name="Comma 6 4 2 3 4" xfId="2161"/>
    <cellStyle name="Comma 6 4 2 3 4 2" xfId="11526"/>
    <cellStyle name="Comma 6 4 2 3 4 2 2" xfId="37081"/>
    <cellStyle name="Comma 6 4 2 3 4 3" xfId="21530"/>
    <cellStyle name="Comma 6 4 2 3 4 3 2" xfId="47083"/>
    <cellStyle name="Comma 6 4 2 3 4 4" xfId="28013"/>
    <cellStyle name="Comma 6 4 2 3 5" xfId="6315"/>
    <cellStyle name="Comma 6 4 2 3 5 2" xfId="15142"/>
    <cellStyle name="Comma 6 4 2 3 5 2 2" xfId="40697"/>
    <cellStyle name="Comma 6 4 2 3 5 3" xfId="25393"/>
    <cellStyle name="Comma 6 4 2 3 5 3 2" xfId="50946"/>
    <cellStyle name="Comma 6 4 2 3 5 4" xfId="31876"/>
    <cellStyle name="Comma 6 4 2 3 6" xfId="7761"/>
    <cellStyle name="Comma 6 4 2 3 6 2" xfId="20721"/>
    <cellStyle name="Comma 6 4 2 3 6 2 2" xfId="46274"/>
    <cellStyle name="Comma 6 4 2 3 6 3" xfId="33318"/>
    <cellStyle name="Comma 6 4 2 3 7" xfId="16523"/>
    <cellStyle name="Comma 6 4 2 3 7 2" xfId="42076"/>
    <cellStyle name="Comma 6 4 2 3 8" xfId="27204"/>
    <cellStyle name="Comma 6 4 2 4" xfId="3052"/>
    <cellStyle name="Comma 6 4 2 4 2" xfId="5430"/>
    <cellStyle name="Comma 6 4 2 4 2 2" xfId="14267"/>
    <cellStyle name="Comma 6 4 2 4 2 2 2" xfId="24518"/>
    <cellStyle name="Comma 6 4 2 4 2 2 2 2" xfId="50071"/>
    <cellStyle name="Comma 6 4 2 4 2 2 3" xfId="39822"/>
    <cellStyle name="Comma 6 4 2 4 2 3" xfId="10688"/>
    <cellStyle name="Comma 6 4 2 4 2 3 2" xfId="36245"/>
    <cellStyle name="Comma 6 4 2 4 2 4" xfId="19511"/>
    <cellStyle name="Comma 6 4 2 4 2 4 2" xfId="45064"/>
    <cellStyle name="Comma 6 4 2 4 2 5" xfId="31001"/>
    <cellStyle name="Comma 6 4 2 4 3" xfId="6885"/>
    <cellStyle name="Comma 6 4 2 4 3 2" xfId="15712"/>
    <cellStyle name="Comma 6 4 2 4 3 2 2" xfId="41267"/>
    <cellStyle name="Comma 6 4 2 4 3 3" xfId="25963"/>
    <cellStyle name="Comma 6 4 2 4 3 3 2" xfId="51516"/>
    <cellStyle name="Comma 6 4 2 4 3 4" xfId="32446"/>
    <cellStyle name="Comma 6 4 2 4 4" xfId="8331"/>
    <cellStyle name="Comma 6 4 2 4 4 2" xfId="22413"/>
    <cellStyle name="Comma 6 4 2 4 4 2 2" xfId="47966"/>
    <cellStyle name="Comma 6 4 2 4 4 3" xfId="33888"/>
    <cellStyle name="Comma 6 4 2 4 5" xfId="17406"/>
    <cellStyle name="Comma 6 4 2 4 5 2" xfId="42959"/>
    <cellStyle name="Comma 6 4 2 4 6" xfId="28896"/>
    <cellStyle name="Comma 6 4 2 5" xfId="4386"/>
    <cellStyle name="Comma 6 4 2 5 2" xfId="13224"/>
    <cellStyle name="Comma 6 4 2 5 2 2" xfId="23475"/>
    <cellStyle name="Comma 6 4 2 5 2 2 2" xfId="49028"/>
    <cellStyle name="Comma 6 4 2 5 2 3" xfId="38779"/>
    <cellStyle name="Comma 6 4 2 5 3" xfId="9645"/>
    <cellStyle name="Comma 6 4 2 5 3 2" xfId="35202"/>
    <cellStyle name="Comma 6 4 2 5 4" xfId="18468"/>
    <cellStyle name="Comma 6 4 2 5 4 2" xfId="44021"/>
    <cellStyle name="Comma 6 4 2 5 5" xfId="29958"/>
    <cellStyle name="Comma 6 4 2 6" xfId="1658"/>
    <cellStyle name="Comma 6 4 2 6 2" xfId="11035"/>
    <cellStyle name="Comma 6 4 2 6 2 2" xfId="36590"/>
    <cellStyle name="Comma 6 4 2 6 3" xfId="21039"/>
    <cellStyle name="Comma 6 4 2 6 3 2" xfId="46592"/>
    <cellStyle name="Comma 6 4 2 6 4" xfId="27522"/>
    <cellStyle name="Comma 6 4 2 7" xfId="5842"/>
    <cellStyle name="Comma 6 4 2 7 2" xfId="14669"/>
    <cellStyle name="Comma 6 4 2 7 2 2" xfId="40224"/>
    <cellStyle name="Comma 6 4 2 7 3" xfId="24920"/>
    <cellStyle name="Comma 6 4 2 7 3 2" xfId="50473"/>
    <cellStyle name="Comma 6 4 2 7 4" xfId="31403"/>
    <cellStyle name="Comma 6 4 2 8" xfId="7286"/>
    <cellStyle name="Comma 6 4 2 8 2" xfId="20012"/>
    <cellStyle name="Comma 6 4 2 8 2 2" xfId="45565"/>
    <cellStyle name="Comma 6 4 2 8 3" xfId="32843"/>
    <cellStyle name="Comma 6 4 2 9" xfId="16032"/>
    <cellStyle name="Comma 6 4 2 9 2" xfId="41585"/>
    <cellStyle name="Comma 6 4 3" xfId="361"/>
    <cellStyle name="Comma 6 4 3 2" xfId="2847"/>
    <cellStyle name="Comma 6 4 3 2 2" xfId="12135"/>
    <cellStyle name="Comma 6 4 3 2 2 2" xfId="22208"/>
    <cellStyle name="Comma 6 4 3 2 2 2 2" xfId="47761"/>
    <cellStyle name="Comma 6 4 3 2 2 3" xfId="37690"/>
    <cellStyle name="Comma 6 4 3 2 3" xfId="6963"/>
    <cellStyle name="Comma 6 4 3 2 3 2" xfId="32521"/>
    <cellStyle name="Comma 6 4 3 2 4" xfId="17201"/>
    <cellStyle name="Comma 6 4 3 2 4 2" xfId="42754"/>
    <cellStyle name="Comma 6 4 3 2 5" xfId="28691"/>
    <cellStyle name="Comma 6 4 3 3" xfId="4510"/>
    <cellStyle name="Comma 6 4 3 3 2" xfId="13348"/>
    <cellStyle name="Comma 6 4 3 3 2 2" xfId="23599"/>
    <cellStyle name="Comma 6 4 3 3 2 2 2" xfId="49152"/>
    <cellStyle name="Comma 6 4 3 3 2 3" xfId="38903"/>
    <cellStyle name="Comma 6 4 3 3 3" xfId="9769"/>
    <cellStyle name="Comma 6 4 3 3 3 2" xfId="35326"/>
    <cellStyle name="Comma 6 4 3 3 4" xfId="18592"/>
    <cellStyle name="Comma 6 4 3 3 4 2" xfId="44145"/>
    <cellStyle name="Comma 6 4 3 3 5" xfId="30082"/>
    <cellStyle name="Comma 6 4 3 4" xfId="1956"/>
    <cellStyle name="Comma 6 4 3 4 2" xfId="11321"/>
    <cellStyle name="Comma 6 4 3 4 2 2" xfId="36876"/>
    <cellStyle name="Comma 6 4 3 4 3" xfId="21325"/>
    <cellStyle name="Comma 6 4 3 4 3 2" xfId="46878"/>
    <cellStyle name="Comma 6 4 3 4 4" xfId="27808"/>
    <cellStyle name="Comma 6 4 3 5" xfId="5966"/>
    <cellStyle name="Comma 6 4 3 5 2" xfId="14793"/>
    <cellStyle name="Comma 6 4 3 5 2 2" xfId="40348"/>
    <cellStyle name="Comma 6 4 3 5 3" xfId="25044"/>
    <cellStyle name="Comma 6 4 3 5 3 2" xfId="50597"/>
    <cellStyle name="Comma 6 4 3 5 4" xfId="31527"/>
    <cellStyle name="Comma 6 4 3 6" xfId="7410"/>
    <cellStyle name="Comma 6 4 3 6 2" xfId="19807"/>
    <cellStyle name="Comma 6 4 3 6 2 2" xfId="45360"/>
    <cellStyle name="Comma 6 4 3 6 3" xfId="32967"/>
    <cellStyle name="Comma 6 4 3 7" xfId="16318"/>
    <cellStyle name="Comma 6 4 3 7 2" xfId="41871"/>
    <cellStyle name="Comma 6 4 3 8" xfId="26290"/>
    <cellStyle name="Comma 6 4 4" xfId="695"/>
    <cellStyle name="Comma 6 4 4 2" xfId="3181"/>
    <cellStyle name="Comma 6 4 4 2 2" xfId="12324"/>
    <cellStyle name="Comma 6 4 4 2 2 2" xfId="22542"/>
    <cellStyle name="Comma 6 4 4 2 2 2 2" xfId="48095"/>
    <cellStyle name="Comma 6 4 4 2 2 3" xfId="37879"/>
    <cellStyle name="Comma 6 4 4 2 3" xfId="8746"/>
    <cellStyle name="Comma 6 4 4 2 3 2" xfId="34303"/>
    <cellStyle name="Comma 6 4 4 2 4" xfId="17535"/>
    <cellStyle name="Comma 6 4 4 2 4 2" xfId="43088"/>
    <cellStyle name="Comma 6 4 4 2 5" xfId="29025"/>
    <cellStyle name="Comma 6 4 4 3" xfId="4859"/>
    <cellStyle name="Comma 6 4 4 3 2" xfId="13696"/>
    <cellStyle name="Comma 6 4 4 3 2 2" xfId="23947"/>
    <cellStyle name="Comma 6 4 4 3 2 2 2" xfId="49500"/>
    <cellStyle name="Comma 6 4 4 3 2 3" xfId="39251"/>
    <cellStyle name="Comma 6 4 4 3 3" xfId="10117"/>
    <cellStyle name="Comma 6 4 4 3 3 2" xfId="35674"/>
    <cellStyle name="Comma 6 4 4 3 4" xfId="18940"/>
    <cellStyle name="Comma 6 4 4 3 4 2" xfId="44493"/>
    <cellStyle name="Comma 6 4 4 3 5" xfId="30430"/>
    <cellStyle name="Comma 6 4 4 4" xfId="2290"/>
    <cellStyle name="Comma 6 4 4 4 2" xfId="11655"/>
    <cellStyle name="Comma 6 4 4 4 2 2" xfId="37210"/>
    <cellStyle name="Comma 6 4 4 4 3" xfId="21659"/>
    <cellStyle name="Comma 6 4 4 4 3 2" xfId="47212"/>
    <cellStyle name="Comma 6 4 4 4 4" xfId="28142"/>
    <cellStyle name="Comma 6 4 4 5" xfId="6314"/>
    <cellStyle name="Comma 6 4 4 5 2" xfId="15141"/>
    <cellStyle name="Comma 6 4 4 5 2 2" xfId="40696"/>
    <cellStyle name="Comma 6 4 4 5 3" xfId="25392"/>
    <cellStyle name="Comma 6 4 4 5 3 2" xfId="50945"/>
    <cellStyle name="Comma 6 4 4 5 4" xfId="31875"/>
    <cellStyle name="Comma 6 4 4 6" xfId="7760"/>
    <cellStyle name="Comma 6 4 4 6 2" xfId="20141"/>
    <cellStyle name="Comma 6 4 4 6 2 2" xfId="45694"/>
    <cellStyle name="Comma 6 4 4 6 3" xfId="33317"/>
    <cellStyle name="Comma 6 4 4 7" xfId="16652"/>
    <cellStyle name="Comma 6 4 4 7 2" xfId="42205"/>
    <cellStyle name="Comma 6 4 4 8" xfId="26624"/>
    <cellStyle name="Comma 6 4 5" xfId="1133"/>
    <cellStyle name="Comma 6 4 5 2" xfId="3562"/>
    <cellStyle name="Comma 6 4 5 2 2" xfId="12698"/>
    <cellStyle name="Comma 6 4 5 2 2 2" xfId="22917"/>
    <cellStyle name="Comma 6 4 5 2 2 2 2" xfId="48470"/>
    <cellStyle name="Comma 6 4 5 2 2 3" xfId="38253"/>
    <cellStyle name="Comma 6 4 5 2 3" xfId="9119"/>
    <cellStyle name="Comma 6 4 5 2 3 2" xfId="34676"/>
    <cellStyle name="Comma 6 4 5 2 4" xfId="17910"/>
    <cellStyle name="Comma 6 4 5 2 4 2" xfId="43463"/>
    <cellStyle name="Comma 6 4 5 2 5" xfId="29400"/>
    <cellStyle name="Comma 6 4 5 3" xfId="5225"/>
    <cellStyle name="Comma 6 4 5 3 2" xfId="14062"/>
    <cellStyle name="Comma 6 4 5 3 2 2" xfId="24313"/>
    <cellStyle name="Comma 6 4 5 3 2 2 2" xfId="49866"/>
    <cellStyle name="Comma 6 4 5 3 2 3" xfId="39617"/>
    <cellStyle name="Comma 6 4 5 3 3" xfId="10483"/>
    <cellStyle name="Comma 6 4 5 3 3 2" xfId="36040"/>
    <cellStyle name="Comma 6 4 5 3 4" xfId="19306"/>
    <cellStyle name="Comma 6 4 5 3 4 2" xfId="44859"/>
    <cellStyle name="Comma 6 4 5 3 5" xfId="30796"/>
    <cellStyle name="Comma 6 4 5 4" xfId="1841"/>
    <cellStyle name="Comma 6 4 5 4 2" xfId="11209"/>
    <cellStyle name="Comma 6 4 5 4 2 2" xfId="36764"/>
    <cellStyle name="Comma 6 4 5 4 3" xfId="21213"/>
    <cellStyle name="Comma 6 4 5 4 3 2" xfId="46766"/>
    <cellStyle name="Comma 6 4 5 4 4" xfId="27696"/>
    <cellStyle name="Comma 6 4 5 5" xfId="6680"/>
    <cellStyle name="Comma 6 4 5 5 2" xfId="15507"/>
    <cellStyle name="Comma 6 4 5 5 2 2" xfId="41062"/>
    <cellStyle name="Comma 6 4 5 5 3" xfId="25758"/>
    <cellStyle name="Comma 6 4 5 5 3 2" xfId="51311"/>
    <cellStyle name="Comma 6 4 5 5 4" xfId="32241"/>
    <cellStyle name="Comma 6 4 5 6" xfId="8126"/>
    <cellStyle name="Comma 6 4 5 6 2" xfId="20516"/>
    <cellStyle name="Comma 6 4 5 6 2 2" xfId="46069"/>
    <cellStyle name="Comma 6 4 5 6 3" xfId="33683"/>
    <cellStyle name="Comma 6 4 5 7" xfId="16206"/>
    <cellStyle name="Comma 6 4 5 7 2" xfId="41759"/>
    <cellStyle name="Comma 6 4 5 8" xfId="26999"/>
    <cellStyle name="Comma 6 4 6" xfId="2735"/>
    <cellStyle name="Comma 6 4 6 2" xfId="12052"/>
    <cellStyle name="Comma 6 4 6 2 2" xfId="22096"/>
    <cellStyle name="Comma 6 4 6 2 2 2" xfId="47649"/>
    <cellStyle name="Comma 6 4 6 2 3" xfId="37607"/>
    <cellStyle name="Comma 6 4 6 3" xfId="8408"/>
    <cellStyle name="Comma 6 4 6 3 2" xfId="33965"/>
    <cellStyle name="Comma 6 4 6 4" xfId="17089"/>
    <cellStyle name="Comma 6 4 6 4 2" xfId="42642"/>
    <cellStyle name="Comma 6 4 6 5" xfId="28579"/>
    <cellStyle name="Comma 6 4 7" xfId="4181"/>
    <cellStyle name="Comma 6 4 7 2" xfId="13019"/>
    <cellStyle name="Comma 6 4 7 2 2" xfId="23270"/>
    <cellStyle name="Comma 6 4 7 2 2 2" xfId="48823"/>
    <cellStyle name="Comma 6 4 7 2 3" xfId="38574"/>
    <cellStyle name="Comma 6 4 7 3" xfId="9440"/>
    <cellStyle name="Comma 6 4 7 3 2" xfId="34997"/>
    <cellStyle name="Comma 6 4 7 4" xfId="18263"/>
    <cellStyle name="Comma 6 4 7 4 2" xfId="43816"/>
    <cellStyle name="Comma 6 4 7 5" xfId="29753"/>
    <cellStyle name="Comma 6 4 8" xfId="1453"/>
    <cellStyle name="Comma 6 4 8 2" xfId="10830"/>
    <cellStyle name="Comma 6 4 8 2 2" xfId="36385"/>
    <cellStyle name="Comma 6 4 8 3" xfId="20834"/>
    <cellStyle name="Comma 6 4 8 3 2" xfId="46387"/>
    <cellStyle name="Comma 6 4 8 4" xfId="27317"/>
    <cellStyle name="Comma 6 4 9" xfId="5637"/>
    <cellStyle name="Comma 6 4 9 2" xfId="14464"/>
    <cellStyle name="Comma 6 4 9 2 2" xfId="40019"/>
    <cellStyle name="Comma 6 4 9 3" xfId="24715"/>
    <cellStyle name="Comma 6 4 9 3 2" xfId="50268"/>
    <cellStyle name="Comma 6 4 9 4" xfId="31198"/>
    <cellStyle name="Comma 6 5" xfId="461"/>
    <cellStyle name="Comma 6 5 10" xfId="26390"/>
    <cellStyle name="Comma 6 5 2" xfId="697"/>
    <cellStyle name="Comma 6 5 2 2" xfId="3183"/>
    <cellStyle name="Comma 6 5 2 2 2" xfId="12326"/>
    <cellStyle name="Comma 6 5 2 2 2 2" xfId="22544"/>
    <cellStyle name="Comma 6 5 2 2 2 2 2" xfId="48097"/>
    <cellStyle name="Comma 6 5 2 2 2 3" xfId="37881"/>
    <cellStyle name="Comma 6 5 2 2 3" xfId="8748"/>
    <cellStyle name="Comma 6 5 2 2 3 2" xfId="34305"/>
    <cellStyle name="Comma 6 5 2 2 4" xfId="17537"/>
    <cellStyle name="Comma 6 5 2 2 4 2" xfId="43090"/>
    <cellStyle name="Comma 6 5 2 2 5" xfId="29027"/>
    <cellStyle name="Comma 6 5 2 3" xfId="4512"/>
    <cellStyle name="Comma 6 5 2 3 2" xfId="13350"/>
    <cellStyle name="Comma 6 5 2 3 2 2" xfId="23601"/>
    <cellStyle name="Comma 6 5 2 3 2 2 2" xfId="49154"/>
    <cellStyle name="Comma 6 5 2 3 2 3" xfId="38905"/>
    <cellStyle name="Comma 6 5 2 3 3" xfId="9771"/>
    <cellStyle name="Comma 6 5 2 3 3 2" xfId="35328"/>
    <cellStyle name="Comma 6 5 2 3 4" xfId="18594"/>
    <cellStyle name="Comma 6 5 2 3 4 2" xfId="44147"/>
    <cellStyle name="Comma 6 5 2 3 5" xfId="30084"/>
    <cellStyle name="Comma 6 5 2 4" xfId="2292"/>
    <cellStyle name="Comma 6 5 2 4 2" xfId="11657"/>
    <cellStyle name="Comma 6 5 2 4 2 2" xfId="37212"/>
    <cellStyle name="Comma 6 5 2 4 3" xfId="21661"/>
    <cellStyle name="Comma 6 5 2 4 3 2" xfId="47214"/>
    <cellStyle name="Comma 6 5 2 4 4" xfId="28144"/>
    <cellStyle name="Comma 6 5 2 5" xfId="5968"/>
    <cellStyle name="Comma 6 5 2 5 2" xfId="14795"/>
    <cellStyle name="Comma 6 5 2 5 2 2" xfId="40350"/>
    <cellStyle name="Comma 6 5 2 5 3" xfId="25046"/>
    <cellStyle name="Comma 6 5 2 5 3 2" xfId="50599"/>
    <cellStyle name="Comma 6 5 2 5 4" xfId="31529"/>
    <cellStyle name="Comma 6 5 2 6" xfId="7412"/>
    <cellStyle name="Comma 6 5 2 6 2" xfId="20143"/>
    <cellStyle name="Comma 6 5 2 6 2 2" xfId="45696"/>
    <cellStyle name="Comma 6 5 2 6 3" xfId="32969"/>
    <cellStyle name="Comma 6 5 2 7" xfId="16654"/>
    <cellStyle name="Comma 6 5 2 7 2" xfId="42207"/>
    <cellStyle name="Comma 6 5 2 8" xfId="26626"/>
    <cellStyle name="Comma 6 5 3" xfId="1233"/>
    <cellStyle name="Comma 6 5 3 2" xfId="3662"/>
    <cellStyle name="Comma 6 5 3 2 2" xfId="12798"/>
    <cellStyle name="Comma 6 5 3 2 2 2" xfId="23017"/>
    <cellStyle name="Comma 6 5 3 2 2 2 2" xfId="48570"/>
    <cellStyle name="Comma 6 5 3 2 2 3" xfId="38353"/>
    <cellStyle name="Comma 6 5 3 2 3" xfId="9219"/>
    <cellStyle name="Comma 6 5 3 2 3 2" xfId="34776"/>
    <cellStyle name="Comma 6 5 3 2 4" xfId="18010"/>
    <cellStyle name="Comma 6 5 3 2 4 2" xfId="43563"/>
    <cellStyle name="Comma 6 5 3 2 5" xfId="29500"/>
    <cellStyle name="Comma 6 5 3 3" xfId="4861"/>
    <cellStyle name="Comma 6 5 3 3 2" xfId="13698"/>
    <cellStyle name="Comma 6 5 3 3 2 2" xfId="23949"/>
    <cellStyle name="Comma 6 5 3 3 2 2 2" xfId="49502"/>
    <cellStyle name="Comma 6 5 3 3 2 3" xfId="39253"/>
    <cellStyle name="Comma 6 5 3 3 3" xfId="10119"/>
    <cellStyle name="Comma 6 5 3 3 3 2" xfId="35676"/>
    <cellStyle name="Comma 6 5 3 3 4" xfId="18942"/>
    <cellStyle name="Comma 6 5 3 3 4 2" xfId="44495"/>
    <cellStyle name="Comma 6 5 3 3 5" xfId="30432"/>
    <cellStyle name="Comma 6 5 3 4" xfId="2056"/>
    <cellStyle name="Comma 6 5 3 4 2" xfId="11421"/>
    <cellStyle name="Comma 6 5 3 4 2 2" xfId="36976"/>
    <cellStyle name="Comma 6 5 3 4 3" xfId="21425"/>
    <cellStyle name="Comma 6 5 3 4 3 2" xfId="46978"/>
    <cellStyle name="Comma 6 5 3 4 4" xfId="27908"/>
    <cellStyle name="Comma 6 5 3 5" xfId="6316"/>
    <cellStyle name="Comma 6 5 3 5 2" xfId="15143"/>
    <cellStyle name="Comma 6 5 3 5 2 2" xfId="40698"/>
    <cellStyle name="Comma 6 5 3 5 3" xfId="25394"/>
    <cellStyle name="Comma 6 5 3 5 3 2" xfId="50947"/>
    <cellStyle name="Comma 6 5 3 5 4" xfId="31877"/>
    <cellStyle name="Comma 6 5 3 6" xfId="7762"/>
    <cellStyle name="Comma 6 5 3 6 2" xfId="20616"/>
    <cellStyle name="Comma 6 5 3 6 2 2" xfId="46169"/>
    <cellStyle name="Comma 6 5 3 6 3" xfId="33319"/>
    <cellStyle name="Comma 6 5 3 7" xfId="16418"/>
    <cellStyle name="Comma 6 5 3 7 2" xfId="41971"/>
    <cellStyle name="Comma 6 5 3 8" xfId="27099"/>
    <cellStyle name="Comma 6 5 4" xfId="2947"/>
    <cellStyle name="Comma 6 5 4 2" xfId="5325"/>
    <cellStyle name="Comma 6 5 4 2 2" xfId="14162"/>
    <cellStyle name="Comma 6 5 4 2 2 2" xfId="24413"/>
    <cellStyle name="Comma 6 5 4 2 2 2 2" xfId="49966"/>
    <cellStyle name="Comma 6 5 4 2 2 3" xfId="39717"/>
    <cellStyle name="Comma 6 5 4 2 3" xfId="10583"/>
    <cellStyle name="Comma 6 5 4 2 3 2" xfId="36140"/>
    <cellStyle name="Comma 6 5 4 2 4" xfId="19406"/>
    <cellStyle name="Comma 6 5 4 2 4 2" xfId="44959"/>
    <cellStyle name="Comma 6 5 4 2 5" xfId="30896"/>
    <cellStyle name="Comma 6 5 4 3" xfId="6780"/>
    <cellStyle name="Comma 6 5 4 3 2" xfId="15607"/>
    <cellStyle name="Comma 6 5 4 3 2 2" xfId="41162"/>
    <cellStyle name="Comma 6 5 4 3 3" xfId="25858"/>
    <cellStyle name="Comma 6 5 4 3 3 2" xfId="51411"/>
    <cellStyle name="Comma 6 5 4 3 4" xfId="32341"/>
    <cellStyle name="Comma 6 5 4 4" xfId="8226"/>
    <cellStyle name="Comma 6 5 4 4 2" xfId="22308"/>
    <cellStyle name="Comma 6 5 4 4 2 2" xfId="47861"/>
    <cellStyle name="Comma 6 5 4 4 3" xfId="33783"/>
    <cellStyle name="Comma 6 5 4 5" xfId="17301"/>
    <cellStyle name="Comma 6 5 4 5 2" xfId="42854"/>
    <cellStyle name="Comma 6 5 4 6" xfId="28791"/>
    <cellStyle name="Comma 6 5 5" xfId="4281"/>
    <cellStyle name="Comma 6 5 5 2" xfId="13119"/>
    <cellStyle name="Comma 6 5 5 2 2" xfId="23370"/>
    <cellStyle name="Comma 6 5 5 2 2 2" xfId="48923"/>
    <cellStyle name="Comma 6 5 5 2 3" xfId="38674"/>
    <cellStyle name="Comma 6 5 5 3" xfId="9540"/>
    <cellStyle name="Comma 6 5 5 3 2" xfId="35097"/>
    <cellStyle name="Comma 6 5 5 4" xfId="18363"/>
    <cellStyle name="Comma 6 5 5 4 2" xfId="43916"/>
    <cellStyle name="Comma 6 5 5 5" xfId="29853"/>
    <cellStyle name="Comma 6 5 6" xfId="1553"/>
    <cellStyle name="Comma 6 5 6 2" xfId="10930"/>
    <cellStyle name="Comma 6 5 6 2 2" xfId="36485"/>
    <cellStyle name="Comma 6 5 6 3" xfId="20934"/>
    <cellStyle name="Comma 6 5 6 3 2" xfId="46487"/>
    <cellStyle name="Comma 6 5 6 4" xfId="27417"/>
    <cellStyle name="Comma 6 5 7" xfId="5737"/>
    <cellStyle name="Comma 6 5 7 2" xfId="14564"/>
    <cellStyle name="Comma 6 5 7 2 2" xfId="40119"/>
    <cellStyle name="Comma 6 5 7 3" xfId="24815"/>
    <cellStyle name="Comma 6 5 7 3 2" xfId="50368"/>
    <cellStyle name="Comma 6 5 7 4" xfId="31298"/>
    <cellStyle name="Comma 6 5 8" xfId="7181"/>
    <cellStyle name="Comma 6 5 8 2" xfId="19907"/>
    <cellStyle name="Comma 6 5 8 2 2" xfId="45460"/>
    <cellStyle name="Comma 6 5 8 3" xfId="32738"/>
    <cellStyle name="Comma 6 5 9" xfId="15927"/>
    <cellStyle name="Comma 6 5 9 2" xfId="41480"/>
    <cellStyle name="Comma 6 6" xfId="298"/>
    <cellStyle name="Comma 6 6 10" xfId="26227"/>
    <cellStyle name="Comma 6 6 2" xfId="698"/>
    <cellStyle name="Comma 6 6 2 2" xfId="3184"/>
    <cellStyle name="Comma 6 6 2 2 2" xfId="12327"/>
    <cellStyle name="Comma 6 6 2 2 2 2" xfId="22545"/>
    <cellStyle name="Comma 6 6 2 2 2 2 2" xfId="48098"/>
    <cellStyle name="Comma 6 6 2 2 2 3" xfId="37882"/>
    <cellStyle name="Comma 6 6 2 2 3" xfId="8749"/>
    <cellStyle name="Comma 6 6 2 2 3 2" xfId="34306"/>
    <cellStyle name="Comma 6 6 2 2 4" xfId="17538"/>
    <cellStyle name="Comma 6 6 2 2 4 2" xfId="43091"/>
    <cellStyle name="Comma 6 6 2 2 5" xfId="29028"/>
    <cellStyle name="Comma 6 6 2 3" xfId="4513"/>
    <cellStyle name="Comma 6 6 2 3 2" xfId="13351"/>
    <cellStyle name="Comma 6 6 2 3 2 2" xfId="23602"/>
    <cellStyle name="Comma 6 6 2 3 2 2 2" xfId="49155"/>
    <cellStyle name="Comma 6 6 2 3 2 3" xfId="38906"/>
    <cellStyle name="Comma 6 6 2 3 3" xfId="9772"/>
    <cellStyle name="Comma 6 6 2 3 3 2" xfId="35329"/>
    <cellStyle name="Comma 6 6 2 3 4" xfId="18595"/>
    <cellStyle name="Comma 6 6 2 3 4 2" xfId="44148"/>
    <cellStyle name="Comma 6 6 2 3 5" xfId="30085"/>
    <cellStyle name="Comma 6 6 2 4" xfId="2293"/>
    <cellStyle name="Comma 6 6 2 4 2" xfId="11658"/>
    <cellStyle name="Comma 6 6 2 4 2 2" xfId="37213"/>
    <cellStyle name="Comma 6 6 2 4 3" xfId="21662"/>
    <cellStyle name="Comma 6 6 2 4 3 2" xfId="47215"/>
    <cellStyle name="Comma 6 6 2 4 4" xfId="28145"/>
    <cellStyle name="Comma 6 6 2 5" xfId="5969"/>
    <cellStyle name="Comma 6 6 2 5 2" xfId="14796"/>
    <cellStyle name="Comma 6 6 2 5 2 2" xfId="40351"/>
    <cellStyle name="Comma 6 6 2 5 3" xfId="25047"/>
    <cellStyle name="Comma 6 6 2 5 3 2" xfId="50600"/>
    <cellStyle name="Comma 6 6 2 5 4" xfId="31530"/>
    <cellStyle name="Comma 6 6 2 6" xfId="7413"/>
    <cellStyle name="Comma 6 6 2 6 2" xfId="20144"/>
    <cellStyle name="Comma 6 6 2 6 2 2" xfId="45697"/>
    <cellStyle name="Comma 6 6 2 6 3" xfId="32970"/>
    <cellStyle name="Comma 6 6 2 7" xfId="16655"/>
    <cellStyle name="Comma 6 6 2 7 2" xfId="42208"/>
    <cellStyle name="Comma 6 6 2 8" xfId="26627"/>
    <cellStyle name="Comma 6 6 3" xfId="1070"/>
    <cellStyle name="Comma 6 6 3 2" xfId="3499"/>
    <cellStyle name="Comma 6 6 3 2 2" xfId="12635"/>
    <cellStyle name="Comma 6 6 3 2 2 2" xfId="22854"/>
    <cellStyle name="Comma 6 6 3 2 2 2 2" xfId="48407"/>
    <cellStyle name="Comma 6 6 3 2 2 3" xfId="38190"/>
    <cellStyle name="Comma 6 6 3 2 3" xfId="9057"/>
    <cellStyle name="Comma 6 6 3 2 3 2" xfId="34614"/>
    <cellStyle name="Comma 6 6 3 2 4" xfId="17847"/>
    <cellStyle name="Comma 6 6 3 2 4 2" xfId="43400"/>
    <cellStyle name="Comma 6 6 3 2 5" xfId="29337"/>
    <cellStyle name="Comma 6 6 3 3" xfId="4862"/>
    <cellStyle name="Comma 6 6 3 3 2" xfId="13699"/>
    <cellStyle name="Comma 6 6 3 3 2 2" xfId="23950"/>
    <cellStyle name="Comma 6 6 3 3 2 2 2" xfId="49503"/>
    <cellStyle name="Comma 6 6 3 3 2 3" xfId="39254"/>
    <cellStyle name="Comma 6 6 3 3 3" xfId="10120"/>
    <cellStyle name="Comma 6 6 3 3 3 2" xfId="35677"/>
    <cellStyle name="Comma 6 6 3 3 4" xfId="18943"/>
    <cellStyle name="Comma 6 6 3 3 4 2" xfId="44496"/>
    <cellStyle name="Comma 6 6 3 3 5" xfId="30433"/>
    <cellStyle name="Comma 6 6 3 4" xfId="2591"/>
    <cellStyle name="Comma 6 6 3 4 2" xfId="11955"/>
    <cellStyle name="Comma 6 6 3 4 2 2" xfId="37510"/>
    <cellStyle name="Comma 6 6 3 4 3" xfId="21959"/>
    <cellStyle name="Comma 6 6 3 4 3 2" xfId="47512"/>
    <cellStyle name="Comma 6 6 3 4 4" xfId="28442"/>
    <cellStyle name="Comma 6 6 3 5" xfId="6317"/>
    <cellStyle name="Comma 6 6 3 5 2" xfId="15144"/>
    <cellStyle name="Comma 6 6 3 5 2 2" xfId="40699"/>
    <cellStyle name="Comma 6 6 3 5 3" xfId="25395"/>
    <cellStyle name="Comma 6 6 3 5 3 2" xfId="50948"/>
    <cellStyle name="Comma 6 6 3 5 4" xfId="31878"/>
    <cellStyle name="Comma 6 6 3 6" xfId="7763"/>
    <cellStyle name="Comma 6 6 3 6 2" xfId="20453"/>
    <cellStyle name="Comma 6 6 3 6 2 2" xfId="46006"/>
    <cellStyle name="Comma 6 6 3 6 3" xfId="33320"/>
    <cellStyle name="Comma 6 6 3 7" xfId="16952"/>
    <cellStyle name="Comma 6 6 3 7 2" xfId="42505"/>
    <cellStyle name="Comma 6 6 3 8" xfId="26936"/>
    <cellStyle name="Comma 6 6 4" xfId="2784"/>
    <cellStyle name="Comma 6 6 4 2" xfId="5162"/>
    <cellStyle name="Comma 6 6 4 2 2" xfId="13999"/>
    <cellStyle name="Comma 6 6 4 2 2 2" xfId="24250"/>
    <cellStyle name="Comma 6 6 4 2 2 2 2" xfId="49803"/>
    <cellStyle name="Comma 6 6 4 2 2 3" xfId="39554"/>
    <cellStyle name="Comma 6 6 4 2 3" xfId="10420"/>
    <cellStyle name="Comma 6 6 4 2 3 2" xfId="35977"/>
    <cellStyle name="Comma 6 6 4 2 4" xfId="19243"/>
    <cellStyle name="Comma 6 6 4 2 4 2" xfId="44796"/>
    <cellStyle name="Comma 6 6 4 2 5" xfId="30733"/>
    <cellStyle name="Comma 6 6 4 3" xfId="6617"/>
    <cellStyle name="Comma 6 6 4 3 2" xfId="15444"/>
    <cellStyle name="Comma 6 6 4 3 2 2" xfId="40999"/>
    <cellStyle name="Comma 6 6 4 3 3" xfId="25695"/>
    <cellStyle name="Comma 6 6 4 3 3 2" xfId="51248"/>
    <cellStyle name="Comma 6 6 4 3 4" xfId="32178"/>
    <cellStyle name="Comma 6 6 4 4" xfId="8063"/>
    <cellStyle name="Comma 6 6 4 4 2" xfId="22145"/>
    <cellStyle name="Comma 6 6 4 4 2 2" xfId="47698"/>
    <cellStyle name="Comma 6 6 4 4 3" xfId="33620"/>
    <cellStyle name="Comma 6 6 4 5" xfId="17138"/>
    <cellStyle name="Comma 6 6 4 5 2" xfId="42691"/>
    <cellStyle name="Comma 6 6 4 6" xfId="28628"/>
    <cellStyle name="Comma 6 6 5" xfId="4116"/>
    <cellStyle name="Comma 6 6 5 2" xfId="12954"/>
    <cellStyle name="Comma 6 6 5 2 2" xfId="23205"/>
    <cellStyle name="Comma 6 6 5 2 2 2" xfId="48758"/>
    <cellStyle name="Comma 6 6 5 2 3" xfId="38509"/>
    <cellStyle name="Comma 6 6 5 3" xfId="9375"/>
    <cellStyle name="Comma 6 6 5 3 2" xfId="34932"/>
    <cellStyle name="Comma 6 6 5 4" xfId="18198"/>
    <cellStyle name="Comma 6 6 5 4 2" xfId="43751"/>
    <cellStyle name="Comma 6 6 5 5" xfId="29688"/>
    <cellStyle name="Comma 6 6 6" xfId="1893"/>
    <cellStyle name="Comma 6 6 6 2" xfId="11258"/>
    <cellStyle name="Comma 6 6 6 2 2" xfId="36813"/>
    <cellStyle name="Comma 6 6 6 3" xfId="21262"/>
    <cellStyle name="Comma 6 6 6 3 2" xfId="46815"/>
    <cellStyle name="Comma 6 6 6 4" xfId="27745"/>
    <cellStyle name="Comma 6 6 7" xfId="5574"/>
    <cellStyle name="Comma 6 6 7 2" xfId="14401"/>
    <cellStyle name="Comma 6 6 7 2 2" xfId="39956"/>
    <cellStyle name="Comma 6 6 7 3" xfId="24652"/>
    <cellStyle name="Comma 6 6 7 3 2" xfId="50205"/>
    <cellStyle name="Comma 6 6 7 4" xfId="31135"/>
    <cellStyle name="Comma 6 6 8" xfId="7018"/>
    <cellStyle name="Comma 6 6 8 2" xfId="19744"/>
    <cellStyle name="Comma 6 6 8 2 2" xfId="45297"/>
    <cellStyle name="Comma 6 6 8 3" xfId="32575"/>
    <cellStyle name="Comma 6 6 9" xfId="16255"/>
    <cellStyle name="Comma 6 6 9 2" xfId="41808"/>
    <cellStyle name="Comma 6 7" xfId="687"/>
    <cellStyle name="Comma 6 7 2" xfId="3173"/>
    <cellStyle name="Comma 6 7 2 2" xfId="12316"/>
    <cellStyle name="Comma 6 7 2 2 2" xfId="22534"/>
    <cellStyle name="Comma 6 7 2 2 2 2" xfId="48087"/>
    <cellStyle name="Comma 6 7 2 2 3" xfId="37871"/>
    <cellStyle name="Comma 6 7 2 3" xfId="8738"/>
    <cellStyle name="Comma 6 7 2 3 2" xfId="34295"/>
    <cellStyle name="Comma 6 7 2 4" xfId="17527"/>
    <cellStyle name="Comma 6 7 2 4 2" xfId="43080"/>
    <cellStyle name="Comma 6 7 2 5" xfId="29017"/>
    <cellStyle name="Comma 6 7 3" xfId="4502"/>
    <cellStyle name="Comma 6 7 3 2" xfId="13340"/>
    <cellStyle name="Comma 6 7 3 2 2" xfId="23591"/>
    <cellStyle name="Comma 6 7 3 2 2 2" xfId="49144"/>
    <cellStyle name="Comma 6 7 3 2 3" xfId="38895"/>
    <cellStyle name="Comma 6 7 3 3" xfId="9761"/>
    <cellStyle name="Comma 6 7 3 3 2" xfId="35318"/>
    <cellStyle name="Comma 6 7 3 4" xfId="18584"/>
    <cellStyle name="Comma 6 7 3 4 2" xfId="44137"/>
    <cellStyle name="Comma 6 7 3 5" xfId="30074"/>
    <cellStyle name="Comma 6 7 4" xfId="2282"/>
    <cellStyle name="Comma 6 7 4 2" xfId="11647"/>
    <cellStyle name="Comma 6 7 4 2 2" xfId="37202"/>
    <cellStyle name="Comma 6 7 4 3" xfId="21651"/>
    <cellStyle name="Comma 6 7 4 3 2" xfId="47204"/>
    <cellStyle name="Comma 6 7 4 4" xfId="28134"/>
    <cellStyle name="Comma 6 7 5" xfId="5958"/>
    <cellStyle name="Comma 6 7 5 2" xfId="14785"/>
    <cellStyle name="Comma 6 7 5 2 2" xfId="40340"/>
    <cellStyle name="Comma 6 7 5 3" xfId="25036"/>
    <cellStyle name="Comma 6 7 5 3 2" xfId="50589"/>
    <cellStyle name="Comma 6 7 5 4" xfId="31519"/>
    <cellStyle name="Comma 6 7 6" xfId="7402"/>
    <cellStyle name="Comma 6 7 6 2" xfId="20133"/>
    <cellStyle name="Comma 6 7 6 2 2" xfId="45686"/>
    <cellStyle name="Comma 6 7 6 3" xfId="32959"/>
    <cellStyle name="Comma 6 7 7" xfId="16644"/>
    <cellStyle name="Comma 6 7 7 2" xfId="42197"/>
    <cellStyle name="Comma 6 7 8" xfId="26616"/>
    <cellStyle name="Comma 6 8" xfId="1050"/>
    <cellStyle name="Comma 6 8 2" xfId="3479"/>
    <cellStyle name="Comma 6 8 2 2" xfId="12615"/>
    <cellStyle name="Comma 6 8 2 2 2" xfId="22834"/>
    <cellStyle name="Comma 6 8 2 2 2 2" xfId="48387"/>
    <cellStyle name="Comma 6 8 2 2 3" xfId="38170"/>
    <cellStyle name="Comma 6 8 2 3" xfId="9037"/>
    <cellStyle name="Comma 6 8 2 3 2" xfId="34594"/>
    <cellStyle name="Comma 6 8 2 4" xfId="17827"/>
    <cellStyle name="Comma 6 8 2 4 2" xfId="43380"/>
    <cellStyle name="Comma 6 8 2 5" xfId="29317"/>
    <cellStyle name="Comma 6 8 3" xfId="4851"/>
    <cellStyle name="Comma 6 8 3 2" xfId="13688"/>
    <cellStyle name="Comma 6 8 3 2 2" xfId="23939"/>
    <cellStyle name="Comma 6 8 3 2 2 2" xfId="49492"/>
    <cellStyle name="Comma 6 8 3 2 3" xfId="39243"/>
    <cellStyle name="Comma 6 8 3 3" xfId="10109"/>
    <cellStyle name="Comma 6 8 3 3 2" xfId="35666"/>
    <cellStyle name="Comma 6 8 3 4" xfId="18932"/>
    <cellStyle name="Comma 6 8 3 4 2" xfId="44485"/>
    <cellStyle name="Comma 6 8 3 5" xfId="30422"/>
    <cellStyle name="Comma 6 8 4" xfId="1729"/>
    <cellStyle name="Comma 6 8 4 2" xfId="11103"/>
    <cellStyle name="Comma 6 8 4 2 2" xfId="36658"/>
    <cellStyle name="Comma 6 8 4 3" xfId="21107"/>
    <cellStyle name="Comma 6 8 4 3 2" xfId="46660"/>
    <cellStyle name="Comma 6 8 4 4" xfId="27590"/>
    <cellStyle name="Comma 6 8 5" xfId="6306"/>
    <cellStyle name="Comma 6 8 5 2" xfId="15133"/>
    <cellStyle name="Comma 6 8 5 2 2" xfId="40688"/>
    <cellStyle name="Comma 6 8 5 3" xfId="25384"/>
    <cellStyle name="Comma 6 8 5 3 2" xfId="50937"/>
    <cellStyle name="Comma 6 8 5 4" xfId="31867"/>
    <cellStyle name="Comma 6 8 6" xfId="7752"/>
    <cellStyle name="Comma 6 8 6 2" xfId="20433"/>
    <cellStyle name="Comma 6 8 6 2 2" xfId="45986"/>
    <cellStyle name="Comma 6 8 6 3" xfId="33309"/>
    <cellStyle name="Comma 6 8 7" xfId="16100"/>
    <cellStyle name="Comma 6 8 7 2" xfId="41653"/>
    <cellStyle name="Comma 6 8 8" xfId="26916"/>
    <cellStyle name="Comma 6 9" xfId="2627"/>
    <cellStyle name="Comma 6 9 2" xfId="5142"/>
    <cellStyle name="Comma 6 9 2 2" xfId="13979"/>
    <cellStyle name="Comma 6 9 2 2 2" xfId="24230"/>
    <cellStyle name="Comma 6 9 2 2 2 2" xfId="49783"/>
    <cellStyle name="Comma 6 9 2 2 3" xfId="39534"/>
    <cellStyle name="Comma 6 9 2 3" xfId="10400"/>
    <cellStyle name="Comma 6 9 2 3 2" xfId="35957"/>
    <cellStyle name="Comma 6 9 2 4" xfId="19223"/>
    <cellStyle name="Comma 6 9 2 4 2" xfId="44776"/>
    <cellStyle name="Comma 6 9 2 5" xfId="30713"/>
    <cellStyle name="Comma 6 9 3" xfId="6597"/>
    <cellStyle name="Comma 6 9 3 2" xfId="15424"/>
    <cellStyle name="Comma 6 9 3 2 2" xfId="40979"/>
    <cellStyle name="Comma 6 9 3 3" xfId="25675"/>
    <cellStyle name="Comma 6 9 3 3 2" xfId="51228"/>
    <cellStyle name="Comma 6 9 3 4" xfId="32158"/>
    <cellStyle name="Comma 6 9 4" xfId="8043"/>
    <cellStyle name="Comma 6 9 4 2" xfId="21990"/>
    <cellStyle name="Comma 6 9 4 2 2" xfId="47543"/>
    <cellStyle name="Comma 6 9 4 3" xfId="33600"/>
    <cellStyle name="Comma 6 9 5" xfId="16983"/>
    <cellStyle name="Comma 6 9 5 2" xfId="42536"/>
    <cellStyle name="Comma 6 9 6" xfId="28473"/>
    <cellStyle name="Comma 7" xfId="119"/>
    <cellStyle name="Explanatory Text 2" xfId="1014"/>
    <cellStyle name="Good 2" xfId="1015"/>
    <cellStyle name="Heading 1 2" xfId="1016"/>
    <cellStyle name="Heading 2 2" xfId="1017"/>
    <cellStyle name="Heading 3 2" xfId="1018"/>
    <cellStyle name="Heading 4 2" xfId="1019"/>
    <cellStyle name="Input 2" xfId="1020"/>
    <cellStyle name="Input 3" xfId="1034"/>
    <cellStyle name="Linked Cell 2" xfId="1021"/>
    <cellStyle name="Neutral 2" xfId="1022"/>
    <cellStyle name="Normal" xfId="0" builtinId="0"/>
    <cellStyle name="Normal 10" xfId="18"/>
    <cellStyle name="Normal 10 10" xfId="5502"/>
    <cellStyle name="Normal 10 10 2" xfId="14329"/>
    <cellStyle name="Normal 10 10 2 2" xfId="39884"/>
    <cellStyle name="Normal 10 10 3" xfId="24580"/>
    <cellStyle name="Normal 10 10 3 2" xfId="50133"/>
    <cellStyle name="Normal 10 10 4" xfId="31063"/>
    <cellStyle name="Normal 10 11" xfId="6940"/>
    <cellStyle name="Normal 10 11 2" xfId="32498"/>
    <cellStyle name="Normal 10 2" xfId="108"/>
    <cellStyle name="Normal 10 2 10" xfId="4107"/>
    <cellStyle name="Normal 10 2 10 2" xfId="5565"/>
    <cellStyle name="Normal 10 2 10 2 2" xfId="14392"/>
    <cellStyle name="Normal 10 2 10 2 2 2" xfId="39947"/>
    <cellStyle name="Normal 10 2 10 2 3" xfId="24643"/>
    <cellStyle name="Normal 10 2 10 2 3 2" xfId="50196"/>
    <cellStyle name="Normal 10 2 10 2 4" xfId="31126"/>
    <cellStyle name="Normal 10 2 10 3" xfId="7009"/>
    <cellStyle name="Normal 10 2 10 3 2" xfId="23196"/>
    <cellStyle name="Normal 10 2 10 3 2 2" xfId="48749"/>
    <cellStyle name="Normal 10 2 10 3 3" xfId="32566"/>
    <cellStyle name="Normal 10 2 10 4" xfId="18189"/>
    <cellStyle name="Normal 10 2 10 4 2" xfId="43742"/>
    <cellStyle name="Normal 10 2 10 5" xfId="29679"/>
    <cellStyle name="Normal 10 2 11" xfId="1401"/>
    <cellStyle name="Normal 10 2 11 2" xfId="10778"/>
    <cellStyle name="Normal 10 2 11 2 2" xfId="36333"/>
    <cellStyle name="Normal 10 2 11 3" xfId="20782"/>
    <cellStyle name="Normal 10 2 11 3 2" xfId="46335"/>
    <cellStyle name="Normal 10 2 11 4" xfId="27265"/>
    <cellStyle name="Normal 10 2 12" xfId="5506"/>
    <cellStyle name="Normal 10 2 12 2" xfId="14333"/>
    <cellStyle name="Normal 10 2 12 2 2" xfId="39888"/>
    <cellStyle name="Normal 10 2 12 3" xfId="24584"/>
    <cellStyle name="Normal 10 2 12 3 2" xfId="50137"/>
    <cellStyle name="Normal 10 2 12 4" xfId="31067"/>
    <cellStyle name="Normal 10 2 13" xfId="6945"/>
    <cellStyle name="Normal 10 2 13 2" xfId="19583"/>
    <cellStyle name="Normal 10 2 13 2 2" xfId="45136"/>
    <cellStyle name="Normal 10 2 13 3" xfId="32503"/>
    <cellStyle name="Normal 10 2 14" xfId="15775"/>
    <cellStyle name="Normal 10 2 14 2" xfId="41328"/>
    <cellStyle name="Normal 10 2 15" xfId="26066"/>
    <cellStyle name="Normal 10 2 2" xfId="161"/>
    <cellStyle name="Normal 10 2 2 10" xfId="1426"/>
    <cellStyle name="Normal 10 2 2 10 2" xfId="10803"/>
    <cellStyle name="Normal 10 2 2 10 2 2" xfId="36358"/>
    <cellStyle name="Normal 10 2 2 10 3" xfId="20807"/>
    <cellStyle name="Normal 10 2 2 10 3 2" xfId="46360"/>
    <cellStyle name="Normal 10 2 2 10 4" xfId="27290"/>
    <cellStyle name="Normal 10 2 2 11" xfId="5535"/>
    <cellStyle name="Normal 10 2 2 11 2" xfId="14362"/>
    <cellStyle name="Normal 10 2 2 11 2 2" xfId="39917"/>
    <cellStyle name="Normal 10 2 2 11 3" xfId="24613"/>
    <cellStyle name="Normal 10 2 2 11 3 2" xfId="50166"/>
    <cellStyle name="Normal 10 2 2 11 4" xfId="31096"/>
    <cellStyle name="Normal 10 2 2 12" xfId="6979"/>
    <cellStyle name="Normal 10 2 2 12 2" xfId="19620"/>
    <cellStyle name="Normal 10 2 2 12 2 2" xfId="45173"/>
    <cellStyle name="Normal 10 2 2 12 3" xfId="32536"/>
    <cellStyle name="Normal 10 2 2 13" xfId="15800"/>
    <cellStyle name="Normal 10 2 2 13 2" xfId="41353"/>
    <cellStyle name="Normal 10 2 2 14" xfId="26103"/>
    <cellStyle name="Normal 10 2 2 2" xfId="208"/>
    <cellStyle name="Normal 10 2 2 2 10" xfId="7154"/>
    <cellStyle name="Normal 10 2 2 2 10 2" xfId="19663"/>
    <cellStyle name="Normal 10 2 2 2 10 2 2" xfId="45216"/>
    <cellStyle name="Normal 10 2 2 2 10 3" xfId="32711"/>
    <cellStyle name="Normal 10 2 2 2 11" xfId="15900"/>
    <cellStyle name="Normal 10 2 2 2 11 2" xfId="41453"/>
    <cellStyle name="Normal 10 2 2 2 12" xfId="26146"/>
    <cellStyle name="Normal 10 2 2 2 2" xfId="534"/>
    <cellStyle name="Normal 10 2 2 2 2 10" xfId="26463"/>
    <cellStyle name="Normal 10 2 2 2 2 2" xfId="703"/>
    <cellStyle name="Normal 10 2 2 2 2 2 2" xfId="3189"/>
    <cellStyle name="Normal 10 2 2 2 2 2 2 2" xfId="12332"/>
    <cellStyle name="Normal 10 2 2 2 2 2 2 2 2" xfId="22550"/>
    <cellStyle name="Normal 10 2 2 2 2 2 2 2 2 2" xfId="48103"/>
    <cellStyle name="Normal 10 2 2 2 2 2 2 2 3" xfId="37887"/>
    <cellStyle name="Normal 10 2 2 2 2 2 2 3" xfId="8754"/>
    <cellStyle name="Normal 10 2 2 2 2 2 2 3 2" xfId="34311"/>
    <cellStyle name="Normal 10 2 2 2 2 2 2 4" xfId="17543"/>
    <cellStyle name="Normal 10 2 2 2 2 2 2 4 2" xfId="43096"/>
    <cellStyle name="Normal 10 2 2 2 2 2 2 5" xfId="29033"/>
    <cellStyle name="Normal 10 2 2 2 2 2 3" xfId="4518"/>
    <cellStyle name="Normal 10 2 2 2 2 2 3 2" xfId="13356"/>
    <cellStyle name="Normal 10 2 2 2 2 2 3 2 2" xfId="23607"/>
    <cellStyle name="Normal 10 2 2 2 2 2 3 2 2 2" xfId="49160"/>
    <cellStyle name="Normal 10 2 2 2 2 2 3 2 3" xfId="38911"/>
    <cellStyle name="Normal 10 2 2 2 2 2 3 3" xfId="9777"/>
    <cellStyle name="Normal 10 2 2 2 2 2 3 3 2" xfId="35334"/>
    <cellStyle name="Normal 10 2 2 2 2 2 3 4" xfId="18600"/>
    <cellStyle name="Normal 10 2 2 2 2 2 3 4 2" xfId="44153"/>
    <cellStyle name="Normal 10 2 2 2 2 2 3 5" xfId="30090"/>
    <cellStyle name="Normal 10 2 2 2 2 2 4" xfId="2298"/>
    <cellStyle name="Normal 10 2 2 2 2 2 4 2" xfId="11663"/>
    <cellStyle name="Normal 10 2 2 2 2 2 4 2 2" xfId="37218"/>
    <cellStyle name="Normal 10 2 2 2 2 2 4 3" xfId="21667"/>
    <cellStyle name="Normal 10 2 2 2 2 2 4 3 2" xfId="47220"/>
    <cellStyle name="Normal 10 2 2 2 2 2 4 4" xfId="28150"/>
    <cellStyle name="Normal 10 2 2 2 2 2 5" xfId="5974"/>
    <cellStyle name="Normal 10 2 2 2 2 2 5 2" xfId="14801"/>
    <cellStyle name="Normal 10 2 2 2 2 2 5 2 2" xfId="40356"/>
    <cellStyle name="Normal 10 2 2 2 2 2 5 3" xfId="25052"/>
    <cellStyle name="Normal 10 2 2 2 2 2 5 3 2" xfId="50605"/>
    <cellStyle name="Normal 10 2 2 2 2 2 5 4" xfId="31535"/>
    <cellStyle name="Normal 10 2 2 2 2 2 6" xfId="7418"/>
    <cellStyle name="Normal 10 2 2 2 2 2 6 2" xfId="20149"/>
    <cellStyle name="Normal 10 2 2 2 2 2 6 2 2" xfId="45702"/>
    <cellStyle name="Normal 10 2 2 2 2 2 6 3" xfId="32975"/>
    <cellStyle name="Normal 10 2 2 2 2 2 7" xfId="16660"/>
    <cellStyle name="Normal 10 2 2 2 2 2 7 2" xfId="42213"/>
    <cellStyle name="Normal 10 2 2 2 2 2 8" xfId="26632"/>
    <cellStyle name="Normal 10 2 2 2 2 3" xfId="1306"/>
    <cellStyle name="Normal 10 2 2 2 2 3 2" xfId="3735"/>
    <cellStyle name="Normal 10 2 2 2 2 3 2 2" xfId="12871"/>
    <cellStyle name="Normal 10 2 2 2 2 3 2 2 2" xfId="23090"/>
    <cellStyle name="Normal 10 2 2 2 2 3 2 2 2 2" xfId="48643"/>
    <cellStyle name="Normal 10 2 2 2 2 3 2 2 3" xfId="38426"/>
    <cellStyle name="Normal 10 2 2 2 2 3 2 3" xfId="9292"/>
    <cellStyle name="Normal 10 2 2 2 2 3 2 3 2" xfId="34849"/>
    <cellStyle name="Normal 10 2 2 2 2 3 2 4" xfId="18083"/>
    <cellStyle name="Normal 10 2 2 2 2 3 2 4 2" xfId="43636"/>
    <cellStyle name="Normal 10 2 2 2 2 3 2 5" xfId="29573"/>
    <cellStyle name="Normal 10 2 2 2 2 3 3" xfId="4867"/>
    <cellStyle name="Normal 10 2 2 2 2 3 3 2" xfId="13704"/>
    <cellStyle name="Normal 10 2 2 2 2 3 3 2 2" xfId="23955"/>
    <cellStyle name="Normal 10 2 2 2 2 3 3 2 2 2" xfId="49508"/>
    <cellStyle name="Normal 10 2 2 2 2 3 3 2 3" xfId="39259"/>
    <cellStyle name="Normal 10 2 2 2 2 3 3 3" xfId="10125"/>
    <cellStyle name="Normal 10 2 2 2 2 3 3 3 2" xfId="35682"/>
    <cellStyle name="Normal 10 2 2 2 2 3 3 4" xfId="18948"/>
    <cellStyle name="Normal 10 2 2 2 2 3 3 4 2" xfId="44501"/>
    <cellStyle name="Normal 10 2 2 2 2 3 3 5" xfId="30438"/>
    <cellStyle name="Normal 10 2 2 2 2 3 4" xfId="2129"/>
    <cellStyle name="Normal 10 2 2 2 2 3 4 2" xfId="11494"/>
    <cellStyle name="Normal 10 2 2 2 2 3 4 2 2" xfId="37049"/>
    <cellStyle name="Normal 10 2 2 2 2 3 4 3" xfId="21498"/>
    <cellStyle name="Normal 10 2 2 2 2 3 4 3 2" xfId="47051"/>
    <cellStyle name="Normal 10 2 2 2 2 3 4 4" xfId="27981"/>
    <cellStyle name="Normal 10 2 2 2 2 3 5" xfId="6322"/>
    <cellStyle name="Normal 10 2 2 2 2 3 5 2" xfId="15149"/>
    <cellStyle name="Normal 10 2 2 2 2 3 5 2 2" xfId="40704"/>
    <cellStyle name="Normal 10 2 2 2 2 3 5 3" xfId="25400"/>
    <cellStyle name="Normal 10 2 2 2 2 3 5 3 2" xfId="50953"/>
    <cellStyle name="Normal 10 2 2 2 2 3 5 4" xfId="31883"/>
    <cellStyle name="Normal 10 2 2 2 2 3 6" xfId="7768"/>
    <cellStyle name="Normal 10 2 2 2 2 3 6 2" xfId="20689"/>
    <cellStyle name="Normal 10 2 2 2 2 3 6 2 2" xfId="46242"/>
    <cellStyle name="Normal 10 2 2 2 2 3 6 3" xfId="33325"/>
    <cellStyle name="Normal 10 2 2 2 2 3 7" xfId="16491"/>
    <cellStyle name="Normal 10 2 2 2 2 3 7 2" xfId="42044"/>
    <cellStyle name="Normal 10 2 2 2 2 3 8" xfId="27172"/>
    <cellStyle name="Normal 10 2 2 2 2 4" xfId="3020"/>
    <cellStyle name="Normal 10 2 2 2 2 4 2" xfId="5398"/>
    <cellStyle name="Normal 10 2 2 2 2 4 2 2" xfId="14235"/>
    <cellStyle name="Normal 10 2 2 2 2 4 2 2 2" xfId="24486"/>
    <cellStyle name="Normal 10 2 2 2 2 4 2 2 2 2" xfId="50039"/>
    <cellStyle name="Normal 10 2 2 2 2 4 2 2 3" xfId="39790"/>
    <cellStyle name="Normal 10 2 2 2 2 4 2 3" xfId="10656"/>
    <cellStyle name="Normal 10 2 2 2 2 4 2 3 2" xfId="36213"/>
    <cellStyle name="Normal 10 2 2 2 2 4 2 4" xfId="19479"/>
    <cellStyle name="Normal 10 2 2 2 2 4 2 4 2" xfId="45032"/>
    <cellStyle name="Normal 10 2 2 2 2 4 2 5" xfId="30969"/>
    <cellStyle name="Normal 10 2 2 2 2 4 3" xfId="6853"/>
    <cellStyle name="Normal 10 2 2 2 2 4 3 2" xfId="15680"/>
    <cellStyle name="Normal 10 2 2 2 2 4 3 2 2" xfId="41235"/>
    <cellStyle name="Normal 10 2 2 2 2 4 3 3" xfId="25931"/>
    <cellStyle name="Normal 10 2 2 2 2 4 3 3 2" xfId="51484"/>
    <cellStyle name="Normal 10 2 2 2 2 4 3 4" xfId="32414"/>
    <cellStyle name="Normal 10 2 2 2 2 4 4" xfId="8299"/>
    <cellStyle name="Normal 10 2 2 2 2 4 4 2" xfId="22381"/>
    <cellStyle name="Normal 10 2 2 2 2 4 4 2 2" xfId="47934"/>
    <cellStyle name="Normal 10 2 2 2 2 4 4 3" xfId="33856"/>
    <cellStyle name="Normal 10 2 2 2 2 4 5" xfId="17374"/>
    <cellStyle name="Normal 10 2 2 2 2 4 5 2" xfId="42927"/>
    <cellStyle name="Normal 10 2 2 2 2 4 6" xfId="28864"/>
    <cellStyle name="Normal 10 2 2 2 2 5" xfId="4354"/>
    <cellStyle name="Normal 10 2 2 2 2 5 2" xfId="13192"/>
    <cellStyle name="Normal 10 2 2 2 2 5 2 2" xfId="23443"/>
    <cellStyle name="Normal 10 2 2 2 2 5 2 2 2" xfId="48996"/>
    <cellStyle name="Normal 10 2 2 2 2 5 2 3" xfId="38747"/>
    <cellStyle name="Normal 10 2 2 2 2 5 3" xfId="9613"/>
    <cellStyle name="Normal 10 2 2 2 2 5 3 2" xfId="35170"/>
    <cellStyle name="Normal 10 2 2 2 2 5 4" xfId="18436"/>
    <cellStyle name="Normal 10 2 2 2 2 5 4 2" xfId="43989"/>
    <cellStyle name="Normal 10 2 2 2 2 5 5" xfId="29926"/>
    <cellStyle name="Normal 10 2 2 2 2 6" xfId="1626"/>
    <cellStyle name="Normal 10 2 2 2 2 6 2" xfId="11003"/>
    <cellStyle name="Normal 10 2 2 2 2 6 2 2" xfId="36558"/>
    <cellStyle name="Normal 10 2 2 2 2 6 3" xfId="21007"/>
    <cellStyle name="Normal 10 2 2 2 2 6 3 2" xfId="46560"/>
    <cellStyle name="Normal 10 2 2 2 2 6 4" xfId="27490"/>
    <cellStyle name="Normal 10 2 2 2 2 7" xfId="5810"/>
    <cellStyle name="Normal 10 2 2 2 2 7 2" xfId="14637"/>
    <cellStyle name="Normal 10 2 2 2 2 7 2 2" xfId="40192"/>
    <cellStyle name="Normal 10 2 2 2 2 7 3" xfId="24888"/>
    <cellStyle name="Normal 10 2 2 2 2 7 3 2" xfId="50441"/>
    <cellStyle name="Normal 10 2 2 2 2 7 4" xfId="31371"/>
    <cellStyle name="Normal 10 2 2 2 2 8" xfId="7254"/>
    <cellStyle name="Normal 10 2 2 2 2 8 2" xfId="19980"/>
    <cellStyle name="Normal 10 2 2 2 2 8 2 2" xfId="45533"/>
    <cellStyle name="Normal 10 2 2 2 2 8 3" xfId="32811"/>
    <cellStyle name="Normal 10 2 2 2 2 9" xfId="16000"/>
    <cellStyle name="Normal 10 2 2 2 2 9 2" xfId="41553"/>
    <cellStyle name="Normal 10 2 2 2 2_Degree data" xfId="3900"/>
    <cellStyle name="Normal 10 2 2 2 3" xfId="434"/>
    <cellStyle name="Normal 10 2 2 2 3 2" xfId="2920"/>
    <cellStyle name="Normal 10 2 2 2 3 2 2" xfId="12208"/>
    <cellStyle name="Normal 10 2 2 2 3 2 2 2" xfId="22281"/>
    <cellStyle name="Normal 10 2 2 2 3 2 2 2 2" xfId="47834"/>
    <cellStyle name="Normal 10 2 2 2 3 2 2 3" xfId="37763"/>
    <cellStyle name="Normal 10 2 2 2 3 2 3" xfId="8446"/>
    <cellStyle name="Normal 10 2 2 2 3 2 3 2" xfId="34003"/>
    <cellStyle name="Normal 10 2 2 2 3 2 4" xfId="17274"/>
    <cellStyle name="Normal 10 2 2 2 3 2 4 2" xfId="42827"/>
    <cellStyle name="Normal 10 2 2 2 3 2 5" xfId="28764"/>
    <cellStyle name="Normal 10 2 2 2 3 3" xfId="4517"/>
    <cellStyle name="Normal 10 2 2 2 3 3 2" xfId="13355"/>
    <cellStyle name="Normal 10 2 2 2 3 3 2 2" xfId="23606"/>
    <cellStyle name="Normal 10 2 2 2 3 3 2 2 2" xfId="49159"/>
    <cellStyle name="Normal 10 2 2 2 3 3 2 3" xfId="38910"/>
    <cellStyle name="Normal 10 2 2 2 3 3 3" xfId="9776"/>
    <cellStyle name="Normal 10 2 2 2 3 3 3 2" xfId="35333"/>
    <cellStyle name="Normal 10 2 2 2 3 3 4" xfId="18599"/>
    <cellStyle name="Normal 10 2 2 2 3 3 4 2" xfId="44152"/>
    <cellStyle name="Normal 10 2 2 2 3 3 5" xfId="30089"/>
    <cellStyle name="Normal 10 2 2 2 3 4" xfId="2029"/>
    <cellStyle name="Normal 10 2 2 2 3 4 2" xfId="11394"/>
    <cellStyle name="Normal 10 2 2 2 3 4 2 2" xfId="36949"/>
    <cellStyle name="Normal 10 2 2 2 3 4 3" xfId="21398"/>
    <cellStyle name="Normal 10 2 2 2 3 4 3 2" xfId="46951"/>
    <cellStyle name="Normal 10 2 2 2 3 4 4" xfId="27881"/>
    <cellStyle name="Normal 10 2 2 2 3 5" xfId="5973"/>
    <cellStyle name="Normal 10 2 2 2 3 5 2" xfId="14800"/>
    <cellStyle name="Normal 10 2 2 2 3 5 2 2" xfId="40355"/>
    <cellStyle name="Normal 10 2 2 2 3 5 3" xfId="25051"/>
    <cellStyle name="Normal 10 2 2 2 3 5 3 2" xfId="50604"/>
    <cellStyle name="Normal 10 2 2 2 3 5 4" xfId="31534"/>
    <cellStyle name="Normal 10 2 2 2 3 6" xfId="7417"/>
    <cellStyle name="Normal 10 2 2 2 3 6 2" xfId="19880"/>
    <cellStyle name="Normal 10 2 2 2 3 6 2 2" xfId="45433"/>
    <cellStyle name="Normal 10 2 2 2 3 6 3" xfId="32974"/>
    <cellStyle name="Normal 10 2 2 2 3 7" xfId="16391"/>
    <cellStyle name="Normal 10 2 2 2 3 7 2" xfId="41944"/>
    <cellStyle name="Normal 10 2 2 2 3 8" xfId="26363"/>
    <cellStyle name="Normal 10 2 2 2 4" xfId="702"/>
    <cellStyle name="Normal 10 2 2 2 4 2" xfId="3188"/>
    <cellStyle name="Normal 10 2 2 2 4 2 2" xfId="12331"/>
    <cellStyle name="Normal 10 2 2 2 4 2 2 2" xfId="22549"/>
    <cellStyle name="Normal 10 2 2 2 4 2 2 2 2" xfId="48102"/>
    <cellStyle name="Normal 10 2 2 2 4 2 2 3" xfId="37886"/>
    <cellStyle name="Normal 10 2 2 2 4 2 3" xfId="8753"/>
    <cellStyle name="Normal 10 2 2 2 4 2 3 2" xfId="34310"/>
    <cellStyle name="Normal 10 2 2 2 4 2 4" xfId="17542"/>
    <cellStyle name="Normal 10 2 2 2 4 2 4 2" xfId="43095"/>
    <cellStyle name="Normal 10 2 2 2 4 2 5" xfId="29032"/>
    <cellStyle name="Normal 10 2 2 2 4 3" xfId="4866"/>
    <cellStyle name="Normal 10 2 2 2 4 3 2" xfId="13703"/>
    <cellStyle name="Normal 10 2 2 2 4 3 2 2" xfId="23954"/>
    <cellStyle name="Normal 10 2 2 2 4 3 2 2 2" xfId="49507"/>
    <cellStyle name="Normal 10 2 2 2 4 3 2 3" xfId="39258"/>
    <cellStyle name="Normal 10 2 2 2 4 3 3" xfId="10124"/>
    <cellStyle name="Normal 10 2 2 2 4 3 3 2" xfId="35681"/>
    <cellStyle name="Normal 10 2 2 2 4 3 4" xfId="18947"/>
    <cellStyle name="Normal 10 2 2 2 4 3 4 2" xfId="44500"/>
    <cellStyle name="Normal 10 2 2 2 4 3 5" xfId="30437"/>
    <cellStyle name="Normal 10 2 2 2 4 4" xfId="2297"/>
    <cellStyle name="Normal 10 2 2 2 4 4 2" xfId="11662"/>
    <cellStyle name="Normal 10 2 2 2 4 4 2 2" xfId="37217"/>
    <cellStyle name="Normal 10 2 2 2 4 4 3" xfId="21666"/>
    <cellStyle name="Normal 10 2 2 2 4 4 3 2" xfId="47219"/>
    <cellStyle name="Normal 10 2 2 2 4 4 4" xfId="28149"/>
    <cellStyle name="Normal 10 2 2 2 4 5" xfId="6321"/>
    <cellStyle name="Normal 10 2 2 2 4 5 2" xfId="15148"/>
    <cellStyle name="Normal 10 2 2 2 4 5 2 2" xfId="40703"/>
    <cellStyle name="Normal 10 2 2 2 4 5 3" xfId="25399"/>
    <cellStyle name="Normal 10 2 2 2 4 5 3 2" xfId="50952"/>
    <cellStyle name="Normal 10 2 2 2 4 5 4" xfId="31882"/>
    <cellStyle name="Normal 10 2 2 2 4 6" xfId="7767"/>
    <cellStyle name="Normal 10 2 2 2 4 6 2" xfId="20148"/>
    <cellStyle name="Normal 10 2 2 2 4 6 2 2" xfId="45701"/>
    <cellStyle name="Normal 10 2 2 2 4 6 3" xfId="33324"/>
    <cellStyle name="Normal 10 2 2 2 4 7" xfId="16659"/>
    <cellStyle name="Normal 10 2 2 2 4 7 2" xfId="42212"/>
    <cellStyle name="Normal 10 2 2 2 4 8" xfId="26631"/>
    <cellStyle name="Normal 10 2 2 2 5" xfId="1206"/>
    <cellStyle name="Normal 10 2 2 2 5 2" xfId="3635"/>
    <cellStyle name="Normal 10 2 2 2 5 2 2" xfId="12771"/>
    <cellStyle name="Normal 10 2 2 2 5 2 2 2" xfId="22990"/>
    <cellStyle name="Normal 10 2 2 2 5 2 2 2 2" xfId="48543"/>
    <cellStyle name="Normal 10 2 2 2 5 2 2 3" xfId="38326"/>
    <cellStyle name="Normal 10 2 2 2 5 2 3" xfId="9192"/>
    <cellStyle name="Normal 10 2 2 2 5 2 3 2" xfId="34749"/>
    <cellStyle name="Normal 10 2 2 2 5 2 4" xfId="17983"/>
    <cellStyle name="Normal 10 2 2 2 5 2 4 2" xfId="43536"/>
    <cellStyle name="Normal 10 2 2 2 5 2 5" xfId="29473"/>
    <cellStyle name="Normal 10 2 2 2 5 3" xfId="5298"/>
    <cellStyle name="Normal 10 2 2 2 5 3 2" xfId="14135"/>
    <cellStyle name="Normal 10 2 2 2 5 3 2 2" xfId="24386"/>
    <cellStyle name="Normal 10 2 2 2 5 3 2 2 2" xfId="49939"/>
    <cellStyle name="Normal 10 2 2 2 5 3 2 3" xfId="39690"/>
    <cellStyle name="Normal 10 2 2 2 5 3 3" xfId="10556"/>
    <cellStyle name="Normal 10 2 2 2 5 3 3 2" xfId="36113"/>
    <cellStyle name="Normal 10 2 2 2 5 3 4" xfId="19379"/>
    <cellStyle name="Normal 10 2 2 2 5 3 4 2" xfId="44932"/>
    <cellStyle name="Normal 10 2 2 2 5 3 5" xfId="30869"/>
    <cellStyle name="Normal 10 2 2 2 5 4" xfId="1809"/>
    <cellStyle name="Normal 10 2 2 2 5 4 2" xfId="11177"/>
    <cellStyle name="Normal 10 2 2 2 5 4 2 2" xfId="36732"/>
    <cellStyle name="Normal 10 2 2 2 5 4 3" xfId="21181"/>
    <cellStyle name="Normal 10 2 2 2 5 4 3 2" xfId="46734"/>
    <cellStyle name="Normal 10 2 2 2 5 4 4" xfId="27664"/>
    <cellStyle name="Normal 10 2 2 2 5 5" xfId="6753"/>
    <cellStyle name="Normal 10 2 2 2 5 5 2" xfId="15580"/>
    <cellStyle name="Normal 10 2 2 2 5 5 2 2" xfId="41135"/>
    <cellStyle name="Normal 10 2 2 2 5 5 3" xfId="25831"/>
    <cellStyle name="Normal 10 2 2 2 5 5 3 2" xfId="51384"/>
    <cellStyle name="Normal 10 2 2 2 5 5 4" xfId="32314"/>
    <cellStyle name="Normal 10 2 2 2 5 6" xfId="8199"/>
    <cellStyle name="Normal 10 2 2 2 5 6 2" xfId="20589"/>
    <cellStyle name="Normal 10 2 2 2 5 6 2 2" xfId="46142"/>
    <cellStyle name="Normal 10 2 2 2 5 6 3" xfId="33756"/>
    <cellStyle name="Normal 10 2 2 2 5 7" xfId="16174"/>
    <cellStyle name="Normal 10 2 2 2 5 7 2" xfId="41727"/>
    <cellStyle name="Normal 10 2 2 2 5 8" xfId="27072"/>
    <cellStyle name="Normal 10 2 2 2 6" xfId="2703"/>
    <cellStyle name="Normal 10 2 2 2 6 2" xfId="12020"/>
    <cellStyle name="Normal 10 2 2 2 6 2 2" xfId="22064"/>
    <cellStyle name="Normal 10 2 2 2 6 2 2 2" xfId="47617"/>
    <cellStyle name="Normal 10 2 2 2 6 2 3" xfId="37575"/>
    <cellStyle name="Normal 10 2 2 2 6 3" xfId="8410"/>
    <cellStyle name="Normal 10 2 2 2 6 3 2" xfId="33967"/>
    <cellStyle name="Normal 10 2 2 2 6 4" xfId="17057"/>
    <cellStyle name="Normal 10 2 2 2 6 4 2" xfId="42610"/>
    <cellStyle name="Normal 10 2 2 2 6 5" xfId="28547"/>
    <cellStyle name="Normal 10 2 2 2 7" xfId="4254"/>
    <cellStyle name="Normal 10 2 2 2 7 2" xfId="13092"/>
    <cellStyle name="Normal 10 2 2 2 7 2 2" xfId="23343"/>
    <cellStyle name="Normal 10 2 2 2 7 2 2 2" xfId="48896"/>
    <cellStyle name="Normal 10 2 2 2 7 2 3" xfId="38647"/>
    <cellStyle name="Normal 10 2 2 2 7 3" xfId="9513"/>
    <cellStyle name="Normal 10 2 2 2 7 3 2" xfId="35070"/>
    <cellStyle name="Normal 10 2 2 2 7 4" xfId="18336"/>
    <cellStyle name="Normal 10 2 2 2 7 4 2" xfId="43889"/>
    <cellStyle name="Normal 10 2 2 2 7 5" xfId="29826"/>
    <cellStyle name="Normal 10 2 2 2 8" xfId="1526"/>
    <cellStyle name="Normal 10 2 2 2 8 2" xfId="10903"/>
    <cellStyle name="Normal 10 2 2 2 8 2 2" xfId="36458"/>
    <cellStyle name="Normal 10 2 2 2 8 3" xfId="20907"/>
    <cellStyle name="Normal 10 2 2 2 8 3 2" xfId="46460"/>
    <cellStyle name="Normal 10 2 2 2 8 4" xfId="27390"/>
    <cellStyle name="Normal 10 2 2 2 9" xfId="5710"/>
    <cellStyle name="Normal 10 2 2 2 9 2" xfId="14537"/>
    <cellStyle name="Normal 10 2 2 2 9 2 2" xfId="40092"/>
    <cellStyle name="Normal 10 2 2 2 9 3" xfId="24788"/>
    <cellStyle name="Normal 10 2 2 2 9 3 2" xfId="50341"/>
    <cellStyle name="Normal 10 2 2 2 9 4" xfId="31271"/>
    <cellStyle name="Normal 10 2 2 2_Degree data" xfId="3896"/>
    <cellStyle name="Normal 10 2 2 3" xfId="273"/>
    <cellStyle name="Normal 10 2 2 3 10" xfId="7111"/>
    <cellStyle name="Normal 10 2 2 3 10 2" xfId="19724"/>
    <cellStyle name="Normal 10 2 2 3 10 2 2" xfId="45277"/>
    <cellStyle name="Normal 10 2 2 3 10 3" xfId="32668"/>
    <cellStyle name="Normal 10 2 2 3 11" xfId="15857"/>
    <cellStyle name="Normal 10 2 2 3 11 2" xfId="41410"/>
    <cellStyle name="Normal 10 2 2 3 12" xfId="26207"/>
    <cellStyle name="Normal 10 2 2 3 2" xfId="595"/>
    <cellStyle name="Normal 10 2 2 3 2 10" xfId="26524"/>
    <cellStyle name="Normal 10 2 2 3 2 2" xfId="705"/>
    <cellStyle name="Normal 10 2 2 3 2 2 2" xfId="3191"/>
    <cellStyle name="Normal 10 2 2 3 2 2 2 2" xfId="12334"/>
    <cellStyle name="Normal 10 2 2 3 2 2 2 2 2" xfId="22552"/>
    <cellStyle name="Normal 10 2 2 3 2 2 2 2 2 2" xfId="48105"/>
    <cellStyle name="Normal 10 2 2 3 2 2 2 2 3" xfId="37889"/>
    <cellStyle name="Normal 10 2 2 3 2 2 2 3" xfId="8756"/>
    <cellStyle name="Normal 10 2 2 3 2 2 2 3 2" xfId="34313"/>
    <cellStyle name="Normal 10 2 2 3 2 2 2 4" xfId="17545"/>
    <cellStyle name="Normal 10 2 2 3 2 2 2 4 2" xfId="43098"/>
    <cellStyle name="Normal 10 2 2 3 2 2 2 5" xfId="29035"/>
    <cellStyle name="Normal 10 2 2 3 2 2 3" xfId="4520"/>
    <cellStyle name="Normal 10 2 2 3 2 2 3 2" xfId="13358"/>
    <cellStyle name="Normal 10 2 2 3 2 2 3 2 2" xfId="23609"/>
    <cellStyle name="Normal 10 2 2 3 2 2 3 2 2 2" xfId="49162"/>
    <cellStyle name="Normal 10 2 2 3 2 2 3 2 3" xfId="38913"/>
    <cellStyle name="Normal 10 2 2 3 2 2 3 3" xfId="9779"/>
    <cellStyle name="Normal 10 2 2 3 2 2 3 3 2" xfId="35336"/>
    <cellStyle name="Normal 10 2 2 3 2 2 3 4" xfId="18602"/>
    <cellStyle name="Normal 10 2 2 3 2 2 3 4 2" xfId="44155"/>
    <cellStyle name="Normal 10 2 2 3 2 2 3 5" xfId="30092"/>
    <cellStyle name="Normal 10 2 2 3 2 2 4" xfId="2300"/>
    <cellStyle name="Normal 10 2 2 3 2 2 4 2" xfId="11665"/>
    <cellStyle name="Normal 10 2 2 3 2 2 4 2 2" xfId="37220"/>
    <cellStyle name="Normal 10 2 2 3 2 2 4 3" xfId="21669"/>
    <cellStyle name="Normal 10 2 2 3 2 2 4 3 2" xfId="47222"/>
    <cellStyle name="Normal 10 2 2 3 2 2 4 4" xfId="28152"/>
    <cellStyle name="Normal 10 2 2 3 2 2 5" xfId="5976"/>
    <cellStyle name="Normal 10 2 2 3 2 2 5 2" xfId="14803"/>
    <cellStyle name="Normal 10 2 2 3 2 2 5 2 2" xfId="40358"/>
    <cellStyle name="Normal 10 2 2 3 2 2 5 3" xfId="25054"/>
    <cellStyle name="Normal 10 2 2 3 2 2 5 3 2" xfId="50607"/>
    <cellStyle name="Normal 10 2 2 3 2 2 5 4" xfId="31537"/>
    <cellStyle name="Normal 10 2 2 3 2 2 6" xfId="7420"/>
    <cellStyle name="Normal 10 2 2 3 2 2 6 2" xfId="20151"/>
    <cellStyle name="Normal 10 2 2 3 2 2 6 2 2" xfId="45704"/>
    <cellStyle name="Normal 10 2 2 3 2 2 6 3" xfId="32977"/>
    <cellStyle name="Normal 10 2 2 3 2 2 7" xfId="16662"/>
    <cellStyle name="Normal 10 2 2 3 2 2 7 2" xfId="42215"/>
    <cellStyle name="Normal 10 2 2 3 2 2 8" xfId="26634"/>
    <cellStyle name="Normal 10 2 2 3 2 3" xfId="1367"/>
    <cellStyle name="Normal 10 2 2 3 2 3 2" xfId="3796"/>
    <cellStyle name="Normal 10 2 2 3 2 3 2 2" xfId="12932"/>
    <cellStyle name="Normal 10 2 2 3 2 3 2 2 2" xfId="23151"/>
    <cellStyle name="Normal 10 2 2 3 2 3 2 2 2 2" xfId="48704"/>
    <cellStyle name="Normal 10 2 2 3 2 3 2 2 3" xfId="38487"/>
    <cellStyle name="Normal 10 2 2 3 2 3 2 3" xfId="9353"/>
    <cellStyle name="Normal 10 2 2 3 2 3 2 3 2" xfId="34910"/>
    <cellStyle name="Normal 10 2 2 3 2 3 2 4" xfId="18144"/>
    <cellStyle name="Normal 10 2 2 3 2 3 2 4 2" xfId="43697"/>
    <cellStyle name="Normal 10 2 2 3 2 3 2 5" xfId="29634"/>
    <cellStyle name="Normal 10 2 2 3 2 3 3" xfId="4869"/>
    <cellStyle name="Normal 10 2 2 3 2 3 3 2" xfId="13706"/>
    <cellStyle name="Normal 10 2 2 3 2 3 3 2 2" xfId="23957"/>
    <cellStyle name="Normal 10 2 2 3 2 3 3 2 2 2" xfId="49510"/>
    <cellStyle name="Normal 10 2 2 3 2 3 3 2 3" xfId="39261"/>
    <cellStyle name="Normal 10 2 2 3 2 3 3 3" xfId="10127"/>
    <cellStyle name="Normal 10 2 2 3 2 3 3 3 2" xfId="35684"/>
    <cellStyle name="Normal 10 2 2 3 2 3 3 4" xfId="18950"/>
    <cellStyle name="Normal 10 2 2 3 2 3 3 4 2" xfId="44503"/>
    <cellStyle name="Normal 10 2 2 3 2 3 3 5" xfId="30440"/>
    <cellStyle name="Normal 10 2 2 3 2 3 4" xfId="2190"/>
    <cellStyle name="Normal 10 2 2 3 2 3 4 2" xfId="11555"/>
    <cellStyle name="Normal 10 2 2 3 2 3 4 2 2" xfId="37110"/>
    <cellStyle name="Normal 10 2 2 3 2 3 4 3" xfId="21559"/>
    <cellStyle name="Normal 10 2 2 3 2 3 4 3 2" xfId="47112"/>
    <cellStyle name="Normal 10 2 2 3 2 3 4 4" xfId="28042"/>
    <cellStyle name="Normal 10 2 2 3 2 3 5" xfId="6324"/>
    <cellStyle name="Normal 10 2 2 3 2 3 5 2" xfId="15151"/>
    <cellStyle name="Normal 10 2 2 3 2 3 5 2 2" xfId="40706"/>
    <cellStyle name="Normal 10 2 2 3 2 3 5 3" xfId="25402"/>
    <cellStyle name="Normal 10 2 2 3 2 3 5 3 2" xfId="50955"/>
    <cellStyle name="Normal 10 2 2 3 2 3 5 4" xfId="31885"/>
    <cellStyle name="Normal 10 2 2 3 2 3 6" xfId="7770"/>
    <cellStyle name="Normal 10 2 2 3 2 3 6 2" xfId="20750"/>
    <cellStyle name="Normal 10 2 2 3 2 3 6 2 2" xfId="46303"/>
    <cellStyle name="Normal 10 2 2 3 2 3 6 3" xfId="33327"/>
    <cellStyle name="Normal 10 2 2 3 2 3 7" xfId="16552"/>
    <cellStyle name="Normal 10 2 2 3 2 3 7 2" xfId="42105"/>
    <cellStyle name="Normal 10 2 2 3 2 3 8" xfId="27233"/>
    <cellStyle name="Normal 10 2 2 3 2 4" xfId="3081"/>
    <cellStyle name="Normal 10 2 2 3 2 4 2" xfId="5459"/>
    <cellStyle name="Normal 10 2 2 3 2 4 2 2" xfId="14296"/>
    <cellStyle name="Normal 10 2 2 3 2 4 2 2 2" xfId="24547"/>
    <cellStyle name="Normal 10 2 2 3 2 4 2 2 2 2" xfId="50100"/>
    <cellStyle name="Normal 10 2 2 3 2 4 2 2 3" xfId="39851"/>
    <cellStyle name="Normal 10 2 2 3 2 4 2 3" xfId="10717"/>
    <cellStyle name="Normal 10 2 2 3 2 4 2 3 2" xfId="36274"/>
    <cellStyle name="Normal 10 2 2 3 2 4 2 4" xfId="19540"/>
    <cellStyle name="Normal 10 2 2 3 2 4 2 4 2" xfId="45093"/>
    <cellStyle name="Normal 10 2 2 3 2 4 2 5" xfId="31030"/>
    <cellStyle name="Normal 10 2 2 3 2 4 3" xfId="6914"/>
    <cellStyle name="Normal 10 2 2 3 2 4 3 2" xfId="15741"/>
    <cellStyle name="Normal 10 2 2 3 2 4 3 2 2" xfId="41296"/>
    <cellStyle name="Normal 10 2 2 3 2 4 3 3" xfId="25992"/>
    <cellStyle name="Normal 10 2 2 3 2 4 3 3 2" xfId="51545"/>
    <cellStyle name="Normal 10 2 2 3 2 4 3 4" xfId="32475"/>
    <cellStyle name="Normal 10 2 2 3 2 4 4" xfId="8360"/>
    <cellStyle name="Normal 10 2 2 3 2 4 4 2" xfId="22442"/>
    <cellStyle name="Normal 10 2 2 3 2 4 4 2 2" xfId="47995"/>
    <cellStyle name="Normal 10 2 2 3 2 4 4 3" xfId="33917"/>
    <cellStyle name="Normal 10 2 2 3 2 4 5" xfId="17435"/>
    <cellStyle name="Normal 10 2 2 3 2 4 5 2" xfId="42988"/>
    <cellStyle name="Normal 10 2 2 3 2 4 6" xfId="28925"/>
    <cellStyle name="Normal 10 2 2 3 2 5" xfId="4415"/>
    <cellStyle name="Normal 10 2 2 3 2 5 2" xfId="13253"/>
    <cellStyle name="Normal 10 2 2 3 2 5 2 2" xfId="23504"/>
    <cellStyle name="Normal 10 2 2 3 2 5 2 2 2" xfId="49057"/>
    <cellStyle name="Normal 10 2 2 3 2 5 2 3" xfId="38808"/>
    <cellStyle name="Normal 10 2 2 3 2 5 3" xfId="9674"/>
    <cellStyle name="Normal 10 2 2 3 2 5 3 2" xfId="35231"/>
    <cellStyle name="Normal 10 2 2 3 2 5 4" xfId="18497"/>
    <cellStyle name="Normal 10 2 2 3 2 5 4 2" xfId="44050"/>
    <cellStyle name="Normal 10 2 2 3 2 5 5" xfId="29987"/>
    <cellStyle name="Normal 10 2 2 3 2 6" xfId="1687"/>
    <cellStyle name="Normal 10 2 2 3 2 6 2" xfId="11064"/>
    <cellStyle name="Normal 10 2 2 3 2 6 2 2" xfId="36619"/>
    <cellStyle name="Normal 10 2 2 3 2 6 3" xfId="21068"/>
    <cellStyle name="Normal 10 2 2 3 2 6 3 2" xfId="46621"/>
    <cellStyle name="Normal 10 2 2 3 2 6 4" xfId="27551"/>
    <cellStyle name="Normal 10 2 2 3 2 7" xfId="5871"/>
    <cellStyle name="Normal 10 2 2 3 2 7 2" xfId="14698"/>
    <cellStyle name="Normal 10 2 2 3 2 7 2 2" xfId="40253"/>
    <cellStyle name="Normal 10 2 2 3 2 7 3" xfId="24949"/>
    <cellStyle name="Normal 10 2 2 3 2 7 3 2" xfId="50502"/>
    <cellStyle name="Normal 10 2 2 3 2 7 4" xfId="31432"/>
    <cellStyle name="Normal 10 2 2 3 2 8" xfId="7315"/>
    <cellStyle name="Normal 10 2 2 3 2 8 2" xfId="20041"/>
    <cellStyle name="Normal 10 2 2 3 2 8 2 2" xfId="45594"/>
    <cellStyle name="Normal 10 2 2 3 2 8 3" xfId="32872"/>
    <cellStyle name="Normal 10 2 2 3 2 9" xfId="16061"/>
    <cellStyle name="Normal 10 2 2 3 2 9 2" xfId="41614"/>
    <cellStyle name="Normal 10 2 2 3 2_Degree data" xfId="2607"/>
    <cellStyle name="Normal 10 2 2 3 3" xfId="391"/>
    <cellStyle name="Normal 10 2 2 3 3 2" xfId="2877"/>
    <cellStyle name="Normal 10 2 2 3 3 2 2" xfId="12165"/>
    <cellStyle name="Normal 10 2 2 3 3 2 2 2" xfId="22238"/>
    <cellStyle name="Normal 10 2 2 3 3 2 2 2 2" xfId="47791"/>
    <cellStyle name="Normal 10 2 2 3 3 2 2 3" xfId="37720"/>
    <cellStyle name="Normal 10 2 2 3 3 2 3" xfId="8457"/>
    <cellStyle name="Normal 10 2 2 3 3 2 3 2" xfId="34014"/>
    <cellStyle name="Normal 10 2 2 3 3 2 4" xfId="17231"/>
    <cellStyle name="Normal 10 2 2 3 3 2 4 2" xfId="42784"/>
    <cellStyle name="Normal 10 2 2 3 3 2 5" xfId="28721"/>
    <cellStyle name="Normal 10 2 2 3 3 3" xfId="4519"/>
    <cellStyle name="Normal 10 2 2 3 3 3 2" xfId="13357"/>
    <cellStyle name="Normal 10 2 2 3 3 3 2 2" xfId="23608"/>
    <cellStyle name="Normal 10 2 2 3 3 3 2 2 2" xfId="49161"/>
    <cellStyle name="Normal 10 2 2 3 3 3 2 3" xfId="38912"/>
    <cellStyle name="Normal 10 2 2 3 3 3 3" xfId="9778"/>
    <cellStyle name="Normal 10 2 2 3 3 3 3 2" xfId="35335"/>
    <cellStyle name="Normal 10 2 2 3 3 3 4" xfId="18601"/>
    <cellStyle name="Normal 10 2 2 3 3 3 4 2" xfId="44154"/>
    <cellStyle name="Normal 10 2 2 3 3 3 5" xfId="30091"/>
    <cellStyle name="Normal 10 2 2 3 3 4" xfId="1986"/>
    <cellStyle name="Normal 10 2 2 3 3 4 2" xfId="11351"/>
    <cellStyle name="Normal 10 2 2 3 3 4 2 2" xfId="36906"/>
    <cellStyle name="Normal 10 2 2 3 3 4 3" xfId="21355"/>
    <cellStyle name="Normal 10 2 2 3 3 4 3 2" xfId="46908"/>
    <cellStyle name="Normal 10 2 2 3 3 4 4" xfId="27838"/>
    <cellStyle name="Normal 10 2 2 3 3 5" xfId="5975"/>
    <cellStyle name="Normal 10 2 2 3 3 5 2" xfId="14802"/>
    <cellStyle name="Normal 10 2 2 3 3 5 2 2" xfId="40357"/>
    <cellStyle name="Normal 10 2 2 3 3 5 3" xfId="25053"/>
    <cellStyle name="Normal 10 2 2 3 3 5 3 2" xfId="50606"/>
    <cellStyle name="Normal 10 2 2 3 3 5 4" xfId="31536"/>
    <cellStyle name="Normal 10 2 2 3 3 6" xfId="7419"/>
    <cellStyle name="Normal 10 2 2 3 3 6 2" xfId="19837"/>
    <cellStyle name="Normal 10 2 2 3 3 6 2 2" xfId="45390"/>
    <cellStyle name="Normal 10 2 2 3 3 6 3" xfId="32976"/>
    <cellStyle name="Normal 10 2 2 3 3 7" xfId="16348"/>
    <cellStyle name="Normal 10 2 2 3 3 7 2" xfId="41901"/>
    <cellStyle name="Normal 10 2 2 3 3 8" xfId="26320"/>
    <cellStyle name="Normal 10 2 2 3 4" xfId="704"/>
    <cellStyle name="Normal 10 2 2 3 4 2" xfId="3190"/>
    <cellStyle name="Normal 10 2 2 3 4 2 2" xfId="12333"/>
    <cellStyle name="Normal 10 2 2 3 4 2 2 2" xfId="22551"/>
    <cellStyle name="Normal 10 2 2 3 4 2 2 2 2" xfId="48104"/>
    <cellStyle name="Normal 10 2 2 3 4 2 2 3" xfId="37888"/>
    <cellStyle name="Normal 10 2 2 3 4 2 3" xfId="8755"/>
    <cellStyle name="Normal 10 2 2 3 4 2 3 2" xfId="34312"/>
    <cellStyle name="Normal 10 2 2 3 4 2 4" xfId="17544"/>
    <cellStyle name="Normal 10 2 2 3 4 2 4 2" xfId="43097"/>
    <cellStyle name="Normal 10 2 2 3 4 2 5" xfId="29034"/>
    <cellStyle name="Normal 10 2 2 3 4 3" xfId="4868"/>
    <cellStyle name="Normal 10 2 2 3 4 3 2" xfId="13705"/>
    <cellStyle name="Normal 10 2 2 3 4 3 2 2" xfId="23956"/>
    <cellStyle name="Normal 10 2 2 3 4 3 2 2 2" xfId="49509"/>
    <cellStyle name="Normal 10 2 2 3 4 3 2 3" xfId="39260"/>
    <cellStyle name="Normal 10 2 2 3 4 3 3" xfId="10126"/>
    <cellStyle name="Normal 10 2 2 3 4 3 3 2" xfId="35683"/>
    <cellStyle name="Normal 10 2 2 3 4 3 4" xfId="18949"/>
    <cellStyle name="Normal 10 2 2 3 4 3 4 2" xfId="44502"/>
    <cellStyle name="Normal 10 2 2 3 4 3 5" xfId="30439"/>
    <cellStyle name="Normal 10 2 2 3 4 4" xfId="2299"/>
    <cellStyle name="Normal 10 2 2 3 4 4 2" xfId="11664"/>
    <cellStyle name="Normal 10 2 2 3 4 4 2 2" xfId="37219"/>
    <cellStyle name="Normal 10 2 2 3 4 4 3" xfId="21668"/>
    <cellStyle name="Normal 10 2 2 3 4 4 3 2" xfId="47221"/>
    <cellStyle name="Normal 10 2 2 3 4 4 4" xfId="28151"/>
    <cellStyle name="Normal 10 2 2 3 4 5" xfId="6323"/>
    <cellStyle name="Normal 10 2 2 3 4 5 2" xfId="15150"/>
    <cellStyle name="Normal 10 2 2 3 4 5 2 2" xfId="40705"/>
    <cellStyle name="Normal 10 2 2 3 4 5 3" xfId="25401"/>
    <cellStyle name="Normal 10 2 2 3 4 5 3 2" xfId="50954"/>
    <cellStyle name="Normal 10 2 2 3 4 5 4" xfId="31884"/>
    <cellStyle name="Normal 10 2 2 3 4 6" xfId="7769"/>
    <cellStyle name="Normal 10 2 2 3 4 6 2" xfId="20150"/>
    <cellStyle name="Normal 10 2 2 3 4 6 2 2" xfId="45703"/>
    <cellStyle name="Normal 10 2 2 3 4 6 3" xfId="33326"/>
    <cellStyle name="Normal 10 2 2 3 4 7" xfId="16661"/>
    <cellStyle name="Normal 10 2 2 3 4 7 2" xfId="42214"/>
    <cellStyle name="Normal 10 2 2 3 4 8" xfId="26633"/>
    <cellStyle name="Normal 10 2 2 3 5" xfId="1163"/>
    <cellStyle name="Normal 10 2 2 3 5 2" xfId="3592"/>
    <cellStyle name="Normal 10 2 2 3 5 2 2" xfId="12728"/>
    <cellStyle name="Normal 10 2 2 3 5 2 2 2" xfId="22947"/>
    <cellStyle name="Normal 10 2 2 3 5 2 2 2 2" xfId="48500"/>
    <cellStyle name="Normal 10 2 2 3 5 2 2 3" xfId="38283"/>
    <cellStyle name="Normal 10 2 2 3 5 2 3" xfId="9149"/>
    <cellStyle name="Normal 10 2 2 3 5 2 3 2" xfId="34706"/>
    <cellStyle name="Normal 10 2 2 3 5 2 4" xfId="17940"/>
    <cellStyle name="Normal 10 2 2 3 5 2 4 2" xfId="43493"/>
    <cellStyle name="Normal 10 2 2 3 5 2 5" xfId="29430"/>
    <cellStyle name="Normal 10 2 2 3 5 3" xfId="5255"/>
    <cellStyle name="Normal 10 2 2 3 5 3 2" xfId="14092"/>
    <cellStyle name="Normal 10 2 2 3 5 3 2 2" xfId="24343"/>
    <cellStyle name="Normal 10 2 2 3 5 3 2 2 2" xfId="49896"/>
    <cellStyle name="Normal 10 2 2 3 5 3 2 3" xfId="39647"/>
    <cellStyle name="Normal 10 2 2 3 5 3 3" xfId="10513"/>
    <cellStyle name="Normal 10 2 2 3 5 3 3 2" xfId="36070"/>
    <cellStyle name="Normal 10 2 2 3 5 3 4" xfId="19336"/>
    <cellStyle name="Normal 10 2 2 3 5 3 4 2" xfId="44889"/>
    <cellStyle name="Normal 10 2 2 3 5 3 5" xfId="30826"/>
    <cellStyle name="Normal 10 2 2 3 5 4" xfId="1870"/>
    <cellStyle name="Normal 10 2 2 3 5 4 2" xfId="11238"/>
    <cellStyle name="Normal 10 2 2 3 5 4 2 2" xfId="36793"/>
    <cellStyle name="Normal 10 2 2 3 5 4 3" xfId="21242"/>
    <cellStyle name="Normal 10 2 2 3 5 4 3 2" xfId="46795"/>
    <cellStyle name="Normal 10 2 2 3 5 4 4" xfId="27725"/>
    <cellStyle name="Normal 10 2 2 3 5 5" xfId="6710"/>
    <cellStyle name="Normal 10 2 2 3 5 5 2" xfId="15537"/>
    <cellStyle name="Normal 10 2 2 3 5 5 2 2" xfId="41092"/>
    <cellStyle name="Normal 10 2 2 3 5 5 3" xfId="25788"/>
    <cellStyle name="Normal 10 2 2 3 5 5 3 2" xfId="51341"/>
    <cellStyle name="Normal 10 2 2 3 5 5 4" xfId="32271"/>
    <cellStyle name="Normal 10 2 2 3 5 6" xfId="8156"/>
    <cellStyle name="Normal 10 2 2 3 5 6 2" xfId="20546"/>
    <cellStyle name="Normal 10 2 2 3 5 6 2 2" xfId="46099"/>
    <cellStyle name="Normal 10 2 2 3 5 6 3" xfId="33713"/>
    <cellStyle name="Normal 10 2 2 3 5 7" xfId="16235"/>
    <cellStyle name="Normal 10 2 2 3 5 7 2" xfId="41788"/>
    <cellStyle name="Normal 10 2 2 3 5 8" xfId="27029"/>
    <cellStyle name="Normal 10 2 2 3 6" xfId="2764"/>
    <cellStyle name="Normal 10 2 2 3 6 2" xfId="12081"/>
    <cellStyle name="Normal 10 2 2 3 6 2 2" xfId="22125"/>
    <cellStyle name="Normal 10 2 2 3 6 2 2 2" xfId="47678"/>
    <cellStyle name="Normal 10 2 2 3 6 2 3" xfId="37636"/>
    <cellStyle name="Normal 10 2 2 3 6 3" xfId="8479"/>
    <cellStyle name="Normal 10 2 2 3 6 3 2" xfId="34036"/>
    <cellStyle name="Normal 10 2 2 3 6 4" xfId="17118"/>
    <cellStyle name="Normal 10 2 2 3 6 4 2" xfId="42671"/>
    <cellStyle name="Normal 10 2 2 3 6 5" xfId="28608"/>
    <cellStyle name="Normal 10 2 2 3 7" xfId="4211"/>
    <cellStyle name="Normal 10 2 2 3 7 2" xfId="13049"/>
    <cellStyle name="Normal 10 2 2 3 7 2 2" xfId="23300"/>
    <cellStyle name="Normal 10 2 2 3 7 2 2 2" xfId="48853"/>
    <cellStyle name="Normal 10 2 2 3 7 2 3" xfId="38604"/>
    <cellStyle name="Normal 10 2 2 3 7 3" xfId="9470"/>
    <cellStyle name="Normal 10 2 2 3 7 3 2" xfId="35027"/>
    <cellStyle name="Normal 10 2 2 3 7 4" xfId="18293"/>
    <cellStyle name="Normal 10 2 2 3 7 4 2" xfId="43846"/>
    <cellStyle name="Normal 10 2 2 3 7 5" xfId="29783"/>
    <cellStyle name="Normal 10 2 2 3 8" xfId="1483"/>
    <cellStyle name="Normal 10 2 2 3 8 2" xfId="10860"/>
    <cellStyle name="Normal 10 2 2 3 8 2 2" xfId="36415"/>
    <cellStyle name="Normal 10 2 2 3 8 3" xfId="20864"/>
    <cellStyle name="Normal 10 2 2 3 8 3 2" xfId="46417"/>
    <cellStyle name="Normal 10 2 2 3 8 4" xfId="27347"/>
    <cellStyle name="Normal 10 2 2 3 9" xfId="5667"/>
    <cellStyle name="Normal 10 2 2 3 9 2" xfId="14494"/>
    <cellStyle name="Normal 10 2 2 3 9 2 2" xfId="40049"/>
    <cellStyle name="Normal 10 2 2 3 9 3" xfId="24745"/>
    <cellStyle name="Normal 10 2 2 3 9 3 2" xfId="50298"/>
    <cellStyle name="Normal 10 2 2 3 9 4" xfId="31228"/>
    <cellStyle name="Normal 10 2 2 3_Degree data" xfId="3850"/>
    <cellStyle name="Normal 10 2 2 4" xfId="491"/>
    <cellStyle name="Normal 10 2 2 4 10" xfId="26420"/>
    <cellStyle name="Normal 10 2 2 4 2" xfId="706"/>
    <cellStyle name="Normal 10 2 2 4 2 2" xfId="3192"/>
    <cellStyle name="Normal 10 2 2 4 2 2 2" xfId="12335"/>
    <cellStyle name="Normal 10 2 2 4 2 2 2 2" xfId="22553"/>
    <cellStyle name="Normal 10 2 2 4 2 2 2 2 2" xfId="48106"/>
    <cellStyle name="Normal 10 2 2 4 2 2 2 3" xfId="37890"/>
    <cellStyle name="Normal 10 2 2 4 2 2 3" xfId="8757"/>
    <cellStyle name="Normal 10 2 2 4 2 2 3 2" xfId="34314"/>
    <cellStyle name="Normal 10 2 2 4 2 2 4" xfId="17546"/>
    <cellStyle name="Normal 10 2 2 4 2 2 4 2" xfId="43099"/>
    <cellStyle name="Normal 10 2 2 4 2 2 5" xfId="29036"/>
    <cellStyle name="Normal 10 2 2 4 2 3" xfId="4521"/>
    <cellStyle name="Normal 10 2 2 4 2 3 2" xfId="13359"/>
    <cellStyle name="Normal 10 2 2 4 2 3 2 2" xfId="23610"/>
    <cellStyle name="Normal 10 2 2 4 2 3 2 2 2" xfId="49163"/>
    <cellStyle name="Normal 10 2 2 4 2 3 2 3" xfId="38914"/>
    <cellStyle name="Normal 10 2 2 4 2 3 3" xfId="9780"/>
    <cellStyle name="Normal 10 2 2 4 2 3 3 2" xfId="35337"/>
    <cellStyle name="Normal 10 2 2 4 2 3 4" xfId="18603"/>
    <cellStyle name="Normal 10 2 2 4 2 3 4 2" xfId="44156"/>
    <cellStyle name="Normal 10 2 2 4 2 3 5" xfId="30093"/>
    <cellStyle name="Normal 10 2 2 4 2 4" xfId="2301"/>
    <cellStyle name="Normal 10 2 2 4 2 4 2" xfId="11666"/>
    <cellStyle name="Normal 10 2 2 4 2 4 2 2" xfId="37221"/>
    <cellStyle name="Normal 10 2 2 4 2 4 3" xfId="21670"/>
    <cellStyle name="Normal 10 2 2 4 2 4 3 2" xfId="47223"/>
    <cellStyle name="Normal 10 2 2 4 2 4 4" xfId="28153"/>
    <cellStyle name="Normal 10 2 2 4 2 5" xfId="5977"/>
    <cellStyle name="Normal 10 2 2 4 2 5 2" xfId="14804"/>
    <cellStyle name="Normal 10 2 2 4 2 5 2 2" xfId="40359"/>
    <cellStyle name="Normal 10 2 2 4 2 5 3" xfId="25055"/>
    <cellStyle name="Normal 10 2 2 4 2 5 3 2" xfId="50608"/>
    <cellStyle name="Normal 10 2 2 4 2 5 4" xfId="31538"/>
    <cellStyle name="Normal 10 2 2 4 2 6" xfId="7421"/>
    <cellStyle name="Normal 10 2 2 4 2 6 2" xfId="20152"/>
    <cellStyle name="Normal 10 2 2 4 2 6 2 2" xfId="45705"/>
    <cellStyle name="Normal 10 2 2 4 2 6 3" xfId="32978"/>
    <cellStyle name="Normal 10 2 2 4 2 7" xfId="16663"/>
    <cellStyle name="Normal 10 2 2 4 2 7 2" xfId="42216"/>
    <cellStyle name="Normal 10 2 2 4 2 8" xfId="26635"/>
    <cellStyle name="Normal 10 2 2 4 3" xfId="1263"/>
    <cellStyle name="Normal 10 2 2 4 3 2" xfId="3692"/>
    <cellStyle name="Normal 10 2 2 4 3 2 2" xfId="12828"/>
    <cellStyle name="Normal 10 2 2 4 3 2 2 2" xfId="23047"/>
    <cellStyle name="Normal 10 2 2 4 3 2 2 2 2" xfId="48600"/>
    <cellStyle name="Normal 10 2 2 4 3 2 2 3" xfId="38383"/>
    <cellStyle name="Normal 10 2 2 4 3 2 3" xfId="9249"/>
    <cellStyle name="Normal 10 2 2 4 3 2 3 2" xfId="34806"/>
    <cellStyle name="Normal 10 2 2 4 3 2 4" xfId="18040"/>
    <cellStyle name="Normal 10 2 2 4 3 2 4 2" xfId="43593"/>
    <cellStyle name="Normal 10 2 2 4 3 2 5" xfId="29530"/>
    <cellStyle name="Normal 10 2 2 4 3 3" xfId="4870"/>
    <cellStyle name="Normal 10 2 2 4 3 3 2" xfId="13707"/>
    <cellStyle name="Normal 10 2 2 4 3 3 2 2" xfId="23958"/>
    <cellStyle name="Normal 10 2 2 4 3 3 2 2 2" xfId="49511"/>
    <cellStyle name="Normal 10 2 2 4 3 3 2 3" xfId="39262"/>
    <cellStyle name="Normal 10 2 2 4 3 3 3" xfId="10128"/>
    <cellStyle name="Normal 10 2 2 4 3 3 3 2" xfId="35685"/>
    <cellStyle name="Normal 10 2 2 4 3 3 4" xfId="18951"/>
    <cellStyle name="Normal 10 2 2 4 3 3 4 2" xfId="44504"/>
    <cellStyle name="Normal 10 2 2 4 3 3 5" xfId="30441"/>
    <cellStyle name="Normal 10 2 2 4 3 4" xfId="2086"/>
    <cellStyle name="Normal 10 2 2 4 3 4 2" xfId="11451"/>
    <cellStyle name="Normal 10 2 2 4 3 4 2 2" xfId="37006"/>
    <cellStyle name="Normal 10 2 2 4 3 4 3" xfId="21455"/>
    <cellStyle name="Normal 10 2 2 4 3 4 3 2" xfId="47008"/>
    <cellStyle name="Normal 10 2 2 4 3 4 4" xfId="27938"/>
    <cellStyle name="Normal 10 2 2 4 3 5" xfId="6325"/>
    <cellStyle name="Normal 10 2 2 4 3 5 2" xfId="15152"/>
    <cellStyle name="Normal 10 2 2 4 3 5 2 2" xfId="40707"/>
    <cellStyle name="Normal 10 2 2 4 3 5 3" xfId="25403"/>
    <cellStyle name="Normal 10 2 2 4 3 5 3 2" xfId="50956"/>
    <cellStyle name="Normal 10 2 2 4 3 5 4" xfId="31886"/>
    <cellStyle name="Normal 10 2 2 4 3 6" xfId="7771"/>
    <cellStyle name="Normal 10 2 2 4 3 6 2" xfId="20646"/>
    <cellStyle name="Normal 10 2 2 4 3 6 2 2" xfId="46199"/>
    <cellStyle name="Normal 10 2 2 4 3 6 3" xfId="33328"/>
    <cellStyle name="Normal 10 2 2 4 3 7" xfId="16448"/>
    <cellStyle name="Normal 10 2 2 4 3 7 2" xfId="42001"/>
    <cellStyle name="Normal 10 2 2 4 3 8" xfId="27129"/>
    <cellStyle name="Normal 10 2 2 4 4" xfId="2977"/>
    <cellStyle name="Normal 10 2 2 4 4 2" xfId="5355"/>
    <cellStyle name="Normal 10 2 2 4 4 2 2" xfId="14192"/>
    <cellStyle name="Normal 10 2 2 4 4 2 2 2" xfId="24443"/>
    <cellStyle name="Normal 10 2 2 4 4 2 2 2 2" xfId="49996"/>
    <cellStyle name="Normal 10 2 2 4 4 2 2 3" xfId="39747"/>
    <cellStyle name="Normal 10 2 2 4 4 2 3" xfId="10613"/>
    <cellStyle name="Normal 10 2 2 4 4 2 3 2" xfId="36170"/>
    <cellStyle name="Normal 10 2 2 4 4 2 4" xfId="19436"/>
    <cellStyle name="Normal 10 2 2 4 4 2 4 2" xfId="44989"/>
    <cellStyle name="Normal 10 2 2 4 4 2 5" xfId="30926"/>
    <cellStyle name="Normal 10 2 2 4 4 3" xfId="6810"/>
    <cellStyle name="Normal 10 2 2 4 4 3 2" xfId="15637"/>
    <cellStyle name="Normal 10 2 2 4 4 3 2 2" xfId="41192"/>
    <cellStyle name="Normal 10 2 2 4 4 3 3" xfId="25888"/>
    <cellStyle name="Normal 10 2 2 4 4 3 3 2" xfId="51441"/>
    <cellStyle name="Normal 10 2 2 4 4 3 4" xfId="32371"/>
    <cellStyle name="Normal 10 2 2 4 4 4" xfId="8256"/>
    <cellStyle name="Normal 10 2 2 4 4 4 2" xfId="22338"/>
    <cellStyle name="Normal 10 2 2 4 4 4 2 2" xfId="47891"/>
    <cellStyle name="Normal 10 2 2 4 4 4 3" xfId="33813"/>
    <cellStyle name="Normal 10 2 2 4 4 5" xfId="17331"/>
    <cellStyle name="Normal 10 2 2 4 4 5 2" xfId="42884"/>
    <cellStyle name="Normal 10 2 2 4 4 6" xfId="28821"/>
    <cellStyle name="Normal 10 2 2 4 5" xfId="4311"/>
    <cellStyle name="Normal 10 2 2 4 5 2" xfId="13149"/>
    <cellStyle name="Normal 10 2 2 4 5 2 2" xfId="23400"/>
    <cellStyle name="Normal 10 2 2 4 5 2 2 2" xfId="48953"/>
    <cellStyle name="Normal 10 2 2 4 5 2 3" xfId="38704"/>
    <cellStyle name="Normal 10 2 2 4 5 3" xfId="9570"/>
    <cellStyle name="Normal 10 2 2 4 5 3 2" xfId="35127"/>
    <cellStyle name="Normal 10 2 2 4 5 4" xfId="18393"/>
    <cellStyle name="Normal 10 2 2 4 5 4 2" xfId="43946"/>
    <cellStyle name="Normal 10 2 2 4 5 5" xfId="29883"/>
    <cellStyle name="Normal 10 2 2 4 6" xfId="1583"/>
    <cellStyle name="Normal 10 2 2 4 6 2" xfId="10960"/>
    <cellStyle name="Normal 10 2 2 4 6 2 2" xfId="36515"/>
    <cellStyle name="Normal 10 2 2 4 6 3" xfId="20964"/>
    <cellStyle name="Normal 10 2 2 4 6 3 2" xfId="46517"/>
    <cellStyle name="Normal 10 2 2 4 6 4" xfId="27447"/>
    <cellStyle name="Normal 10 2 2 4 7" xfId="5767"/>
    <cellStyle name="Normal 10 2 2 4 7 2" xfId="14594"/>
    <cellStyle name="Normal 10 2 2 4 7 2 2" xfId="40149"/>
    <cellStyle name="Normal 10 2 2 4 7 3" xfId="24845"/>
    <cellStyle name="Normal 10 2 2 4 7 3 2" xfId="50398"/>
    <cellStyle name="Normal 10 2 2 4 7 4" xfId="31328"/>
    <cellStyle name="Normal 10 2 2 4 8" xfId="7211"/>
    <cellStyle name="Normal 10 2 2 4 8 2" xfId="19937"/>
    <cellStyle name="Normal 10 2 2 4 8 2 2" xfId="45490"/>
    <cellStyle name="Normal 10 2 2 4 8 3" xfId="32768"/>
    <cellStyle name="Normal 10 2 2 4 9" xfId="15957"/>
    <cellStyle name="Normal 10 2 2 4 9 2" xfId="41510"/>
    <cellStyle name="Normal 10 2 2 4_Degree data" xfId="3849"/>
    <cellStyle name="Normal 10 2 2 5" xfId="334"/>
    <cellStyle name="Normal 10 2 2 5 2" xfId="2820"/>
    <cellStyle name="Normal 10 2 2 5 2 2" xfId="12115"/>
    <cellStyle name="Normal 10 2 2 5 2 2 2" xfId="22181"/>
    <cellStyle name="Normal 10 2 2 5 2 2 2 2" xfId="47734"/>
    <cellStyle name="Normal 10 2 2 5 2 2 3" xfId="37670"/>
    <cellStyle name="Normal 10 2 2 5 2 3" xfId="8471"/>
    <cellStyle name="Normal 10 2 2 5 2 3 2" xfId="34028"/>
    <cellStyle name="Normal 10 2 2 5 2 4" xfId="17174"/>
    <cellStyle name="Normal 10 2 2 5 2 4 2" xfId="42727"/>
    <cellStyle name="Normal 10 2 2 5 2 5" xfId="28664"/>
    <cellStyle name="Normal 10 2 2 5 3" xfId="4516"/>
    <cellStyle name="Normal 10 2 2 5 3 2" xfId="13354"/>
    <cellStyle name="Normal 10 2 2 5 3 2 2" xfId="23605"/>
    <cellStyle name="Normal 10 2 2 5 3 2 2 2" xfId="49158"/>
    <cellStyle name="Normal 10 2 2 5 3 2 3" xfId="38909"/>
    <cellStyle name="Normal 10 2 2 5 3 3" xfId="9775"/>
    <cellStyle name="Normal 10 2 2 5 3 3 2" xfId="35332"/>
    <cellStyle name="Normal 10 2 2 5 3 4" xfId="18598"/>
    <cellStyle name="Normal 10 2 2 5 3 4 2" xfId="44151"/>
    <cellStyle name="Normal 10 2 2 5 3 5" xfId="30088"/>
    <cellStyle name="Normal 10 2 2 5 4" xfId="1929"/>
    <cellStyle name="Normal 10 2 2 5 4 2" xfId="11294"/>
    <cellStyle name="Normal 10 2 2 5 4 2 2" xfId="36849"/>
    <cellStyle name="Normal 10 2 2 5 4 3" xfId="21298"/>
    <cellStyle name="Normal 10 2 2 5 4 3 2" xfId="46851"/>
    <cellStyle name="Normal 10 2 2 5 4 4" xfId="27781"/>
    <cellStyle name="Normal 10 2 2 5 5" xfId="5972"/>
    <cellStyle name="Normal 10 2 2 5 5 2" xfId="14799"/>
    <cellStyle name="Normal 10 2 2 5 5 2 2" xfId="40354"/>
    <cellStyle name="Normal 10 2 2 5 5 3" xfId="25050"/>
    <cellStyle name="Normal 10 2 2 5 5 3 2" xfId="50603"/>
    <cellStyle name="Normal 10 2 2 5 5 4" xfId="31533"/>
    <cellStyle name="Normal 10 2 2 5 6" xfId="7416"/>
    <cellStyle name="Normal 10 2 2 5 6 2" xfId="19780"/>
    <cellStyle name="Normal 10 2 2 5 6 2 2" xfId="45333"/>
    <cellStyle name="Normal 10 2 2 5 6 3" xfId="32973"/>
    <cellStyle name="Normal 10 2 2 5 7" xfId="16291"/>
    <cellStyle name="Normal 10 2 2 5 7 2" xfId="41844"/>
    <cellStyle name="Normal 10 2 2 5 8" xfId="26263"/>
    <cellStyle name="Normal 10 2 2 6" xfId="701"/>
    <cellStyle name="Normal 10 2 2 6 2" xfId="3187"/>
    <cellStyle name="Normal 10 2 2 6 2 2" xfId="12330"/>
    <cellStyle name="Normal 10 2 2 6 2 2 2" xfId="22548"/>
    <cellStyle name="Normal 10 2 2 6 2 2 2 2" xfId="48101"/>
    <cellStyle name="Normal 10 2 2 6 2 2 3" xfId="37885"/>
    <cellStyle name="Normal 10 2 2 6 2 3" xfId="8752"/>
    <cellStyle name="Normal 10 2 2 6 2 3 2" xfId="34309"/>
    <cellStyle name="Normal 10 2 2 6 2 4" xfId="17541"/>
    <cellStyle name="Normal 10 2 2 6 2 4 2" xfId="43094"/>
    <cellStyle name="Normal 10 2 2 6 2 5" xfId="29031"/>
    <cellStyle name="Normal 10 2 2 6 3" xfId="4865"/>
    <cellStyle name="Normal 10 2 2 6 3 2" xfId="13702"/>
    <cellStyle name="Normal 10 2 2 6 3 2 2" xfId="23953"/>
    <cellStyle name="Normal 10 2 2 6 3 2 2 2" xfId="49506"/>
    <cellStyle name="Normal 10 2 2 6 3 2 3" xfId="39257"/>
    <cellStyle name="Normal 10 2 2 6 3 3" xfId="10123"/>
    <cellStyle name="Normal 10 2 2 6 3 3 2" xfId="35680"/>
    <cellStyle name="Normal 10 2 2 6 3 4" xfId="18946"/>
    <cellStyle name="Normal 10 2 2 6 3 4 2" xfId="44499"/>
    <cellStyle name="Normal 10 2 2 6 3 5" xfId="30436"/>
    <cellStyle name="Normal 10 2 2 6 4" xfId="2296"/>
    <cellStyle name="Normal 10 2 2 6 4 2" xfId="11661"/>
    <cellStyle name="Normal 10 2 2 6 4 2 2" xfId="37216"/>
    <cellStyle name="Normal 10 2 2 6 4 3" xfId="21665"/>
    <cellStyle name="Normal 10 2 2 6 4 3 2" xfId="47218"/>
    <cellStyle name="Normal 10 2 2 6 4 4" xfId="28148"/>
    <cellStyle name="Normal 10 2 2 6 5" xfId="6320"/>
    <cellStyle name="Normal 10 2 2 6 5 2" xfId="15147"/>
    <cellStyle name="Normal 10 2 2 6 5 2 2" xfId="40702"/>
    <cellStyle name="Normal 10 2 2 6 5 3" xfId="25398"/>
    <cellStyle name="Normal 10 2 2 6 5 3 2" xfId="50951"/>
    <cellStyle name="Normal 10 2 2 6 5 4" xfId="31881"/>
    <cellStyle name="Normal 10 2 2 6 6" xfId="7766"/>
    <cellStyle name="Normal 10 2 2 6 6 2" xfId="20147"/>
    <cellStyle name="Normal 10 2 2 6 6 2 2" xfId="45700"/>
    <cellStyle name="Normal 10 2 2 6 6 3" xfId="33323"/>
    <cellStyle name="Normal 10 2 2 6 7" xfId="16658"/>
    <cellStyle name="Normal 10 2 2 6 7 2" xfId="42211"/>
    <cellStyle name="Normal 10 2 2 6 8" xfId="26630"/>
    <cellStyle name="Normal 10 2 2 7" xfId="1106"/>
    <cellStyle name="Normal 10 2 2 7 2" xfId="3535"/>
    <cellStyle name="Normal 10 2 2 7 2 2" xfId="12671"/>
    <cellStyle name="Normal 10 2 2 7 2 2 2" xfId="22890"/>
    <cellStyle name="Normal 10 2 2 7 2 2 2 2" xfId="48443"/>
    <cellStyle name="Normal 10 2 2 7 2 2 3" xfId="38226"/>
    <cellStyle name="Normal 10 2 2 7 2 3" xfId="9092"/>
    <cellStyle name="Normal 10 2 2 7 2 3 2" xfId="34649"/>
    <cellStyle name="Normal 10 2 2 7 2 4" xfId="17883"/>
    <cellStyle name="Normal 10 2 2 7 2 4 2" xfId="43436"/>
    <cellStyle name="Normal 10 2 2 7 2 5" xfId="29373"/>
    <cellStyle name="Normal 10 2 2 7 3" xfId="5198"/>
    <cellStyle name="Normal 10 2 2 7 3 2" xfId="14035"/>
    <cellStyle name="Normal 10 2 2 7 3 2 2" xfId="24286"/>
    <cellStyle name="Normal 10 2 2 7 3 2 2 2" xfId="49839"/>
    <cellStyle name="Normal 10 2 2 7 3 2 3" xfId="39590"/>
    <cellStyle name="Normal 10 2 2 7 3 3" xfId="10456"/>
    <cellStyle name="Normal 10 2 2 7 3 3 2" xfId="36013"/>
    <cellStyle name="Normal 10 2 2 7 3 4" xfId="19279"/>
    <cellStyle name="Normal 10 2 2 7 3 4 2" xfId="44832"/>
    <cellStyle name="Normal 10 2 2 7 3 5" xfId="30769"/>
    <cellStyle name="Normal 10 2 2 7 4" xfId="1763"/>
    <cellStyle name="Normal 10 2 2 7 4 2" xfId="11134"/>
    <cellStyle name="Normal 10 2 2 7 4 2 2" xfId="36689"/>
    <cellStyle name="Normal 10 2 2 7 4 3" xfId="21138"/>
    <cellStyle name="Normal 10 2 2 7 4 3 2" xfId="46691"/>
    <cellStyle name="Normal 10 2 2 7 4 4" xfId="27621"/>
    <cellStyle name="Normal 10 2 2 7 5" xfId="6653"/>
    <cellStyle name="Normal 10 2 2 7 5 2" xfId="15480"/>
    <cellStyle name="Normal 10 2 2 7 5 2 2" xfId="41035"/>
    <cellStyle name="Normal 10 2 2 7 5 3" xfId="25731"/>
    <cellStyle name="Normal 10 2 2 7 5 3 2" xfId="51284"/>
    <cellStyle name="Normal 10 2 2 7 5 4" xfId="32214"/>
    <cellStyle name="Normal 10 2 2 7 6" xfId="8099"/>
    <cellStyle name="Normal 10 2 2 7 6 2" xfId="20489"/>
    <cellStyle name="Normal 10 2 2 7 6 2 2" xfId="46042"/>
    <cellStyle name="Normal 10 2 2 7 6 3" xfId="33656"/>
    <cellStyle name="Normal 10 2 2 7 7" xfId="16131"/>
    <cellStyle name="Normal 10 2 2 7 7 2" xfId="41684"/>
    <cellStyle name="Normal 10 2 2 7 8" xfId="26972"/>
    <cellStyle name="Normal 10 2 2 8" xfId="2660"/>
    <cellStyle name="Normal 10 2 2 8 2" xfId="5610"/>
    <cellStyle name="Normal 10 2 2 8 2 2" xfId="14437"/>
    <cellStyle name="Normal 10 2 2 8 2 2 2" xfId="39992"/>
    <cellStyle name="Normal 10 2 2 8 2 3" xfId="24688"/>
    <cellStyle name="Normal 10 2 2 8 2 3 2" xfId="50241"/>
    <cellStyle name="Normal 10 2 2 8 2 4" xfId="31171"/>
    <cellStyle name="Normal 10 2 2 8 3" xfId="7054"/>
    <cellStyle name="Normal 10 2 2 8 3 2" xfId="22021"/>
    <cellStyle name="Normal 10 2 2 8 3 2 2" xfId="47574"/>
    <cellStyle name="Normal 10 2 2 8 3 3" xfId="32611"/>
    <cellStyle name="Normal 10 2 2 8 4" xfId="17014"/>
    <cellStyle name="Normal 10 2 2 8 4 2" xfId="42567"/>
    <cellStyle name="Normal 10 2 2 8 5" xfId="28504"/>
    <cellStyle name="Normal 10 2 2 9" xfId="4152"/>
    <cellStyle name="Normal 10 2 2 9 2" xfId="12990"/>
    <cellStyle name="Normal 10 2 2 9 2 2" xfId="23241"/>
    <cellStyle name="Normal 10 2 2 9 2 2 2" xfId="48794"/>
    <cellStyle name="Normal 10 2 2 9 2 3" xfId="38545"/>
    <cellStyle name="Normal 10 2 2 9 3" xfId="9411"/>
    <cellStyle name="Normal 10 2 2 9 3 2" xfId="34968"/>
    <cellStyle name="Normal 10 2 2 9 4" xfId="18234"/>
    <cellStyle name="Normal 10 2 2 9 4 2" xfId="43787"/>
    <cellStyle name="Normal 10 2 2 9 5" xfId="29724"/>
    <cellStyle name="Normal 10 2 2_Degree data" xfId="3868"/>
    <cellStyle name="Normal 10 2 3" xfId="181"/>
    <cellStyle name="Normal 10 2 3 10" xfId="7129"/>
    <cellStyle name="Normal 10 2 3 10 2" xfId="19638"/>
    <cellStyle name="Normal 10 2 3 10 2 2" xfId="45191"/>
    <cellStyle name="Normal 10 2 3 10 3" xfId="32686"/>
    <cellStyle name="Normal 10 2 3 11" xfId="15875"/>
    <cellStyle name="Normal 10 2 3 11 2" xfId="41428"/>
    <cellStyle name="Normal 10 2 3 12" xfId="26121"/>
    <cellStyle name="Normal 10 2 3 2" xfId="509"/>
    <cellStyle name="Normal 10 2 3 2 10" xfId="26438"/>
    <cellStyle name="Normal 10 2 3 2 2" xfId="708"/>
    <cellStyle name="Normal 10 2 3 2 2 2" xfId="3194"/>
    <cellStyle name="Normal 10 2 3 2 2 2 2" xfId="12337"/>
    <cellStyle name="Normal 10 2 3 2 2 2 2 2" xfId="22555"/>
    <cellStyle name="Normal 10 2 3 2 2 2 2 2 2" xfId="48108"/>
    <cellStyle name="Normal 10 2 3 2 2 2 2 3" xfId="37892"/>
    <cellStyle name="Normal 10 2 3 2 2 2 3" xfId="8759"/>
    <cellStyle name="Normal 10 2 3 2 2 2 3 2" xfId="34316"/>
    <cellStyle name="Normal 10 2 3 2 2 2 4" xfId="17548"/>
    <cellStyle name="Normal 10 2 3 2 2 2 4 2" xfId="43101"/>
    <cellStyle name="Normal 10 2 3 2 2 2 5" xfId="29038"/>
    <cellStyle name="Normal 10 2 3 2 2 3" xfId="4523"/>
    <cellStyle name="Normal 10 2 3 2 2 3 2" xfId="13361"/>
    <cellStyle name="Normal 10 2 3 2 2 3 2 2" xfId="23612"/>
    <cellStyle name="Normal 10 2 3 2 2 3 2 2 2" xfId="49165"/>
    <cellStyle name="Normal 10 2 3 2 2 3 2 3" xfId="38916"/>
    <cellStyle name="Normal 10 2 3 2 2 3 3" xfId="9782"/>
    <cellStyle name="Normal 10 2 3 2 2 3 3 2" xfId="35339"/>
    <cellStyle name="Normal 10 2 3 2 2 3 4" xfId="18605"/>
    <cellStyle name="Normal 10 2 3 2 2 3 4 2" xfId="44158"/>
    <cellStyle name="Normal 10 2 3 2 2 3 5" xfId="30095"/>
    <cellStyle name="Normal 10 2 3 2 2 4" xfId="2303"/>
    <cellStyle name="Normal 10 2 3 2 2 4 2" xfId="11668"/>
    <cellStyle name="Normal 10 2 3 2 2 4 2 2" xfId="37223"/>
    <cellStyle name="Normal 10 2 3 2 2 4 3" xfId="21672"/>
    <cellStyle name="Normal 10 2 3 2 2 4 3 2" xfId="47225"/>
    <cellStyle name="Normal 10 2 3 2 2 4 4" xfId="28155"/>
    <cellStyle name="Normal 10 2 3 2 2 5" xfId="5979"/>
    <cellStyle name="Normal 10 2 3 2 2 5 2" xfId="14806"/>
    <cellStyle name="Normal 10 2 3 2 2 5 2 2" xfId="40361"/>
    <cellStyle name="Normal 10 2 3 2 2 5 3" xfId="25057"/>
    <cellStyle name="Normal 10 2 3 2 2 5 3 2" xfId="50610"/>
    <cellStyle name="Normal 10 2 3 2 2 5 4" xfId="31540"/>
    <cellStyle name="Normal 10 2 3 2 2 6" xfId="7423"/>
    <cellStyle name="Normal 10 2 3 2 2 6 2" xfId="20154"/>
    <cellStyle name="Normal 10 2 3 2 2 6 2 2" xfId="45707"/>
    <cellStyle name="Normal 10 2 3 2 2 6 3" xfId="32980"/>
    <cellStyle name="Normal 10 2 3 2 2 7" xfId="16665"/>
    <cellStyle name="Normal 10 2 3 2 2 7 2" xfId="42218"/>
    <cellStyle name="Normal 10 2 3 2 2 8" xfId="26637"/>
    <cellStyle name="Normal 10 2 3 2 3" xfId="1281"/>
    <cellStyle name="Normal 10 2 3 2 3 2" xfId="3710"/>
    <cellStyle name="Normal 10 2 3 2 3 2 2" xfId="12846"/>
    <cellStyle name="Normal 10 2 3 2 3 2 2 2" xfId="23065"/>
    <cellStyle name="Normal 10 2 3 2 3 2 2 2 2" xfId="48618"/>
    <cellStyle name="Normal 10 2 3 2 3 2 2 3" xfId="38401"/>
    <cellStyle name="Normal 10 2 3 2 3 2 3" xfId="9267"/>
    <cellStyle name="Normal 10 2 3 2 3 2 3 2" xfId="34824"/>
    <cellStyle name="Normal 10 2 3 2 3 2 4" xfId="18058"/>
    <cellStyle name="Normal 10 2 3 2 3 2 4 2" xfId="43611"/>
    <cellStyle name="Normal 10 2 3 2 3 2 5" xfId="29548"/>
    <cellStyle name="Normal 10 2 3 2 3 3" xfId="4872"/>
    <cellStyle name="Normal 10 2 3 2 3 3 2" xfId="13709"/>
    <cellStyle name="Normal 10 2 3 2 3 3 2 2" xfId="23960"/>
    <cellStyle name="Normal 10 2 3 2 3 3 2 2 2" xfId="49513"/>
    <cellStyle name="Normal 10 2 3 2 3 3 2 3" xfId="39264"/>
    <cellStyle name="Normal 10 2 3 2 3 3 3" xfId="10130"/>
    <cellStyle name="Normal 10 2 3 2 3 3 3 2" xfId="35687"/>
    <cellStyle name="Normal 10 2 3 2 3 3 4" xfId="18953"/>
    <cellStyle name="Normal 10 2 3 2 3 3 4 2" xfId="44506"/>
    <cellStyle name="Normal 10 2 3 2 3 3 5" xfId="30443"/>
    <cellStyle name="Normal 10 2 3 2 3 4" xfId="2104"/>
    <cellStyle name="Normal 10 2 3 2 3 4 2" xfId="11469"/>
    <cellStyle name="Normal 10 2 3 2 3 4 2 2" xfId="37024"/>
    <cellStyle name="Normal 10 2 3 2 3 4 3" xfId="21473"/>
    <cellStyle name="Normal 10 2 3 2 3 4 3 2" xfId="47026"/>
    <cellStyle name="Normal 10 2 3 2 3 4 4" xfId="27956"/>
    <cellStyle name="Normal 10 2 3 2 3 5" xfId="6327"/>
    <cellStyle name="Normal 10 2 3 2 3 5 2" xfId="15154"/>
    <cellStyle name="Normal 10 2 3 2 3 5 2 2" xfId="40709"/>
    <cellStyle name="Normal 10 2 3 2 3 5 3" xfId="25405"/>
    <cellStyle name="Normal 10 2 3 2 3 5 3 2" xfId="50958"/>
    <cellStyle name="Normal 10 2 3 2 3 5 4" xfId="31888"/>
    <cellStyle name="Normal 10 2 3 2 3 6" xfId="7773"/>
    <cellStyle name="Normal 10 2 3 2 3 6 2" xfId="20664"/>
    <cellStyle name="Normal 10 2 3 2 3 6 2 2" xfId="46217"/>
    <cellStyle name="Normal 10 2 3 2 3 6 3" xfId="33330"/>
    <cellStyle name="Normal 10 2 3 2 3 7" xfId="16466"/>
    <cellStyle name="Normal 10 2 3 2 3 7 2" xfId="42019"/>
    <cellStyle name="Normal 10 2 3 2 3 8" xfId="27147"/>
    <cellStyle name="Normal 10 2 3 2 4" xfId="2995"/>
    <cellStyle name="Normal 10 2 3 2 4 2" xfId="5373"/>
    <cellStyle name="Normal 10 2 3 2 4 2 2" xfId="14210"/>
    <cellStyle name="Normal 10 2 3 2 4 2 2 2" xfId="24461"/>
    <cellStyle name="Normal 10 2 3 2 4 2 2 2 2" xfId="50014"/>
    <cellStyle name="Normal 10 2 3 2 4 2 2 3" xfId="39765"/>
    <cellStyle name="Normal 10 2 3 2 4 2 3" xfId="10631"/>
    <cellStyle name="Normal 10 2 3 2 4 2 3 2" xfId="36188"/>
    <cellStyle name="Normal 10 2 3 2 4 2 4" xfId="19454"/>
    <cellStyle name="Normal 10 2 3 2 4 2 4 2" xfId="45007"/>
    <cellStyle name="Normal 10 2 3 2 4 2 5" xfId="30944"/>
    <cellStyle name="Normal 10 2 3 2 4 3" xfId="6828"/>
    <cellStyle name="Normal 10 2 3 2 4 3 2" xfId="15655"/>
    <cellStyle name="Normal 10 2 3 2 4 3 2 2" xfId="41210"/>
    <cellStyle name="Normal 10 2 3 2 4 3 3" xfId="25906"/>
    <cellStyle name="Normal 10 2 3 2 4 3 3 2" xfId="51459"/>
    <cellStyle name="Normal 10 2 3 2 4 3 4" xfId="32389"/>
    <cellStyle name="Normal 10 2 3 2 4 4" xfId="8274"/>
    <cellStyle name="Normal 10 2 3 2 4 4 2" xfId="22356"/>
    <cellStyle name="Normal 10 2 3 2 4 4 2 2" xfId="47909"/>
    <cellStyle name="Normal 10 2 3 2 4 4 3" xfId="33831"/>
    <cellStyle name="Normal 10 2 3 2 4 5" xfId="17349"/>
    <cellStyle name="Normal 10 2 3 2 4 5 2" xfId="42902"/>
    <cellStyle name="Normal 10 2 3 2 4 6" xfId="28839"/>
    <cellStyle name="Normal 10 2 3 2 5" xfId="4329"/>
    <cellStyle name="Normal 10 2 3 2 5 2" xfId="13167"/>
    <cellStyle name="Normal 10 2 3 2 5 2 2" xfId="23418"/>
    <cellStyle name="Normal 10 2 3 2 5 2 2 2" xfId="48971"/>
    <cellStyle name="Normal 10 2 3 2 5 2 3" xfId="38722"/>
    <cellStyle name="Normal 10 2 3 2 5 3" xfId="9588"/>
    <cellStyle name="Normal 10 2 3 2 5 3 2" xfId="35145"/>
    <cellStyle name="Normal 10 2 3 2 5 4" xfId="18411"/>
    <cellStyle name="Normal 10 2 3 2 5 4 2" xfId="43964"/>
    <cellStyle name="Normal 10 2 3 2 5 5" xfId="29901"/>
    <cellStyle name="Normal 10 2 3 2 6" xfId="1601"/>
    <cellStyle name="Normal 10 2 3 2 6 2" xfId="10978"/>
    <cellStyle name="Normal 10 2 3 2 6 2 2" xfId="36533"/>
    <cellStyle name="Normal 10 2 3 2 6 3" xfId="20982"/>
    <cellStyle name="Normal 10 2 3 2 6 3 2" xfId="46535"/>
    <cellStyle name="Normal 10 2 3 2 6 4" xfId="27465"/>
    <cellStyle name="Normal 10 2 3 2 7" xfId="5785"/>
    <cellStyle name="Normal 10 2 3 2 7 2" xfId="14612"/>
    <cellStyle name="Normal 10 2 3 2 7 2 2" xfId="40167"/>
    <cellStyle name="Normal 10 2 3 2 7 3" xfId="24863"/>
    <cellStyle name="Normal 10 2 3 2 7 3 2" xfId="50416"/>
    <cellStyle name="Normal 10 2 3 2 7 4" xfId="31346"/>
    <cellStyle name="Normal 10 2 3 2 8" xfId="7229"/>
    <cellStyle name="Normal 10 2 3 2 8 2" xfId="19955"/>
    <cellStyle name="Normal 10 2 3 2 8 2 2" xfId="45508"/>
    <cellStyle name="Normal 10 2 3 2 8 3" xfId="32786"/>
    <cellStyle name="Normal 10 2 3 2 9" xfId="15975"/>
    <cellStyle name="Normal 10 2 3 2 9 2" xfId="41528"/>
    <cellStyle name="Normal 10 2 3 2_Degree data" xfId="3839"/>
    <cellStyle name="Normal 10 2 3 3" xfId="409"/>
    <cellStyle name="Normal 10 2 3 3 2" xfId="2895"/>
    <cellStyle name="Normal 10 2 3 3 2 2" xfId="12183"/>
    <cellStyle name="Normal 10 2 3 3 2 2 2" xfId="22256"/>
    <cellStyle name="Normal 10 2 3 3 2 2 2 2" xfId="47809"/>
    <cellStyle name="Normal 10 2 3 3 2 2 3" xfId="37738"/>
    <cellStyle name="Normal 10 2 3 3 2 3" xfId="8454"/>
    <cellStyle name="Normal 10 2 3 3 2 3 2" xfId="34011"/>
    <cellStyle name="Normal 10 2 3 3 2 4" xfId="17249"/>
    <cellStyle name="Normal 10 2 3 3 2 4 2" xfId="42802"/>
    <cellStyle name="Normal 10 2 3 3 2 5" xfId="28739"/>
    <cellStyle name="Normal 10 2 3 3 3" xfId="4522"/>
    <cellStyle name="Normal 10 2 3 3 3 2" xfId="13360"/>
    <cellStyle name="Normal 10 2 3 3 3 2 2" xfId="23611"/>
    <cellStyle name="Normal 10 2 3 3 3 2 2 2" xfId="49164"/>
    <cellStyle name="Normal 10 2 3 3 3 2 3" xfId="38915"/>
    <cellStyle name="Normal 10 2 3 3 3 3" xfId="9781"/>
    <cellStyle name="Normal 10 2 3 3 3 3 2" xfId="35338"/>
    <cellStyle name="Normal 10 2 3 3 3 4" xfId="18604"/>
    <cellStyle name="Normal 10 2 3 3 3 4 2" xfId="44157"/>
    <cellStyle name="Normal 10 2 3 3 3 5" xfId="30094"/>
    <cellStyle name="Normal 10 2 3 3 4" xfId="2004"/>
    <cellStyle name="Normal 10 2 3 3 4 2" xfId="11369"/>
    <cellStyle name="Normal 10 2 3 3 4 2 2" xfId="36924"/>
    <cellStyle name="Normal 10 2 3 3 4 3" xfId="21373"/>
    <cellStyle name="Normal 10 2 3 3 4 3 2" xfId="46926"/>
    <cellStyle name="Normal 10 2 3 3 4 4" xfId="27856"/>
    <cellStyle name="Normal 10 2 3 3 5" xfId="5978"/>
    <cellStyle name="Normal 10 2 3 3 5 2" xfId="14805"/>
    <cellStyle name="Normal 10 2 3 3 5 2 2" xfId="40360"/>
    <cellStyle name="Normal 10 2 3 3 5 3" xfId="25056"/>
    <cellStyle name="Normal 10 2 3 3 5 3 2" xfId="50609"/>
    <cellStyle name="Normal 10 2 3 3 5 4" xfId="31539"/>
    <cellStyle name="Normal 10 2 3 3 6" xfId="7422"/>
    <cellStyle name="Normal 10 2 3 3 6 2" xfId="19855"/>
    <cellStyle name="Normal 10 2 3 3 6 2 2" xfId="45408"/>
    <cellStyle name="Normal 10 2 3 3 6 3" xfId="32979"/>
    <cellStyle name="Normal 10 2 3 3 7" xfId="16366"/>
    <cellStyle name="Normal 10 2 3 3 7 2" xfId="41919"/>
    <cellStyle name="Normal 10 2 3 3 8" xfId="26338"/>
    <cellStyle name="Normal 10 2 3 4" xfId="707"/>
    <cellStyle name="Normal 10 2 3 4 2" xfId="3193"/>
    <cellStyle name="Normal 10 2 3 4 2 2" xfId="12336"/>
    <cellStyle name="Normal 10 2 3 4 2 2 2" xfId="22554"/>
    <cellStyle name="Normal 10 2 3 4 2 2 2 2" xfId="48107"/>
    <cellStyle name="Normal 10 2 3 4 2 2 3" xfId="37891"/>
    <cellStyle name="Normal 10 2 3 4 2 3" xfId="8758"/>
    <cellStyle name="Normal 10 2 3 4 2 3 2" xfId="34315"/>
    <cellStyle name="Normal 10 2 3 4 2 4" xfId="17547"/>
    <cellStyle name="Normal 10 2 3 4 2 4 2" xfId="43100"/>
    <cellStyle name="Normal 10 2 3 4 2 5" xfId="29037"/>
    <cellStyle name="Normal 10 2 3 4 3" xfId="4871"/>
    <cellStyle name="Normal 10 2 3 4 3 2" xfId="13708"/>
    <cellStyle name="Normal 10 2 3 4 3 2 2" xfId="23959"/>
    <cellStyle name="Normal 10 2 3 4 3 2 2 2" xfId="49512"/>
    <cellStyle name="Normal 10 2 3 4 3 2 3" xfId="39263"/>
    <cellStyle name="Normal 10 2 3 4 3 3" xfId="10129"/>
    <cellStyle name="Normal 10 2 3 4 3 3 2" xfId="35686"/>
    <cellStyle name="Normal 10 2 3 4 3 4" xfId="18952"/>
    <cellStyle name="Normal 10 2 3 4 3 4 2" xfId="44505"/>
    <cellStyle name="Normal 10 2 3 4 3 5" xfId="30442"/>
    <cellStyle name="Normal 10 2 3 4 4" xfId="2302"/>
    <cellStyle name="Normal 10 2 3 4 4 2" xfId="11667"/>
    <cellStyle name="Normal 10 2 3 4 4 2 2" xfId="37222"/>
    <cellStyle name="Normal 10 2 3 4 4 3" xfId="21671"/>
    <cellStyle name="Normal 10 2 3 4 4 3 2" xfId="47224"/>
    <cellStyle name="Normal 10 2 3 4 4 4" xfId="28154"/>
    <cellStyle name="Normal 10 2 3 4 5" xfId="6326"/>
    <cellStyle name="Normal 10 2 3 4 5 2" xfId="15153"/>
    <cellStyle name="Normal 10 2 3 4 5 2 2" xfId="40708"/>
    <cellStyle name="Normal 10 2 3 4 5 3" xfId="25404"/>
    <cellStyle name="Normal 10 2 3 4 5 3 2" xfId="50957"/>
    <cellStyle name="Normal 10 2 3 4 5 4" xfId="31887"/>
    <cellStyle name="Normal 10 2 3 4 6" xfId="7772"/>
    <cellStyle name="Normal 10 2 3 4 6 2" xfId="20153"/>
    <cellStyle name="Normal 10 2 3 4 6 2 2" xfId="45706"/>
    <cellStyle name="Normal 10 2 3 4 6 3" xfId="33329"/>
    <cellStyle name="Normal 10 2 3 4 7" xfId="16664"/>
    <cellStyle name="Normal 10 2 3 4 7 2" xfId="42217"/>
    <cellStyle name="Normal 10 2 3 4 8" xfId="26636"/>
    <cellStyle name="Normal 10 2 3 5" xfId="1181"/>
    <cellStyle name="Normal 10 2 3 5 2" xfId="3610"/>
    <cellStyle name="Normal 10 2 3 5 2 2" xfId="12746"/>
    <cellStyle name="Normal 10 2 3 5 2 2 2" xfId="22965"/>
    <cellStyle name="Normal 10 2 3 5 2 2 2 2" xfId="48518"/>
    <cellStyle name="Normal 10 2 3 5 2 2 3" xfId="38301"/>
    <cellStyle name="Normal 10 2 3 5 2 3" xfId="9167"/>
    <cellStyle name="Normal 10 2 3 5 2 3 2" xfId="34724"/>
    <cellStyle name="Normal 10 2 3 5 2 4" xfId="17958"/>
    <cellStyle name="Normal 10 2 3 5 2 4 2" xfId="43511"/>
    <cellStyle name="Normal 10 2 3 5 2 5" xfId="29448"/>
    <cellStyle name="Normal 10 2 3 5 3" xfId="5273"/>
    <cellStyle name="Normal 10 2 3 5 3 2" xfId="14110"/>
    <cellStyle name="Normal 10 2 3 5 3 2 2" xfId="24361"/>
    <cellStyle name="Normal 10 2 3 5 3 2 2 2" xfId="49914"/>
    <cellStyle name="Normal 10 2 3 5 3 2 3" xfId="39665"/>
    <cellStyle name="Normal 10 2 3 5 3 3" xfId="10531"/>
    <cellStyle name="Normal 10 2 3 5 3 3 2" xfId="36088"/>
    <cellStyle name="Normal 10 2 3 5 3 4" xfId="19354"/>
    <cellStyle name="Normal 10 2 3 5 3 4 2" xfId="44907"/>
    <cellStyle name="Normal 10 2 3 5 3 5" xfId="30844"/>
    <cellStyle name="Normal 10 2 3 5 4" xfId="1783"/>
    <cellStyle name="Normal 10 2 3 5 4 2" xfId="11152"/>
    <cellStyle name="Normal 10 2 3 5 4 2 2" xfId="36707"/>
    <cellStyle name="Normal 10 2 3 5 4 3" xfId="21156"/>
    <cellStyle name="Normal 10 2 3 5 4 3 2" xfId="46709"/>
    <cellStyle name="Normal 10 2 3 5 4 4" xfId="27639"/>
    <cellStyle name="Normal 10 2 3 5 5" xfId="6728"/>
    <cellStyle name="Normal 10 2 3 5 5 2" xfId="15555"/>
    <cellStyle name="Normal 10 2 3 5 5 2 2" xfId="41110"/>
    <cellStyle name="Normal 10 2 3 5 5 3" xfId="25806"/>
    <cellStyle name="Normal 10 2 3 5 5 3 2" xfId="51359"/>
    <cellStyle name="Normal 10 2 3 5 5 4" xfId="32289"/>
    <cellStyle name="Normal 10 2 3 5 6" xfId="8174"/>
    <cellStyle name="Normal 10 2 3 5 6 2" xfId="20564"/>
    <cellStyle name="Normal 10 2 3 5 6 2 2" xfId="46117"/>
    <cellStyle name="Normal 10 2 3 5 6 3" xfId="33731"/>
    <cellStyle name="Normal 10 2 3 5 7" xfId="16149"/>
    <cellStyle name="Normal 10 2 3 5 7 2" xfId="41702"/>
    <cellStyle name="Normal 10 2 3 5 8" xfId="27047"/>
    <cellStyle name="Normal 10 2 3 6" xfId="2678"/>
    <cellStyle name="Normal 10 2 3 6 2" xfId="11995"/>
    <cellStyle name="Normal 10 2 3 6 2 2" xfId="22039"/>
    <cellStyle name="Normal 10 2 3 6 2 2 2" xfId="47592"/>
    <cellStyle name="Normal 10 2 3 6 2 3" xfId="37550"/>
    <cellStyle name="Normal 10 2 3 6 3" xfId="8493"/>
    <cellStyle name="Normal 10 2 3 6 3 2" xfId="34050"/>
    <cellStyle name="Normal 10 2 3 6 4" xfId="17032"/>
    <cellStyle name="Normal 10 2 3 6 4 2" xfId="42585"/>
    <cellStyle name="Normal 10 2 3 6 5" xfId="28522"/>
    <cellStyle name="Normal 10 2 3 7" xfId="4229"/>
    <cellStyle name="Normal 10 2 3 7 2" xfId="13067"/>
    <cellStyle name="Normal 10 2 3 7 2 2" xfId="23318"/>
    <cellStyle name="Normal 10 2 3 7 2 2 2" xfId="48871"/>
    <cellStyle name="Normal 10 2 3 7 2 3" xfId="38622"/>
    <cellStyle name="Normal 10 2 3 7 3" xfId="9488"/>
    <cellStyle name="Normal 10 2 3 7 3 2" xfId="35045"/>
    <cellStyle name="Normal 10 2 3 7 4" xfId="18311"/>
    <cellStyle name="Normal 10 2 3 7 4 2" xfId="43864"/>
    <cellStyle name="Normal 10 2 3 7 5" xfId="29801"/>
    <cellStyle name="Normal 10 2 3 8" xfId="1501"/>
    <cellStyle name="Normal 10 2 3 8 2" xfId="10878"/>
    <cellStyle name="Normal 10 2 3 8 2 2" xfId="36433"/>
    <cellStyle name="Normal 10 2 3 8 3" xfId="20882"/>
    <cellStyle name="Normal 10 2 3 8 3 2" xfId="46435"/>
    <cellStyle name="Normal 10 2 3 8 4" xfId="27365"/>
    <cellStyle name="Normal 10 2 3 9" xfId="5685"/>
    <cellStyle name="Normal 10 2 3 9 2" xfId="14512"/>
    <cellStyle name="Normal 10 2 3 9 2 2" xfId="40067"/>
    <cellStyle name="Normal 10 2 3 9 3" xfId="24763"/>
    <cellStyle name="Normal 10 2 3 9 3 2" xfId="50316"/>
    <cellStyle name="Normal 10 2 3 9 4" xfId="31246"/>
    <cellStyle name="Normal 10 2 3_Degree data" xfId="3893"/>
    <cellStyle name="Normal 10 2 4" xfId="236"/>
    <cellStyle name="Normal 10 2 4 10" xfId="7074"/>
    <cellStyle name="Normal 10 2 4 10 2" xfId="19688"/>
    <cellStyle name="Normal 10 2 4 10 2 2" xfId="45241"/>
    <cellStyle name="Normal 10 2 4 10 3" xfId="32631"/>
    <cellStyle name="Normal 10 2 4 11" xfId="15820"/>
    <cellStyle name="Normal 10 2 4 11 2" xfId="41373"/>
    <cellStyle name="Normal 10 2 4 12" xfId="26171"/>
    <cellStyle name="Normal 10 2 4 2" xfId="559"/>
    <cellStyle name="Normal 10 2 4 2 10" xfId="26488"/>
    <cellStyle name="Normal 10 2 4 2 2" xfId="710"/>
    <cellStyle name="Normal 10 2 4 2 2 2" xfId="3196"/>
    <cellStyle name="Normal 10 2 4 2 2 2 2" xfId="12339"/>
    <cellStyle name="Normal 10 2 4 2 2 2 2 2" xfId="22557"/>
    <cellStyle name="Normal 10 2 4 2 2 2 2 2 2" xfId="48110"/>
    <cellStyle name="Normal 10 2 4 2 2 2 2 3" xfId="37894"/>
    <cellStyle name="Normal 10 2 4 2 2 2 3" xfId="8761"/>
    <cellStyle name="Normal 10 2 4 2 2 2 3 2" xfId="34318"/>
    <cellStyle name="Normal 10 2 4 2 2 2 4" xfId="17550"/>
    <cellStyle name="Normal 10 2 4 2 2 2 4 2" xfId="43103"/>
    <cellStyle name="Normal 10 2 4 2 2 2 5" xfId="29040"/>
    <cellStyle name="Normal 10 2 4 2 2 3" xfId="4525"/>
    <cellStyle name="Normal 10 2 4 2 2 3 2" xfId="13363"/>
    <cellStyle name="Normal 10 2 4 2 2 3 2 2" xfId="23614"/>
    <cellStyle name="Normal 10 2 4 2 2 3 2 2 2" xfId="49167"/>
    <cellStyle name="Normal 10 2 4 2 2 3 2 3" xfId="38918"/>
    <cellStyle name="Normal 10 2 4 2 2 3 3" xfId="9784"/>
    <cellStyle name="Normal 10 2 4 2 2 3 3 2" xfId="35341"/>
    <cellStyle name="Normal 10 2 4 2 2 3 4" xfId="18607"/>
    <cellStyle name="Normal 10 2 4 2 2 3 4 2" xfId="44160"/>
    <cellStyle name="Normal 10 2 4 2 2 3 5" xfId="30097"/>
    <cellStyle name="Normal 10 2 4 2 2 4" xfId="2305"/>
    <cellStyle name="Normal 10 2 4 2 2 4 2" xfId="11670"/>
    <cellStyle name="Normal 10 2 4 2 2 4 2 2" xfId="37225"/>
    <cellStyle name="Normal 10 2 4 2 2 4 3" xfId="21674"/>
    <cellStyle name="Normal 10 2 4 2 2 4 3 2" xfId="47227"/>
    <cellStyle name="Normal 10 2 4 2 2 4 4" xfId="28157"/>
    <cellStyle name="Normal 10 2 4 2 2 5" xfId="5981"/>
    <cellStyle name="Normal 10 2 4 2 2 5 2" xfId="14808"/>
    <cellStyle name="Normal 10 2 4 2 2 5 2 2" xfId="40363"/>
    <cellStyle name="Normal 10 2 4 2 2 5 3" xfId="25059"/>
    <cellStyle name="Normal 10 2 4 2 2 5 3 2" xfId="50612"/>
    <cellStyle name="Normal 10 2 4 2 2 5 4" xfId="31542"/>
    <cellStyle name="Normal 10 2 4 2 2 6" xfId="7425"/>
    <cellStyle name="Normal 10 2 4 2 2 6 2" xfId="20156"/>
    <cellStyle name="Normal 10 2 4 2 2 6 2 2" xfId="45709"/>
    <cellStyle name="Normal 10 2 4 2 2 6 3" xfId="32982"/>
    <cellStyle name="Normal 10 2 4 2 2 7" xfId="16667"/>
    <cellStyle name="Normal 10 2 4 2 2 7 2" xfId="42220"/>
    <cellStyle name="Normal 10 2 4 2 2 8" xfId="26639"/>
    <cellStyle name="Normal 10 2 4 2 3" xfId="1331"/>
    <cellStyle name="Normal 10 2 4 2 3 2" xfId="3760"/>
    <cellStyle name="Normal 10 2 4 2 3 2 2" xfId="12896"/>
    <cellStyle name="Normal 10 2 4 2 3 2 2 2" xfId="23115"/>
    <cellStyle name="Normal 10 2 4 2 3 2 2 2 2" xfId="48668"/>
    <cellStyle name="Normal 10 2 4 2 3 2 2 3" xfId="38451"/>
    <cellStyle name="Normal 10 2 4 2 3 2 3" xfId="9317"/>
    <cellStyle name="Normal 10 2 4 2 3 2 3 2" xfId="34874"/>
    <cellStyle name="Normal 10 2 4 2 3 2 4" xfId="18108"/>
    <cellStyle name="Normal 10 2 4 2 3 2 4 2" xfId="43661"/>
    <cellStyle name="Normal 10 2 4 2 3 2 5" xfId="29598"/>
    <cellStyle name="Normal 10 2 4 2 3 3" xfId="4874"/>
    <cellStyle name="Normal 10 2 4 2 3 3 2" xfId="13711"/>
    <cellStyle name="Normal 10 2 4 2 3 3 2 2" xfId="23962"/>
    <cellStyle name="Normal 10 2 4 2 3 3 2 2 2" xfId="49515"/>
    <cellStyle name="Normal 10 2 4 2 3 3 2 3" xfId="39266"/>
    <cellStyle name="Normal 10 2 4 2 3 3 3" xfId="10132"/>
    <cellStyle name="Normal 10 2 4 2 3 3 3 2" xfId="35689"/>
    <cellStyle name="Normal 10 2 4 2 3 3 4" xfId="18955"/>
    <cellStyle name="Normal 10 2 4 2 3 3 4 2" xfId="44508"/>
    <cellStyle name="Normal 10 2 4 2 3 3 5" xfId="30445"/>
    <cellStyle name="Normal 10 2 4 2 3 4" xfId="2154"/>
    <cellStyle name="Normal 10 2 4 2 3 4 2" xfId="11519"/>
    <cellStyle name="Normal 10 2 4 2 3 4 2 2" xfId="37074"/>
    <cellStyle name="Normal 10 2 4 2 3 4 3" xfId="21523"/>
    <cellStyle name="Normal 10 2 4 2 3 4 3 2" xfId="47076"/>
    <cellStyle name="Normal 10 2 4 2 3 4 4" xfId="28006"/>
    <cellStyle name="Normal 10 2 4 2 3 5" xfId="6329"/>
    <cellStyle name="Normal 10 2 4 2 3 5 2" xfId="15156"/>
    <cellStyle name="Normal 10 2 4 2 3 5 2 2" xfId="40711"/>
    <cellStyle name="Normal 10 2 4 2 3 5 3" xfId="25407"/>
    <cellStyle name="Normal 10 2 4 2 3 5 3 2" xfId="50960"/>
    <cellStyle name="Normal 10 2 4 2 3 5 4" xfId="31890"/>
    <cellStyle name="Normal 10 2 4 2 3 6" xfId="7775"/>
    <cellStyle name="Normal 10 2 4 2 3 6 2" xfId="20714"/>
    <cellStyle name="Normal 10 2 4 2 3 6 2 2" xfId="46267"/>
    <cellStyle name="Normal 10 2 4 2 3 6 3" xfId="33332"/>
    <cellStyle name="Normal 10 2 4 2 3 7" xfId="16516"/>
    <cellStyle name="Normal 10 2 4 2 3 7 2" xfId="42069"/>
    <cellStyle name="Normal 10 2 4 2 3 8" xfId="27197"/>
    <cellStyle name="Normal 10 2 4 2 4" xfId="3045"/>
    <cellStyle name="Normal 10 2 4 2 4 2" xfId="5423"/>
    <cellStyle name="Normal 10 2 4 2 4 2 2" xfId="14260"/>
    <cellStyle name="Normal 10 2 4 2 4 2 2 2" xfId="24511"/>
    <cellStyle name="Normal 10 2 4 2 4 2 2 2 2" xfId="50064"/>
    <cellStyle name="Normal 10 2 4 2 4 2 2 3" xfId="39815"/>
    <cellStyle name="Normal 10 2 4 2 4 2 3" xfId="10681"/>
    <cellStyle name="Normal 10 2 4 2 4 2 3 2" xfId="36238"/>
    <cellStyle name="Normal 10 2 4 2 4 2 4" xfId="19504"/>
    <cellStyle name="Normal 10 2 4 2 4 2 4 2" xfId="45057"/>
    <cellStyle name="Normal 10 2 4 2 4 2 5" xfId="30994"/>
    <cellStyle name="Normal 10 2 4 2 4 3" xfId="6878"/>
    <cellStyle name="Normal 10 2 4 2 4 3 2" xfId="15705"/>
    <cellStyle name="Normal 10 2 4 2 4 3 2 2" xfId="41260"/>
    <cellStyle name="Normal 10 2 4 2 4 3 3" xfId="25956"/>
    <cellStyle name="Normal 10 2 4 2 4 3 3 2" xfId="51509"/>
    <cellStyle name="Normal 10 2 4 2 4 3 4" xfId="32439"/>
    <cellStyle name="Normal 10 2 4 2 4 4" xfId="8324"/>
    <cellStyle name="Normal 10 2 4 2 4 4 2" xfId="22406"/>
    <cellStyle name="Normal 10 2 4 2 4 4 2 2" xfId="47959"/>
    <cellStyle name="Normal 10 2 4 2 4 4 3" xfId="33881"/>
    <cellStyle name="Normal 10 2 4 2 4 5" xfId="17399"/>
    <cellStyle name="Normal 10 2 4 2 4 5 2" xfId="42952"/>
    <cellStyle name="Normal 10 2 4 2 4 6" xfId="28889"/>
    <cellStyle name="Normal 10 2 4 2 5" xfId="4379"/>
    <cellStyle name="Normal 10 2 4 2 5 2" xfId="13217"/>
    <cellStyle name="Normal 10 2 4 2 5 2 2" xfId="23468"/>
    <cellStyle name="Normal 10 2 4 2 5 2 2 2" xfId="49021"/>
    <cellStyle name="Normal 10 2 4 2 5 2 3" xfId="38772"/>
    <cellStyle name="Normal 10 2 4 2 5 3" xfId="9638"/>
    <cellStyle name="Normal 10 2 4 2 5 3 2" xfId="35195"/>
    <cellStyle name="Normal 10 2 4 2 5 4" xfId="18461"/>
    <cellStyle name="Normal 10 2 4 2 5 4 2" xfId="44014"/>
    <cellStyle name="Normal 10 2 4 2 5 5" xfId="29951"/>
    <cellStyle name="Normal 10 2 4 2 6" xfId="1651"/>
    <cellStyle name="Normal 10 2 4 2 6 2" xfId="11028"/>
    <cellStyle name="Normal 10 2 4 2 6 2 2" xfId="36583"/>
    <cellStyle name="Normal 10 2 4 2 6 3" xfId="21032"/>
    <cellStyle name="Normal 10 2 4 2 6 3 2" xfId="46585"/>
    <cellStyle name="Normal 10 2 4 2 6 4" xfId="27515"/>
    <cellStyle name="Normal 10 2 4 2 7" xfId="5835"/>
    <cellStyle name="Normal 10 2 4 2 7 2" xfId="14662"/>
    <cellStyle name="Normal 10 2 4 2 7 2 2" xfId="40217"/>
    <cellStyle name="Normal 10 2 4 2 7 3" xfId="24913"/>
    <cellStyle name="Normal 10 2 4 2 7 3 2" xfId="50466"/>
    <cellStyle name="Normal 10 2 4 2 7 4" xfId="31396"/>
    <cellStyle name="Normal 10 2 4 2 8" xfId="7279"/>
    <cellStyle name="Normal 10 2 4 2 8 2" xfId="20005"/>
    <cellStyle name="Normal 10 2 4 2 8 2 2" xfId="45558"/>
    <cellStyle name="Normal 10 2 4 2 8 3" xfId="32836"/>
    <cellStyle name="Normal 10 2 4 2 9" xfId="16025"/>
    <cellStyle name="Normal 10 2 4 2 9 2" xfId="41578"/>
    <cellStyle name="Normal 10 2 4 2_Degree data" xfId="3872"/>
    <cellStyle name="Normal 10 2 4 3" xfId="354"/>
    <cellStyle name="Normal 10 2 4 3 2" xfId="2840"/>
    <cellStyle name="Normal 10 2 4 3 2 2" xfId="12128"/>
    <cellStyle name="Normal 10 2 4 3 2 2 2" xfId="22201"/>
    <cellStyle name="Normal 10 2 4 3 2 2 2 2" xfId="47754"/>
    <cellStyle name="Normal 10 2 4 3 2 2 3" xfId="37683"/>
    <cellStyle name="Normal 10 2 4 3 2 3" xfId="8421"/>
    <cellStyle name="Normal 10 2 4 3 2 3 2" xfId="33978"/>
    <cellStyle name="Normal 10 2 4 3 2 4" xfId="17194"/>
    <cellStyle name="Normal 10 2 4 3 2 4 2" xfId="42747"/>
    <cellStyle name="Normal 10 2 4 3 2 5" xfId="28684"/>
    <cellStyle name="Normal 10 2 4 3 3" xfId="4524"/>
    <cellStyle name="Normal 10 2 4 3 3 2" xfId="13362"/>
    <cellStyle name="Normal 10 2 4 3 3 2 2" xfId="23613"/>
    <cellStyle name="Normal 10 2 4 3 3 2 2 2" xfId="49166"/>
    <cellStyle name="Normal 10 2 4 3 3 2 3" xfId="38917"/>
    <cellStyle name="Normal 10 2 4 3 3 3" xfId="9783"/>
    <cellStyle name="Normal 10 2 4 3 3 3 2" xfId="35340"/>
    <cellStyle name="Normal 10 2 4 3 3 4" xfId="18606"/>
    <cellStyle name="Normal 10 2 4 3 3 4 2" xfId="44159"/>
    <cellStyle name="Normal 10 2 4 3 3 5" xfId="30096"/>
    <cellStyle name="Normal 10 2 4 3 4" xfId="1949"/>
    <cellStyle name="Normal 10 2 4 3 4 2" xfId="11314"/>
    <cellStyle name="Normal 10 2 4 3 4 2 2" xfId="36869"/>
    <cellStyle name="Normal 10 2 4 3 4 3" xfId="21318"/>
    <cellStyle name="Normal 10 2 4 3 4 3 2" xfId="46871"/>
    <cellStyle name="Normal 10 2 4 3 4 4" xfId="27801"/>
    <cellStyle name="Normal 10 2 4 3 5" xfId="5980"/>
    <cellStyle name="Normal 10 2 4 3 5 2" xfId="14807"/>
    <cellStyle name="Normal 10 2 4 3 5 2 2" xfId="40362"/>
    <cellStyle name="Normal 10 2 4 3 5 3" xfId="25058"/>
    <cellStyle name="Normal 10 2 4 3 5 3 2" xfId="50611"/>
    <cellStyle name="Normal 10 2 4 3 5 4" xfId="31541"/>
    <cellStyle name="Normal 10 2 4 3 6" xfId="7424"/>
    <cellStyle name="Normal 10 2 4 3 6 2" xfId="19800"/>
    <cellStyle name="Normal 10 2 4 3 6 2 2" xfId="45353"/>
    <cellStyle name="Normal 10 2 4 3 6 3" xfId="32981"/>
    <cellStyle name="Normal 10 2 4 3 7" xfId="16311"/>
    <cellStyle name="Normal 10 2 4 3 7 2" xfId="41864"/>
    <cellStyle name="Normal 10 2 4 3 8" xfId="26283"/>
    <cellStyle name="Normal 10 2 4 4" xfId="709"/>
    <cellStyle name="Normal 10 2 4 4 2" xfId="3195"/>
    <cellStyle name="Normal 10 2 4 4 2 2" xfId="12338"/>
    <cellStyle name="Normal 10 2 4 4 2 2 2" xfId="22556"/>
    <cellStyle name="Normal 10 2 4 4 2 2 2 2" xfId="48109"/>
    <cellStyle name="Normal 10 2 4 4 2 2 3" xfId="37893"/>
    <cellStyle name="Normal 10 2 4 4 2 3" xfId="8760"/>
    <cellStyle name="Normal 10 2 4 4 2 3 2" xfId="34317"/>
    <cellStyle name="Normal 10 2 4 4 2 4" xfId="17549"/>
    <cellStyle name="Normal 10 2 4 4 2 4 2" xfId="43102"/>
    <cellStyle name="Normal 10 2 4 4 2 5" xfId="29039"/>
    <cellStyle name="Normal 10 2 4 4 3" xfId="4873"/>
    <cellStyle name="Normal 10 2 4 4 3 2" xfId="13710"/>
    <cellStyle name="Normal 10 2 4 4 3 2 2" xfId="23961"/>
    <cellStyle name="Normal 10 2 4 4 3 2 2 2" xfId="49514"/>
    <cellStyle name="Normal 10 2 4 4 3 2 3" xfId="39265"/>
    <cellStyle name="Normal 10 2 4 4 3 3" xfId="10131"/>
    <cellStyle name="Normal 10 2 4 4 3 3 2" xfId="35688"/>
    <cellStyle name="Normal 10 2 4 4 3 4" xfId="18954"/>
    <cellStyle name="Normal 10 2 4 4 3 4 2" xfId="44507"/>
    <cellStyle name="Normal 10 2 4 4 3 5" xfId="30444"/>
    <cellStyle name="Normal 10 2 4 4 4" xfId="2304"/>
    <cellStyle name="Normal 10 2 4 4 4 2" xfId="11669"/>
    <cellStyle name="Normal 10 2 4 4 4 2 2" xfId="37224"/>
    <cellStyle name="Normal 10 2 4 4 4 3" xfId="21673"/>
    <cellStyle name="Normal 10 2 4 4 4 3 2" xfId="47226"/>
    <cellStyle name="Normal 10 2 4 4 4 4" xfId="28156"/>
    <cellStyle name="Normal 10 2 4 4 5" xfId="6328"/>
    <cellStyle name="Normal 10 2 4 4 5 2" xfId="15155"/>
    <cellStyle name="Normal 10 2 4 4 5 2 2" xfId="40710"/>
    <cellStyle name="Normal 10 2 4 4 5 3" xfId="25406"/>
    <cellStyle name="Normal 10 2 4 4 5 3 2" xfId="50959"/>
    <cellStyle name="Normal 10 2 4 4 5 4" xfId="31889"/>
    <cellStyle name="Normal 10 2 4 4 6" xfId="7774"/>
    <cellStyle name="Normal 10 2 4 4 6 2" xfId="20155"/>
    <cellStyle name="Normal 10 2 4 4 6 2 2" xfId="45708"/>
    <cellStyle name="Normal 10 2 4 4 6 3" xfId="33331"/>
    <cellStyle name="Normal 10 2 4 4 7" xfId="16666"/>
    <cellStyle name="Normal 10 2 4 4 7 2" xfId="42219"/>
    <cellStyle name="Normal 10 2 4 4 8" xfId="26638"/>
    <cellStyle name="Normal 10 2 4 5" xfId="1126"/>
    <cellStyle name="Normal 10 2 4 5 2" xfId="3555"/>
    <cellStyle name="Normal 10 2 4 5 2 2" xfId="12691"/>
    <cellStyle name="Normal 10 2 4 5 2 2 2" xfId="22910"/>
    <cellStyle name="Normal 10 2 4 5 2 2 2 2" xfId="48463"/>
    <cellStyle name="Normal 10 2 4 5 2 2 3" xfId="38246"/>
    <cellStyle name="Normal 10 2 4 5 2 3" xfId="9112"/>
    <cellStyle name="Normal 10 2 4 5 2 3 2" xfId="34669"/>
    <cellStyle name="Normal 10 2 4 5 2 4" xfId="17903"/>
    <cellStyle name="Normal 10 2 4 5 2 4 2" xfId="43456"/>
    <cellStyle name="Normal 10 2 4 5 2 5" xfId="29393"/>
    <cellStyle name="Normal 10 2 4 5 3" xfId="5218"/>
    <cellStyle name="Normal 10 2 4 5 3 2" xfId="14055"/>
    <cellStyle name="Normal 10 2 4 5 3 2 2" xfId="24306"/>
    <cellStyle name="Normal 10 2 4 5 3 2 2 2" xfId="49859"/>
    <cellStyle name="Normal 10 2 4 5 3 2 3" xfId="39610"/>
    <cellStyle name="Normal 10 2 4 5 3 3" xfId="10476"/>
    <cellStyle name="Normal 10 2 4 5 3 3 2" xfId="36033"/>
    <cellStyle name="Normal 10 2 4 5 3 4" xfId="19299"/>
    <cellStyle name="Normal 10 2 4 5 3 4 2" xfId="44852"/>
    <cellStyle name="Normal 10 2 4 5 3 5" xfId="30789"/>
    <cellStyle name="Normal 10 2 4 5 4" xfId="1834"/>
    <cellStyle name="Normal 10 2 4 5 4 2" xfId="11202"/>
    <cellStyle name="Normal 10 2 4 5 4 2 2" xfId="36757"/>
    <cellStyle name="Normal 10 2 4 5 4 3" xfId="21206"/>
    <cellStyle name="Normal 10 2 4 5 4 3 2" xfId="46759"/>
    <cellStyle name="Normal 10 2 4 5 4 4" xfId="27689"/>
    <cellStyle name="Normal 10 2 4 5 5" xfId="6673"/>
    <cellStyle name="Normal 10 2 4 5 5 2" xfId="15500"/>
    <cellStyle name="Normal 10 2 4 5 5 2 2" xfId="41055"/>
    <cellStyle name="Normal 10 2 4 5 5 3" xfId="25751"/>
    <cellStyle name="Normal 10 2 4 5 5 3 2" xfId="51304"/>
    <cellStyle name="Normal 10 2 4 5 5 4" xfId="32234"/>
    <cellStyle name="Normal 10 2 4 5 6" xfId="8119"/>
    <cellStyle name="Normal 10 2 4 5 6 2" xfId="20509"/>
    <cellStyle name="Normal 10 2 4 5 6 2 2" xfId="46062"/>
    <cellStyle name="Normal 10 2 4 5 6 3" xfId="33676"/>
    <cellStyle name="Normal 10 2 4 5 7" xfId="16199"/>
    <cellStyle name="Normal 10 2 4 5 7 2" xfId="41752"/>
    <cellStyle name="Normal 10 2 4 5 8" xfId="26992"/>
    <cellStyle name="Normal 10 2 4 6" xfId="2728"/>
    <cellStyle name="Normal 10 2 4 6 2" xfId="12045"/>
    <cellStyle name="Normal 10 2 4 6 2 2" xfId="22089"/>
    <cellStyle name="Normal 10 2 4 6 2 2 2" xfId="47642"/>
    <cellStyle name="Normal 10 2 4 6 2 3" xfId="37600"/>
    <cellStyle name="Normal 10 2 4 6 3" xfId="8607"/>
    <cellStyle name="Normal 10 2 4 6 3 2" xfId="34164"/>
    <cellStyle name="Normal 10 2 4 6 4" xfId="17082"/>
    <cellStyle name="Normal 10 2 4 6 4 2" xfId="42635"/>
    <cellStyle name="Normal 10 2 4 6 5" xfId="28572"/>
    <cellStyle name="Normal 10 2 4 7" xfId="4174"/>
    <cellStyle name="Normal 10 2 4 7 2" xfId="13012"/>
    <cellStyle name="Normal 10 2 4 7 2 2" xfId="23263"/>
    <cellStyle name="Normal 10 2 4 7 2 2 2" xfId="48816"/>
    <cellStyle name="Normal 10 2 4 7 2 3" xfId="38567"/>
    <cellStyle name="Normal 10 2 4 7 3" xfId="9433"/>
    <cellStyle name="Normal 10 2 4 7 3 2" xfId="34990"/>
    <cellStyle name="Normal 10 2 4 7 4" xfId="18256"/>
    <cellStyle name="Normal 10 2 4 7 4 2" xfId="43809"/>
    <cellStyle name="Normal 10 2 4 7 5" xfId="29746"/>
    <cellStyle name="Normal 10 2 4 8" xfId="1446"/>
    <cellStyle name="Normal 10 2 4 8 2" xfId="10823"/>
    <cellStyle name="Normal 10 2 4 8 2 2" xfId="36378"/>
    <cellStyle name="Normal 10 2 4 8 3" xfId="20827"/>
    <cellStyle name="Normal 10 2 4 8 3 2" xfId="46380"/>
    <cellStyle name="Normal 10 2 4 8 4" xfId="27310"/>
    <cellStyle name="Normal 10 2 4 9" xfId="5630"/>
    <cellStyle name="Normal 10 2 4 9 2" xfId="14457"/>
    <cellStyle name="Normal 10 2 4 9 2 2" xfId="40012"/>
    <cellStyle name="Normal 10 2 4 9 3" xfId="24708"/>
    <cellStyle name="Normal 10 2 4 9 3 2" xfId="50261"/>
    <cellStyle name="Normal 10 2 4 9 4" xfId="31191"/>
    <cellStyle name="Normal 10 2 4_Degree data" xfId="3880"/>
    <cellStyle name="Normal 10 2 5" xfId="454"/>
    <cellStyle name="Normal 10 2 5 10" xfId="26383"/>
    <cellStyle name="Normal 10 2 5 2" xfId="711"/>
    <cellStyle name="Normal 10 2 5 2 2" xfId="3197"/>
    <cellStyle name="Normal 10 2 5 2 2 2" xfId="12340"/>
    <cellStyle name="Normal 10 2 5 2 2 2 2" xfId="22558"/>
    <cellStyle name="Normal 10 2 5 2 2 2 2 2" xfId="48111"/>
    <cellStyle name="Normal 10 2 5 2 2 2 3" xfId="37895"/>
    <cellStyle name="Normal 10 2 5 2 2 3" xfId="8762"/>
    <cellStyle name="Normal 10 2 5 2 2 3 2" xfId="34319"/>
    <cellStyle name="Normal 10 2 5 2 2 4" xfId="17551"/>
    <cellStyle name="Normal 10 2 5 2 2 4 2" xfId="43104"/>
    <cellStyle name="Normal 10 2 5 2 2 5" xfId="29041"/>
    <cellStyle name="Normal 10 2 5 2 3" xfId="4526"/>
    <cellStyle name="Normal 10 2 5 2 3 2" xfId="13364"/>
    <cellStyle name="Normal 10 2 5 2 3 2 2" xfId="23615"/>
    <cellStyle name="Normal 10 2 5 2 3 2 2 2" xfId="49168"/>
    <cellStyle name="Normal 10 2 5 2 3 2 3" xfId="38919"/>
    <cellStyle name="Normal 10 2 5 2 3 3" xfId="9785"/>
    <cellStyle name="Normal 10 2 5 2 3 3 2" xfId="35342"/>
    <cellStyle name="Normal 10 2 5 2 3 4" xfId="18608"/>
    <cellStyle name="Normal 10 2 5 2 3 4 2" xfId="44161"/>
    <cellStyle name="Normal 10 2 5 2 3 5" xfId="30098"/>
    <cellStyle name="Normal 10 2 5 2 4" xfId="2306"/>
    <cellStyle name="Normal 10 2 5 2 4 2" xfId="11671"/>
    <cellStyle name="Normal 10 2 5 2 4 2 2" xfId="37226"/>
    <cellStyle name="Normal 10 2 5 2 4 3" xfId="21675"/>
    <cellStyle name="Normal 10 2 5 2 4 3 2" xfId="47228"/>
    <cellStyle name="Normal 10 2 5 2 4 4" xfId="28158"/>
    <cellStyle name="Normal 10 2 5 2 5" xfId="5982"/>
    <cellStyle name="Normal 10 2 5 2 5 2" xfId="14809"/>
    <cellStyle name="Normal 10 2 5 2 5 2 2" xfId="40364"/>
    <cellStyle name="Normal 10 2 5 2 5 3" xfId="25060"/>
    <cellStyle name="Normal 10 2 5 2 5 3 2" xfId="50613"/>
    <cellStyle name="Normal 10 2 5 2 5 4" xfId="31543"/>
    <cellStyle name="Normal 10 2 5 2 6" xfId="7426"/>
    <cellStyle name="Normal 10 2 5 2 6 2" xfId="20157"/>
    <cellStyle name="Normal 10 2 5 2 6 2 2" xfId="45710"/>
    <cellStyle name="Normal 10 2 5 2 6 3" xfId="32983"/>
    <cellStyle name="Normal 10 2 5 2 7" xfId="16668"/>
    <cellStyle name="Normal 10 2 5 2 7 2" xfId="42221"/>
    <cellStyle name="Normal 10 2 5 2 8" xfId="26640"/>
    <cellStyle name="Normal 10 2 5 3" xfId="1226"/>
    <cellStyle name="Normal 10 2 5 3 2" xfId="3655"/>
    <cellStyle name="Normal 10 2 5 3 2 2" xfId="12791"/>
    <cellStyle name="Normal 10 2 5 3 2 2 2" xfId="23010"/>
    <cellStyle name="Normal 10 2 5 3 2 2 2 2" xfId="48563"/>
    <cellStyle name="Normal 10 2 5 3 2 2 3" xfId="38346"/>
    <cellStyle name="Normal 10 2 5 3 2 3" xfId="9212"/>
    <cellStyle name="Normal 10 2 5 3 2 3 2" xfId="34769"/>
    <cellStyle name="Normal 10 2 5 3 2 4" xfId="18003"/>
    <cellStyle name="Normal 10 2 5 3 2 4 2" xfId="43556"/>
    <cellStyle name="Normal 10 2 5 3 2 5" xfId="29493"/>
    <cellStyle name="Normal 10 2 5 3 3" xfId="4875"/>
    <cellStyle name="Normal 10 2 5 3 3 2" xfId="13712"/>
    <cellStyle name="Normal 10 2 5 3 3 2 2" xfId="23963"/>
    <cellStyle name="Normal 10 2 5 3 3 2 2 2" xfId="49516"/>
    <cellStyle name="Normal 10 2 5 3 3 2 3" xfId="39267"/>
    <cellStyle name="Normal 10 2 5 3 3 3" xfId="10133"/>
    <cellStyle name="Normal 10 2 5 3 3 3 2" xfId="35690"/>
    <cellStyle name="Normal 10 2 5 3 3 4" xfId="18956"/>
    <cellStyle name="Normal 10 2 5 3 3 4 2" xfId="44509"/>
    <cellStyle name="Normal 10 2 5 3 3 5" xfId="30446"/>
    <cellStyle name="Normal 10 2 5 3 4" xfId="2049"/>
    <cellStyle name="Normal 10 2 5 3 4 2" xfId="11414"/>
    <cellStyle name="Normal 10 2 5 3 4 2 2" xfId="36969"/>
    <cellStyle name="Normal 10 2 5 3 4 3" xfId="21418"/>
    <cellStyle name="Normal 10 2 5 3 4 3 2" xfId="46971"/>
    <cellStyle name="Normal 10 2 5 3 4 4" xfId="27901"/>
    <cellStyle name="Normal 10 2 5 3 5" xfId="6330"/>
    <cellStyle name="Normal 10 2 5 3 5 2" xfId="15157"/>
    <cellStyle name="Normal 10 2 5 3 5 2 2" xfId="40712"/>
    <cellStyle name="Normal 10 2 5 3 5 3" xfId="25408"/>
    <cellStyle name="Normal 10 2 5 3 5 3 2" xfId="50961"/>
    <cellStyle name="Normal 10 2 5 3 5 4" xfId="31891"/>
    <cellStyle name="Normal 10 2 5 3 6" xfId="7776"/>
    <cellStyle name="Normal 10 2 5 3 6 2" xfId="20609"/>
    <cellStyle name="Normal 10 2 5 3 6 2 2" xfId="46162"/>
    <cellStyle name="Normal 10 2 5 3 6 3" xfId="33333"/>
    <cellStyle name="Normal 10 2 5 3 7" xfId="16411"/>
    <cellStyle name="Normal 10 2 5 3 7 2" xfId="41964"/>
    <cellStyle name="Normal 10 2 5 3 8" xfId="27092"/>
    <cellStyle name="Normal 10 2 5 4" xfId="2940"/>
    <cellStyle name="Normal 10 2 5 4 2" xfId="5318"/>
    <cellStyle name="Normal 10 2 5 4 2 2" xfId="14155"/>
    <cellStyle name="Normal 10 2 5 4 2 2 2" xfId="24406"/>
    <cellStyle name="Normal 10 2 5 4 2 2 2 2" xfId="49959"/>
    <cellStyle name="Normal 10 2 5 4 2 2 3" xfId="39710"/>
    <cellStyle name="Normal 10 2 5 4 2 3" xfId="10576"/>
    <cellStyle name="Normal 10 2 5 4 2 3 2" xfId="36133"/>
    <cellStyle name="Normal 10 2 5 4 2 4" xfId="19399"/>
    <cellStyle name="Normal 10 2 5 4 2 4 2" xfId="44952"/>
    <cellStyle name="Normal 10 2 5 4 2 5" xfId="30889"/>
    <cellStyle name="Normal 10 2 5 4 3" xfId="6773"/>
    <cellStyle name="Normal 10 2 5 4 3 2" xfId="15600"/>
    <cellStyle name="Normal 10 2 5 4 3 2 2" xfId="41155"/>
    <cellStyle name="Normal 10 2 5 4 3 3" xfId="25851"/>
    <cellStyle name="Normal 10 2 5 4 3 3 2" xfId="51404"/>
    <cellStyle name="Normal 10 2 5 4 3 4" xfId="32334"/>
    <cellStyle name="Normal 10 2 5 4 4" xfId="8219"/>
    <cellStyle name="Normal 10 2 5 4 4 2" xfId="22301"/>
    <cellStyle name="Normal 10 2 5 4 4 2 2" xfId="47854"/>
    <cellStyle name="Normal 10 2 5 4 4 3" xfId="33776"/>
    <cellStyle name="Normal 10 2 5 4 5" xfId="17294"/>
    <cellStyle name="Normal 10 2 5 4 5 2" xfId="42847"/>
    <cellStyle name="Normal 10 2 5 4 6" xfId="28784"/>
    <cellStyle name="Normal 10 2 5 5" xfId="4274"/>
    <cellStyle name="Normal 10 2 5 5 2" xfId="13112"/>
    <cellStyle name="Normal 10 2 5 5 2 2" xfId="23363"/>
    <cellStyle name="Normal 10 2 5 5 2 2 2" xfId="48916"/>
    <cellStyle name="Normal 10 2 5 5 2 3" xfId="38667"/>
    <cellStyle name="Normal 10 2 5 5 3" xfId="9533"/>
    <cellStyle name="Normal 10 2 5 5 3 2" xfId="35090"/>
    <cellStyle name="Normal 10 2 5 5 4" xfId="18356"/>
    <cellStyle name="Normal 10 2 5 5 4 2" xfId="43909"/>
    <cellStyle name="Normal 10 2 5 5 5" xfId="29846"/>
    <cellStyle name="Normal 10 2 5 6" xfId="1546"/>
    <cellStyle name="Normal 10 2 5 6 2" xfId="10923"/>
    <cellStyle name="Normal 10 2 5 6 2 2" xfId="36478"/>
    <cellStyle name="Normal 10 2 5 6 3" xfId="20927"/>
    <cellStyle name="Normal 10 2 5 6 3 2" xfId="46480"/>
    <cellStyle name="Normal 10 2 5 6 4" xfId="27410"/>
    <cellStyle name="Normal 10 2 5 7" xfId="5730"/>
    <cellStyle name="Normal 10 2 5 7 2" xfId="14557"/>
    <cellStyle name="Normal 10 2 5 7 2 2" xfId="40112"/>
    <cellStyle name="Normal 10 2 5 7 3" xfId="24808"/>
    <cellStyle name="Normal 10 2 5 7 3 2" xfId="50361"/>
    <cellStyle name="Normal 10 2 5 7 4" xfId="31291"/>
    <cellStyle name="Normal 10 2 5 8" xfId="7174"/>
    <cellStyle name="Normal 10 2 5 8 2" xfId="19900"/>
    <cellStyle name="Normal 10 2 5 8 2 2" xfId="45453"/>
    <cellStyle name="Normal 10 2 5 8 3" xfId="32731"/>
    <cellStyle name="Normal 10 2 5 9" xfId="15920"/>
    <cellStyle name="Normal 10 2 5 9 2" xfId="41473"/>
    <cellStyle name="Normal 10 2 5_Degree data" xfId="3823"/>
    <cellStyle name="Normal 10 2 6" xfId="309"/>
    <cellStyle name="Normal 10 2 6 10" xfId="26238"/>
    <cellStyle name="Normal 10 2 6 2" xfId="712"/>
    <cellStyle name="Normal 10 2 6 2 2" xfId="3198"/>
    <cellStyle name="Normal 10 2 6 2 2 2" xfId="12341"/>
    <cellStyle name="Normal 10 2 6 2 2 2 2" xfId="22559"/>
    <cellStyle name="Normal 10 2 6 2 2 2 2 2" xfId="48112"/>
    <cellStyle name="Normal 10 2 6 2 2 2 3" xfId="37896"/>
    <cellStyle name="Normal 10 2 6 2 2 3" xfId="8763"/>
    <cellStyle name="Normal 10 2 6 2 2 3 2" xfId="34320"/>
    <cellStyle name="Normal 10 2 6 2 2 4" xfId="17552"/>
    <cellStyle name="Normal 10 2 6 2 2 4 2" xfId="43105"/>
    <cellStyle name="Normal 10 2 6 2 2 5" xfId="29042"/>
    <cellStyle name="Normal 10 2 6 2 3" xfId="4527"/>
    <cellStyle name="Normal 10 2 6 2 3 2" xfId="13365"/>
    <cellStyle name="Normal 10 2 6 2 3 2 2" xfId="23616"/>
    <cellStyle name="Normal 10 2 6 2 3 2 2 2" xfId="49169"/>
    <cellStyle name="Normal 10 2 6 2 3 2 3" xfId="38920"/>
    <cellStyle name="Normal 10 2 6 2 3 3" xfId="9786"/>
    <cellStyle name="Normal 10 2 6 2 3 3 2" xfId="35343"/>
    <cellStyle name="Normal 10 2 6 2 3 4" xfId="18609"/>
    <cellStyle name="Normal 10 2 6 2 3 4 2" xfId="44162"/>
    <cellStyle name="Normal 10 2 6 2 3 5" xfId="30099"/>
    <cellStyle name="Normal 10 2 6 2 4" xfId="2307"/>
    <cellStyle name="Normal 10 2 6 2 4 2" xfId="11672"/>
    <cellStyle name="Normal 10 2 6 2 4 2 2" xfId="37227"/>
    <cellStyle name="Normal 10 2 6 2 4 3" xfId="21676"/>
    <cellStyle name="Normal 10 2 6 2 4 3 2" xfId="47229"/>
    <cellStyle name="Normal 10 2 6 2 4 4" xfId="28159"/>
    <cellStyle name="Normal 10 2 6 2 5" xfId="5983"/>
    <cellStyle name="Normal 10 2 6 2 5 2" xfId="14810"/>
    <cellStyle name="Normal 10 2 6 2 5 2 2" xfId="40365"/>
    <cellStyle name="Normal 10 2 6 2 5 3" xfId="25061"/>
    <cellStyle name="Normal 10 2 6 2 5 3 2" xfId="50614"/>
    <cellStyle name="Normal 10 2 6 2 5 4" xfId="31544"/>
    <cellStyle name="Normal 10 2 6 2 6" xfId="7427"/>
    <cellStyle name="Normal 10 2 6 2 6 2" xfId="20158"/>
    <cellStyle name="Normal 10 2 6 2 6 2 2" xfId="45711"/>
    <cellStyle name="Normal 10 2 6 2 6 3" xfId="32984"/>
    <cellStyle name="Normal 10 2 6 2 7" xfId="16669"/>
    <cellStyle name="Normal 10 2 6 2 7 2" xfId="42222"/>
    <cellStyle name="Normal 10 2 6 2 8" xfId="26641"/>
    <cellStyle name="Normal 10 2 6 3" xfId="1081"/>
    <cellStyle name="Normal 10 2 6 3 2" xfId="3510"/>
    <cellStyle name="Normal 10 2 6 3 2 2" xfId="12646"/>
    <cellStyle name="Normal 10 2 6 3 2 2 2" xfId="22865"/>
    <cellStyle name="Normal 10 2 6 3 2 2 2 2" xfId="48418"/>
    <cellStyle name="Normal 10 2 6 3 2 2 3" xfId="38201"/>
    <cellStyle name="Normal 10 2 6 3 2 3" xfId="9068"/>
    <cellStyle name="Normal 10 2 6 3 2 3 2" xfId="34625"/>
    <cellStyle name="Normal 10 2 6 3 2 4" xfId="17858"/>
    <cellStyle name="Normal 10 2 6 3 2 4 2" xfId="43411"/>
    <cellStyle name="Normal 10 2 6 3 2 5" xfId="29348"/>
    <cellStyle name="Normal 10 2 6 3 3" xfId="4876"/>
    <cellStyle name="Normal 10 2 6 3 3 2" xfId="13713"/>
    <cellStyle name="Normal 10 2 6 3 3 2 2" xfId="23964"/>
    <cellStyle name="Normal 10 2 6 3 3 2 2 2" xfId="49517"/>
    <cellStyle name="Normal 10 2 6 3 3 2 3" xfId="39268"/>
    <cellStyle name="Normal 10 2 6 3 3 3" xfId="10134"/>
    <cellStyle name="Normal 10 2 6 3 3 3 2" xfId="35691"/>
    <cellStyle name="Normal 10 2 6 3 3 4" xfId="18957"/>
    <cellStyle name="Normal 10 2 6 3 3 4 2" xfId="44510"/>
    <cellStyle name="Normal 10 2 6 3 3 5" xfId="30447"/>
    <cellStyle name="Normal 10 2 6 3 4" xfId="2585"/>
    <cellStyle name="Normal 10 2 6 3 4 2" xfId="11949"/>
    <cellStyle name="Normal 10 2 6 3 4 2 2" xfId="37504"/>
    <cellStyle name="Normal 10 2 6 3 4 3" xfId="21953"/>
    <cellStyle name="Normal 10 2 6 3 4 3 2" xfId="47506"/>
    <cellStyle name="Normal 10 2 6 3 4 4" xfId="28436"/>
    <cellStyle name="Normal 10 2 6 3 5" xfId="6331"/>
    <cellStyle name="Normal 10 2 6 3 5 2" xfId="15158"/>
    <cellStyle name="Normal 10 2 6 3 5 2 2" xfId="40713"/>
    <cellStyle name="Normal 10 2 6 3 5 3" xfId="25409"/>
    <cellStyle name="Normal 10 2 6 3 5 3 2" xfId="50962"/>
    <cellStyle name="Normal 10 2 6 3 5 4" xfId="31892"/>
    <cellStyle name="Normal 10 2 6 3 6" xfId="7777"/>
    <cellStyle name="Normal 10 2 6 3 6 2" xfId="20464"/>
    <cellStyle name="Normal 10 2 6 3 6 2 2" xfId="46017"/>
    <cellStyle name="Normal 10 2 6 3 6 3" xfId="33334"/>
    <cellStyle name="Normal 10 2 6 3 7" xfId="16946"/>
    <cellStyle name="Normal 10 2 6 3 7 2" xfId="42499"/>
    <cellStyle name="Normal 10 2 6 3 8" xfId="26947"/>
    <cellStyle name="Normal 10 2 6 4" xfId="2795"/>
    <cellStyle name="Normal 10 2 6 4 2" xfId="5173"/>
    <cellStyle name="Normal 10 2 6 4 2 2" xfId="14010"/>
    <cellStyle name="Normal 10 2 6 4 2 2 2" xfId="24261"/>
    <cellStyle name="Normal 10 2 6 4 2 2 2 2" xfId="49814"/>
    <cellStyle name="Normal 10 2 6 4 2 2 3" xfId="39565"/>
    <cellStyle name="Normal 10 2 6 4 2 3" xfId="10431"/>
    <cellStyle name="Normal 10 2 6 4 2 3 2" xfId="35988"/>
    <cellStyle name="Normal 10 2 6 4 2 4" xfId="19254"/>
    <cellStyle name="Normal 10 2 6 4 2 4 2" xfId="44807"/>
    <cellStyle name="Normal 10 2 6 4 2 5" xfId="30744"/>
    <cellStyle name="Normal 10 2 6 4 3" xfId="6628"/>
    <cellStyle name="Normal 10 2 6 4 3 2" xfId="15455"/>
    <cellStyle name="Normal 10 2 6 4 3 2 2" xfId="41010"/>
    <cellStyle name="Normal 10 2 6 4 3 3" xfId="25706"/>
    <cellStyle name="Normal 10 2 6 4 3 3 2" xfId="51259"/>
    <cellStyle name="Normal 10 2 6 4 3 4" xfId="32189"/>
    <cellStyle name="Normal 10 2 6 4 4" xfId="8074"/>
    <cellStyle name="Normal 10 2 6 4 4 2" xfId="22156"/>
    <cellStyle name="Normal 10 2 6 4 4 2 2" xfId="47709"/>
    <cellStyle name="Normal 10 2 6 4 4 3" xfId="33631"/>
    <cellStyle name="Normal 10 2 6 4 5" xfId="17149"/>
    <cellStyle name="Normal 10 2 6 4 5 2" xfId="42702"/>
    <cellStyle name="Normal 10 2 6 4 6" xfId="28639"/>
    <cellStyle name="Normal 10 2 6 5" xfId="4127"/>
    <cellStyle name="Normal 10 2 6 5 2" xfId="12965"/>
    <cellStyle name="Normal 10 2 6 5 2 2" xfId="23216"/>
    <cellStyle name="Normal 10 2 6 5 2 2 2" xfId="48769"/>
    <cellStyle name="Normal 10 2 6 5 2 3" xfId="38520"/>
    <cellStyle name="Normal 10 2 6 5 3" xfId="9386"/>
    <cellStyle name="Normal 10 2 6 5 3 2" xfId="34943"/>
    <cellStyle name="Normal 10 2 6 5 4" xfId="18209"/>
    <cellStyle name="Normal 10 2 6 5 4 2" xfId="43762"/>
    <cellStyle name="Normal 10 2 6 5 5" xfId="29699"/>
    <cellStyle name="Normal 10 2 6 6" xfId="1904"/>
    <cellStyle name="Normal 10 2 6 6 2" xfId="11269"/>
    <cellStyle name="Normal 10 2 6 6 2 2" xfId="36824"/>
    <cellStyle name="Normal 10 2 6 6 3" xfId="21273"/>
    <cellStyle name="Normal 10 2 6 6 3 2" xfId="46826"/>
    <cellStyle name="Normal 10 2 6 6 4" xfId="27756"/>
    <cellStyle name="Normal 10 2 6 7" xfId="5585"/>
    <cellStyle name="Normal 10 2 6 7 2" xfId="14412"/>
    <cellStyle name="Normal 10 2 6 7 2 2" xfId="39967"/>
    <cellStyle name="Normal 10 2 6 7 3" xfId="24663"/>
    <cellStyle name="Normal 10 2 6 7 3 2" xfId="50216"/>
    <cellStyle name="Normal 10 2 6 7 4" xfId="31146"/>
    <cellStyle name="Normal 10 2 6 8" xfId="7029"/>
    <cellStyle name="Normal 10 2 6 8 2" xfId="19755"/>
    <cellStyle name="Normal 10 2 6 8 2 2" xfId="45308"/>
    <cellStyle name="Normal 10 2 6 8 3" xfId="32586"/>
    <cellStyle name="Normal 10 2 6 9" xfId="16266"/>
    <cellStyle name="Normal 10 2 6 9 2" xfId="41819"/>
    <cellStyle name="Normal 10 2 6_Degree data" xfId="3888"/>
    <cellStyle name="Normal 10 2 7" xfId="700"/>
    <cellStyle name="Normal 10 2 7 2" xfId="3186"/>
    <cellStyle name="Normal 10 2 7 2 2" xfId="12329"/>
    <cellStyle name="Normal 10 2 7 2 2 2" xfId="22547"/>
    <cellStyle name="Normal 10 2 7 2 2 2 2" xfId="48100"/>
    <cellStyle name="Normal 10 2 7 2 2 3" xfId="37884"/>
    <cellStyle name="Normal 10 2 7 2 3" xfId="8751"/>
    <cellStyle name="Normal 10 2 7 2 3 2" xfId="34308"/>
    <cellStyle name="Normal 10 2 7 2 4" xfId="17540"/>
    <cellStyle name="Normal 10 2 7 2 4 2" xfId="43093"/>
    <cellStyle name="Normal 10 2 7 2 5" xfId="29030"/>
    <cellStyle name="Normal 10 2 7 3" xfId="4515"/>
    <cellStyle name="Normal 10 2 7 3 2" xfId="13353"/>
    <cellStyle name="Normal 10 2 7 3 2 2" xfId="23604"/>
    <cellStyle name="Normal 10 2 7 3 2 2 2" xfId="49157"/>
    <cellStyle name="Normal 10 2 7 3 2 3" xfId="38908"/>
    <cellStyle name="Normal 10 2 7 3 3" xfId="9774"/>
    <cellStyle name="Normal 10 2 7 3 3 2" xfId="35331"/>
    <cellStyle name="Normal 10 2 7 3 4" xfId="18597"/>
    <cellStyle name="Normal 10 2 7 3 4 2" xfId="44150"/>
    <cellStyle name="Normal 10 2 7 3 5" xfId="30087"/>
    <cellStyle name="Normal 10 2 7 4" xfId="2295"/>
    <cellStyle name="Normal 10 2 7 4 2" xfId="11660"/>
    <cellStyle name="Normal 10 2 7 4 2 2" xfId="37215"/>
    <cellStyle name="Normal 10 2 7 4 3" xfId="21664"/>
    <cellStyle name="Normal 10 2 7 4 3 2" xfId="47217"/>
    <cellStyle name="Normal 10 2 7 4 4" xfId="28147"/>
    <cellStyle name="Normal 10 2 7 5" xfId="5971"/>
    <cellStyle name="Normal 10 2 7 5 2" xfId="14798"/>
    <cellStyle name="Normal 10 2 7 5 2 2" xfId="40353"/>
    <cellStyle name="Normal 10 2 7 5 3" xfId="25049"/>
    <cellStyle name="Normal 10 2 7 5 3 2" xfId="50602"/>
    <cellStyle name="Normal 10 2 7 5 4" xfId="31532"/>
    <cellStyle name="Normal 10 2 7 6" xfId="7415"/>
    <cellStyle name="Normal 10 2 7 6 2" xfId="20146"/>
    <cellStyle name="Normal 10 2 7 6 2 2" xfId="45699"/>
    <cellStyle name="Normal 10 2 7 6 3" xfId="32972"/>
    <cellStyle name="Normal 10 2 7 7" xfId="16657"/>
    <cellStyle name="Normal 10 2 7 7 2" xfId="42210"/>
    <cellStyle name="Normal 10 2 7 8" xfId="26629"/>
    <cellStyle name="Normal 10 2 8" xfId="1061"/>
    <cellStyle name="Normal 10 2 8 2" xfId="3490"/>
    <cellStyle name="Normal 10 2 8 2 2" xfId="12626"/>
    <cellStyle name="Normal 10 2 8 2 2 2" xfId="22845"/>
    <cellStyle name="Normal 10 2 8 2 2 2 2" xfId="48398"/>
    <cellStyle name="Normal 10 2 8 2 2 3" xfId="38181"/>
    <cellStyle name="Normal 10 2 8 2 3" xfId="9048"/>
    <cellStyle name="Normal 10 2 8 2 3 2" xfId="34605"/>
    <cellStyle name="Normal 10 2 8 2 4" xfId="17838"/>
    <cellStyle name="Normal 10 2 8 2 4 2" xfId="43391"/>
    <cellStyle name="Normal 10 2 8 2 5" xfId="29328"/>
    <cellStyle name="Normal 10 2 8 3" xfId="4864"/>
    <cellStyle name="Normal 10 2 8 3 2" xfId="13701"/>
    <cellStyle name="Normal 10 2 8 3 2 2" xfId="23952"/>
    <cellStyle name="Normal 10 2 8 3 2 2 2" xfId="49505"/>
    <cellStyle name="Normal 10 2 8 3 2 3" xfId="39256"/>
    <cellStyle name="Normal 10 2 8 3 3" xfId="10122"/>
    <cellStyle name="Normal 10 2 8 3 3 2" xfId="35679"/>
    <cellStyle name="Normal 10 2 8 3 4" xfId="18945"/>
    <cellStyle name="Normal 10 2 8 3 4 2" xfId="44498"/>
    <cellStyle name="Normal 10 2 8 3 5" xfId="30435"/>
    <cellStyle name="Normal 10 2 8 4" xfId="1722"/>
    <cellStyle name="Normal 10 2 8 4 2" xfId="11096"/>
    <cellStyle name="Normal 10 2 8 4 2 2" xfId="36651"/>
    <cellStyle name="Normal 10 2 8 4 3" xfId="21100"/>
    <cellStyle name="Normal 10 2 8 4 3 2" xfId="46653"/>
    <cellStyle name="Normal 10 2 8 4 4" xfId="27583"/>
    <cellStyle name="Normal 10 2 8 5" xfId="6319"/>
    <cellStyle name="Normal 10 2 8 5 2" xfId="15146"/>
    <cellStyle name="Normal 10 2 8 5 2 2" xfId="40701"/>
    <cellStyle name="Normal 10 2 8 5 3" xfId="25397"/>
    <cellStyle name="Normal 10 2 8 5 3 2" xfId="50950"/>
    <cellStyle name="Normal 10 2 8 5 4" xfId="31880"/>
    <cellStyle name="Normal 10 2 8 6" xfId="7765"/>
    <cellStyle name="Normal 10 2 8 6 2" xfId="20444"/>
    <cellStyle name="Normal 10 2 8 6 2 2" xfId="45997"/>
    <cellStyle name="Normal 10 2 8 6 3" xfId="33322"/>
    <cellStyle name="Normal 10 2 8 7" xfId="16093"/>
    <cellStyle name="Normal 10 2 8 7 2" xfId="41646"/>
    <cellStyle name="Normal 10 2 8 8" xfId="26927"/>
    <cellStyle name="Normal 10 2 9" xfId="2620"/>
    <cellStyle name="Normal 10 2 9 2" xfId="5153"/>
    <cellStyle name="Normal 10 2 9 2 2" xfId="13990"/>
    <cellStyle name="Normal 10 2 9 2 2 2" xfId="24241"/>
    <cellStyle name="Normal 10 2 9 2 2 2 2" xfId="49794"/>
    <cellStyle name="Normal 10 2 9 2 2 3" xfId="39545"/>
    <cellStyle name="Normal 10 2 9 2 3" xfId="10411"/>
    <cellStyle name="Normal 10 2 9 2 3 2" xfId="35968"/>
    <cellStyle name="Normal 10 2 9 2 4" xfId="19234"/>
    <cellStyle name="Normal 10 2 9 2 4 2" xfId="44787"/>
    <cellStyle name="Normal 10 2 9 2 5" xfId="30724"/>
    <cellStyle name="Normal 10 2 9 3" xfId="6608"/>
    <cellStyle name="Normal 10 2 9 3 2" xfId="15435"/>
    <cellStyle name="Normal 10 2 9 3 2 2" xfId="40990"/>
    <cellStyle name="Normal 10 2 9 3 3" xfId="25686"/>
    <cellStyle name="Normal 10 2 9 3 3 2" xfId="51239"/>
    <cellStyle name="Normal 10 2 9 3 4" xfId="32169"/>
    <cellStyle name="Normal 10 2 9 4" xfId="8054"/>
    <cellStyle name="Normal 10 2 9 4 2" xfId="21983"/>
    <cellStyle name="Normal 10 2 9 4 2 2" xfId="47536"/>
    <cellStyle name="Normal 10 2 9 4 3" xfId="33611"/>
    <cellStyle name="Normal 10 2 9 5" xfId="16976"/>
    <cellStyle name="Normal 10 2 9 5 2" xfId="42529"/>
    <cellStyle name="Normal 10 2 9 6" xfId="28466"/>
    <cellStyle name="Normal 10 2_Degree data" xfId="3864"/>
    <cellStyle name="Normal 10 3" xfId="97"/>
    <cellStyle name="Normal 10 3 2" xfId="153"/>
    <cellStyle name="Normal 10 3 2 10" xfId="7045"/>
    <cellStyle name="Normal 10 3 2 10 2" xfId="32602"/>
    <cellStyle name="Normal 10 3 2 11" xfId="15791"/>
    <cellStyle name="Normal 10 3 2 11 2" xfId="41344"/>
    <cellStyle name="Normal 10 3 2 2" xfId="265"/>
    <cellStyle name="Normal 10 3 2 3" xfId="218"/>
    <cellStyle name="Normal 10 3 2 3 10" xfId="16009"/>
    <cellStyle name="Normal 10 3 2 3 10 2" xfId="41562"/>
    <cellStyle name="Normal 10 3 2 3 11" xfId="26155"/>
    <cellStyle name="Normal 10 3 2 3 2" xfId="543"/>
    <cellStyle name="Normal 10 3 2 3 2 2" xfId="3029"/>
    <cellStyle name="Normal 10 3 2 3 2 2 2" xfId="12217"/>
    <cellStyle name="Normal 10 3 2 3 2 2 2 2" xfId="22390"/>
    <cellStyle name="Normal 10 3 2 3 2 2 2 2 2" xfId="47943"/>
    <cellStyle name="Normal 10 3 2 3 2 2 2 3" xfId="37772"/>
    <cellStyle name="Normal 10 3 2 3 2 2 3" xfId="8380"/>
    <cellStyle name="Normal 10 3 2 3 2 2 3 2" xfId="33937"/>
    <cellStyle name="Normal 10 3 2 3 2 2 4" xfId="17383"/>
    <cellStyle name="Normal 10 3 2 3 2 2 4 2" xfId="42936"/>
    <cellStyle name="Normal 10 3 2 3 2 2 5" xfId="28873"/>
    <cellStyle name="Normal 10 3 2 3 2 3" xfId="4529"/>
    <cellStyle name="Normal 10 3 2 3 2 3 2" xfId="13367"/>
    <cellStyle name="Normal 10 3 2 3 2 3 2 2" xfId="23618"/>
    <cellStyle name="Normal 10 3 2 3 2 3 2 2 2" xfId="49171"/>
    <cellStyle name="Normal 10 3 2 3 2 3 2 3" xfId="38922"/>
    <cellStyle name="Normal 10 3 2 3 2 3 3" xfId="9788"/>
    <cellStyle name="Normal 10 3 2 3 2 3 3 2" xfId="35345"/>
    <cellStyle name="Normal 10 3 2 3 2 3 4" xfId="18611"/>
    <cellStyle name="Normal 10 3 2 3 2 3 4 2" xfId="44164"/>
    <cellStyle name="Normal 10 3 2 3 2 3 5" xfId="30101"/>
    <cellStyle name="Normal 10 3 2 3 2 4" xfId="2138"/>
    <cellStyle name="Normal 10 3 2 3 2 4 2" xfId="11503"/>
    <cellStyle name="Normal 10 3 2 3 2 4 2 2" xfId="37058"/>
    <cellStyle name="Normal 10 3 2 3 2 4 3" xfId="21507"/>
    <cellStyle name="Normal 10 3 2 3 2 4 3 2" xfId="47060"/>
    <cellStyle name="Normal 10 3 2 3 2 4 4" xfId="27990"/>
    <cellStyle name="Normal 10 3 2 3 2 5" xfId="5985"/>
    <cellStyle name="Normal 10 3 2 3 2 5 2" xfId="14812"/>
    <cellStyle name="Normal 10 3 2 3 2 5 2 2" xfId="40367"/>
    <cellStyle name="Normal 10 3 2 3 2 5 3" xfId="25063"/>
    <cellStyle name="Normal 10 3 2 3 2 5 3 2" xfId="50616"/>
    <cellStyle name="Normal 10 3 2 3 2 5 4" xfId="31546"/>
    <cellStyle name="Normal 10 3 2 3 2 6" xfId="7429"/>
    <cellStyle name="Normal 10 3 2 3 2 6 2" xfId="19989"/>
    <cellStyle name="Normal 10 3 2 3 2 6 2 2" xfId="45542"/>
    <cellStyle name="Normal 10 3 2 3 2 6 3" xfId="32986"/>
    <cellStyle name="Normal 10 3 2 3 2 7" xfId="16500"/>
    <cellStyle name="Normal 10 3 2 3 2 7 2" xfId="42053"/>
    <cellStyle name="Normal 10 3 2 3 2 8" xfId="26472"/>
    <cellStyle name="Normal 10 3 2 3 3" xfId="714"/>
    <cellStyle name="Normal 10 3 2 3 3 2" xfId="3200"/>
    <cellStyle name="Normal 10 3 2 3 3 2 2" xfId="12343"/>
    <cellStyle name="Normal 10 3 2 3 3 2 2 2" xfId="22561"/>
    <cellStyle name="Normal 10 3 2 3 3 2 2 2 2" xfId="48114"/>
    <cellStyle name="Normal 10 3 2 3 3 2 2 3" xfId="37898"/>
    <cellStyle name="Normal 10 3 2 3 3 2 3" xfId="8765"/>
    <cellStyle name="Normal 10 3 2 3 3 2 3 2" xfId="34322"/>
    <cellStyle name="Normal 10 3 2 3 3 2 4" xfId="17554"/>
    <cellStyle name="Normal 10 3 2 3 3 2 4 2" xfId="43107"/>
    <cellStyle name="Normal 10 3 2 3 3 2 5" xfId="29044"/>
    <cellStyle name="Normal 10 3 2 3 3 3" xfId="4878"/>
    <cellStyle name="Normal 10 3 2 3 3 3 2" xfId="13715"/>
    <cellStyle name="Normal 10 3 2 3 3 3 2 2" xfId="23966"/>
    <cellStyle name="Normal 10 3 2 3 3 3 2 2 2" xfId="49519"/>
    <cellStyle name="Normal 10 3 2 3 3 3 2 3" xfId="39270"/>
    <cellStyle name="Normal 10 3 2 3 3 3 3" xfId="10136"/>
    <cellStyle name="Normal 10 3 2 3 3 3 3 2" xfId="35693"/>
    <cellStyle name="Normal 10 3 2 3 3 3 4" xfId="18959"/>
    <cellStyle name="Normal 10 3 2 3 3 3 4 2" xfId="44512"/>
    <cellStyle name="Normal 10 3 2 3 3 3 5" xfId="30449"/>
    <cellStyle name="Normal 10 3 2 3 3 4" xfId="2309"/>
    <cellStyle name="Normal 10 3 2 3 3 4 2" xfId="11674"/>
    <cellStyle name="Normal 10 3 2 3 3 4 2 2" xfId="37229"/>
    <cellStyle name="Normal 10 3 2 3 3 4 3" xfId="21678"/>
    <cellStyle name="Normal 10 3 2 3 3 4 3 2" xfId="47231"/>
    <cellStyle name="Normal 10 3 2 3 3 4 4" xfId="28161"/>
    <cellStyle name="Normal 10 3 2 3 3 5" xfId="6333"/>
    <cellStyle name="Normal 10 3 2 3 3 5 2" xfId="15160"/>
    <cellStyle name="Normal 10 3 2 3 3 5 2 2" xfId="40715"/>
    <cellStyle name="Normal 10 3 2 3 3 5 3" xfId="25411"/>
    <cellStyle name="Normal 10 3 2 3 3 5 3 2" xfId="50964"/>
    <cellStyle name="Normal 10 3 2 3 3 5 4" xfId="31894"/>
    <cellStyle name="Normal 10 3 2 3 3 6" xfId="7779"/>
    <cellStyle name="Normal 10 3 2 3 3 6 2" xfId="20160"/>
    <cellStyle name="Normal 10 3 2 3 3 6 2 2" xfId="45713"/>
    <cellStyle name="Normal 10 3 2 3 3 6 3" xfId="33336"/>
    <cellStyle name="Normal 10 3 2 3 3 7" xfId="16671"/>
    <cellStyle name="Normal 10 3 2 3 3 7 2" xfId="42224"/>
    <cellStyle name="Normal 10 3 2 3 3 8" xfId="26643"/>
    <cellStyle name="Normal 10 3 2 3 4" xfId="1315"/>
    <cellStyle name="Normal 10 3 2 3 4 2" xfId="3744"/>
    <cellStyle name="Normal 10 3 2 3 4 2 2" xfId="12880"/>
    <cellStyle name="Normal 10 3 2 3 4 2 2 2" xfId="23099"/>
    <cellStyle name="Normal 10 3 2 3 4 2 2 2 2" xfId="48652"/>
    <cellStyle name="Normal 10 3 2 3 4 2 2 3" xfId="38435"/>
    <cellStyle name="Normal 10 3 2 3 4 2 3" xfId="9301"/>
    <cellStyle name="Normal 10 3 2 3 4 2 3 2" xfId="34858"/>
    <cellStyle name="Normal 10 3 2 3 4 2 4" xfId="18092"/>
    <cellStyle name="Normal 10 3 2 3 4 2 4 2" xfId="43645"/>
    <cellStyle name="Normal 10 3 2 3 4 2 5" xfId="29582"/>
    <cellStyle name="Normal 10 3 2 3 4 3" xfId="5407"/>
    <cellStyle name="Normal 10 3 2 3 4 3 2" xfId="14244"/>
    <cellStyle name="Normal 10 3 2 3 4 3 2 2" xfId="24495"/>
    <cellStyle name="Normal 10 3 2 3 4 3 2 2 2" xfId="50048"/>
    <cellStyle name="Normal 10 3 2 3 4 3 2 3" xfId="39799"/>
    <cellStyle name="Normal 10 3 2 3 4 3 3" xfId="10665"/>
    <cellStyle name="Normal 10 3 2 3 4 3 3 2" xfId="36222"/>
    <cellStyle name="Normal 10 3 2 3 4 3 4" xfId="19488"/>
    <cellStyle name="Normal 10 3 2 3 4 3 4 2" xfId="45041"/>
    <cellStyle name="Normal 10 3 2 3 4 3 5" xfId="30978"/>
    <cellStyle name="Normal 10 3 2 3 4 4" xfId="1818"/>
    <cellStyle name="Normal 10 3 2 3 4 4 2" xfId="11186"/>
    <cellStyle name="Normal 10 3 2 3 4 4 2 2" xfId="36741"/>
    <cellStyle name="Normal 10 3 2 3 4 4 3" xfId="21190"/>
    <cellStyle name="Normal 10 3 2 3 4 4 3 2" xfId="46743"/>
    <cellStyle name="Normal 10 3 2 3 4 4 4" xfId="27673"/>
    <cellStyle name="Normal 10 3 2 3 4 5" xfId="6862"/>
    <cellStyle name="Normal 10 3 2 3 4 5 2" xfId="15689"/>
    <cellStyle name="Normal 10 3 2 3 4 5 2 2" xfId="41244"/>
    <cellStyle name="Normal 10 3 2 3 4 5 3" xfId="25940"/>
    <cellStyle name="Normal 10 3 2 3 4 5 3 2" xfId="51493"/>
    <cellStyle name="Normal 10 3 2 3 4 5 4" xfId="32423"/>
    <cellStyle name="Normal 10 3 2 3 4 6" xfId="8308"/>
    <cellStyle name="Normal 10 3 2 3 4 6 2" xfId="20698"/>
    <cellStyle name="Normal 10 3 2 3 4 6 2 2" xfId="46251"/>
    <cellStyle name="Normal 10 3 2 3 4 6 3" xfId="33865"/>
    <cellStyle name="Normal 10 3 2 3 4 7" xfId="16183"/>
    <cellStyle name="Normal 10 3 2 3 4 7 2" xfId="41736"/>
    <cellStyle name="Normal 10 3 2 3 4 8" xfId="27181"/>
    <cellStyle name="Normal 10 3 2 3 5" xfId="2712"/>
    <cellStyle name="Normal 10 3 2 3 5 2" xfId="12029"/>
    <cellStyle name="Normal 10 3 2 3 5 2 2" xfId="22073"/>
    <cellStyle name="Normal 10 3 2 3 5 2 2 2" xfId="47626"/>
    <cellStyle name="Normal 10 3 2 3 5 2 3" xfId="37584"/>
    <cellStyle name="Normal 10 3 2 3 5 3" xfId="8581"/>
    <cellStyle name="Normal 10 3 2 3 5 3 2" xfId="34138"/>
    <cellStyle name="Normal 10 3 2 3 5 4" xfId="17066"/>
    <cellStyle name="Normal 10 3 2 3 5 4 2" xfId="42619"/>
    <cellStyle name="Normal 10 3 2 3 5 5" xfId="28556"/>
    <cellStyle name="Normal 10 3 2 3 6" xfId="4363"/>
    <cellStyle name="Normal 10 3 2 3 6 2" xfId="13201"/>
    <cellStyle name="Normal 10 3 2 3 6 2 2" xfId="23452"/>
    <cellStyle name="Normal 10 3 2 3 6 2 2 2" xfId="49005"/>
    <cellStyle name="Normal 10 3 2 3 6 2 3" xfId="38756"/>
    <cellStyle name="Normal 10 3 2 3 6 3" xfId="9622"/>
    <cellStyle name="Normal 10 3 2 3 6 3 2" xfId="35179"/>
    <cellStyle name="Normal 10 3 2 3 6 4" xfId="18445"/>
    <cellStyle name="Normal 10 3 2 3 6 4 2" xfId="43998"/>
    <cellStyle name="Normal 10 3 2 3 6 5" xfId="29935"/>
    <cellStyle name="Normal 10 3 2 3 7" xfId="1635"/>
    <cellStyle name="Normal 10 3 2 3 7 2" xfId="11012"/>
    <cellStyle name="Normal 10 3 2 3 7 2 2" xfId="36567"/>
    <cellStyle name="Normal 10 3 2 3 7 3" xfId="21016"/>
    <cellStyle name="Normal 10 3 2 3 7 3 2" xfId="46569"/>
    <cellStyle name="Normal 10 3 2 3 7 4" xfId="27499"/>
    <cellStyle name="Normal 10 3 2 3 8" xfId="5819"/>
    <cellStyle name="Normal 10 3 2 3 8 2" xfId="14646"/>
    <cellStyle name="Normal 10 3 2 3 8 2 2" xfId="40201"/>
    <cellStyle name="Normal 10 3 2 3 8 3" xfId="24897"/>
    <cellStyle name="Normal 10 3 2 3 8 3 2" xfId="50450"/>
    <cellStyle name="Normal 10 3 2 3 8 4" xfId="31380"/>
    <cellStyle name="Normal 10 3 2 3 9" xfId="7263"/>
    <cellStyle name="Normal 10 3 2 3 9 2" xfId="19672"/>
    <cellStyle name="Normal 10 3 2 3 9 2 2" xfId="45225"/>
    <cellStyle name="Normal 10 3 2 3 9 3" xfId="32820"/>
    <cellStyle name="Normal 10 3 2 3_Degree data" xfId="3833"/>
    <cellStyle name="Normal 10 3 2 4" xfId="325"/>
    <cellStyle name="Normal 10 3 2 4 2" xfId="2811"/>
    <cellStyle name="Normal 10 3 2 4 2 2" xfId="12111"/>
    <cellStyle name="Normal 10 3 2 4 2 2 2" xfId="22172"/>
    <cellStyle name="Normal 10 3 2 4 2 2 2 2" xfId="47725"/>
    <cellStyle name="Normal 10 3 2 4 2 2 3" xfId="37666"/>
    <cellStyle name="Normal 10 3 2 4 2 3" xfId="8533"/>
    <cellStyle name="Normal 10 3 2 4 2 3 2" xfId="34090"/>
    <cellStyle name="Normal 10 3 2 4 2 4" xfId="17165"/>
    <cellStyle name="Normal 10 3 2 4 2 4 2" xfId="42718"/>
    <cellStyle name="Normal 10 3 2 4 2 5" xfId="28655"/>
    <cellStyle name="Normal 10 3 2 4 3" xfId="4528"/>
    <cellStyle name="Normal 10 3 2 4 3 2" xfId="13366"/>
    <cellStyle name="Normal 10 3 2 4 3 2 2" xfId="23617"/>
    <cellStyle name="Normal 10 3 2 4 3 2 2 2" xfId="49170"/>
    <cellStyle name="Normal 10 3 2 4 3 2 3" xfId="38921"/>
    <cellStyle name="Normal 10 3 2 4 3 3" xfId="9787"/>
    <cellStyle name="Normal 10 3 2 4 3 3 2" xfId="35344"/>
    <cellStyle name="Normal 10 3 2 4 3 4" xfId="18610"/>
    <cellStyle name="Normal 10 3 2 4 3 4 2" xfId="44163"/>
    <cellStyle name="Normal 10 3 2 4 3 5" xfId="30100"/>
    <cellStyle name="Normal 10 3 2 4 4" xfId="1920"/>
    <cellStyle name="Normal 10 3 2 4 4 2" xfId="11285"/>
    <cellStyle name="Normal 10 3 2 4 4 2 2" xfId="36840"/>
    <cellStyle name="Normal 10 3 2 4 4 3" xfId="21289"/>
    <cellStyle name="Normal 10 3 2 4 4 3 2" xfId="46842"/>
    <cellStyle name="Normal 10 3 2 4 4 4" xfId="27772"/>
    <cellStyle name="Normal 10 3 2 4 5" xfId="5984"/>
    <cellStyle name="Normal 10 3 2 4 5 2" xfId="14811"/>
    <cellStyle name="Normal 10 3 2 4 5 2 2" xfId="40366"/>
    <cellStyle name="Normal 10 3 2 4 5 3" xfId="25062"/>
    <cellStyle name="Normal 10 3 2 4 5 3 2" xfId="50615"/>
    <cellStyle name="Normal 10 3 2 4 5 4" xfId="31545"/>
    <cellStyle name="Normal 10 3 2 4 6" xfId="7428"/>
    <cellStyle name="Normal 10 3 2 4 6 2" xfId="19771"/>
    <cellStyle name="Normal 10 3 2 4 6 2 2" xfId="45324"/>
    <cellStyle name="Normal 10 3 2 4 6 3" xfId="32985"/>
    <cellStyle name="Normal 10 3 2 4 7" xfId="16282"/>
    <cellStyle name="Normal 10 3 2 4 7 2" xfId="41835"/>
    <cellStyle name="Normal 10 3 2 4 8" xfId="26254"/>
    <cellStyle name="Normal 10 3 2 5" xfId="713"/>
    <cellStyle name="Normal 10 3 2 5 2" xfId="3199"/>
    <cellStyle name="Normal 10 3 2 5 2 2" xfId="12342"/>
    <cellStyle name="Normal 10 3 2 5 2 2 2" xfId="22560"/>
    <cellStyle name="Normal 10 3 2 5 2 2 2 2" xfId="48113"/>
    <cellStyle name="Normal 10 3 2 5 2 2 3" xfId="37897"/>
    <cellStyle name="Normal 10 3 2 5 2 3" xfId="8764"/>
    <cellStyle name="Normal 10 3 2 5 2 3 2" xfId="34321"/>
    <cellStyle name="Normal 10 3 2 5 2 4" xfId="17553"/>
    <cellStyle name="Normal 10 3 2 5 2 4 2" xfId="43106"/>
    <cellStyle name="Normal 10 3 2 5 2 5" xfId="29043"/>
    <cellStyle name="Normal 10 3 2 5 3" xfId="4877"/>
    <cellStyle name="Normal 10 3 2 5 3 2" xfId="13714"/>
    <cellStyle name="Normal 10 3 2 5 3 2 2" xfId="23965"/>
    <cellStyle name="Normal 10 3 2 5 3 2 2 2" xfId="49518"/>
    <cellStyle name="Normal 10 3 2 5 3 2 3" xfId="39269"/>
    <cellStyle name="Normal 10 3 2 5 3 3" xfId="10135"/>
    <cellStyle name="Normal 10 3 2 5 3 3 2" xfId="35692"/>
    <cellStyle name="Normal 10 3 2 5 3 4" xfId="18958"/>
    <cellStyle name="Normal 10 3 2 5 3 4 2" xfId="44511"/>
    <cellStyle name="Normal 10 3 2 5 3 5" xfId="30448"/>
    <cellStyle name="Normal 10 3 2 5 4" xfId="2308"/>
    <cellStyle name="Normal 10 3 2 5 4 2" xfId="11673"/>
    <cellStyle name="Normal 10 3 2 5 4 2 2" xfId="37228"/>
    <cellStyle name="Normal 10 3 2 5 4 3" xfId="21677"/>
    <cellStyle name="Normal 10 3 2 5 4 3 2" xfId="47230"/>
    <cellStyle name="Normal 10 3 2 5 4 4" xfId="28160"/>
    <cellStyle name="Normal 10 3 2 5 5" xfId="6332"/>
    <cellStyle name="Normal 10 3 2 5 5 2" xfId="15159"/>
    <cellStyle name="Normal 10 3 2 5 5 2 2" xfId="40714"/>
    <cellStyle name="Normal 10 3 2 5 5 3" xfId="25410"/>
    <cellStyle name="Normal 10 3 2 5 5 3 2" xfId="50963"/>
    <cellStyle name="Normal 10 3 2 5 5 4" xfId="31893"/>
    <cellStyle name="Normal 10 3 2 5 6" xfId="7778"/>
    <cellStyle name="Normal 10 3 2 5 6 2" xfId="20159"/>
    <cellStyle name="Normal 10 3 2 5 6 2 2" xfId="45712"/>
    <cellStyle name="Normal 10 3 2 5 6 3" xfId="33335"/>
    <cellStyle name="Normal 10 3 2 5 7" xfId="16670"/>
    <cellStyle name="Normal 10 3 2 5 7 2" xfId="42223"/>
    <cellStyle name="Normal 10 3 2 5 8" xfId="26642"/>
    <cellStyle name="Normal 10 3 2 6" xfId="1097"/>
    <cellStyle name="Normal 10 3 2 6 2" xfId="5189"/>
    <cellStyle name="Normal 10 3 2 6 2 2" xfId="14026"/>
    <cellStyle name="Normal 10 3 2 6 2 2 2" xfId="24277"/>
    <cellStyle name="Normal 10 3 2 6 2 2 2 2" xfId="49830"/>
    <cellStyle name="Normal 10 3 2 6 2 2 3" xfId="39581"/>
    <cellStyle name="Normal 10 3 2 6 2 3" xfId="10447"/>
    <cellStyle name="Normal 10 3 2 6 2 3 2" xfId="36004"/>
    <cellStyle name="Normal 10 3 2 6 2 4" xfId="19270"/>
    <cellStyle name="Normal 10 3 2 6 2 4 2" xfId="44823"/>
    <cellStyle name="Normal 10 3 2 6 2 5" xfId="30760"/>
    <cellStyle name="Normal 10 3 2 6 3" xfId="3526"/>
    <cellStyle name="Normal 10 3 2 6 3 2" xfId="12662"/>
    <cellStyle name="Normal 10 3 2 6 3 2 2" xfId="38217"/>
    <cellStyle name="Normal 10 3 2 6 3 3" xfId="22881"/>
    <cellStyle name="Normal 10 3 2 6 3 3 2" xfId="48434"/>
    <cellStyle name="Normal 10 3 2 6 3 4" xfId="29364"/>
    <cellStyle name="Normal 10 3 2 6 4" xfId="6644"/>
    <cellStyle name="Normal 10 3 2 6 4 2" xfId="15471"/>
    <cellStyle name="Normal 10 3 2 6 4 2 2" xfId="41026"/>
    <cellStyle name="Normal 10 3 2 6 4 3" xfId="25722"/>
    <cellStyle name="Normal 10 3 2 6 4 3 2" xfId="51275"/>
    <cellStyle name="Normal 10 3 2 6 4 4" xfId="32205"/>
    <cellStyle name="Normal 10 3 2 6 5" xfId="8090"/>
    <cellStyle name="Normal 10 3 2 6 5 2" xfId="20480"/>
    <cellStyle name="Normal 10 3 2 6 5 2 2" xfId="46033"/>
    <cellStyle name="Normal 10 3 2 6 5 3" xfId="33647"/>
    <cellStyle name="Normal 10 3 2 6 6" xfId="17874"/>
    <cellStyle name="Normal 10 3 2 6 6 2" xfId="43427"/>
    <cellStyle name="Normal 10 3 2 6 7" xfId="26963"/>
    <cellStyle name="Normal 10 3 2 7" xfId="4143"/>
    <cellStyle name="Normal 10 3 2 7 2" xfId="12981"/>
    <cellStyle name="Normal 10 3 2 7 2 2" xfId="23232"/>
    <cellStyle name="Normal 10 3 2 7 2 2 2" xfId="48785"/>
    <cellStyle name="Normal 10 3 2 7 2 3" xfId="38536"/>
    <cellStyle name="Normal 10 3 2 7 3" xfId="9402"/>
    <cellStyle name="Normal 10 3 2 7 3 2" xfId="34959"/>
    <cellStyle name="Normal 10 3 2 7 4" xfId="18225"/>
    <cellStyle name="Normal 10 3 2 7 4 2" xfId="43778"/>
    <cellStyle name="Normal 10 3 2 7 5" xfId="29715"/>
    <cellStyle name="Normal 10 3 2 8" xfId="1417"/>
    <cellStyle name="Normal 10 3 2 8 2" xfId="10794"/>
    <cellStyle name="Normal 10 3 2 8 2 2" xfId="36349"/>
    <cellStyle name="Normal 10 3 2 8 3" xfId="20798"/>
    <cellStyle name="Normal 10 3 2 8 3 2" xfId="46351"/>
    <cellStyle name="Normal 10 3 2 8 4" xfId="27281"/>
    <cellStyle name="Normal 10 3 2 9" xfId="5601"/>
    <cellStyle name="Normal 10 3 2 9 2" xfId="14428"/>
    <cellStyle name="Normal 10 3 2 9 2 2" xfId="39983"/>
    <cellStyle name="Normal 10 3 2 9 3" xfId="24679"/>
    <cellStyle name="Normal 10 3 2 9 3 2" xfId="50232"/>
    <cellStyle name="Normal 10 3 2 9 4" xfId="31162"/>
    <cellStyle name="Normal 10 3 2_Degree data" xfId="3897"/>
    <cellStyle name="Normal 10 3 3" xfId="232"/>
    <cellStyle name="Normal 10 3 3 10" xfId="7070"/>
    <cellStyle name="Normal 10 3 3 10 2" xfId="19684"/>
    <cellStyle name="Normal 10 3 3 10 2 2" xfId="45237"/>
    <cellStyle name="Normal 10 3 3 10 3" xfId="32627"/>
    <cellStyle name="Normal 10 3 3 11" xfId="15816"/>
    <cellStyle name="Normal 10 3 3 11 2" xfId="41369"/>
    <cellStyle name="Normal 10 3 3 12" xfId="26167"/>
    <cellStyle name="Normal 10 3 3 2" xfId="555"/>
    <cellStyle name="Normal 10 3 3 2 10" xfId="26484"/>
    <cellStyle name="Normal 10 3 3 2 2" xfId="716"/>
    <cellStyle name="Normal 10 3 3 2 2 2" xfId="3202"/>
    <cellStyle name="Normal 10 3 3 2 2 2 2" xfId="12345"/>
    <cellStyle name="Normal 10 3 3 2 2 2 2 2" xfId="22563"/>
    <cellStyle name="Normal 10 3 3 2 2 2 2 2 2" xfId="48116"/>
    <cellStyle name="Normal 10 3 3 2 2 2 2 3" xfId="37900"/>
    <cellStyle name="Normal 10 3 3 2 2 2 3" xfId="8767"/>
    <cellStyle name="Normal 10 3 3 2 2 2 3 2" xfId="34324"/>
    <cellStyle name="Normal 10 3 3 2 2 2 4" xfId="17556"/>
    <cellStyle name="Normal 10 3 3 2 2 2 4 2" xfId="43109"/>
    <cellStyle name="Normal 10 3 3 2 2 2 5" xfId="29046"/>
    <cellStyle name="Normal 10 3 3 2 2 3" xfId="4531"/>
    <cellStyle name="Normal 10 3 3 2 2 3 2" xfId="13369"/>
    <cellStyle name="Normal 10 3 3 2 2 3 2 2" xfId="23620"/>
    <cellStyle name="Normal 10 3 3 2 2 3 2 2 2" xfId="49173"/>
    <cellStyle name="Normal 10 3 3 2 2 3 2 3" xfId="38924"/>
    <cellStyle name="Normal 10 3 3 2 2 3 3" xfId="9790"/>
    <cellStyle name="Normal 10 3 3 2 2 3 3 2" xfId="35347"/>
    <cellStyle name="Normal 10 3 3 2 2 3 4" xfId="18613"/>
    <cellStyle name="Normal 10 3 3 2 2 3 4 2" xfId="44166"/>
    <cellStyle name="Normal 10 3 3 2 2 3 5" xfId="30103"/>
    <cellStyle name="Normal 10 3 3 2 2 4" xfId="2311"/>
    <cellStyle name="Normal 10 3 3 2 2 4 2" xfId="11676"/>
    <cellStyle name="Normal 10 3 3 2 2 4 2 2" xfId="37231"/>
    <cellStyle name="Normal 10 3 3 2 2 4 3" xfId="21680"/>
    <cellStyle name="Normal 10 3 3 2 2 4 3 2" xfId="47233"/>
    <cellStyle name="Normal 10 3 3 2 2 4 4" xfId="28163"/>
    <cellStyle name="Normal 10 3 3 2 2 5" xfId="5987"/>
    <cellStyle name="Normal 10 3 3 2 2 5 2" xfId="14814"/>
    <cellStyle name="Normal 10 3 3 2 2 5 2 2" xfId="40369"/>
    <cellStyle name="Normal 10 3 3 2 2 5 3" xfId="25065"/>
    <cellStyle name="Normal 10 3 3 2 2 5 3 2" xfId="50618"/>
    <cellStyle name="Normal 10 3 3 2 2 5 4" xfId="31548"/>
    <cellStyle name="Normal 10 3 3 2 2 6" xfId="7431"/>
    <cellStyle name="Normal 10 3 3 2 2 6 2" xfId="20162"/>
    <cellStyle name="Normal 10 3 3 2 2 6 2 2" xfId="45715"/>
    <cellStyle name="Normal 10 3 3 2 2 6 3" xfId="32988"/>
    <cellStyle name="Normal 10 3 3 2 2 7" xfId="16673"/>
    <cellStyle name="Normal 10 3 3 2 2 7 2" xfId="42226"/>
    <cellStyle name="Normal 10 3 3 2 2 8" xfId="26645"/>
    <cellStyle name="Normal 10 3 3 2 3" xfId="1327"/>
    <cellStyle name="Normal 10 3 3 2 3 2" xfId="3756"/>
    <cellStyle name="Normal 10 3 3 2 3 2 2" xfId="12892"/>
    <cellStyle name="Normal 10 3 3 2 3 2 2 2" xfId="23111"/>
    <cellStyle name="Normal 10 3 3 2 3 2 2 2 2" xfId="48664"/>
    <cellStyle name="Normal 10 3 3 2 3 2 2 3" xfId="38447"/>
    <cellStyle name="Normal 10 3 3 2 3 2 3" xfId="9313"/>
    <cellStyle name="Normal 10 3 3 2 3 2 3 2" xfId="34870"/>
    <cellStyle name="Normal 10 3 3 2 3 2 4" xfId="18104"/>
    <cellStyle name="Normal 10 3 3 2 3 2 4 2" xfId="43657"/>
    <cellStyle name="Normal 10 3 3 2 3 2 5" xfId="29594"/>
    <cellStyle name="Normal 10 3 3 2 3 3" xfId="4880"/>
    <cellStyle name="Normal 10 3 3 2 3 3 2" xfId="13717"/>
    <cellStyle name="Normal 10 3 3 2 3 3 2 2" xfId="23968"/>
    <cellStyle name="Normal 10 3 3 2 3 3 2 2 2" xfId="49521"/>
    <cellStyle name="Normal 10 3 3 2 3 3 2 3" xfId="39272"/>
    <cellStyle name="Normal 10 3 3 2 3 3 3" xfId="10138"/>
    <cellStyle name="Normal 10 3 3 2 3 3 3 2" xfId="35695"/>
    <cellStyle name="Normal 10 3 3 2 3 3 4" xfId="18961"/>
    <cellStyle name="Normal 10 3 3 2 3 3 4 2" xfId="44514"/>
    <cellStyle name="Normal 10 3 3 2 3 3 5" xfId="30451"/>
    <cellStyle name="Normal 10 3 3 2 3 4" xfId="2150"/>
    <cellStyle name="Normal 10 3 3 2 3 4 2" xfId="11515"/>
    <cellStyle name="Normal 10 3 3 2 3 4 2 2" xfId="37070"/>
    <cellStyle name="Normal 10 3 3 2 3 4 3" xfId="21519"/>
    <cellStyle name="Normal 10 3 3 2 3 4 3 2" xfId="47072"/>
    <cellStyle name="Normal 10 3 3 2 3 4 4" xfId="28002"/>
    <cellStyle name="Normal 10 3 3 2 3 5" xfId="6335"/>
    <cellStyle name="Normal 10 3 3 2 3 5 2" xfId="15162"/>
    <cellStyle name="Normal 10 3 3 2 3 5 2 2" xfId="40717"/>
    <cellStyle name="Normal 10 3 3 2 3 5 3" xfId="25413"/>
    <cellStyle name="Normal 10 3 3 2 3 5 3 2" xfId="50966"/>
    <cellStyle name="Normal 10 3 3 2 3 5 4" xfId="31896"/>
    <cellStyle name="Normal 10 3 3 2 3 6" xfId="7781"/>
    <cellStyle name="Normal 10 3 3 2 3 6 2" xfId="20710"/>
    <cellStyle name="Normal 10 3 3 2 3 6 2 2" xfId="46263"/>
    <cellStyle name="Normal 10 3 3 2 3 6 3" xfId="33338"/>
    <cellStyle name="Normal 10 3 3 2 3 7" xfId="16512"/>
    <cellStyle name="Normal 10 3 3 2 3 7 2" xfId="42065"/>
    <cellStyle name="Normal 10 3 3 2 3 8" xfId="27193"/>
    <cellStyle name="Normal 10 3 3 2 4" xfId="3041"/>
    <cellStyle name="Normal 10 3 3 2 4 2" xfId="5419"/>
    <cellStyle name="Normal 10 3 3 2 4 2 2" xfId="14256"/>
    <cellStyle name="Normal 10 3 3 2 4 2 2 2" xfId="24507"/>
    <cellStyle name="Normal 10 3 3 2 4 2 2 2 2" xfId="50060"/>
    <cellStyle name="Normal 10 3 3 2 4 2 2 3" xfId="39811"/>
    <cellStyle name="Normal 10 3 3 2 4 2 3" xfId="10677"/>
    <cellStyle name="Normal 10 3 3 2 4 2 3 2" xfId="36234"/>
    <cellStyle name="Normal 10 3 3 2 4 2 4" xfId="19500"/>
    <cellStyle name="Normal 10 3 3 2 4 2 4 2" xfId="45053"/>
    <cellStyle name="Normal 10 3 3 2 4 2 5" xfId="30990"/>
    <cellStyle name="Normal 10 3 3 2 4 3" xfId="6874"/>
    <cellStyle name="Normal 10 3 3 2 4 3 2" xfId="15701"/>
    <cellStyle name="Normal 10 3 3 2 4 3 2 2" xfId="41256"/>
    <cellStyle name="Normal 10 3 3 2 4 3 3" xfId="25952"/>
    <cellStyle name="Normal 10 3 3 2 4 3 3 2" xfId="51505"/>
    <cellStyle name="Normal 10 3 3 2 4 3 4" xfId="32435"/>
    <cellStyle name="Normal 10 3 3 2 4 4" xfId="8320"/>
    <cellStyle name="Normal 10 3 3 2 4 4 2" xfId="22402"/>
    <cellStyle name="Normal 10 3 3 2 4 4 2 2" xfId="47955"/>
    <cellStyle name="Normal 10 3 3 2 4 4 3" xfId="33877"/>
    <cellStyle name="Normal 10 3 3 2 4 5" xfId="17395"/>
    <cellStyle name="Normal 10 3 3 2 4 5 2" xfId="42948"/>
    <cellStyle name="Normal 10 3 3 2 4 6" xfId="28885"/>
    <cellStyle name="Normal 10 3 3 2 5" xfId="4375"/>
    <cellStyle name="Normal 10 3 3 2 5 2" xfId="13213"/>
    <cellStyle name="Normal 10 3 3 2 5 2 2" xfId="23464"/>
    <cellStyle name="Normal 10 3 3 2 5 2 2 2" xfId="49017"/>
    <cellStyle name="Normal 10 3 3 2 5 2 3" xfId="38768"/>
    <cellStyle name="Normal 10 3 3 2 5 3" xfId="9634"/>
    <cellStyle name="Normal 10 3 3 2 5 3 2" xfId="35191"/>
    <cellStyle name="Normal 10 3 3 2 5 4" xfId="18457"/>
    <cellStyle name="Normal 10 3 3 2 5 4 2" xfId="44010"/>
    <cellStyle name="Normal 10 3 3 2 5 5" xfId="29947"/>
    <cellStyle name="Normal 10 3 3 2 6" xfId="1647"/>
    <cellStyle name="Normal 10 3 3 2 6 2" xfId="11024"/>
    <cellStyle name="Normal 10 3 3 2 6 2 2" xfId="36579"/>
    <cellStyle name="Normal 10 3 3 2 6 3" xfId="21028"/>
    <cellStyle name="Normal 10 3 3 2 6 3 2" xfId="46581"/>
    <cellStyle name="Normal 10 3 3 2 6 4" xfId="27511"/>
    <cellStyle name="Normal 10 3 3 2 7" xfId="5831"/>
    <cellStyle name="Normal 10 3 3 2 7 2" xfId="14658"/>
    <cellStyle name="Normal 10 3 3 2 7 2 2" xfId="40213"/>
    <cellStyle name="Normal 10 3 3 2 7 3" xfId="24909"/>
    <cellStyle name="Normal 10 3 3 2 7 3 2" xfId="50462"/>
    <cellStyle name="Normal 10 3 3 2 7 4" xfId="31392"/>
    <cellStyle name="Normal 10 3 3 2 8" xfId="7275"/>
    <cellStyle name="Normal 10 3 3 2 8 2" xfId="20001"/>
    <cellStyle name="Normal 10 3 3 2 8 2 2" xfId="45554"/>
    <cellStyle name="Normal 10 3 3 2 8 3" xfId="32832"/>
    <cellStyle name="Normal 10 3 3 2 9" xfId="16021"/>
    <cellStyle name="Normal 10 3 3 2 9 2" xfId="41574"/>
    <cellStyle name="Normal 10 3 3 2_Degree data" xfId="3879"/>
    <cellStyle name="Normal 10 3 3 3" xfId="350"/>
    <cellStyle name="Normal 10 3 3 3 2" xfId="2836"/>
    <cellStyle name="Normal 10 3 3 3 2 2" xfId="12124"/>
    <cellStyle name="Normal 10 3 3 3 2 2 2" xfId="22197"/>
    <cellStyle name="Normal 10 3 3 3 2 2 2 2" xfId="47750"/>
    <cellStyle name="Normal 10 3 3 3 2 2 3" xfId="37679"/>
    <cellStyle name="Normal 10 3 3 3 2 3" xfId="8466"/>
    <cellStyle name="Normal 10 3 3 3 2 3 2" xfId="34023"/>
    <cellStyle name="Normal 10 3 3 3 2 4" xfId="17190"/>
    <cellStyle name="Normal 10 3 3 3 2 4 2" xfId="42743"/>
    <cellStyle name="Normal 10 3 3 3 2 5" xfId="28680"/>
    <cellStyle name="Normal 10 3 3 3 3" xfId="4530"/>
    <cellStyle name="Normal 10 3 3 3 3 2" xfId="13368"/>
    <cellStyle name="Normal 10 3 3 3 3 2 2" xfId="23619"/>
    <cellStyle name="Normal 10 3 3 3 3 2 2 2" xfId="49172"/>
    <cellStyle name="Normal 10 3 3 3 3 2 3" xfId="38923"/>
    <cellStyle name="Normal 10 3 3 3 3 3" xfId="9789"/>
    <cellStyle name="Normal 10 3 3 3 3 3 2" xfId="35346"/>
    <cellStyle name="Normal 10 3 3 3 3 4" xfId="18612"/>
    <cellStyle name="Normal 10 3 3 3 3 4 2" xfId="44165"/>
    <cellStyle name="Normal 10 3 3 3 3 5" xfId="30102"/>
    <cellStyle name="Normal 10 3 3 3 4" xfId="1945"/>
    <cellStyle name="Normal 10 3 3 3 4 2" xfId="11310"/>
    <cellStyle name="Normal 10 3 3 3 4 2 2" xfId="36865"/>
    <cellStyle name="Normal 10 3 3 3 4 3" xfId="21314"/>
    <cellStyle name="Normal 10 3 3 3 4 3 2" xfId="46867"/>
    <cellStyle name="Normal 10 3 3 3 4 4" xfId="27797"/>
    <cellStyle name="Normal 10 3 3 3 5" xfId="5986"/>
    <cellStyle name="Normal 10 3 3 3 5 2" xfId="14813"/>
    <cellStyle name="Normal 10 3 3 3 5 2 2" xfId="40368"/>
    <cellStyle name="Normal 10 3 3 3 5 3" xfId="25064"/>
    <cellStyle name="Normal 10 3 3 3 5 3 2" xfId="50617"/>
    <cellStyle name="Normal 10 3 3 3 5 4" xfId="31547"/>
    <cellStyle name="Normal 10 3 3 3 6" xfId="7430"/>
    <cellStyle name="Normal 10 3 3 3 6 2" xfId="19796"/>
    <cellStyle name="Normal 10 3 3 3 6 2 2" xfId="45349"/>
    <cellStyle name="Normal 10 3 3 3 6 3" xfId="32987"/>
    <cellStyle name="Normal 10 3 3 3 7" xfId="16307"/>
    <cellStyle name="Normal 10 3 3 3 7 2" xfId="41860"/>
    <cellStyle name="Normal 10 3 3 3 8" xfId="26279"/>
    <cellStyle name="Normal 10 3 3 4" xfId="715"/>
    <cellStyle name="Normal 10 3 3 4 2" xfId="3201"/>
    <cellStyle name="Normal 10 3 3 4 2 2" xfId="12344"/>
    <cellStyle name="Normal 10 3 3 4 2 2 2" xfId="22562"/>
    <cellStyle name="Normal 10 3 3 4 2 2 2 2" xfId="48115"/>
    <cellStyle name="Normal 10 3 3 4 2 2 3" xfId="37899"/>
    <cellStyle name="Normal 10 3 3 4 2 3" xfId="8766"/>
    <cellStyle name="Normal 10 3 3 4 2 3 2" xfId="34323"/>
    <cellStyle name="Normal 10 3 3 4 2 4" xfId="17555"/>
    <cellStyle name="Normal 10 3 3 4 2 4 2" xfId="43108"/>
    <cellStyle name="Normal 10 3 3 4 2 5" xfId="29045"/>
    <cellStyle name="Normal 10 3 3 4 3" xfId="4879"/>
    <cellStyle name="Normal 10 3 3 4 3 2" xfId="13716"/>
    <cellStyle name="Normal 10 3 3 4 3 2 2" xfId="23967"/>
    <cellStyle name="Normal 10 3 3 4 3 2 2 2" xfId="49520"/>
    <cellStyle name="Normal 10 3 3 4 3 2 3" xfId="39271"/>
    <cellStyle name="Normal 10 3 3 4 3 3" xfId="10137"/>
    <cellStyle name="Normal 10 3 3 4 3 3 2" xfId="35694"/>
    <cellStyle name="Normal 10 3 3 4 3 4" xfId="18960"/>
    <cellStyle name="Normal 10 3 3 4 3 4 2" xfId="44513"/>
    <cellStyle name="Normal 10 3 3 4 3 5" xfId="30450"/>
    <cellStyle name="Normal 10 3 3 4 4" xfId="2310"/>
    <cellStyle name="Normal 10 3 3 4 4 2" xfId="11675"/>
    <cellStyle name="Normal 10 3 3 4 4 2 2" xfId="37230"/>
    <cellStyle name="Normal 10 3 3 4 4 3" xfId="21679"/>
    <cellStyle name="Normal 10 3 3 4 4 3 2" xfId="47232"/>
    <cellStyle name="Normal 10 3 3 4 4 4" xfId="28162"/>
    <cellStyle name="Normal 10 3 3 4 5" xfId="6334"/>
    <cellStyle name="Normal 10 3 3 4 5 2" xfId="15161"/>
    <cellStyle name="Normal 10 3 3 4 5 2 2" xfId="40716"/>
    <cellStyle name="Normal 10 3 3 4 5 3" xfId="25412"/>
    <cellStyle name="Normal 10 3 3 4 5 3 2" xfId="50965"/>
    <cellStyle name="Normal 10 3 3 4 5 4" xfId="31895"/>
    <cellStyle name="Normal 10 3 3 4 6" xfId="7780"/>
    <cellStyle name="Normal 10 3 3 4 6 2" xfId="20161"/>
    <cellStyle name="Normal 10 3 3 4 6 2 2" xfId="45714"/>
    <cellStyle name="Normal 10 3 3 4 6 3" xfId="33337"/>
    <cellStyle name="Normal 10 3 3 4 7" xfId="16672"/>
    <cellStyle name="Normal 10 3 3 4 7 2" xfId="42225"/>
    <cellStyle name="Normal 10 3 3 4 8" xfId="26644"/>
    <cellStyle name="Normal 10 3 3 5" xfId="1122"/>
    <cellStyle name="Normal 10 3 3 5 2" xfId="3551"/>
    <cellStyle name="Normal 10 3 3 5 2 2" xfId="12687"/>
    <cellStyle name="Normal 10 3 3 5 2 2 2" xfId="22906"/>
    <cellStyle name="Normal 10 3 3 5 2 2 2 2" xfId="48459"/>
    <cellStyle name="Normal 10 3 3 5 2 2 3" xfId="38242"/>
    <cellStyle name="Normal 10 3 3 5 2 3" xfId="9108"/>
    <cellStyle name="Normal 10 3 3 5 2 3 2" xfId="34665"/>
    <cellStyle name="Normal 10 3 3 5 2 4" xfId="17899"/>
    <cellStyle name="Normal 10 3 3 5 2 4 2" xfId="43452"/>
    <cellStyle name="Normal 10 3 3 5 2 5" xfId="29389"/>
    <cellStyle name="Normal 10 3 3 5 3" xfId="5214"/>
    <cellStyle name="Normal 10 3 3 5 3 2" xfId="14051"/>
    <cellStyle name="Normal 10 3 3 5 3 2 2" xfId="24302"/>
    <cellStyle name="Normal 10 3 3 5 3 2 2 2" xfId="49855"/>
    <cellStyle name="Normal 10 3 3 5 3 2 3" xfId="39606"/>
    <cellStyle name="Normal 10 3 3 5 3 3" xfId="10472"/>
    <cellStyle name="Normal 10 3 3 5 3 3 2" xfId="36029"/>
    <cellStyle name="Normal 10 3 3 5 3 4" xfId="19295"/>
    <cellStyle name="Normal 10 3 3 5 3 4 2" xfId="44848"/>
    <cellStyle name="Normal 10 3 3 5 3 5" xfId="30785"/>
    <cellStyle name="Normal 10 3 3 5 4" xfId="1830"/>
    <cellStyle name="Normal 10 3 3 5 4 2" xfId="11198"/>
    <cellStyle name="Normal 10 3 3 5 4 2 2" xfId="36753"/>
    <cellStyle name="Normal 10 3 3 5 4 3" xfId="21202"/>
    <cellStyle name="Normal 10 3 3 5 4 3 2" xfId="46755"/>
    <cellStyle name="Normal 10 3 3 5 4 4" xfId="27685"/>
    <cellStyle name="Normal 10 3 3 5 5" xfId="6669"/>
    <cellStyle name="Normal 10 3 3 5 5 2" xfId="15496"/>
    <cellStyle name="Normal 10 3 3 5 5 2 2" xfId="41051"/>
    <cellStyle name="Normal 10 3 3 5 5 3" xfId="25747"/>
    <cellStyle name="Normal 10 3 3 5 5 3 2" xfId="51300"/>
    <cellStyle name="Normal 10 3 3 5 5 4" xfId="32230"/>
    <cellStyle name="Normal 10 3 3 5 6" xfId="8115"/>
    <cellStyle name="Normal 10 3 3 5 6 2" xfId="20505"/>
    <cellStyle name="Normal 10 3 3 5 6 2 2" xfId="46058"/>
    <cellStyle name="Normal 10 3 3 5 6 3" xfId="33672"/>
    <cellStyle name="Normal 10 3 3 5 7" xfId="16195"/>
    <cellStyle name="Normal 10 3 3 5 7 2" xfId="41748"/>
    <cellStyle name="Normal 10 3 3 5 8" xfId="26988"/>
    <cellStyle name="Normal 10 3 3 6" xfId="2724"/>
    <cellStyle name="Normal 10 3 3 6 2" xfId="12041"/>
    <cellStyle name="Normal 10 3 3 6 2 2" xfId="22085"/>
    <cellStyle name="Normal 10 3 3 6 2 2 2" xfId="47638"/>
    <cellStyle name="Normal 10 3 3 6 2 3" xfId="37596"/>
    <cellStyle name="Normal 10 3 3 6 3" xfId="8551"/>
    <cellStyle name="Normal 10 3 3 6 3 2" xfId="34108"/>
    <cellStyle name="Normal 10 3 3 6 4" xfId="17078"/>
    <cellStyle name="Normal 10 3 3 6 4 2" xfId="42631"/>
    <cellStyle name="Normal 10 3 3 6 5" xfId="28568"/>
    <cellStyle name="Normal 10 3 3 7" xfId="4170"/>
    <cellStyle name="Normal 10 3 3 7 2" xfId="13008"/>
    <cellStyle name="Normal 10 3 3 7 2 2" xfId="23259"/>
    <cellStyle name="Normal 10 3 3 7 2 2 2" xfId="48812"/>
    <cellStyle name="Normal 10 3 3 7 2 3" xfId="38563"/>
    <cellStyle name="Normal 10 3 3 7 3" xfId="9429"/>
    <cellStyle name="Normal 10 3 3 7 3 2" xfId="34986"/>
    <cellStyle name="Normal 10 3 3 7 4" xfId="18252"/>
    <cellStyle name="Normal 10 3 3 7 4 2" xfId="43805"/>
    <cellStyle name="Normal 10 3 3 7 5" xfId="29742"/>
    <cellStyle name="Normal 10 3 3 8" xfId="1442"/>
    <cellStyle name="Normal 10 3 3 8 2" xfId="10819"/>
    <cellStyle name="Normal 10 3 3 8 2 2" xfId="36374"/>
    <cellStyle name="Normal 10 3 3 8 3" xfId="20823"/>
    <cellStyle name="Normal 10 3 3 8 3 2" xfId="46376"/>
    <cellStyle name="Normal 10 3 3 8 4" xfId="27306"/>
    <cellStyle name="Normal 10 3 3 9" xfId="5626"/>
    <cellStyle name="Normal 10 3 3 9 2" xfId="14453"/>
    <cellStyle name="Normal 10 3 3 9 2 2" xfId="40008"/>
    <cellStyle name="Normal 10 3 3 9 3" xfId="24704"/>
    <cellStyle name="Normal 10 3 3 9 3 2" xfId="50257"/>
    <cellStyle name="Normal 10 3 3 9 4" xfId="31187"/>
    <cellStyle name="Normal 10 3 3_Degree data" xfId="3906"/>
    <cellStyle name="Normal 10 3 4" xfId="450"/>
    <cellStyle name="Normal 10 3 4 10" xfId="26379"/>
    <cellStyle name="Normal 10 3 4 2" xfId="717"/>
    <cellStyle name="Normal 10 3 4 2 2" xfId="3203"/>
    <cellStyle name="Normal 10 3 4 2 2 2" xfId="12346"/>
    <cellStyle name="Normal 10 3 4 2 2 2 2" xfId="22564"/>
    <cellStyle name="Normal 10 3 4 2 2 2 2 2" xfId="48117"/>
    <cellStyle name="Normal 10 3 4 2 2 2 3" xfId="37901"/>
    <cellStyle name="Normal 10 3 4 2 2 3" xfId="8768"/>
    <cellStyle name="Normal 10 3 4 2 2 3 2" xfId="34325"/>
    <cellStyle name="Normal 10 3 4 2 2 4" xfId="17557"/>
    <cellStyle name="Normal 10 3 4 2 2 4 2" xfId="43110"/>
    <cellStyle name="Normal 10 3 4 2 2 5" xfId="29047"/>
    <cellStyle name="Normal 10 3 4 2 3" xfId="4532"/>
    <cellStyle name="Normal 10 3 4 2 3 2" xfId="13370"/>
    <cellStyle name="Normal 10 3 4 2 3 2 2" xfId="23621"/>
    <cellStyle name="Normal 10 3 4 2 3 2 2 2" xfId="49174"/>
    <cellStyle name="Normal 10 3 4 2 3 2 3" xfId="38925"/>
    <cellStyle name="Normal 10 3 4 2 3 3" xfId="9791"/>
    <cellStyle name="Normal 10 3 4 2 3 3 2" xfId="35348"/>
    <cellStyle name="Normal 10 3 4 2 3 4" xfId="18614"/>
    <cellStyle name="Normal 10 3 4 2 3 4 2" xfId="44167"/>
    <cellStyle name="Normal 10 3 4 2 3 5" xfId="30104"/>
    <cellStyle name="Normal 10 3 4 2 4" xfId="2312"/>
    <cellStyle name="Normal 10 3 4 2 4 2" xfId="11677"/>
    <cellStyle name="Normal 10 3 4 2 4 2 2" xfId="37232"/>
    <cellStyle name="Normal 10 3 4 2 4 3" xfId="21681"/>
    <cellStyle name="Normal 10 3 4 2 4 3 2" xfId="47234"/>
    <cellStyle name="Normal 10 3 4 2 4 4" xfId="28164"/>
    <cellStyle name="Normal 10 3 4 2 5" xfId="5988"/>
    <cellStyle name="Normal 10 3 4 2 5 2" xfId="14815"/>
    <cellStyle name="Normal 10 3 4 2 5 2 2" xfId="40370"/>
    <cellStyle name="Normal 10 3 4 2 5 3" xfId="25066"/>
    <cellStyle name="Normal 10 3 4 2 5 3 2" xfId="50619"/>
    <cellStyle name="Normal 10 3 4 2 5 4" xfId="31549"/>
    <cellStyle name="Normal 10 3 4 2 6" xfId="7432"/>
    <cellStyle name="Normal 10 3 4 2 6 2" xfId="20163"/>
    <cellStyle name="Normal 10 3 4 2 6 2 2" xfId="45716"/>
    <cellStyle name="Normal 10 3 4 2 6 3" xfId="32989"/>
    <cellStyle name="Normal 10 3 4 2 7" xfId="16674"/>
    <cellStyle name="Normal 10 3 4 2 7 2" xfId="42227"/>
    <cellStyle name="Normal 10 3 4 2 8" xfId="26646"/>
    <cellStyle name="Normal 10 3 4 3" xfId="1222"/>
    <cellStyle name="Normal 10 3 4 3 2" xfId="3651"/>
    <cellStyle name="Normal 10 3 4 3 2 2" xfId="12787"/>
    <cellStyle name="Normal 10 3 4 3 2 2 2" xfId="23006"/>
    <cellStyle name="Normal 10 3 4 3 2 2 2 2" xfId="48559"/>
    <cellStyle name="Normal 10 3 4 3 2 2 3" xfId="38342"/>
    <cellStyle name="Normal 10 3 4 3 2 3" xfId="9208"/>
    <cellStyle name="Normal 10 3 4 3 2 3 2" xfId="34765"/>
    <cellStyle name="Normal 10 3 4 3 2 4" xfId="17999"/>
    <cellStyle name="Normal 10 3 4 3 2 4 2" xfId="43552"/>
    <cellStyle name="Normal 10 3 4 3 2 5" xfId="29489"/>
    <cellStyle name="Normal 10 3 4 3 3" xfId="4881"/>
    <cellStyle name="Normal 10 3 4 3 3 2" xfId="13718"/>
    <cellStyle name="Normal 10 3 4 3 3 2 2" xfId="23969"/>
    <cellStyle name="Normal 10 3 4 3 3 2 2 2" xfId="49522"/>
    <cellStyle name="Normal 10 3 4 3 3 2 3" xfId="39273"/>
    <cellStyle name="Normal 10 3 4 3 3 3" xfId="10139"/>
    <cellStyle name="Normal 10 3 4 3 3 3 2" xfId="35696"/>
    <cellStyle name="Normal 10 3 4 3 3 4" xfId="18962"/>
    <cellStyle name="Normal 10 3 4 3 3 4 2" xfId="44515"/>
    <cellStyle name="Normal 10 3 4 3 3 5" xfId="30452"/>
    <cellStyle name="Normal 10 3 4 3 4" xfId="2045"/>
    <cellStyle name="Normal 10 3 4 3 4 2" xfId="11410"/>
    <cellStyle name="Normal 10 3 4 3 4 2 2" xfId="36965"/>
    <cellStyle name="Normal 10 3 4 3 4 3" xfId="21414"/>
    <cellStyle name="Normal 10 3 4 3 4 3 2" xfId="46967"/>
    <cellStyle name="Normal 10 3 4 3 4 4" xfId="27897"/>
    <cellStyle name="Normal 10 3 4 3 5" xfId="6336"/>
    <cellStyle name="Normal 10 3 4 3 5 2" xfId="15163"/>
    <cellStyle name="Normal 10 3 4 3 5 2 2" xfId="40718"/>
    <cellStyle name="Normal 10 3 4 3 5 3" xfId="25414"/>
    <cellStyle name="Normal 10 3 4 3 5 3 2" xfId="50967"/>
    <cellStyle name="Normal 10 3 4 3 5 4" xfId="31897"/>
    <cellStyle name="Normal 10 3 4 3 6" xfId="7782"/>
    <cellStyle name="Normal 10 3 4 3 6 2" xfId="20605"/>
    <cellStyle name="Normal 10 3 4 3 6 2 2" xfId="46158"/>
    <cellStyle name="Normal 10 3 4 3 6 3" xfId="33339"/>
    <cellStyle name="Normal 10 3 4 3 7" xfId="16407"/>
    <cellStyle name="Normal 10 3 4 3 7 2" xfId="41960"/>
    <cellStyle name="Normal 10 3 4 3 8" xfId="27088"/>
    <cellStyle name="Normal 10 3 4 4" xfId="2936"/>
    <cellStyle name="Normal 10 3 4 4 2" xfId="5314"/>
    <cellStyle name="Normal 10 3 4 4 2 2" xfId="14151"/>
    <cellStyle name="Normal 10 3 4 4 2 2 2" xfId="24402"/>
    <cellStyle name="Normal 10 3 4 4 2 2 2 2" xfId="49955"/>
    <cellStyle name="Normal 10 3 4 4 2 2 3" xfId="39706"/>
    <cellStyle name="Normal 10 3 4 4 2 3" xfId="10572"/>
    <cellStyle name="Normal 10 3 4 4 2 3 2" xfId="36129"/>
    <cellStyle name="Normal 10 3 4 4 2 4" xfId="19395"/>
    <cellStyle name="Normal 10 3 4 4 2 4 2" xfId="44948"/>
    <cellStyle name="Normal 10 3 4 4 2 5" xfId="30885"/>
    <cellStyle name="Normal 10 3 4 4 3" xfId="6769"/>
    <cellStyle name="Normal 10 3 4 4 3 2" xfId="15596"/>
    <cellStyle name="Normal 10 3 4 4 3 2 2" xfId="41151"/>
    <cellStyle name="Normal 10 3 4 4 3 3" xfId="25847"/>
    <cellStyle name="Normal 10 3 4 4 3 3 2" xfId="51400"/>
    <cellStyle name="Normal 10 3 4 4 3 4" xfId="32330"/>
    <cellStyle name="Normal 10 3 4 4 4" xfId="8215"/>
    <cellStyle name="Normal 10 3 4 4 4 2" xfId="22297"/>
    <cellStyle name="Normal 10 3 4 4 4 2 2" xfId="47850"/>
    <cellStyle name="Normal 10 3 4 4 4 3" xfId="33772"/>
    <cellStyle name="Normal 10 3 4 4 5" xfId="17290"/>
    <cellStyle name="Normal 10 3 4 4 5 2" xfId="42843"/>
    <cellStyle name="Normal 10 3 4 4 6" xfId="28780"/>
    <cellStyle name="Normal 10 3 4 5" xfId="4270"/>
    <cellStyle name="Normal 10 3 4 5 2" xfId="13108"/>
    <cellStyle name="Normal 10 3 4 5 2 2" xfId="23359"/>
    <cellStyle name="Normal 10 3 4 5 2 2 2" xfId="48912"/>
    <cellStyle name="Normal 10 3 4 5 2 3" xfId="38663"/>
    <cellStyle name="Normal 10 3 4 5 3" xfId="9529"/>
    <cellStyle name="Normal 10 3 4 5 3 2" xfId="35086"/>
    <cellStyle name="Normal 10 3 4 5 4" xfId="18352"/>
    <cellStyle name="Normal 10 3 4 5 4 2" xfId="43905"/>
    <cellStyle name="Normal 10 3 4 5 5" xfId="29842"/>
    <cellStyle name="Normal 10 3 4 6" xfId="1542"/>
    <cellStyle name="Normal 10 3 4 6 2" xfId="10919"/>
    <cellStyle name="Normal 10 3 4 6 2 2" xfId="36474"/>
    <cellStyle name="Normal 10 3 4 6 3" xfId="20923"/>
    <cellStyle name="Normal 10 3 4 6 3 2" xfId="46476"/>
    <cellStyle name="Normal 10 3 4 6 4" xfId="27406"/>
    <cellStyle name="Normal 10 3 4 7" xfId="5726"/>
    <cellStyle name="Normal 10 3 4 7 2" xfId="14553"/>
    <cellStyle name="Normal 10 3 4 7 2 2" xfId="40108"/>
    <cellStyle name="Normal 10 3 4 7 3" xfId="24804"/>
    <cellStyle name="Normal 10 3 4 7 3 2" xfId="50357"/>
    <cellStyle name="Normal 10 3 4 7 4" xfId="31287"/>
    <cellStyle name="Normal 10 3 4 8" xfId="7170"/>
    <cellStyle name="Normal 10 3 4 8 2" xfId="19896"/>
    <cellStyle name="Normal 10 3 4 8 2 2" xfId="45449"/>
    <cellStyle name="Normal 10 3 4 8 3" xfId="32727"/>
    <cellStyle name="Normal 10 3 4 9" xfId="15916"/>
    <cellStyle name="Normal 10 3 4 9 2" xfId="41469"/>
    <cellStyle name="Normal 10 3 4_Degree data" xfId="3911"/>
    <cellStyle name="Normal 10 3 5" xfId="1718"/>
    <cellStyle name="Normal 10 3 5 2" xfId="11092"/>
    <cellStyle name="Normal 10 3 5 2 2" xfId="21096"/>
    <cellStyle name="Normal 10 3 5 2 2 2" xfId="46649"/>
    <cellStyle name="Normal 10 3 5 2 3" xfId="36647"/>
    <cellStyle name="Normal 10 3 5 3" xfId="8637"/>
    <cellStyle name="Normal 10 3 5 3 2" xfId="34194"/>
    <cellStyle name="Normal 10 3 5 4" xfId="16089"/>
    <cellStyle name="Normal 10 3 5 4 2" xfId="41642"/>
    <cellStyle name="Normal 10 3 5 5" xfId="27579"/>
    <cellStyle name="Normal 10 3 6" xfId="2616"/>
    <cellStyle name="Normal 10 3 6 2" xfId="11967"/>
    <cellStyle name="Normal 10 3 6 2 2" xfId="21979"/>
    <cellStyle name="Normal 10 3 6 2 2 2" xfId="47532"/>
    <cellStyle name="Normal 10 3 6 2 3" xfId="37522"/>
    <cellStyle name="Normal 10 3 6 3" xfId="8503"/>
    <cellStyle name="Normal 10 3 6 3 2" xfId="34060"/>
    <cellStyle name="Normal 10 3 6 4" xfId="16972"/>
    <cellStyle name="Normal 10 3 6 4 2" xfId="42525"/>
    <cellStyle name="Normal 10 3 6 5" xfId="28462"/>
    <cellStyle name="Normal 10 3 7" xfId="10749"/>
    <cellStyle name="Normal 10 3 7 2" xfId="19579"/>
    <cellStyle name="Normal 10 3 7 2 2" xfId="45132"/>
    <cellStyle name="Normal 10 3 7 3" xfId="36305"/>
    <cellStyle name="Normal 10 3 8" xfId="26062"/>
    <cellStyle name="Normal 10 4" xfId="137"/>
    <cellStyle name="Normal 10 4 10" xfId="1405"/>
    <cellStyle name="Normal 10 4 10 2" xfId="10782"/>
    <cellStyle name="Normal 10 4 10 2 2" xfId="36337"/>
    <cellStyle name="Normal 10 4 10 3" xfId="20786"/>
    <cellStyle name="Normal 10 4 10 3 2" xfId="46339"/>
    <cellStyle name="Normal 10 4 10 4" xfId="27269"/>
    <cellStyle name="Normal 10 4 11" xfId="5516"/>
    <cellStyle name="Normal 10 4 11 2" xfId="14343"/>
    <cellStyle name="Normal 10 4 11 2 2" xfId="39898"/>
    <cellStyle name="Normal 10 4 11 3" xfId="24594"/>
    <cellStyle name="Normal 10 4 11 3 2" xfId="50147"/>
    <cellStyle name="Normal 10 4 11 4" xfId="31077"/>
    <cellStyle name="Normal 10 4 12" xfId="6956"/>
    <cellStyle name="Normal 10 4 12 2" xfId="19601"/>
    <cellStyle name="Normal 10 4 12 2 2" xfId="45154"/>
    <cellStyle name="Normal 10 4 12 3" xfId="32514"/>
    <cellStyle name="Normal 10 4 13" xfId="15779"/>
    <cellStyle name="Normal 10 4 13 2" xfId="41332"/>
    <cellStyle name="Normal 10 4 14" xfId="26084"/>
    <cellStyle name="Normal 10 4 2" xfId="187"/>
    <cellStyle name="Normal 10 4 2 10" xfId="7135"/>
    <cellStyle name="Normal 10 4 2 10 2" xfId="19644"/>
    <cellStyle name="Normal 10 4 2 10 2 2" xfId="45197"/>
    <cellStyle name="Normal 10 4 2 10 3" xfId="32692"/>
    <cellStyle name="Normal 10 4 2 11" xfId="15881"/>
    <cellStyle name="Normal 10 4 2 11 2" xfId="41434"/>
    <cellStyle name="Normal 10 4 2 12" xfId="26127"/>
    <cellStyle name="Normal 10 4 2 2" xfId="515"/>
    <cellStyle name="Normal 10 4 2 2 10" xfId="26444"/>
    <cellStyle name="Normal 10 4 2 2 2" xfId="720"/>
    <cellStyle name="Normal 10 4 2 2 2 2" xfId="3206"/>
    <cellStyle name="Normal 10 4 2 2 2 2 2" xfId="12349"/>
    <cellStyle name="Normal 10 4 2 2 2 2 2 2" xfId="22567"/>
    <cellStyle name="Normal 10 4 2 2 2 2 2 2 2" xfId="48120"/>
    <cellStyle name="Normal 10 4 2 2 2 2 2 3" xfId="37904"/>
    <cellStyle name="Normal 10 4 2 2 2 2 3" xfId="8771"/>
    <cellStyle name="Normal 10 4 2 2 2 2 3 2" xfId="34328"/>
    <cellStyle name="Normal 10 4 2 2 2 2 4" xfId="17560"/>
    <cellStyle name="Normal 10 4 2 2 2 2 4 2" xfId="43113"/>
    <cellStyle name="Normal 10 4 2 2 2 2 5" xfId="29050"/>
    <cellStyle name="Normal 10 4 2 2 2 3" xfId="4535"/>
    <cellStyle name="Normal 10 4 2 2 2 3 2" xfId="13373"/>
    <cellStyle name="Normal 10 4 2 2 2 3 2 2" xfId="23624"/>
    <cellStyle name="Normal 10 4 2 2 2 3 2 2 2" xfId="49177"/>
    <cellStyle name="Normal 10 4 2 2 2 3 2 3" xfId="38928"/>
    <cellStyle name="Normal 10 4 2 2 2 3 3" xfId="9794"/>
    <cellStyle name="Normal 10 4 2 2 2 3 3 2" xfId="35351"/>
    <cellStyle name="Normal 10 4 2 2 2 3 4" xfId="18617"/>
    <cellStyle name="Normal 10 4 2 2 2 3 4 2" xfId="44170"/>
    <cellStyle name="Normal 10 4 2 2 2 3 5" xfId="30107"/>
    <cellStyle name="Normal 10 4 2 2 2 4" xfId="2315"/>
    <cellStyle name="Normal 10 4 2 2 2 4 2" xfId="11680"/>
    <cellStyle name="Normal 10 4 2 2 2 4 2 2" xfId="37235"/>
    <cellStyle name="Normal 10 4 2 2 2 4 3" xfId="21684"/>
    <cellStyle name="Normal 10 4 2 2 2 4 3 2" xfId="47237"/>
    <cellStyle name="Normal 10 4 2 2 2 4 4" xfId="28167"/>
    <cellStyle name="Normal 10 4 2 2 2 5" xfId="5991"/>
    <cellStyle name="Normal 10 4 2 2 2 5 2" xfId="14818"/>
    <cellStyle name="Normal 10 4 2 2 2 5 2 2" xfId="40373"/>
    <cellStyle name="Normal 10 4 2 2 2 5 3" xfId="25069"/>
    <cellStyle name="Normal 10 4 2 2 2 5 3 2" xfId="50622"/>
    <cellStyle name="Normal 10 4 2 2 2 5 4" xfId="31552"/>
    <cellStyle name="Normal 10 4 2 2 2 6" xfId="7435"/>
    <cellStyle name="Normal 10 4 2 2 2 6 2" xfId="20166"/>
    <cellStyle name="Normal 10 4 2 2 2 6 2 2" xfId="45719"/>
    <cellStyle name="Normal 10 4 2 2 2 6 3" xfId="32992"/>
    <cellStyle name="Normal 10 4 2 2 2 7" xfId="16677"/>
    <cellStyle name="Normal 10 4 2 2 2 7 2" xfId="42230"/>
    <cellStyle name="Normal 10 4 2 2 2 8" xfId="26649"/>
    <cellStyle name="Normal 10 4 2 2 3" xfId="1287"/>
    <cellStyle name="Normal 10 4 2 2 3 2" xfId="3716"/>
    <cellStyle name="Normal 10 4 2 2 3 2 2" xfId="12852"/>
    <cellStyle name="Normal 10 4 2 2 3 2 2 2" xfId="23071"/>
    <cellStyle name="Normal 10 4 2 2 3 2 2 2 2" xfId="48624"/>
    <cellStyle name="Normal 10 4 2 2 3 2 2 3" xfId="38407"/>
    <cellStyle name="Normal 10 4 2 2 3 2 3" xfId="9273"/>
    <cellStyle name="Normal 10 4 2 2 3 2 3 2" xfId="34830"/>
    <cellStyle name="Normal 10 4 2 2 3 2 4" xfId="18064"/>
    <cellStyle name="Normal 10 4 2 2 3 2 4 2" xfId="43617"/>
    <cellStyle name="Normal 10 4 2 2 3 2 5" xfId="29554"/>
    <cellStyle name="Normal 10 4 2 2 3 3" xfId="4884"/>
    <cellStyle name="Normal 10 4 2 2 3 3 2" xfId="13721"/>
    <cellStyle name="Normal 10 4 2 2 3 3 2 2" xfId="23972"/>
    <cellStyle name="Normal 10 4 2 2 3 3 2 2 2" xfId="49525"/>
    <cellStyle name="Normal 10 4 2 2 3 3 2 3" xfId="39276"/>
    <cellStyle name="Normal 10 4 2 2 3 3 3" xfId="10142"/>
    <cellStyle name="Normal 10 4 2 2 3 3 3 2" xfId="35699"/>
    <cellStyle name="Normal 10 4 2 2 3 3 4" xfId="18965"/>
    <cellStyle name="Normal 10 4 2 2 3 3 4 2" xfId="44518"/>
    <cellStyle name="Normal 10 4 2 2 3 3 5" xfId="30455"/>
    <cellStyle name="Normal 10 4 2 2 3 4" xfId="2110"/>
    <cellStyle name="Normal 10 4 2 2 3 4 2" xfId="11475"/>
    <cellStyle name="Normal 10 4 2 2 3 4 2 2" xfId="37030"/>
    <cellStyle name="Normal 10 4 2 2 3 4 3" xfId="21479"/>
    <cellStyle name="Normal 10 4 2 2 3 4 3 2" xfId="47032"/>
    <cellStyle name="Normal 10 4 2 2 3 4 4" xfId="27962"/>
    <cellStyle name="Normal 10 4 2 2 3 5" xfId="6339"/>
    <cellStyle name="Normal 10 4 2 2 3 5 2" xfId="15166"/>
    <cellStyle name="Normal 10 4 2 2 3 5 2 2" xfId="40721"/>
    <cellStyle name="Normal 10 4 2 2 3 5 3" xfId="25417"/>
    <cellStyle name="Normal 10 4 2 2 3 5 3 2" xfId="50970"/>
    <cellStyle name="Normal 10 4 2 2 3 5 4" xfId="31900"/>
    <cellStyle name="Normal 10 4 2 2 3 6" xfId="7785"/>
    <cellStyle name="Normal 10 4 2 2 3 6 2" xfId="20670"/>
    <cellStyle name="Normal 10 4 2 2 3 6 2 2" xfId="46223"/>
    <cellStyle name="Normal 10 4 2 2 3 6 3" xfId="33342"/>
    <cellStyle name="Normal 10 4 2 2 3 7" xfId="16472"/>
    <cellStyle name="Normal 10 4 2 2 3 7 2" xfId="42025"/>
    <cellStyle name="Normal 10 4 2 2 3 8" xfId="27153"/>
    <cellStyle name="Normal 10 4 2 2 4" xfId="3001"/>
    <cellStyle name="Normal 10 4 2 2 4 2" xfId="5379"/>
    <cellStyle name="Normal 10 4 2 2 4 2 2" xfId="14216"/>
    <cellStyle name="Normal 10 4 2 2 4 2 2 2" xfId="24467"/>
    <cellStyle name="Normal 10 4 2 2 4 2 2 2 2" xfId="50020"/>
    <cellStyle name="Normal 10 4 2 2 4 2 2 3" xfId="39771"/>
    <cellStyle name="Normal 10 4 2 2 4 2 3" xfId="10637"/>
    <cellStyle name="Normal 10 4 2 2 4 2 3 2" xfId="36194"/>
    <cellStyle name="Normal 10 4 2 2 4 2 4" xfId="19460"/>
    <cellStyle name="Normal 10 4 2 2 4 2 4 2" xfId="45013"/>
    <cellStyle name="Normal 10 4 2 2 4 2 5" xfId="30950"/>
    <cellStyle name="Normal 10 4 2 2 4 3" xfId="6834"/>
    <cellStyle name="Normal 10 4 2 2 4 3 2" xfId="15661"/>
    <cellStyle name="Normal 10 4 2 2 4 3 2 2" xfId="41216"/>
    <cellStyle name="Normal 10 4 2 2 4 3 3" xfId="25912"/>
    <cellStyle name="Normal 10 4 2 2 4 3 3 2" xfId="51465"/>
    <cellStyle name="Normal 10 4 2 2 4 3 4" xfId="32395"/>
    <cellStyle name="Normal 10 4 2 2 4 4" xfId="8280"/>
    <cellStyle name="Normal 10 4 2 2 4 4 2" xfId="22362"/>
    <cellStyle name="Normal 10 4 2 2 4 4 2 2" xfId="47915"/>
    <cellStyle name="Normal 10 4 2 2 4 4 3" xfId="33837"/>
    <cellStyle name="Normal 10 4 2 2 4 5" xfId="17355"/>
    <cellStyle name="Normal 10 4 2 2 4 5 2" xfId="42908"/>
    <cellStyle name="Normal 10 4 2 2 4 6" xfId="28845"/>
    <cellStyle name="Normal 10 4 2 2 5" xfId="4335"/>
    <cellStyle name="Normal 10 4 2 2 5 2" xfId="13173"/>
    <cellStyle name="Normal 10 4 2 2 5 2 2" xfId="23424"/>
    <cellStyle name="Normal 10 4 2 2 5 2 2 2" xfId="48977"/>
    <cellStyle name="Normal 10 4 2 2 5 2 3" xfId="38728"/>
    <cellStyle name="Normal 10 4 2 2 5 3" xfId="9594"/>
    <cellStyle name="Normal 10 4 2 2 5 3 2" xfId="35151"/>
    <cellStyle name="Normal 10 4 2 2 5 4" xfId="18417"/>
    <cellStyle name="Normal 10 4 2 2 5 4 2" xfId="43970"/>
    <cellStyle name="Normal 10 4 2 2 5 5" xfId="29907"/>
    <cellStyle name="Normal 10 4 2 2 6" xfId="1607"/>
    <cellStyle name="Normal 10 4 2 2 6 2" xfId="10984"/>
    <cellStyle name="Normal 10 4 2 2 6 2 2" xfId="36539"/>
    <cellStyle name="Normal 10 4 2 2 6 3" xfId="20988"/>
    <cellStyle name="Normal 10 4 2 2 6 3 2" xfId="46541"/>
    <cellStyle name="Normal 10 4 2 2 6 4" xfId="27471"/>
    <cellStyle name="Normal 10 4 2 2 7" xfId="5791"/>
    <cellStyle name="Normal 10 4 2 2 7 2" xfId="14618"/>
    <cellStyle name="Normal 10 4 2 2 7 2 2" xfId="40173"/>
    <cellStyle name="Normal 10 4 2 2 7 3" xfId="24869"/>
    <cellStyle name="Normal 10 4 2 2 7 3 2" xfId="50422"/>
    <cellStyle name="Normal 10 4 2 2 7 4" xfId="31352"/>
    <cellStyle name="Normal 10 4 2 2 8" xfId="7235"/>
    <cellStyle name="Normal 10 4 2 2 8 2" xfId="19961"/>
    <cellStyle name="Normal 10 4 2 2 8 2 2" xfId="45514"/>
    <cellStyle name="Normal 10 4 2 2 8 3" xfId="32792"/>
    <cellStyle name="Normal 10 4 2 2 9" xfId="15981"/>
    <cellStyle name="Normal 10 4 2 2 9 2" xfId="41534"/>
    <cellStyle name="Normal 10 4 2 2_Degree data" xfId="3840"/>
    <cellStyle name="Normal 10 4 2 3" xfId="415"/>
    <cellStyle name="Normal 10 4 2 3 2" xfId="2901"/>
    <cellStyle name="Normal 10 4 2 3 2 2" xfId="12189"/>
    <cellStyle name="Normal 10 4 2 3 2 2 2" xfId="22262"/>
    <cellStyle name="Normal 10 4 2 3 2 2 2 2" xfId="47815"/>
    <cellStyle name="Normal 10 4 2 3 2 2 3" xfId="37744"/>
    <cellStyle name="Normal 10 4 2 3 2 3" xfId="8590"/>
    <cellStyle name="Normal 10 4 2 3 2 3 2" xfId="34147"/>
    <cellStyle name="Normal 10 4 2 3 2 4" xfId="17255"/>
    <cellStyle name="Normal 10 4 2 3 2 4 2" xfId="42808"/>
    <cellStyle name="Normal 10 4 2 3 2 5" xfId="28745"/>
    <cellStyle name="Normal 10 4 2 3 3" xfId="4534"/>
    <cellStyle name="Normal 10 4 2 3 3 2" xfId="13372"/>
    <cellStyle name="Normal 10 4 2 3 3 2 2" xfId="23623"/>
    <cellStyle name="Normal 10 4 2 3 3 2 2 2" xfId="49176"/>
    <cellStyle name="Normal 10 4 2 3 3 2 3" xfId="38927"/>
    <cellStyle name="Normal 10 4 2 3 3 3" xfId="9793"/>
    <cellStyle name="Normal 10 4 2 3 3 3 2" xfId="35350"/>
    <cellStyle name="Normal 10 4 2 3 3 4" xfId="18616"/>
    <cellStyle name="Normal 10 4 2 3 3 4 2" xfId="44169"/>
    <cellStyle name="Normal 10 4 2 3 3 5" xfId="30106"/>
    <cellStyle name="Normal 10 4 2 3 4" xfId="2010"/>
    <cellStyle name="Normal 10 4 2 3 4 2" xfId="11375"/>
    <cellStyle name="Normal 10 4 2 3 4 2 2" xfId="36930"/>
    <cellStyle name="Normal 10 4 2 3 4 3" xfId="21379"/>
    <cellStyle name="Normal 10 4 2 3 4 3 2" xfId="46932"/>
    <cellStyle name="Normal 10 4 2 3 4 4" xfId="27862"/>
    <cellStyle name="Normal 10 4 2 3 5" xfId="5990"/>
    <cellStyle name="Normal 10 4 2 3 5 2" xfId="14817"/>
    <cellStyle name="Normal 10 4 2 3 5 2 2" xfId="40372"/>
    <cellStyle name="Normal 10 4 2 3 5 3" xfId="25068"/>
    <cellStyle name="Normal 10 4 2 3 5 3 2" xfId="50621"/>
    <cellStyle name="Normal 10 4 2 3 5 4" xfId="31551"/>
    <cellStyle name="Normal 10 4 2 3 6" xfId="7434"/>
    <cellStyle name="Normal 10 4 2 3 6 2" xfId="19861"/>
    <cellStyle name="Normal 10 4 2 3 6 2 2" xfId="45414"/>
    <cellStyle name="Normal 10 4 2 3 6 3" xfId="32991"/>
    <cellStyle name="Normal 10 4 2 3 7" xfId="16372"/>
    <cellStyle name="Normal 10 4 2 3 7 2" xfId="41925"/>
    <cellStyle name="Normal 10 4 2 3 8" xfId="26344"/>
    <cellStyle name="Normal 10 4 2 4" xfId="719"/>
    <cellStyle name="Normal 10 4 2 4 2" xfId="3205"/>
    <cellStyle name="Normal 10 4 2 4 2 2" xfId="12348"/>
    <cellStyle name="Normal 10 4 2 4 2 2 2" xfId="22566"/>
    <cellStyle name="Normal 10 4 2 4 2 2 2 2" xfId="48119"/>
    <cellStyle name="Normal 10 4 2 4 2 2 3" xfId="37903"/>
    <cellStyle name="Normal 10 4 2 4 2 3" xfId="8770"/>
    <cellStyle name="Normal 10 4 2 4 2 3 2" xfId="34327"/>
    <cellStyle name="Normal 10 4 2 4 2 4" xfId="17559"/>
    <cellStyle name="Normal 10 4 2 4 2 4 2" xfId="43112"/>
    <cellStyle name="Normal 10 4 2 4 2 5" xfId="29049"/>
    <cellStyle name="Normal 10 4 2 4 3" xfId="4883"/>
    <cellStyle name="Normal 10 4 2 4 3 2" xfId="13720"/>
    <cellStyle name="Normal 10 4 2 4 3 2 2" xfId="23971"/>
    <cellStyle name="Normal 10 4 2 4 3 2 2 2" xfId="49524"/>
    <cellStyle name="Normal 10 4 2 4 3 2 3" xfId="39275"/>
    <cellStyle name="Normal 10 4 2 4 3 3" xfId="10141"/>
    <cellStyle name="Normal 10 4 2 4 3 3 2" xfId="35698"/>
    <cellStyle name="Normal 10 4 2 4 3 4" xfId="18964"/>
    <cellStyle name="Normal 10 4 2 4 3 4 2" xfId="44517"/>
    <cellStyle name="Normal 10 4 2 4 3 5" xfId="30454"/>
    <cellStyle name="Normal 10 4 2 4 4" xfId="2314"/>
    <cellStyle name="Normal 10 4 2 4 4 2" xfId="11679"/>
    <cellStyle name="Normal 10 4 2 4 4 2 2" xfId="37234"/>
    <cellStyle name="Normal 10 4 2 4 4 3" xfId="21683"/>
    <cellStyle name="Normal 10 4 2 4 4 3 2" xfId="47236"/>
    <cellStyle name="Normal 10 4 2 4 4 4" xfId="28166"/>
    <cellStyle name="Normal 10 4 2 4 5" xfId="6338"/>
    <cellStyle name="Normal 10 4 2 4 5 2" xfId="15165"/>
    <cellStyle name="Normal 10 4 2 4 5 2 2" xfId="40720"/>
    <cellStyle name="Normal 10 4 2 4 5 3" xfId="25416"/>
    <cellStyle name="Normal 10 4 2 4 5 3 2" xfId="50969"/>
    <cellStyle name="Normal 10 4 2 4 5 4" xfId="31899"/>
    <cellStyle name="Normal 10 4 2 4 6" xfId="7784"/>
    <cellStyle name="Normal 10 4 2 4 6 2" xfId="20165"/>
    <cellStyle name="Normal 10 4 2 4 6 2 2" xfId="45718"/>
    <cellStyle name="Normal 10 4 2 4 6 3" xfId="33341"/>
    <cellStyle name="Normal 10 4 2 4 7" xfId="16676"/>
    <cellStyle name="Normal 10 4 2 4 7 2" xfId="42229"/>
    <cellStyle name="Normal 10 4 2 4 8" xfId="26648"/>
    <cellStyle name="Normal 10 4 2 5" xfId="1187"/>
    <cellStyle name="Normal 10 4 2 5 2" xfId="3616"/>
    <cellStyle name="Normal 10 4 2 5 2 2" xfId="12752"/>
    <cellStyle name="Normal 10 4 2 5 2 2 2" xfId="22971"/>
    <cellStyle name="Normal 10 4 2 5 2 2 2 2" xfId="48524"/>
    <cellStyle name="Normal 10 4 2 5 2 2 3" xfId="38307"/>
    <cellStyle name="Normal 10 4 2 5 2 3" xfId="9173"/>
    <cellStyle name="Normal 10 4 2 5 2 3 2" xfId="34730"/>
    <cellStyle name="Normal 10 4 2 5 2 4" xfId="17964"/>
    <cellStyle name="Normal 10 4 2 5 2 4 2" xfId="43517"/>
    <cellStyle name="Normal 10 4 2 5 2 5" xfId="29454"/>
    <cellStyle name="Normal 10 4 2 5 3" xfId="5279"/>
    <cellStyle name="Normal 10 4 2 5 3 2" xfId="14116"/>
    <cellStyle name="Normal 10 4 2 5 3 2 2" xfId="24367"/>
    <cellStyle name="Normal 10 4 2 5 3 2 2 2" xfId="49920"/>
    <cellStyle name="Normal 10 4 2 5 3 2 3" xfId="39671"/>
    <cellStyle name="Normal 10 4 2 5 3 3" xfId="10537"/>
    <cellStyle name="Normal 10 4 2 5 3 3 2" xfId="36094"/>
    <cellStyle name="Normal 10 4 2 5 3 4" xfId="19360"/>
    <cellStyle name="Normal 10 4 2 5 3 4 2" xfId="44913"/>
    <cellStyle name="Normal 10 4 2 5 3 5" xfId="30850"/>
    <cellStyle name="Normal 10 4 2 5 4" xfId="1789"/>
    <cellStyle name="Normal 10 4 2 5 4 2" xfId="11158"/>
    <cellStyle name="Normal 10 4 2 5 4 2 2" xfId="36713"/>
    <cellStyle name="Normal 10 4 2 5 4 3" xfId="21162"/>
    <cellStyle name="Normal 10 4 2 5 4 3 2" xfId="46715"/>
    <cellStyle name="Normal 10 4 2 5 4 4" xfId="27645"/>
    <cellStyle name="Normal 10 4 2 5 5" xfId="6734"/>
    <cellStyle name="Normal 10 4 2 5 5 2" xfId="15561"/>
    <cellStyle name="Normal 10 4 2 5 5 2 2" xfId="41116"/>
    <cellStyle name="Normal 10 4 2 5 5 3" xfId="25812"/>
    <cellStyle name="Normal 10 4 2 5 5 3 2" xfId="51365"/>
    <cellStyle name="Normal 10 4 2 5 5 4" xfId="32295"/>
    <cellStyle name="Normal 10 4 2 5 6" xfId="8180"/>
    <cellStyle name="Normal 10 4 2 5 6 2" xfId="20570"/>
    <cellStyle name="Normal 10 4 2 5 6 2 2" xfId="46123"/>
    <cellStyle name="Normal 10 4 2 5 6 3" xfId="33737"/>
    <cellStyle name="Normal 10 4 2 5 7" xfId="16155"/>
    <cellStyle name="Normal 10 4 2 5 7 2" xfId="41708"/>
    <cellStyle name="Normal 10 4 2 5 8" xfId="27053"/>
    <cellStyle name="Normal 10 4 2 6" xfId="2684"/>
    <cellStyle name="Normal 10 4 2 6 2" xfId="12001"/>
    <cellStyle name="Normal 10 4 2 6 2 2" xfId="22045"/>
    <cellStyle name="Normal 10 4 2 6 2 2 2" xfId="47598"/>
    <cellStyle name="Normal 10 4 2 6 2 3" xfId="37556"/>
    <cellStyle name="Normal 10 4 2 6 3" xfId="8570"/>
    <cellStyle name="Normal 10 4 2 6 3 2" xfId="34127"/>
    <cellStyle name="Normal 10 4 2 6 4" xfId="17038"/>
    <cellStyle name="Normal 10 4 2 6 4 2" xfId="42591"/>
    <cellStyle name="Normal 10 4 2 6 5" xfId="28528"/>
    <cellStyle name="Normal 10 4 2 7" xfId="4235"/>
    <cellStyle name="Normal 10 4 2 7 2" xfId="13073"/>
    <cellStyle name="Normal 10 4 2 7 2 2" xfId="23324"/>
    <cellStyle name="Normal 10 4 2 7 2 2 2" xfId="48877"/>
    <cellStyle name="Normal 10 4 2 7 2 3" xfId="38628"/>
    <cellStyle name="Normal 10 4 2 7 3" xfId="9494"/>
    <cellStyle name="Normal 10 4 2 7 3 2" xfId="35051"/>
    <cellStyle name="Normal 10 4 2 7 4" xfId="18317"/>
    <cellStyle name="Normal 10 4 2 7 4 2" xfId="43870"/>
    <cellStyle name="Normal 10 4 2 7 5" xfId="29807"/>
    <cellStyle name="Normal 10 4 2 8" xfId="1507"/>
    <cellStyle name="Normal 10 4 2 8 2" xfId="10884"/>
    <cellStyle name="Normal 10 4 2 8 2 2" xfId="36439"/>
    <cellStyle name="Normal 10 4 2 8 3" xfId="20888"/>
    <cellStyle name="Normal 10 4 2 8 3 2" xfId="46441"/>
    <cellStyle name="Normal 10 4 2 8 4" xfId="27371"/>
    <cellStyle name="Normal 10 4 2 9" xfId="5691"/>
    <cellStyle name="Normal 10 4 2 9 2" xfId="14518"/>
    <cellStyle name="Normal 10 4 2 9 2 2" xfId="40073"/>
    <cellStyle name="Normal 10 4 2 9 3" xfId="24769"/>
    <cellStyle name="Normal 10 4 2 9 3 2" xfId="50322"/>
    <cellStyle name="Normal 10 4 2 9 4" xfId="31252"/>
    <cellStyle name="Normal 10 4 2_Degree data" xfId="2637"/>
    <cellStyle name="Normal 10 4 3" xfId="254"/>
    <cellStyle name="Normal 10 4 3 10" xfId="7092"/>
    <cellStyle name="Normal 10 4 3 10 2" xfId="19706"/>
    <cellStyle name="Normal 10 4 3 10 2 2" xfId="45259"/>
    <cellStyle name="Normal 10 4 3 10 3" xfId="32649"/>
    <cellStyle name="Normal 10 4 3 11" xfId="15838"/>
    <cellStyle name="Normal 10 4 3 11 2" xfId="41391"/>
    <cellStyle name="Normal 10 4 3 12" xfId="26189"/>
    <cellStyle name="Normal 10 4 3 2" xfId="577"/>
    <cellStyle name="Normal 10 4 3 2 10" xfId="26506"/>
    <cellStyle name="Normal 10 4 3 2 2" xfId="722"/>
    <cellStyle name="Normal 10 4 3 2 2 2" xfId="3208"/>
    <cellStyle name="Normal 10 4 3 2 2 2 2" xfId="12351"/>
    <cellStyle name="Normal 10 4 3 2 2 2 2 2" xfId="22569"/>
    <cellStyle name="Normal 10 4 3 2 2 2 2 2 2" xfId="48122"/>
    <cellStyle name="Normal 10 4 3 2 2 2 2 3" xfId="37906"/>
    <cellStyle name="Normal 10 4 3 2 2 2 3" xfId="8773"/>
    <cellStyle name="Normal 10 4 3 2 2 2 3 2" xfId="34330"/>
    <cellStyle name="Normal 10 4 3 2 2 2 4" xfId="17562"/>
    <cellStyle name="Normal 10 4 3 2 2 2 4 2" xfId="43115"/>
    <cellStyle name="Normal 10 4 3 2 2 2 5" xfId="29052"/>
    <cellStyle name="Normal 10 4 3 2 2 3" xfId="4537"/>
    <cellStyle name="Normal 10 4 3 2 2 3 2" xfId="13375"/>
    <cellStyle name="Normal 10 4 3 2 2 3 2 2" xfId="23626"/>
    <cellStyle name="Normal 10 4 3 2 2 3 2 2 2" xfId="49179"/>
    <cellStyle name="Normal 10 4 3 2 2 3 2 3" xfId="38930"/>
    <cellStyle name="Normal 10 4 3 2 2 3 3" xfId="9796"/>
    <cellStyle name="Normal 10 4 3 2 2 3 3 2" xfId="35353"/>
    <cellStyle name="Normal 10 4 3 2 2 3 4" xfId="18619"/>
    <cellStyle name="Normal 10 4 3 2 2 3 4 2" xfId="44172"/>
    <cellStyle name="Normal 10 4 3 2 2 3 5" xfId="30109"/>
    <cellStyle name="Normal 10 4 3 2 2 4" xfId="2317"/>
    <cellStyle name="Normal 10 4 3 2 2 4 2" xfId="11682"/>
    <cellStyle name="Normal 10 4 3 2 2 4 2 2" xfId="37237"/>
    <cellStyle name="Normal 10 4 3 2 2 4 3" xfId="21686"/>
    <cellStyle name="Normal 10 4 3 2 2 4 3 2" xfId="47239"/>
    <cellStyle name="Normal 10 4 3 2 2 4 4" xfId="28169"/>
    <cellStyle name="Normal 10 4 3 2 2 5" xfId="5993"/>
    <cellStyle name="Normal 10 4 3 2 2 5 2" xfId="14820"/>
    <cellStyle name="Normal 10 4 3 2 2 5 2 2" xfId="40375"/>
    <cellStyle name="Normal 10 4 3 2 2 5 3" xfId="25071"/>
    <cellStyle name="Normal 10 4 3 2 2 5 3 2" xfId="50624"/>
    <cellStyle name="Normal 10 4 3 2 2 5 4" xfId="31554"/>
    <cellStyle name="Normal 10 4 3 2 2 6" xfId="7437"/>
    <cellStyle name="Normal 10 4 3 2 2 6 2" xfId="20168"/>
    <cellStyle name="Normal 10 4 3 2 2 6 2 2" xfId="45721"/>
    <cellStyle name="Normal 10 4 3 2 2 6 3" xfId="32994"/>
    <cellStyle name="Normal 10 4 3 2 2 7" xfId="16679"/>
    <cellStyle name="Normal 10 4 3 2 2 7 2" xfId="42232"/>
    <cellStyle name="Normal 10 4 3 2 2 8" xfId="26651"/>
    <cellStyle name="Normal 10 4 3 2 3" xfId="1349"/>
    <cellStyle name="Normal 10 4 3 2 3 2" xfId="3778"/>
    <cellStyle name="Normal 10 4 3 2 3 2 2" xfId="12914"/>
    <cellStyle name="Normal 10 4 3 2 3 2 2 2" xfId="23133"/>
    <cellStyle name="Normal 10 4 3 2 3 2 2 2 2" xfId="48686"/>
    <cellStyle name="Normal 10 4 3 2 3 2 2 3" xfId="38469"/>
    <cellStyle name="Normal 10 4 3 2 3 2 3" xfId="9335"/>
    <cellStyle name="Normal 10 4 3 2 3 2 3 2" xfId="34892"/>
    <cellStyle name="Normal 10 4 3 2 3 2 4" xfId="18126"/>
    <cellStyle name="Normal 10 4 3 2 3 2 4 2" xfId="43679"/>
    <cellStyle name="Normal 10 4 3 2 3 2 5" xfId="29616"/>
    <cellStyle name="Normal 10 4 3 2 3 3" xfId="4886"/>
    <cellStyle name="Normal 10 4 3 2 3 3 2" xfId="13723"/>
    <cellStyle name="Normal 10 4 3 2 3 3 2 2" xfId="23974"/>
    <cellStyle name="Normal 10 4 3 2 3 3 2 2 2" xfId="49527"/>
    <cellStyle name="Normal 10 4 3 2 3 3 2 3" xfId="39278"/>
    <cellStyle name="Normal 10 4 3 2 3 3 3" xfId="10144"/>
    <cellStyle name="Normal 10 4 3 2 3 3 3 2" xfId="35701"/>
    <cellStyle name="Normal 10 4 3 2 3 3 4" xfId="18967"/>
    <cellStyle name="Normal 10 4 3 2 3 3 4 2" xfId="44520"/>
    <cellStyle name="Normal 10 4 3 2 3 3 5" xfId="30457"/>
    <cellStyle name="Normal 10 4 3 2 3 4" xfId="2172"/>
    <cellStyle name="Normal 10 4 3 2 3 4 2" xfId="11537"/>
    <cellStyle name="Normal 10 4 3 2 3 4 2 2" xfId="37092"/>
    <cellStyle name="Normal 10 4 3 2 3 4 3" xfId="21541"/>
    <cellStyle name="Normal 10 4 3 2 3 4 3 2" xfId="47094"/>
    <cellStyle name="Normal 10 4 3 2 3 4 4" xfId="28024"/>
    <cellStyle name="Normal 10 4 3 2 3 5" xfId="6341"/>
    <cellStyle name="Normal 10 4 3 2 3 5 2" xfId="15168"/>
    <cellStyle name="Normal 10 4 3 2 3 5 2 2" xfId="40723"/>
    <cellStyle name="Normal 10 4 3 2 3 5 3" xfId="25419"/>
    <cellStyle name="Normal 10 4 3 2 3 5 3 2" xfId="50972"/>
    <cellStyle name="Normal 10 4 3 2 3 5 4" xfId="31902"/>
    <cellStyle name="Normal 10 4 3 2 3 6" xfId="7787"/>
    <cellStyle name="Normal 10 4 3 2 3 6 2" xfId="20732"/>
    <cellStyle name="Normal 10 4 3 2 3 6 2 2" xfId="46285"/>
    <cellStyle name="Normal 10 4 3 2 3 6 3" xfId="33344"/>
    <cellStyle name="Normal 10 4 3 2 3 7" xfId="16534"/>
    <cellStyle name="Normal 10 4 3 2 3 7 2" xfId="42087"/>
    <cellStyle name="Normal 10 4 3 2 3 8" xfId="27215"/>
    <cellStyle name="Normal 10 4 3 2 4" xfId="3063"/>
    <cellStyle name="Normal 10 4 3 2 4 2" xfId="5441"/>
    <cellStyle name="Normal 10 4 3 2 4 2 2" xfId="14278"/>
    <cellStyle name="Normal 10 4 3 2 4 2 2 2" xfId="24529"/>
    <cellStyle name="Normal 10 4 3 2 4 2 2 2 2" xfId="50082"/>
    <cellStyle name="Normal 10 4 3 2 4 2 2 3" xfId="39833"/>
    <cellStyle name="Normal 10 4 3 2 4 2 3" xfId="10699"/>
    <cellStyle name="Normal 10 4 3 2 4 2 3 2" xfId="36256"/>
    <cellStyle name="Normal 10 4 3 2 4 2 4" xfId="19522"/>
    <cellStyle name="Normal 10 4 3 2 4 2 4 2" xfId="45075"/>
    <cellStyle name="Normal 10 4 3 2 4 2 5" xfId="31012"/>
    <cellStyle name="Normal 10 4 3 2 4 3" xfId="6896"/>
    <cellStyle name="Normal 10 4 3 2 4 3 2" xfId="15723"/>
    <cellStyle name="Normal 10 4 3 2 4 3 2 2" xfId="41278"/>
    <cellStyle name="Normal 10 4 3 2 4 3 3" xfId="25974"/>
    <cellStyle name="Normal 10 4 3 2 4 3 3 2" xfId="51527"/>
    <cellStyle name="Normal 10 4 3 2 4 3 4" xfId="32457"/>
    <cellStyle name="Normal 10 4 3 2 4 4" xfId="8342"/>
    <cellStyle name="Normal 10 4 3 2 4 4 2" xfId="22424"/>
    <cellStyle name="Normal 10 4 3 2 4 4 2 2" xfId="47977"/>
    <cellStyle name="Normal 10 4 3 2 4 4 3" xfId="33899"/>
    <cellStyle name="Normal 10 4 3 2 4 5" xfId="17417"/>
    <cellStyle name="Normal 10 4 3 2 4 5 2" xfId="42970"/>
    <cellStyle name="Normal 10 4 3 2 4 6" xfId="28907"/>
    <cellStyle name="Normal 10 4 3 2 5" xfId="4397"/>
    <cellStyle name="Normal 10 4 3 2 5 2" xfId="13235"/>
    <cellStyle name="Normal 10 4 3 2 5 2 2" xfId="23486"/>
    <cellStyle name="Normal 10 4 3 2 5 2 2 2" xfId="49039"/>
    <cellStyle name="Normal 10 4 3 2 5 2 3" xfId="38790"/>
    <cellStyle name="Normal 10 4 3 2 5 3" xfId="9656"/>
    <cellStyle name="Normal 10 4 3 2 5 3 2" xfId="35213"/>
    <cellStyle name="Normal 10 4 3 2 5 4" xfId="18479"/>
    <cellStyle name="Normal 10 4 3 2 5 4 2" xfId="44032"/>
    <cellStyle name="Normal 10 4 3 2 5 5" xfId="29969"/>
    <cellStyle name="Normal 10 4 3 2 6" xfId="1669"/>
    <cellStyle name="Normal 10 4 3 2 6 2" xfId="11046"/>
    <cellStyle name="Normal 10 4 3 2 6 2 2" xfId="36601"/>
    <cellStyle name="Normal 10 4 3 2 6 3" xfId="21050"/>
    <cellStyle name="Normal 10 4 3 2 6 3 2" xfId="46603"/>
    <cellStyle name="Normal 10 4 3 2 6 4" xfId="27533"/>
    <cellStyle name="Normal 10 4 3 2 7" xfId="5853"/>
    <cellStyle name="Normal 10 4 3 2 7 2" xfId="14680"/>
    <cellStyle name="Normal 10 4 3 2 7 2 2" xfId="40235"/>
    <cellStyle name="Normal 10 4 3 2 7 3" xfId="24931"/>
    <cellStyle name="Normal 10 4 3 2 7 3 2" xfId="50484"/>
    <cellStyle name="Normal 10 4 3 2 7 4" xfId="31414"/>
    <cellStyle name="Normal 10 4 3 2 8" xfId="7297"/>
    <cellStyle name="Normal 10 4 3 2 8 2" xfId="20023"/>
    <cellStyle name="Normal 10 4 3 2 8 2 2" xfId="45576"/>
    <cellStyle name="Normal 10 4 3 2 8 3" xfId="32854"/>
    <cellStyle name="Normal 10 4 3 2 9" xfId="16043"/>
    <cellStyle name="Normal 10 4 3 2 9 2" xfId="41596"/>
    <cellStyle name="Normal 10 4 3 2_Degree data" xfId="2603"/>
    <cellStyle name="Normal 10 4 3 3" xfId="372"/>
    <cellStyle name="Normal 10 4 3 3 2" xfId="2858"/>
    <cellStyle name="Normal 10 4 3 3 2 2" xfId="12146"/>
    <cellStyle name="Normal 10 4 3 3 2 2 2" xfId="22219"/>
    <cellStyle name="Normal 10 4 3 3 2 2 2 2" xfId="47772"/>
    <cellStyle name="Normal 10 4 3 3 2 2 3" xfId="37701"/>
    <cellStyle name="Normal 10 4 3 3 2 3" xfId="8415"/>
    <cellStyle name="Normal 10 4 3 3 2 3 2" xfId="33972"/>
    <cellStyle name="Normal 10 4 3 3 2 4" xfId="17212"/>
    <cellStyle name="Normal 10 4 3 3 2 4 2" xfId="42765"/>
    <cellStyle name="Normal 10 4 3 3 2 5" xfId="28702"/>
    <cellStyle name="Normal 10 4 3 3 3" xfId="4536"/>
    <cellStyle name="Normal 10 4 3 3 3 2" xfId="13374"/>
    <cellStyle name="Normal 10 4 3 3 3 2 2" xfId="23625"/>
    <cellStyle name="Normal 10 4 3 3 3 2 2 2" xfId="49178"/>
    <cellStyle name="Normal 10 4 3 3 3 2 3" xfId="38929"/>
    <cellStyle name="Normal 10 4 3 3 3 3" xfId="9795"/>
    <cellStyle name="Normal 10 4 3 3 3 3 2" xfId="35352"/>
    <cellStyle name="Normal 10 4 3 3 3 4" xfId="18618"/>
    <cellStyle name="Normal 10 4 3 3 3 4 2" xfId="44171"/>
    <cellStyle name="Normal 10 4 3 3 3 5" xfId="30108"/>
    <cellStyle name="Normal 10 4 3 3 4" xfId="1967"/>
    <cellStyle name="Normal 10 4 3 3 4 2" xfId="11332"/>
    <cellStyle name="Normal 10 4 3 3 4 2 2" xfId="36887"/>
    <cellStyle name="Normal 10 4 3 3 4 3" xfId="21336"/>
    <cellStyle name="Normal 10 4 3 3 4 3 2" xfId="46889"/>
    <cellStyle name="Normal 10 4 3 3 4 4" xfId="27819"/>
    <cellStyle name="Normal 10 4 3 3 5" xfId="5992"/>
    <cellStyle name="Normal 10 4 3 3 5 2" xfId="14819"/>
    <cellStyle name="Normal 10 4 3 3 5 2 2" xfId="40374"/>
    <cellStyle name="Normal 10 4 3 3 5 3" xfId="25070"/>
    <cellStyle name="Normal 10 4 3 3 5 3 2" xfId="50623"/>
    <cellStyle name="Normal 10 4 3 3 5 4" xfId="31553"/>
    <cellStyle name="Normal 10 4 3 3 6" xfId="7436"/>
    <cellStyle name="Normal 10 4 3 3 6 2" xfId="19818"/>
    <cellStyle name="Normal 10 4 3 3 6 2 2" xfId="45371"/>
    <cellStyle name="Normal 10 4 3 3 6 3" xfId="32993"/>
    <cellStyle name="Normal 10 4 3 3 7" xfId="16329"/>
    <cellStyle name="Normal 10 4 3 3 7 2" xfId="41882"/>
    <cellStyle name="Normal 10 4 3 3 8" xfId="26301"/>
    <cellStyle name="Normal 10 4 3 4" xfId="721"/>
    <cellStyle name="Normal 10 4 3 4 2" xfId="3207"/>
    <cellStyle name="Normal 10 4 3 4 2 2" xfId="12350"/>
    <cellStyle name="Normal 10 4 3 4 2 2 2" xfId="22568"/>
    <cellStyle name="Normal 10 4 3 4 2 2 2 2" xfId="48121"/>
    <cellStyle name="Normal 10 4 3 4 2 2 3" xfId="37905"/>
    <cellStyle name="Normal 10 4 3 4 2 3" xfId="8772"/>
    <cellStyle name="Normal 10 4 3 4 2 3 2" xfId="34329"/>
    <cellStyle name="Normal 10 4 3 4 2 4" xfId="17561"/>
    <cellStyle name="Normal 10 4 3 4 2 4 2" xfId="43114"/>
    <cellStyle name="Normal 10 4 3 4 2 5" xfId="29051"/>
    <cellStyle name="Normal 10 4 3 4 3" xfId="4885"/>
    <cellStyle name="Normal 10 4 3 4 3 2" xfId="13722"/>
    <cellStyle name="Normal 10 4 3 4 3 2 2" xfId="23973"/>
    <cellStyle name="Normal 10 4 3 4 3 2 2 2" xfId="49526"/>
    <cellStyle name="Normal 10 4 3 4 3 2 3" xfId="39277"/>
    <cellStyle name="Normal 10 4 3 4 3 3" xfId="10143"/>
    <cellStyle name="Normal 10 4 3 4 3 3 2" xfId="35700"/>
    <cellStyle name="Normal 10 4 3 4 3 4" xfId="18966"/>
    <cellStyle name="Normal 10 4 3 4 3 4 2" xfId="44519"/>
    <cellStyle name="Normal 10 4 3 4 3 5" xfId="30456"/>
    <cellStyle name="Normal 10 4 3 4 4" xfId="2316"/>
    <cellStyle name="Normal 10 4 3 4 4 2" xfId="11681"/>
    <cellStyle name="Normal 10 4 3 4 4 2 2" xfId="37236"/>
    <cellStyle name="Normal 10 4 3 4 4 3" xfId="21685"/>
    <cellStyle name="Normal 10 4 3 4 4 3 2" xfId="47238"/>
    <cellStyle name="Normal 10 4 3 4 4 4" xfId="28168"/>
    <cellStyle name="Normal 10 4 3 4 5" xfId="6340"/>
    <cellStyle name="Normal 10 4 3 4 5 2" xfId="15167"/>
    <cellStyle name="Normal 10 4 3 4 5 2 2" xfId="40722"/>
    <cellStyle name="Normal 10 4 3 4 5 3" xfId="25418"/>
    <cellStyle name="Normal 10 4 3 4 5 3 2" xfId="50971"/>
    <cellStyle name="Normal 10 4 3 4 5 4" xfId="31901"/>
    <cellStyle name="Normal 10 4 3 4 6" xfId="7786"/>
    <cellStyle name="Normal 10 4 3 4 6 2" xfId="20167"/>
    <cellStyle name="Normal 10 4 3 4 6 2 2" xfId="45720"/>
    <cellStyle name="Normal 10 4 3 4 6 3" xfId="33343"/>
    <cellStyle name="Normal 10 4 3 4 7" xfId="16678"/>
    <cellStyle name="Normal 10 4 3 4 7 2" xfId="42231"/>
    <cellStyle name="Normal 10 4 3 4 8" xfId="26650"/>
    <cellStyle name="Normal 10 4 3 5" xfId="1144"/>
    <cellStyle name="Normal 10 4 3 5 2" xfId="3573"/>
    <cellStyle name="Normal 10 4 3 5 2 2" xfId="12709"/>
    <cellStyle name="Normal 10 4 3 5 2 2 2" xfId="22928"/>
    <cellStyle name="Normal 10 4 3 5 2 2 2 2" xfId="48481"/>
    <cellStyle name="Normal 10 4 3 5 2 2 3" xfId="38264"/>
    <cellStyle name="Normal 10 4 3 5 2 3" xfId="9130"/>
    <cellStyle name="Normal 10 4 3 5 2 3 2" xfId="34687"/>
    <cellStyle name="Normal 10 4 3 5 2 4" xfId="17921"/>
    <cellStyle name="Normal 10 4 3 5 2 4 2" xfId="43474"/>
    <cellStyle name="Normal 10 4 3 5 2 5" xfId="29411"/>
    <cellStyle name="Normal 10 4 3 5 3" xfId="5236"/>
    <cellStyle name="Normal 10 4 3 5 3 2" xfId="14073"/>
    <cellStyle name="Normal 10 4 3 5 3 2 2" xfId="24324"/>
    <cellStyle name="Normal 10 4 3 5 3 2 2 2" xfId="49877"/>
    <cellStyle name="Normal 10 4 3 5 3 2 3" xfId="39628"/>
    <cellStyle name="Normal 10 4 3 5 3 3" xfId="10494"/>
    <cellStyle name="Normal 10 4 3 5 3 3 2" xfId="36051"/>
    <cellStyle name="Normal 10 4 3 5 3 4" xfId="19317"/>
    <cellStyle name="Normal 10 4 3 5 3 4 2" xfId="44870"/>
    <cellStyle name="Normal 10 4 3 5 3 5" xfId="30807"/>
    <cellStyle name="Normal 10 4 3 5 4" xfId="1852"/>
    <cellStyle name="Normal 10 4 3 5 4 2" xfId="11220"/>
    <cellStyle name="Normal 10 4 3 5 4 2 2" xfId="36775"/>
    <cellStyle name="Normal 10 4 3 5 4 3" xfId="21224"/>
    <cellStyle name="Normal 10 4 3 5 4 3 2" xfId="46777"/>
    <cellStyle name="Normal 10 4 3 5 4 4" xfId="27707"/>
    <cellStyle name="Normal 10 4 3 5 5" xfId="6691"/>
    <cellStyle name="Normal 10 4 3 5 5 2" xfId="15518"/>
    <cellStyle name="Normal 10 4 3 5 5 2 2" xfId="41073"/>
    <cellStyle name="Normal 10 4 3 5 5 3" xfId="25769"/>
    <cellStyle name="Normal 10 4 3 5 5 3 2" xfId="51322"/>
    <cellStyle name="Normal 10 4 3 5 5 4" xfId="32252"/>
    <cellStyle name="Normal 10 4 3 5 6" xfId="8137"/>
    <cellStyle name="Normal 10 4 3 5 6 2" xfId="20527"/>
    <cellStyle name="Normal 10 4 3 5 6 2 2" xfId="46080"/>
    <cellStyle name="Normal 10 4 3 5 6 3" xfId="33694"/>
    <cellStyle name="Normal 10 4 3 5 7" xfId="16217"/>
    <cellStyle name="Normal 10 4 3 5 7 2" xfId="41770"/>
    <cellStyle name="Normal 10 4 3 5 8" xfId="27010"/>
    <cellStyle name="Normal 10 4 3 6" xfId="2746"/>
    <cellStyle name="Normal 10 4 3 6 2" xfId="12063"/>
    <cellStyle name="Normal 10 4 3 6 2 2" xfId="22107"/>
    <cellStyle name="Normal 10 4 3 6 2 2 2" xfId="47660"/>
    <cellStyle name="Normal 10 4 3 6 2 3" xfId="37618"/>
    <cellStyle name="Normal 10 4 3 6 3" xfId="8430"/>
    <cellStyle name="Normal 10 4 3 6 3 2" xfId="33987"/>
    <cellStyle name="Normal 10 4 3 6 4" xfId="17100"/>
    <cellStyle name="Normal 10 4 3 6 4 2" xfId="42653"/>
    <cellStyle name="Normal 10 4 3 6 5" xfId="28590"/>
    <cellStyle name="Normal 10 4 3 7" xfId="4192"/>
    <cellStyle name="Normal 10 4 3 7 2" xfId="13030"/>
    <cellStyle name="Normal 10 4 3 7 2 2" xfId="23281"/>
    <cellStyle name="Normal 10 4 3 7 2 2 2" xfId="48834"/>
    <cellStyle name="Normal 10 4 3 7 2 3" xfId="38585"/>
    <cellStyle name="Normal 10 4 3 7 3" xfId="9451"/>
    <cellStyle name="Normal 10 4 3 7 3 2" xfId="35008"/>
    <cellStyle name="Normal 10 4 3 7 4" xfId="18274"/>
    <cellStyle name="Normal 10 4 3 7 4 2" xfId="43827"/>
    <cellStyle name="Normal 10 4 3 7 5" xfId="29764"/>
    <cellStyle name="Normal 10 4 3 8" xfId="1464"/>
    <cellStyle name="Normal 10 4 3 8 2" xfId="10841"/>
    <cellStyle name="Normal 10 4 3 8 2 2" xfId="36396"/>
    <cellStyle name="Normal 10 4 3 8 3" xfId="20845"/>
    <cellStyle name="Normal 10 4 3 8 3 2" xfId="46398"/>
    <cellStyle name="Normal 10 4 3 8 4" xfId="27328"/>
    <cellStyle name="Normal 10 4 3 9" xfId="5648"/>
    <cellStyle name="Normal 10 4 3 9 2" xfId="14475"/>
    <cellStyle name="Normal 10 4 3 9 2 2" xfId="40030"/>
    <cellStyle name="Normal 10 4 3 9 3" xfId="24726"/>
    <cellStyle name="Normal 10 4 3 9 3 2" xfId="50279"/>
    <cellStyle name="Normal 10 4 3 9 4" xfId="31209"/>
    <cellStyle name="Normal 10 4 3_Degree data" xfId="2628"/>
    <cellStyle name="Normal 10 4 4" xfId="472"/>
    <cellStyle name="Normal 10 4 4 10" xfId="26401"/>
    <cellStyle name="Normal 10 4 4 2" xfId="723"/>
    <cellStyle name="Normal 10 4 4 2 2" xfId="3209"/>
    <cellStyle name="Normal 10 4 4 2 2 2" xfId="12352"/>
    <cellStyle name="Normal 10 4 4 2 2 2 2" xfId="22570"/>
    <cellStyle name="Normal 10 4 4 2 2 2 2 2" xfId="48123"/>
    <cellStyle name="Normal 10 4 4 2 2 2 3" xfId="37907"/>
    <cellStyle name="Normal 10 4 4 2 2 3" xfId="8774"/>
    <cellStyle name="Normal 10 4 4 2 2 3 2" xfId="34331"/>
    <cellStyle name="Normal 10 4 4 2 2 4" xfId="17563"/>
    <cellStyle name="Normal 10 4 4 2 2 4 2" xfId="43116"/>
    <cellStyle name="Normal 10 4 4 2 2 5" xfId="29053"/>
    <cellStyle name="Normal 10 4 4 2 3" xfId="4538"/>
    <cellStyle name="Normal 10 4 4 2 3 2" xfId="13376"/>
    <cellStyle name="Normal 10 4 4 2 3 2 2" xfId="23627"/>
    <cellStyle name="Normal 10 4 4 2 3 2 2 2" xfId="49180"/>
    <cellStyle name="Normal 10 4 4 2 3 2 3" xfId="38931"/>
    <cellStyle name="Normal 10 4 4 2 3 3" xfId="9797"/>
    <cellStyle name="Normal 10 4 4 2 3 3 2" xfId="35354"/>
    <cellStyle name="Normal 10 4 4 2 3 4" xfId="18620"/>
    <cellStyle name="Normal 10 4 4 2 3 4 2" xfId="44173"/>
    <cellStyle name="Normal 10 4 4 2 3 5" xfId="30110"/>
    <cellStyle name="Normal 10 4 4 2 4" xfId="2318"/>
    <cellStyle name="Normal 10 4 4 2 4 2" xfId="11683"/>
    <cellStyle name="Normal 10 4 4 2 4 2 2" xfId="37238"/>
    <cellStyle name="Normal 10 4 4 2 4 3" xfId="21687"/>
    <cellStyle name="Normal 10 4 4 2 4 3 2" xfId="47240"/>
    <cellStyle name="Normal 10 4 4 2 4 4" xfId="28170"/>
    <cellStyle name="Normal 10 4 4 2 5" xfId="5994"/>
    <cellStyle name="Normal 10 4 4 2 5 2" xfId="14821"/>
    <cellStyle name="Normal 10 4 4 2 5 2 2" xfId="40376"/>
    <cellStyle name="Normal 10 4 4 2 5 3" xfId="25072"/>
    <cellStyle name="Normal 10 4 4 2 5 3 2" xfId="50625"/>
    <cellStyle name="Normal 10 4 4 2 5 4" xfId="31555"/>
    <cellStyle name="Normal 10 4 4 2 6" xfId="7438"/>
    <cellStyle name="Normal 10 4 4 2 6 2" xfId="20169"/>
    <cellStyle name="Normal 10 4 4 2 6 2 2" xfId="45722"/>
    <cellStyle name="Normal 10 4 4 2 6 3" xfId="32995"/>
    <cellStyle name="Normal 10 4 4 2 7" xfId="16680"/>
    <cellStyle name="Normal 10 4 4 2 7 2" xfId="42233"/>
    <cellStyle name="Normal 10 4 4 2 8" xfId="26652"/>
    <cellStyle name="Normal 10 4 4 3" xfId="1244"/>
    <cellStyle name="Normal 10 4 4 3 2" xfId="3673"/>
    <cellStyle name="Normal 10 4 4 3 2 2" xfId="12809"/>
    <cellStyle name="Normal 10 4 4 3 2 2 2" xfId="23028"/>
    <cellStyle name="Normal 10 4 4 3 2 2 2 2" xfId="48581"/>
    <cellStyle name="Normal 10 4 4 3 2 2 3" xfId="38364"/>
    <cellStyle name="Normal 10 4 4 3 2 3" xfId="9230"/>
    <cellStyle name="Normal 10 4 4 3 2 3 2" xfId="34787"/>
    <cellStyle name="Normal 10 4 4 3 2 4" xfId="18021"/>
    <cellStyle name="Normal 10 4 4 3 2 4 2" xfId="43574"/>
    <cellStyle name="Normal 10 4 4 3 2 5" xfId="29511"/>
    <cellStyle name="Normal 10 4 4 3 3" xfId="4887"/>
    <cellStyle name="Normal 10 4 4 3 3 2" xfId="13724"/>
    <cellStyle name="Normal 10 4 4 3 3 2 2" xfId="23975"/>
    <cellStyle name="Normal 10 4 4 3 3 2 2 2" xfId="49528"/>
    <cellStyle name="Normal 10 4 4 3 3 2 3" xfId="39279"/>
    <cellStyle name="Normal 10 4 4 3 3 3" xfId="10145"/>
    <cellStyle name="Normal 10 4 4 3 3 3 2" xfId="35702"/>
    <cellStyle name="Normal 10 4 4 3 3 4" xfId="18968"/>
    <cellStyle name="Normal 10 4 4 3 3 4 2" xfId="44521"/>
    <cellStyle name="Normal 10 4 4 3 3 5" xfId="30458"/>
    <cellStyle name="Normal 10 4 4 3 4" xfId="2067"/>
    <cellStyle name="Normal 10 4 4 3 4 2" xfId="11432"/>
    <cellStyle name="Normal 10 4 4 3 4 2 2" xfId="36987"/>
    <cellStyle name="Normal 10 4 4 3 4 3" xfId="21436"/>
    <cellStyle name="Normal 10 4 4 3 4 3 2" xfId="46989"/>
    <cellStyle name="Normal 10 4 4 3 4 4" xfId="27919"/>
    <cellStyle name="Normal 10 4 4 3 5" xfId="6342"/>
    <cellStyle name="Normal 10 4 4 3 5 2" xfId="15169"/>
    <cellStyle name="Normal 10 4 4 3 5 2 2" xfId="40724"/>
    <cellStyle name="Normal 10 4 4 3 5 3" xfId="25420"/>
    <cellStyle name="Normal 10 4 4 3 5 3 2" xfId="50973"/>
    <cellStyle name="Normal 10 4 4 3 5 4" xfId="31903"/>
    <cellStyle name="Normal 10 4 4 3 6" xfId="7788"/>
    <cellStyle name="Normal 10 4 4 3 6 2" xfId="20627"/>
    <cellStyle name="Normal 10 4 4 3 6 2 2" xfId="46180"/>
    <cellStyle name="Normal 10 4 4 3 6 3" xfId="33345"/>
    <cellStyle name="Normal 10 4 4 3 7" xfId="16429"/>
    <cellStyle name="Normal 10 4 4 3 7 2" xfId="41982"/>
    <cellStyle name="Normal 10 4 4 3 8" xfId="27110"/>
    <cellStyle name="Normal 10 4 4 4" xfId="2958"/>
    <cellStyle name="Normal 10 4 4 4 2" xfId="5336"/>
    <cellStyle name="Normal 10 4 4 4 2 2" xfId="14173"/>
    <cellStyle name="Normal 10 4 4 4 2 2 2" xfId="24424"/>
    <cellStyle name="Normal 10 4 4 4 2 2 2 2" xfId="49977"/>
    <cellStyle name="Normal 10 4 4 4 2 2 3" xfId="39728"/>
    <cellStyle name="Normal 10 4 4 4 2 3" xfId="10594"/>
    <cellStyle name="Normal 10 4 4 4 2 3 2" xfId="36151"/>
    <cellStyle name="Normal 10 4 4 4 2 4" xfId="19417"/>
    <cellStyle name="Normal 10 4 4 4 2 4 2" xfId="44970"/>
    <cellStyle name="Normal 10 4 4 4 2 5" xfId="30907"/>
    <cellStyle name="Normal 10 4 4 4 3" xfId="6791"/>
    <cellStyle name="Normal 10 4 4 4 3 2" xfId="15618"/>
    <cellStyle name="Normal 10 4 4 4 3 2 2" xfId="41173"/>
    <cellStyle name="Normal 10 4 4 4 3 3" xfId="25869"/>
    <cellStyle name="Normal 10 4 4 4 3 3 2" xfId="51422"/>
    <cellStyle name="Normal 10 4 4 4 3 4" xfId="32352"/>
    <cellStyle name="Normal 10 4 4 4 4" xfId="8237"/>
    <cellStyle name="Normal 10 4 4 4 4 2" xfId="22319"/>
    <cellStyle name="Normal 10 4 4 4 4 2 2" xfId="47872"/>
    <cellStyle name="Normal 10 4 4 4 4 3" xfId="33794"/>
    <cellStyle name="Normal 10 4 4 4 5" xfId="17312"/>
    <cellStyle name="Normal 10 4 4 4 5 2" xfId="42865"/>
    <cellStyle name="Normal 10 4 4 4 6" xfId="28802"/>
    <cellStyle name="Normal 10 4 4 5" xfId="4292"/>
    <cellStyle name="Normal 10 4 4 5 2" xfId="13130"/>
    <cellStyle name="Normal 10 4 4 5 2 2" xfId="23381"/>
    <cellStyle name="Normal 10 4 4 5 2 2 2" xfId="48934"/>
    <cellStyle name="Normal 10 4 4 5 2 3" xfId="38685"/>
    <cellStyle name="Normal 10 4 4 5 3" xfId="9551"/>
    <cellStyle name="Normal 10 4 4 5 3 2" xfId="35108"/>
    <cellStyle name="Normal 10 4 4 5 4" xfId="18374"/>
    <cellStyle name="Normal 10 4 4 5 4 2" xfId="43927"/>
    <cellStyle name="Normal 10 4 4 5 5" xfId="29864"/>
    <cellStyle name="Normal 10 4 4 6" xfId="1564"/>
    <cellStyle name="Normal 10 4 4 6 2" xfId="10941"/>
    <cellStyle name="Normal 10 4 4 6 2 2" xfId="36496"/>
    <cellStyle name="Normal 10 4 4 6 3" xfId="20945"/>
    <cellStyle name="Normal 10 4 4 6 3 2" xfId="46498"/>
    <cellStyle name="Normal 10 4 4 6 4" xfId="27428"/>
    <cellStyle name="Normal 10 4 4 7" xfId="5748"/>
    <cellStyle name="Normal 10 4 4 7 2" xfId="14575"/>
    <cellStyle name="Normal 10 4 4 7 2 2" xfId="40130"/>
    <cellStyle name="Normal 10 4 4 7 3" xfId="24826"/>
    <cellStyle name="Normal 10 4 4 7 3 2" xfId="50379"/>
    <cellStyle name="Normal 10 4 4 7 4" xfId="31309"/>
    <cellStyle name="Normal 10 4 4 8" xfId="7192"/>
    <cellStyle name="Normal 10 4 4 8 2" xfId="19918"/>
    <cellStyle name="Normal 10 4 4 8 2 2" xfId="45471"/>
    <cellStyle name="Normal 10 4 4 8 3" xfId="32749"/>
    <cellStyle name="Normal 10 4 4 9" xfId="15938"/>
    <cellStyle name="Normal 10 4 4 9 2" xfId="41491"/>
    <cellStyle name="Normal 10 4 4_Degree data" xfId="3466"/>
    <cellStyle name="Normal 10 4 5" xfId="313"/>
    <cellStyle name="Normal 10 4 5 2" xfId="2799"/>
    <cellStyle name="Normal 10 4 5 2 2" xfId="12103"/>
    <cellStyle name="Normal 10 4 5 2 2 2" xfId="22160"/>
    <cellStyle name="Normal 10 4 5 2 2 2 2" xfId="47713"/>
    <cellStyle name="Normal 10 4 5 2 2 3" xfId="37658"/>
    <cellStyle name="Normal 10 4 5 2 3" xfId="8534"/>
    <cellStyle name="Normal 10 4 5 2 3 2" xfId="34091"/>
    <cellStyle name="Normal 10 4 5 2 4" xfId="17153"/>
    <cellStyle name="Normal 10 4 5 2 4 2" xfId="42706"/>
    <cellStyle name="Normal 10 4 5 2 5" xfId="28643"/>
    <cellStyle name="Normal 10 4 5 3" xfId="4533"/>
    <cellStyle name="Normal 10 4 5 3 2" xfId="13371"/>
    <cellStyle name="Normal 10 4 5 3 2 2" xfId="23622"/>
    <cellStyle name="Normal 10 4 5 3 2 2 2" xfId="49175"/>
    <cellStyle name="Normal 10 4 5 3 2 3" xfId="38926"/>
    <cellStyle name="Normal 10 4 5 3 3" xfId="9792"/>
    <cellStyle name="Normal 10 4 5 3 3 2" xfId="35349"/>
    <cellStyle name="Normal 10 4 5 3 4" xfId="18615"/>
    <cellStyle name="Normal 10 4 5 3 4 2" xfId="44168"/>
    <cellStyle name="Normal 10 4 5 3 5" xfId="30105"/>
    <cellStyle name="Normal 10 4 5 4" xfId="1908"/>
    <cellStyle name="Normal 10 4 5 4 2" xfId="11273"/>
    <cellStyle name="Normal 10 4 5 4 2 2" xfId="36828"/>
    <cellStyle name="Normal 10 4 5 4 3" xfId="21277"/>
    <cellStyle name="Normal 10 4 5 4 3 2" xfId="46830"/>
    <cellStyle name="Normal 10 4 5 4 4" xfId="27760"/>
    <cellStyle name="Normal 10 4 5 5" xfId="5989"/>
    <cellStyle name="Normal 10 4 5 5 2" xfId="14816"/>
    <cellStyle name="Normal 10 4 5 5 2 2" xfId="40371"/>
    <cellStyle name="Normal 10 4 5 5 3" xfId="25067"/>
    <cellStyle name="Normal 10 4 5 5 3 2" xfId="50620"/>
    <cellStyle name="Normal 10 4 5 5 4" xfId="31550"/>
    <cellStyle name="Normal 10 4 5 6" xfId="7433"/>
    <cellStyle name="Normal 10 4 5 6 2" xfId="19759"/>
    <cellStyle name="Normal 10 4 5 6 2 2" xfId="45312"/>
    <cellStyle name="Normal 10 4 5 6 3" xfId="32990"/>
    <cellStyle name="Normal 10 4 5 7" xfId="16270"/>
    <cellStyle name="Normal 10 4 5 7 2" xfId="41823"/>
    <cellStyle name="Normal 10 4 5 8" xfId="26242"/>
    <cellStyle name="Normal 10 4 6" xfId="718"/>
    <cellStyle name="Normal 10 4 6 2" xfId="3204"/>
    <cellStyle name="Normal 10 4 6 2 2" xfId="12347"/>
    <cellStyle name="Normal 10 4 6 2 2 2" xfId="22565"/>
    <cellStyle name="Normal 10 4 6 2 2 2 2" xfId="48118"/>
    <cellStyle name="Normal 10 4 6 2 2 3" xfId="37902"/>
    <cellStyle name="Normal 10 4 6 2 3" xfId="8769"/>
    <cellStyle name="Normal 10 4 6 2 3 2" xfId="34326"/>
    <cellStyle name="Normal 10 4 6 2 4" xfId="17558"/>
    <cellStyle name="Normal 10 4 6 2 4 2" xfId="43111"/>
    <cellStyle name="Normal 10 4 6 2 5" xfId="29048"/>
    <cellStyle name="Normal 10 4 6 3" xfId="4882"/>
    <cellStyle name="Normal 10 4 6 3 2" xfId="13719"/>
    <cellStyle name="Normal 10 4 6 3 2 2" xfId="23970"/>
    <cellStyle name="Normal 10 4 6 3 2 2 2" xfId="49523"/>
    <cellStyle name="Normal 10 4 6 3 2 3" xfId="39274"/>
    <cellStyle name="Normal 10 4 6 3 3" xfId="10140"/>
    <cellStyle name="Normal 10 4 6 3 3 2" xfId="35697"/>
    <cellStyle name="Normal 10 4 6 3 4" xfId="18963"/>
    <cellStyle name="Normal 10 4 6 3 4 2" xfId="44516"/>
    <cellStyle name="Normal 10 4 6 3 5" xfId="30453"/>
    <cellStyle name="Normal 10 4 6 4" xfId="2313"/>
    <cellStyle name="Normal 10 4 6 4 2" xfId="11678"/>
    <cellStyle name="Normal 10 4 6 4 2 2" xfId="37233"/>
    <cellStyle name="Normal 10 4 6 4 3" xfId="21682"/>
    <cellStyle name="Normal 10 4 6 4 3 2" xfId="47235"/>
    <cellStyle name="Normal 10 4 6 4 4" xfId="28165"/>
    <cellStyle name="Normal 10 4 6 5" xfId="6337"/>
    <cellStyle name="Normal 10 4 6 5 2" xfId="15164"/>
    <cellStyle name="Normal 10 4 6 5 2 2" xfId="40719"/>
    <cellStyle name="Normal 10 4 6 5 3" xfId="25415"/>
    <cellStyle name="Normal 10 4 6 5 3 2" xfId="50968"/>
    <cellStyle name="Normal 10 4 6 5 4" xfId="31898"/>
    <cellStyle name="Normal 10 4 6 6" xfId="7783"/>
    <cellStyle name="Normal 10 4 6 6 2" xfId="20164"/>
    <cellStyle name="Normal 10 4 6 6 2 2" xfId="45717"/>
    <cellStyle name="Normal 10 4 6 6 3" xfId="33340"/>
    <cellStyle name="Normal 10 4 6 7" xfId="16675"/>
    <cellStyle name="Normal 10 4 6 7 2" xfId="42228"/>
    <cellStyle name="Normal 10 4 6 8" xfId="26647"/>
    <cellStyle name="Normal 10 4 7" xfId="1085"/>
    <cellStyle name="Normal 10 4 7 2" xfId="3514"/>
    <cellStyle name="Normal 10 4 7 2 2" xfId="12650"/>
    <cellStyle name="Normal 10 4 7 2 2 2" xfId="22869"/>
    <cellStyle name="Normal 10 4 7 2 2 2 2" xfId="48422"/>
    <cellStyle name="Normal 10 4 7 2 2 3" xfId="38205"/>
    <cellStyle name="Normal 10 4 7 2 3" xfId="9072"/>
    <cellStyle name="Normal 10 4 7 2 3 2" xfId="34629"/>
    <cellStyle name="Normal 10 4 7 2 4" xfId="17862"/>
    <cellStyle name="Normal 10 4 7 2 4 2" xfId="43415"/>
    <cellStyle name="Normal 10 4 7 2 5" xfId="29352"/>
    <cellStyle name="Normal 10 4 7 3" xfId="5177"/>
    <cellStyle name="Normal 10 4 7 3 2" xfId="14014"/>
    <cellStyle name="Normal 10 4 7 3 2 2" xfId="24265"/>
    <cellStyle name="Normal 10 4 7 3 2 2 2" xfId="49818"/>
    <cellStyle name="Normal 10 4 7 3 2 3" xfId="39569"/>
    <cellStyle name="Normal 10 4 7 3 3" xfId="10435"/>
    <cellStyle name="Normal 10 4 7 3 3 2" xfId="35992"/>
    <cellStyle name="Normal 10 4 7 3 4" xfId="19258"/>
    <cellStyle name="Normal 10 4 7 3 4 2" xfId="44811"/>
    <cellStyle name="Normal 10 4 7 3 5" xfId="30748"/>
    <cellStyle name="Normal 10 4 7 4" xfId="1743"/>
    <cellStyle name="Normal 10 4 7 4 2" xfId="11114"/>
    <cellStyle name="Normal 10 4 7 4 2 2" xfId="36669"/>
    <cellStyle name="Normal 10 4 7 4 3" xfId="21118"/>
    <cellStyle name="Normal 10 4 7 4 3 2" xfId="46671"/>
    <cellStyle name="Normal 10 4 7 4 4" xfId="27601"/>
    <cellStyle name="Normal 10 4 7 5" xfId="6632"/>
    <cellStyle name="Normal 10 4 7 5 2" xfId="15459"/>
    <cellStyle name="Normal 10 4 7 5 2 2" xfId="41014"/>
    <cellStyle name="Normal 10 4 7 5 3" xfId="25710"/>
    <cellStyle name="Normal 10 4 7 5 3 2" xfId="51263"/>
    <cellStyle name="Normal 10 4 7 5 4" xfId="32193"/>
    <cellStyle name="Normal 10 4 7 6" xfId="8078"/>
    <cellStyle name="Normal 10 4 7 6 2" xfId="20468"/>
    <cellStyle name="Normal 10 4 7 6 2 2" xfId="46021"/>
    <cellStyle name="Normal 10 4 7 6 3" xfId="33635"/>
    <cellStyle name="Normal 10 4 7 7" xfId="16111"/>
    <cellStyle name="Normal 10 4 7 7 2" xfId="41664"/>
    <cellStyle name="Normal 10 4 7 8" xfId="26951"/>
    <cellStyle name="Normal 10 4 8" xfId="2641"/>
    <cellStyle name="Normal 10 4 8 2" xfId="5589"/>
    <cellStyle name="Normal 10 4 8 2 2" xfId="14416"/>
    <cellStyle name="Normal 10 4 8 2 2 2" xfId="39971"/>
    <cellStyle name="Normal 10 4 8 2 3" xfId="24667"/>
    <cellStyle name="Normal 10 4 8 2 3 2" xfId="50220"/>
    <cellStyle name="Normal 10 4 8 2 4" xfId="31150"/>
    <cellStyle name="Normal 10 4 8 3" xfId="7033"/>
    <cellStyle name="Normal 10 4 8 3 2" xfId="22002"/>
    <cellStyle name="Normal 10 4 8 3 2 2" xfId="47555"/>
    <cellStyle name="Normal 10 4 8 3 3" xfId="32590"/>
    <cellStyle name="Normal 10 4 8 4" xfId="16995"/>
    <cellStyle name="Normal 10 4 8 4 2" xfId="42548"/>
    <cellStyle name="Normal 10 4 8 5" xfId="28485"/>
    <cellStyle name="Normal 10 4 9" xfId="4131"/>
    <cellStyle name="Normal 10 4 9 2" xfId="12969"/>
    <cellStyle name="Normal 10 4 9 2 2" xfId="23220"/>
    <cellStyle name="Normal 10 4 9 2 2 2" xfId="48773"/>
    <cellStyle name="Normal 10 4 9 2 3" xfId="38524"/>
    <cellStyle name="Normal 10 4 9 3" xfId="9390"/>
    <cellStyle name="Normal 10 4 9 3 2" xfId="34947"/>
    <cellStyle name="Normal 10 4 9 4" xfId="18213"/>
    <cellStyle name="Normal 10 4 9 4 2" xfId="43766"/>
    <cellStyle name="Normal 10 4 9 5" xfId="29703"/>
    <cellStyle name="Normal 10 4_Degree data" xfId="3909"/>
    <cellStyle name="Normal 10 5" xfId="178"/>
    <cellStyle name="Normal 10 5 10" xfId="7126"/>
    <cellStyle name="Normal 10 5 10 2" xfId="19635"/>
    <cellStyle name="Normal 10 5 10 2 2" xfId="45188"/>
    <cellStyle name="Normal 10 5 10 3" xfId="32683"/>
    <cellStyle name="Normal 10 5 11" xfId="15872"/>
    <cellStyle name="Normal 10 5 11 2" xfId="41425"/>
    <cellStyle name="Normal 10 5 12" xfId="26118"/>
    <cellStyle name="Normal 10 5 2" xfId="506"/>
    <cellStyle name="Normal 10 5 2 10" xfId="26435"/>
    <cellStyle name="Normal 10 5 2 2" xfId="725"/>
    <cellStyle name="Normal 10 5 2 2 2" xfId="3211"/>
    <cellStyle name="Normal 10 5 2 2 2 2" xfId="12354"/>
    <cellStyle name="Normal 10 5 2 2 2 2 2" xfId="22572"/>
    <cellStyle name="Normal 10 5 2 2 2 2 2 2" xfId="48125"/>
    <cellStyle name="Normal 10 5 2 2 2 2 3" xfId="37909"/>
    <cellStyle name="Normal 10 5 2 2 2 3" xfId="8776"/>
    <cellStyle name="Normal 10 5 2 2 2 3 2" xfId="34333"/>
    <cellStyle name="Normal 10 5 2 2 2 4" xfId="17565"/>
    <cellStyle name="Normal 10 5 2 2 2 4 2" xfId="43118"/>
    <cellStyle name="Normal 10 5 2 2 2 5" xfId="29055"/>
    <cellStyle name="Normal 10 5 2 2 3" xfId="4540"/>
    <cellStyle name="Normal 10 5 2 2 3 2" xfId="13378"/>
    <cellStyle name="Normal 10 5 2 2 3 2 2" xfId="23629"/>
    <cellStyle name="Normal 10 5 2 2 3 2 2 2" xfId="49182"/>
    <cellStyle name="Normal 10 5 2 2 3 2 3" xfId="38933"/>
    <cellStyle name="Normal 10 5 2 2 3 3" xfId="9799"/>
    <cellStyle name="Normal 10 5 2 2 3 3 2" xfId="35356"/>
    <cellStyle name="Normal 10 5 2 2 3 4" xfId="18622"/>
    <cellStyle name="Normal 10 5 2 2 3 4 2" xfId="44175"/>
    <cellStyle name="Normal 10 5 2 2 3 5" xfId="30112"/>
    <cellStyle name="Normal 10 5 2 2 4" xfId="2320"/>
    <cellStyle name="Normal 10 5 2 2 4 2" xfId="11685"/>
    <cellStyle name="Normal 10 5 2 2 4 2 2" xfId="37240"/>
    <cellStyle name="Normal 10 5 2 2 4 3" xfId="21689"/>
    <cellStyle name="Normal 10 5 2 2 4 3 2" xfId="47242"/>
    <cellStyle name="Normal 10 5 2 2 4 4" xfId="28172"/>
    <cellStyle name="Normal 10 5 2 2 5" xfId="5996"/>
    <cellStyle name="Normal 10 5 2 2 5 2" xfId="14823"/>
    <cellStyle name="Normal 10 5 2 2 5 2 2" xfId="40378"/>
    <cellStyle name="Normal 10 5 2 2 5 3" xfId="25074"/>
    <cellStyle name="Normal 10 5 2 2 5 3 2" xfId="50627"/>
    <cellStyle name="Normal 10 5 2 2 5 4" xfId="31557"/>
    <cellStyle name="Normal 10 5 2 2 6" xfId="7440"/>
    <cellStyle name="Normal 10 5 2 2 6 2" xfId="20171"/>
    <cellStyle name="Normal 10 5 2 2 6 2 2" xfId="45724"/>
    <cellStyle name="Normal 10 5 2 2 6 3" xfId="32997"/>
    <cellStyle name="Normal 10 5 2 2 7" xfId="16682"/>
    <cellStyle name="Normal 10 5 2 2 7 2" xfId="42235"/>
    <cellStyle name="Normal 10 5 2 2 8" xfId="26654"/>
    <cellStyle name="Normal 10 5 2 3" xfId="1278"/>
    <cellStyle name="Normal 10 5 2 3 2" xfId="3707"/>
    <cellStyle name="Normal 10 5 2 3 2 2" xfId="12843"/>
    <cellStyle name="Normal 10 5 2 3 2 2 2" xfId="23062"/>
    <cellStyle name="Normal 10 5 2 3 2 2 2 2" xfId="48615"/>
    <cellStyle name="Normal 10 5 2 3 2 2 3" xfId="38398"/>
    <cellStyle name="Normal 10 5 2 3 2 3" xfId="9264"/>
    <cellStyle name="Normal 10 5 2 3 2 3 2" xfId="34821"/>
    <cellStyle name="Normal 10 5 2 3 2 4" xfId="18055"/>
    <cellStyle name="Normal 10 5 2 3 2 4 2" xfId="43608"/>
    <cellStyle name="Normal 10 5 2 3 2 5" xfId="29545"/>
    <cellStyle name="Normal 10 5 2 3 3" xfId="4889"/>
    <cellStyle name="Normal 10 5 2 3 3 2" xfId="13726"/>
    <cellStyle name="Normal 10 5 2 3 3 2 2" xfId="23977"/>
    <cellStyle name="Normal 10 5 2 3 3 2 2 2" xfId="49530"/>
    <cellStyle name="Normal 10 5 2 3 3 2 3" xfId="39281"/>
    <cellStyle name="Normal 10 5 2 3 3 3" xfId="10147"/>
    <cellStyle name="Normal 10 5 2 3 3 3 2" xfId="35704"/>
    <cellStyle name="Normal 10 5 2 3 3 4" xfId="18970"/>
    <cellStyle name="Normal 10 5 2 3 3 4 2" xfId="44523"/>
    <cellStyle name="Normal 10 5 2 3 3 5" xfId="30460"/>
    <cellStyle name="Normal 10 5 2 3 4" xfId="2101"/>
    <cellStyle name="Normal 10 5 2 3 4 2" xfId="11466"/>
    <cellStyle name="Normal 10 5 2 3 4 2 2" xfId="37021"/>
    <cellStyle name="Normal 10 5 2 3 4 3" xfId="21470"/>
    <cellStyle name="Normal 10 5 2 3 4 3 2" xfId="47023"/>
    <cellStyle name="Normal 10 5 2 3 4 4" xfId="27953"/>
    <cellStyle name="Normal 10 5 2 3 5" xfId="6344"/>
    <cellStyle name="Normal 10 5 2 3 5 2" xfId="15171"/>
    <cellStyle name="Normal 10 5 2 3 5 2 2" xfId="40726"/>
    <cellStyle name="Normal 10 5 2 3 5 3" xfId="25422"/>
    <cellStyle name="Normal 10 5 2 3 5 3 2" xfId="50975"/>
    <cellStyle name="Normal 10 5 2 3 5 4" xfId="31905"/>
    <cellStyle name="Normal 10 5 2 3 6" xfId="7790"/>
    <cellStyle name="Normal 10 5 2 3 6 2" xfId="20661"/>
    <cellStyle name="Normal 10 5 2 3 6 2 2" xfId="46214"/>
    <cellStyle name="Normal 10 5 2 3 6 3" xfId="33347"/>
    <cellStyle name="Normal 10 5 2 3 7" xfId="16463"/>
    <cellStyle name="Normal 10 5 2 3 7 2" xfId="42016"/>
    <cellStyle name="Normal 10 5 2 3 8" xfId="27144"/>
    <cellStyle name="Normal 10 5 2 4" xfId="2992"/>
    <cellStyle name="Normal 10 5 2 4 2" xfId="5370"/>
    <cellStyle name="Normal 10 5 2 4 2 2" xfId="14207"/>
    <cellStyle name="Normal 10 5 2 4 2 2 2" xfId="24458"/>
    <cellStyle name="Normal 10 5 2 4 2 2 2 2" xfId="50011"/>
    <cellStyle name="Normal 10 5 2 4 2 2 3" xfId="39762"/>
    <cellStyle name="Normal 10 5 2 4 2 3" xfId="10628"/>
    <cellStyle name="Normal 10 5 2 4 2 3 2" xfId="36185"/>
    <cellStyle name="Normal 10 5 2 4 2 4" xfId="19451"/>
    <cellStyle name="Normal 10 5 2 4 2 4 2" xfId="45004"/>
    <cellStyle name="Normal 10 5 2 4 2 5" xfId="30941"/>
    <cellStyle name="Normal 10 5 2 4 3" xfId="6825"/>
    <cellStyle name="Normal 10 5 2 4 3 2" xfId="15652"/>
    <cellStyle name="Normal 10 5 2 4 3 2 2" xfId="41207"/>
    <cellStyle name="Normal 10 5 2 4 3 3" xfId="25903"/>
    <cellStyle name="Normal 10 5 2 4 3 3 2" xfId="51456"/>
    <cellStyle name="Normal 10 5 2 4 3 4" xfId="32386"/>
    <cellStyle name="Normal 10 5 2 4 4" xfId="8271"/>
    <cellStyle name="Normal 10 5 2 4 4 2" xfId="22353"/>
    <cellStyle name="Normal 10 5 2 4 4 2 2" xfId="47906"/>
    <cellStyle name="Normal 10 5 2 4 4 3" xfId="33828"/>
    <cellStyle name="Normal 10 5 2 4 5" xfId="17346"/>
    <cellStyle name="Normal 10 5 2 4 5 2" xfId="42899"/>
    <cellStyle name="Normal 10 5 2 4 6" xfId="28836"/>
    <cellStyle name="Normal 10 5 2 5" xfId="4326"/>
    <cellStyle name="Normal 10 5 2 5 2" xfId="13164"/>
    <cellStyle name="Normal 10 5 2 5 2 2" xfId="23415"/>
    <cellStyle name="Normal 10 5 2 5 2 2 2" xfId="48968"/>
    <cellStyle name="Normal 10 5 2 5 2 3" xfId="38719"/>
    <cellStyle name="Normal 10 5 2 5 3" xfId="9585"/>
    <cellStyle name="Normal 10 5 2 5 3 2" xfId="35142"/>
    <cellStyle name="Normal 10 5 2 5 4" xfId="18408"/>
    <cellStyle name="Normal 10 5 2 5 4 2" xfId="43961"/>
    <cellStyle name="Normal 10 5 2 5 5" xfId="29898"/>
    <cellStyle name="Normal 10 5 2 6" xfId="1598"/>
    <cellStyle name="Normal 10 5 2 6 2" xfId="10975"/>
    <cellStyle name="Normal 10 5 2 6 2 2" xfId="36530"/>
    <cellStyle name="Normal 10 5 2 6 3" xfId="20979"/>
    <cellStyle name="Normal 10 5 2 6 3 2" xfId="46532"/>
    <cellStyle name="Normal 10 5 2 6 4" xfId="27462"/>
    <cellStyle name="Normal 10 5 2 7" xfId="5782"/>
    <cellStyle name="Normal 10 5 2 7 2" xfId="14609"/>
    <cellStyle name="Normal 10 5 2 7 2 2" xfId="40164"/>
    <cellStyle name="Normal 10 5 2 7 3" xfId="24860"/>
    <cellStyle name="Normal 10 5 2 7 3 2" xfId="50413"/>
    <cellStyle name="Normal 10 5 2 7 4" xfId="31343"/>
    <cellStyle name="Normal 10 5 2 8" xfId="7226"/>
    <cellStyle name="Normal 10 5 2 8 2" xfId="19952"/>
    <cellStyle name="Normal 10 5 2 8 2 2" xfId="45505"/>
    <cellStyle name="Normal 10 5 2 8 3" xfId="32783"/>
    <cellStyle name="Normal 10 5 2 9" xfId="15972"/>
    <cellStyle name="Normal 10 5 2 9 2" xfId="41525"/>
    <cellStyle name="Normal 10 5 2_Degree data" xfId="3831"/>
    <cellStyle name="Normal 10 5 3" xfId="406"/>
    <cellStyle name="Normal 10 5 3 2" xfId="2892"/>
    <cellStyle name="Normal 10 5 3 2 2" xfId="12180"/>
    <cellStyle name="Normal 10 5 3 2 2 2" xfId="22253"/>
    <cellStyle name="Normal 10 5 3 2 2 2 2" xfId="47806"/>
    <cellStyle name="Normal 10 5 3 2 2 3" xfId="37735"/>
    <cellStyle name="Normal 10 5 3 2 3" xfId="8386"/>
    <cellStyle name="Normal 10 5 3 2 3 2" xfId="33943"/>
    <cellStyle name="Normal 10 5 3 2 4" xfId="17246"/>
    <cellStyle name="Normal 10 5 3 2 4 2" xfId="42799"/>
    <cellStyle name="Normal 10 5 3 2 5" xfId="28736"/>
    <cellStyle name="Normal 10 5 3 3" xfId="4539"/>
    <cellStyle name="Normal 10 5 3 3 2" xfId="13377"/>
    <cellStyle name="Normal 10 5 3 3 2 2" xfId="23628"/>
    <cellStyle name="Normal 10 5 3 3 2 2 2" xfId="49181"/>
    <cellStyle name="Normal 10 5 3 3 2 3" xfId="38932"/>
    <cellStyle name="Normal 10 5 3 3 3" xfId="9798"/>
    <cellStyle name="Normal 10 5 3 3 3 2" xfId="35355"/>
    <cellStyle name="Normal 10 5 3 3 4" xfId="18621"/>
    <cellStyle name="Normal 10 5 3 3 4 2" xfId="44174"/>
    <cellStyle name="Normal 10 5 3 3 5" xfId="30111"/>
    <cellStyle name="Normal 10 5 3 4" xfId="2001"/>
    <cellStyle name="Normal 10 5 3 4 2" xfId="11366"/>
    <cellStyle name="Normal 10 5 3 4 2 2" xfId="36921"/>
    <cellStyle name="Normal 10 5 3 4 3" xfId="21370"/>
    <cellStyle name="Normal 10 5 3 4 3 2" xfId="46923"/>
    <cellStyle name="Normal 10 5 3 4 4" xfId="27853"/>
    <cellStyle name="Normal 10 5 3 5" xfId="5995"/>
    <cellStyle name="Normal 10 5 3 5 2" xfId="14822"/>
    <cellStyle name="Normal 10 5 3 5 2 2" xfId="40377"/>
    <cellStyle name="Normal 10 5 3 5 3" xfId="25073"/>
    <cellStyle name="Normal 10 5 3 5 3 2" xfId="50626"/>
    <cellStyle name="Normal 10 5 3 5 4" xfId="31556"/>
    <cellStyle name="Normal 10 5 3 6" xfId="7439"/>
    <cellStyle name="Normal 10 5 3 6 2" xfId="19852"/>
    <cellStyle name="Normal 10 5 3 6 2 2" xfId="45405"/>
    <cellStyle name="Normal 10 5 3 6 3" xfId="32996"/>
    <cellStyle name="Normal 10 5 3 7" xfId="16363"/>
    <cellStyle name="Normal 10 5 3 7 2" xfId="41916"/>
    <cellStyle name="Normal 10 5 3 8" xfId="26335"/>
    <cellStyle name="Normal 10 5 4" xfId="724"/>
    <cellStyle name="Normal 10 5 4 2" xfId="3210"/>
    <cellStyle name="Normal 10 5 4 2 2" xfId="12353"/>
    <cellStyle name="Normal 10 5 4 2 2 2" xfId="22571"/>
    <cellStyle name="Normal 10 5 4 2 2 2 2" xfId="48124"/>
    <cellStyle name="Normal 10 5 4 2 2 3" xfId="37908"/>
    <cellStyle name="Normal 10 5 4 2 3" xfId="8775"/>
    <cellStyle name="Normal 10 5 4 2 3 2" xfId="34332"/>
    <cellStyle name="Normal 10 5 4 2 4" xfId="17564"/>
    <cellStyle name="Normal 10 5 4 2 4 2" xfId="43117"/>
    <cellStyle name="Normal 10 5 4 2 5" xfId="29054"/>
    <cellStyle name="Normal 10 5 4 3" xfId="4888"/>
    <cellStyle name="Normal 10 5 4 3 2" xfId="13725"/>
    <cellStyle name="Normal 10 5 4 3 2 2" xfId="23976"/>
    <cellStyle name="Normal 10 5 4 3 2 2 2" xfId="49529"/>
    <cellStyle name="Normal 10 5 4 3 2 3" xfId="39280"/>
    <cellStyle name="Normal 10 5 4 3 3" xfId="10146"/>
    <cellStyle name="Normal 10 5 4 3 3 2" xfId="35703"/>
    <cellStyle name="Normal 10 5 4 3 4" xfId="18969"/>
    <cellStyle name="Normal 10 5 4 3 4 2" xfId="44522"/>
    <cellStyle name="Normal 10 5 4 3 5" xfId="30459"/>
    <cellStyle name="Normal 10 5 4 4" xfId="2319"/>
    <cellStyle name="Normal 10 5 4 4 2" xfId="11684"/>
    <cellStyle name="Normal 10 5 4 4 2 2" xfId="37239"/>
    <cellStyle name="Normal 10 5 4 4 3" xfId="21688"/>
    <cellStyle name="Normal 10 5 4 4 3 2" xfId="47241"/>
    <cellStyle name="Normal 10 5 4 4 4" xfId="28171"/>
    <cellStyle name="Normal 10 5 4 5" xfId="6343"/>
    <cellStyle name="Normal 10 5 4 5 2" xfId="15170"/>
    <cellStyle name="Normal 10 5 4 5 2 2" xfId="40725"/>
    <cellStyle name="Normal 10 5 4 5 3" xfId="25421"/>
    <cellStyle name="Normal 10 5 4 5 3 2" xfId="50974"/>
    <cellStyle name="Normal 10 5 4 5 4" xfId="31904"/>
    <cellStyle name="Normal 10 5 4 6" xfId="7789"/>
    <cellStyle name="Normal 10 5 4 6 2" xfId="20170"/>
    <cellStyle name="Normal 10 5 4 6 2 2" xfId="45723"/>
    <cellStyle name="Normal 10 5 4 6 3" xfId="33346"/>
    <cellStyle name="Normal 10 5 4 7" xfId="16681"/>
    <cellStyle name="Normal 10 5 4 7 2" xfId="42234"/>
    <cellStyle name="Normal 10 5 4 8" xfId="26653"/>
    <cellStyle name="Normal 10 5 5" xfId="1178"/>
    <cellStyle name="Normal 10 5 5 2" xfId="3607"/>
    <cellStyle name="Normal 10 5 5 2 2" xfId="12743"/>
    <cellStyle name="Normal 10 5 5 2 2 2" xfId="22962"/>
    <cellStyle name="Normal 10 5 5 2 2 2 2" xfId="48515"/>
    <cellStyle name="Normal 10 5 5 2 2 3" xfId="38298"/>
    <cellStyle name="Normal 10 5 5 2 3" xfId="9164"/>
    <cellStyle name="Normal 10 5 5 2 3 2" xfId="34721"/>
    <cellStyle name="Normal 10 5 5 2 4" xfId="17955"/>
    <cellStyle name="Normal 10 5 5 2 4 2" xfId="43508"/>
    <cellStyle name="Normal 10 5 5 2 5" xfId="29445"/>
    <cellStyle name="Normal 10 5 5 3" xfId="5270"/>
    <cellStyle name="Normal 10 5 5 3 2" xfId="14107"/>
    <cellStyle name="Normal 10 5 5 3 2 2" xfId="24358"/>
    <cellStyle name="Normal 10 5 5 3 2 2 2" xfId="49911"/>
    <cellStyle name="Normal 10 5 5 3 2 3" xfId="39662"/>
    <cellStyle name="Normal 10 5 5 3 3" xfId="10528"/>
    <cellStyle name="Normal 10 5 5 3 3 2" xfId="36085"/>
    <cellStyle name="Normal 10 5 5 3 4" xfId="19351"/>
    <cellStyle name="Normal 10 5 5 3 4 2" xfId="44904"/>
    <cellStyle name="Normal 10 5 5 3 5" xfId="30841"/>
    <cellStyle name="Normal 10 5 5 4" xfId="1780"/>
    <cellStyle name="Normal 10 5 5 4 2" xfId="11149"/>
    <cellStyle name="Normal 10 5 5 4 2 2" xfId="36704"/>
    <cellStyle name="Normal 10 5 5 4 3" xfId="21153"/>
    <cellStyle name="Normal 10 5 5 4 3 2" xfId="46706"/>
    <cellStyle name="Normal 10 5 5 4 4" xfId="27636"/>
    <cellStyle name="Normal 10 5 5 5" xfId="6725"/>
    <cellStyle name="Normal 10 5 5 5 2" xfId="15552"/>
    <cellStyle name="Normal 10 5 5 5 2 2" xfId="41107"/>
    <cellStyle name="Normal 10 5 5 5 3" xfId="25803"/>
    <cellStyle name="Normal 10 5 5 5 3 2" xfId="51356"/>
    <cellStyle name="Normal 10 5 5 5 4" xfId="32286"/>
    <cellStyle name="Normal 10 5 5 6" xfId="8171"/>
    <cellStyle name="Normal 10 5 5 6 2" xfId="20561"/>
    <cellStyle name="Normal 10 5 5 6 2 2" xfId="46114"/>
    <cellStyle name="Normal 10 5 5 6 3" xfId="33728"/>
    <cellStyle name="Normal 10 5 5 7" xfId="16146"/>
    <cellStyle name="Normal 10 5 5 7 2" xfId="41699"/>
    <cellStyle name="Normal 10 5 5 8" xfId="27044"/>
    <cellStyle name="Normal 10 5 6" xfId="2675"/>
    <cellStyle name="Normal 10 5 6 2" xfId="11992"/>
    <cellStyle name="Normal 10 5 6 2 2" xfId="22036"/>
    <cellStyle name="Normal 10 5 6 2 2 2" xfId="47589"/>
    <cellStyle name="Normal 10 5 6 2 3" xfId="37547"/>
    <cellStyle name="Normal 10 5 6 3" xfId="8392"/>
    <cellStyle name="Normal 10 5 6 3 2" xfId="33949"/>
    <cellStyle name="Normal 10 5 6 4" xfId="17029"/>
    <cellStyle name="Normal 10 5 6 4 2" xfId="42582"/>
    <cellStyle name="Normal 10 5 6 5" xfId="28519"/>
    <cellStyle name="Normal 10 5 7" xfId="4226"/>
    <cellStyle name="Normal 10 5 7 2" xfId="13064"/>
    <cellStyle name="Normal 10 5 7 2 2" xfId="23315"/>
    <cellStyle name="Normal 10 5 7 2 2 2" xfId="48868"/>
    <cellStyle name="Normal 10 5 7 2 3" xfId="38619"/>
    <cellStyle name="Normal 10 5 7 3" xfId="9485"/>
    <cellStyle name="Normal 10 5 7 3 2" xfId="35042"/>
    <cellStyle name="Normal 10 5 7 4" xfId="18308"/>
    <cellStyle name="Normal 10 5 7 4 2" xfId="43861"/>
    <cellStyle name="Normal 10 5 7 5" xfId="29798"/>
    <cellStyle name="Normal 10 5 8" xfId="1498"/>
    <cellStyle name="Normal 10 5 8 2" xfId="10875"/>
    <cellStyle name="Normal 10 5 8 2 2" xfId="36430"/>
    <cellStyle name="Normal 10 5 8 3" xfId="20879"/>
    <cellStyle name="Normal 10 5 8 3 2" xfId="46432"/>
    <cellStyle name="Normal 10 5 8 4" xfId="27362"/>
    <cellStyle name="Normal 10 5 9" xfId="5682"/>
    <cellStyle name="Normal 10 5 9 2" xfId="14509"/>
    <cellStyle name="Normal 10 5 9 2 2" xfId="40064"/>
    <cellStyle name="Normal 10 5 9 3" xfId="24760"/>
    <cellStyle name="Normal 10 5 9 3 2" xfId="50313"/>
    <cellStyle name="Normal 10 5 9 4" xfId="31243"/>
    <cellStyle name="Normal 10 5_Degree data" xfId="3829"/>
    <cellStyle name="Normal 10 6" xfId="699"/>
    <cellStyle name="Normal 10 6 2" xfId="3185"/>
    <cellStyle name="Normal 10 6 2 2" xfId="12328"/>
    <cellStyle name="Normal 10 6 2 2 2" xfId="22546"/>
    <cellStyle name="Normal 10 6 2 2 2 2" xfId="48099"/>
    <cellStyle name="Normal 10 6 2 2 3" xfId="37883"/>
    <cellStyle name="Normal 10 6 2 3" xfId="8750"/>
    <cellStyle name="Normal 10 6 2 3 2" xfId="34307"/>
    <cellStyle name="Normal 10 6 2 4" xfId="17539"/>
    <cellStyle name="Normal 10 6 2 4 2" xfId="43092"/>
    <cellStyle name="Normal 10 6 2 5" xfId="29029"/>
    <cellStyle name="Normal 10 6 3" xfId="4514"/>
    <cellStyle name="Normal 10 6 3 2" xfId="13352"/>
    <cellStyle name="Normal 10 6 3 2 2" xfId="23603"/>
    <cellStyle name="Normal 10 6 3 2 2 2" xfId="49156"/>
    <cellStyle name="Normal 10 6 3 2 3" xfId="38907"/>
    <cellStyle name="Normal 10 6 3 3" xfId="9773"/>
    <cellStyle name="Normal 10 6 3 3 2" xfId="35330"/>
    <cellStyle name="Normal 10 6 3 4" xfId="18596"/>
    <cellStyle name="Normal 10 6 3 4 2" xfId="44149"/>
    <cellStyle name="Normal 10 6 3 5" xfId="30086"/>
    <cellStyle name="Normal 10 6 4" xfId="2294"/>
    <cellStyle name="Normal 10 6 4 2" xfId="11659"/>
    <cellStyle name="Normal 10 6 4 2 2" xfId="37214"/>
    <cellStyle name="Normal 10 6 4 3" xfId="21663"/>
    <cellStyle name="Normal 10 6 4 3 2" xfId="47216"/>
    <cellStyle name="Normal 10 6 4 4" xfId="28146"/>
    <cellStyle name="Normal 10 6 5" xfId="5970"/>
    <cellStyle name="Normal 10 6 5 2" xfId="14797"/>
    <cellStyle name="Normal 10 6 5 2 2" xfId="40352"/>
    <cellStyle name="Normal 10 6 5 3" xfId="25048"/>
    <cellStyle name="Normal 10 6 5 3 2" xfId="50601"/>
    <cellStyle name="Normal 10 6 5 4" xfId="31531"/>
    <cellStyle name="Normal 10 6 6" xfId="7414"/>
    <cellStyle name="Normal 10 6 6 2" xfId="20145"/>
    <cellStyle name="Normal 10 6 6 2 2" xfId="45698"/>
    <cellStyle name="Normal 10 6 6 3" xfId="32971"/>
    <cellStyle name="Normal 10 6 7" xfId="16656"/>
    <cellStyle name="Normal 10 6 7 2" xfId="42209"/>
    <cellStyle name="Normal 10 6 8" xfId="26628"/>
    <cellStyle name="Normal 10 7" xfId="1042"/>
    <cellStyle name="Normal 10 7 2" xfId="3471"/>
    <cellStyle name="Normal 10 7 2 2" xfId="12607"/>
    <cellStyle name="Normal 10 7 2 2 2" xfId="22826"/>
    <cellStyle name="Normal 10 7 2 2 2 2" xfId="48379"/>
    <cellStyle name="Normal 10 7 2 2 3" xfId="38162"/>
    <cellStyle name="Normal 10 7 2 3" xfId="9029"/>
    <cellStyle name="Normal 10 7 2 3 2" xfId="34586"/>
    <cellStyle name="Normal 10 7 2 4" xfId="17819"/>
    <cellStyle name="Normal 10 7 2 4 2" xfId="43372"/>
    <cellStyle name="Normal 10 7 2 5" xfId="29309"/>
    <cellStyle name="Normal 10 7 3" xfId="4863"/>
    <cellStyle name="Normal 10 7 3 2" xfId="13700"/>
    <cellStyle name="Normal 10 7 3 2 2" xfId="23951"/>
    <cellStyle name="Normal 10 7 3 2 2 2" xfId="49504"/>
    <cellStyle name="Normal 10 7 3 2 3" xfId="39255"/>
    <cellStyle name="Normal 10 7 3 3" xfId="10121"/>
    <cellStyle name="Normal 10 7 3 3 2" xfId="35678"/>
    <cellStyle name="Normal 10 7 3 4" xfId="18944"/>
    <cellStyle name="Normal 10 7 3 4 2" xfId="44497"/>
    <cellStyle name="Normal 10 7 3 5" xfId="30434"/>
    <cellStyle name="Normal 10 7 4" xfId="2584"/>
    <cellStyle name="Normal 10 7 4 2" xfId="11948"/>
    <cellStyle name="Normal 10 7 4 2 2" xfId="37503"/>
    <cellStyle name="Normal 10 7 4 3" xfId="21952"/>
    <cellStyle name="Normal 10 7 4 3 2" xfId="47505"/>
    <cellStyle name="Normal 10 7 4 4" xfId="28435"/>
    <cellStyle name="Normal 10 7 5" xfId="6318"/>
    <cellStyle name="Normal 10 7 5 2" xfId="15145"/>
    <cellStyle name="Normal 10 7 5 2 2" xfId="40700"/>
    <cellStyle name="Normal 10 7 5 3" xfId="25396"/>
    <cellStyle name="Normal 10 7 5 3 2" xfId="50949"/>
    <cellStyle name="Normal 10 7 5 4" xfId="31879"/>
    <cellStyle name="Normal 10 7 6" xfId="7764"/>
    <cellStyle name="Normal 10 7 6 2" xfId="20425"/>
    <cellStyle name="Normal 10 7 6 2 2" xfId="45978"/>
    <cellStyle name="Normal 10 7 6 3" xfId="33321"/>
    <cellStyle name="Normal 10 7 7" xfId="16945"/>
    <cellStyle name="Normal 10 7 7 2" xfId="42498"/>
    <cellStyle name="Normal 10 7 8" xfId="26908"/>
    <cellStyle name="Normal 10 8" xfId="3902"/>
    <cellStyle name="Normal 10 8 2" xfId="5134"/>
    <cellStyle name="Normal 10 8 2 2" xfId="13971"/>
    <cellStyle name="Normal 10 8 2 2 2" xfId="24222"/>
    <cellStyle name="Normal 10 8 2 2 2 2" xfId="49775"/>
    <cellStyle name="Normal 10 8 2 2 3" xfId="39526"/>
    <cellStyle name="Normal 10 8 2 3" xfId="10392"/>
    <cellStyle name="Normal 10 8 2 3 2" xfId="35949"/>
    <cellStyle name="Normal 10 8 2 4" xfId="19215"/>
    <cellStyle name="Normal 10 8 2 4 2" xfId="44768"/>
    <cellStyle name="Normal 10 8 2 5" xfId="30705"/>
    <cellStyle name="Normal 10 8 3" xfId="6589"/>
    <cellStyle name="Normal 10 8 3 2" xfId="15416"/>
    <cellStyle name="Normal 10 8 3 2 2" xfId="40971"/>
    <cellStyle name="Normal 10 8 3 3" xfId="25667"/>
    <cellStyle name="Normal 10 8 3 3 2" xfId="51220"/>
    <cellStyle name="Normal 10 8 3 4" xfId="32150"/>
    <cellStyle name="Normal 10 8 4" xfId="8035"/>
    <cellStyle name="Normal 10 8 4 2" xfId="23172"/>
    <cellStyle name="Normal 10 8 4 2 2" xfId="48725"/>
    <cellStyle name="Normal 10 8 4 3" xfId="33592"/>
    <cellStyle name="Normal 10 8 5" xfId="18165"/>
    <cellStyle name="Normal 10 8 5 2" xfId="43718"/>
    <cellStyle name="Normal 10 8 6" xfId="29655"/>
    <cellStyle name="Normal 10 9" xfId="4087"/>
    <cellStyle name="Normal 10 9 2" xfId="5546"/>
    <cellStyle name="Normal 10 9 2 2" xfId="14373"/>
    <cellStyle name="Normal 10 9 2 2 2" xfId="39928"/>
    <cellStyle name="Normal 10 9 2 3" xfId="24624"/>
    <cellStyle name="Normal 10 9 2 3 2" xfId="50177"/>
    <cellStyle name="Normal 10 9 2 4" xfId="31107"/>
    <cellStyle name="Normal 10 9 3" xfId="6990"/>
    <cellStyle name="Normal 10 9 3 2" xfId="23176"/>
    <cellStyle name="Normal 10 9 3 2 2" xfId="48729"/>
    <cellStyle name="Normal 10 9 3 3" xfId="32547"/>
    <cellStyle name="Normal 10 9 4" xfId="18169"/>
    <cellStyle name="Normal 10 9 4 2" xfId="43722"/>
    <cellStyle name="Normal 10 9 5" xfId="29659"/>
    <cellStyle name="Normal 10_Degree data" xfId="3818"/>
    <cellStyle name="Normal 100" xfId="5498"/>
    <cellStyle name="Normal 101" xfId="6934"/>
    <cellStyle name="Normal 101 2" xfId="10748"/>
    <cellStyle name="Normal 102" xfId="6936"/>
    <cellStyle name="Normal 102 2" xfId="10765"/>
    <cellStyle name="Normal 103" xfId="15761"/>
    <cellStyle name="Normal 104" xfId="6935"/>
    <cellStyle name="Normal 105" xfId="6971"/>
    <cellStyle name="Normal 106" xfId="15762"/>
    <cellStyle name="Normal 109" xfId="26020"/>
    <cellStyle name="Normal 109 2" xfId="51573"/>
    <cellStyle name="Normal 11" xfId="19"/>
    <cellStyle name="Normal 111" xfId="26021"/>
    <cellStyle name="Normal 111 2" xfId="51574"/>
    <cellStyle name="Normal 112" xfId="26022"/>
    <cellStyle name="Normal 112 2" xfId="51575"/>
    <cellStyle name="Normal 113" xfId="26023"/>
    <cellStyle name="Normal 113 2" xfId="51576"/>
    <cellStyle name="Normal 114" xfId="26024"/>
    <cellStyle name="Normal 114 2" xfId="51577"/>
    <cellStyle name="Normal 12" xfId="10"/>
    <cellStyle name="Normal 12 2" xfId="34"/>
    <cellStyle name="Normal 12 3" xfId="151"/>
    <cellStyle name="Normal 13" xfId="24"/>
    <cellStyle name="Normal 13 2" xfId="35"/>
    <cellStyle name="Normal 13 3" xfId="63"/>
    <cellStyle name="Normal 13 3 2" xfId="121"/>
    <cellStyle name="Normal 13 3 3" xfId="223"/>
    <cellStyle name="Normal 14" xfId="8"/>
    <cellStyle name="Normal 14 2" xfId="33"/>
    <cellStyle name="Normal 14 3" xfId="150"/>
    <cellStyle name="Normal 141" xfId="26013"/>
    <cellStyle name="Normal 141 2" xfId="51566"/>
    <cellStyle name="Normal 142" xfId="26014"/>
    <cellStyle name="Normal 142 2" xfId="51567"/>
    <cellStyle name="Normal 143" xfId="26015"/>
    <cellStyle name="Normal 143 2" xfId="51568"/>
    <cellStyle name="Normal 144" xfId="26016"/>
    <cellStyle name="Normal 144 2" xfId="51569"/>
    <cellStyle name="Normal 145" xfId="26017"/>
    <cellStyle name="Normal 145 2" xfId="51570"/>
    <cellStyle name="Normal 146" xfId="26018"/>
    <cellStyle name="Normal 146 2" xfId="51571"/>
    <cellStyle name="Normal 147" xfId="26019"/>
    <cellStyle name="Normal 147 2" xfId="51572"/>
    <cellStyle name="Normal 15" xfId="9"/>
    <cellStyle name="Normal 15 2" xfId="726"/>
    <cellStyle name="Normal 15 2 2" xfId="1386"/>
    <cellStyle name="Normal 15 2 2 2" xfId="3815"/>
    <cellStyle name="Normal 15 2 2 2 2" xfId="12951"/>
    <cellStyle name="Normal 15 2 2 2 2 2" xfId="23170"/>
    <cellStyle name="Normal 15 2 2 2 2 2 2" xfId="48723"/>
    <cellStyle name="Normal 15 2 2 2 2 3" xfId="38506"/>
    <cellStyle name="Normal 15 2 2 2 3" xfId="9372"/>
    <cellStyle name="Normal 15 2 2 2 3 2" xfId="34929"/>
    <cellStyle name="Normal 15 2 2 2 4" xfId="18163"/>
    <cellStyle name="Normal 15 2 2 2 4 2" xfId="43716"/>
    <cellStyle name="Normal 15 2 2 2 5" xfId="29653"/>
    <cellStyle name="Normal 15 2 2 3" xfId="4890"/>
    <cellStyle name="Normal 15 2 2 3 2" xfId="13727"/>
    <cellStyle name="Normal 15 2 2 3 2 2" xfId="23978"/>
    <cellStyle name="Normal 15 2 2 3 2 2 2" xfId="49531"/>
    <cellStyle name="Normal 15 2 2 3 2 3" xfId="39282"/>
    <cellStyle name="Normal 15 2 2 3 3" xfId="10148"/>
    <cellStyle name="Normal 15 2 2 3 3 2" xfId="35705"/>
    <cellStyle name="Normal 15 2 2 3 4" xfId="18971"/>
    <cellStyle name="Normal 15 2 2 3 4 2" xfId="44524"/>
    <cellStyle name="Normal 15 2 2 3 5" xfId="30461"/>
    <cellStyle name="Normal 15 2 2 4" xfId="2581"/>
    <cellStyle name="Normal 15 2 2 4 2" xfId="11945"/>
    <cellStyle name="Normal 15 2 2 4 2 2" xfId="37500"/>
    <cellStyle name="Normal 15 2 2 4 3" xfId="21949"/>
    <cellStyle name="Normal 15 2 2 4 3 2" xfId="47502"/>
    <cellStyle name="Normal 15 2 2 4 4" xfId="28432"/>
    <cellStyle name="Normal 15 2 2 5" xfId="6345"/>
    <cellStyle name="Normal 15 2 2 5 2" xfId="15172"/>
    <cellStyle name="Normal 15 2 2 5 2 2" xfId="40727"/>
    <cellStyle name="Normal 15 2 2 5 3" xfId="25423"/>
    <cellStyle name="Normal 15 2 2 5 3 2" xfId="50976"/>
    <cellStyle name="Normal 15 2 2 5 4" xfId="31906"/>
    <cellStyle name="Normal 15 2 2 6" xfId="7791"/>
    <cellStyle name="Normal 15 2 2 6 2" xfId="20769"/>
    <cellStyle name="Normal 15 2 2 6 2 2" xfId="46322"/>
    <cellStyle name="Normal 15 2 2 6 3" xfId="33348"/>
    <cellStyle name="Normal 15 2 2 7" xfId="16942"/>
    <cellStyle name="Normal 15 2 2 7 2" xfId="42495"/>
    <cellStyle name="Normal 15 2 2 8" xfId="27252"/>
    <cellStyle name="Normal 15 2 3" xfId="3212"/>
    <cellStyle name="Normal 15 2 3 2" xfId="5478"/>
    <cellStyle name="Normal 15 2 3 2 2" xfId="14315"/>
    <cellStyle name="Normal 15 2 3 2 2 2" xfId="24566"/>
    <cellStyle name="Normal 15 2 3 2 2 2 2" xfId="50119"/>
    <cellStyle name="Normal 15 2 3 2 2 3" xfId="39870"/>
    <cellStyle name="Normal 15 2 3 2 3" xfId="10736"/>
    <cellStyle name="Normal 15 2 3 2 3 2" xfId="36293"/>
    <cellStyle name="Normal 15 2 3 2 4" xfId="19559"/>
    <cellStyle name="Normal 15 2 3 2 4 2" xfId="45112"/>
    <cellStyle name="Normal 15 2 3 2 5" xfId="31049"/>
    <cellStyle name="Normal 15 2 3 3" xfId="6933"/>
    <cellStyle name="Normal 15 2 3 3 2" xfId="15760"/>
    <cellStyle name="Normal 15 2 3 3 2 2" xfId="41315"/>
    <cellStyle name="Normal 15 2 3 3 3" xfId="26011"/>
    <cellStyle name="Normal 15 2 3 3 3 2" xfId="51564"/>
    <cellStyle name="Normal 15 2 3 3 4" xfId="32494"/>
    <cellStyle name="Normal 15 2 3 4" xfId="8379"/>
    <cellStyle name="Normal 15 2 3 4 2" xfId="22573"/>
    <cellStyle name="Normal 15 2 3 4 2 2" xfId="48126"/>
    <cellStyle name="Normal 15 2 3 4 3" xfId="33936"/>
    <cellStyle name="Normal 15 2 3 5" xfId="17566"/>
    <cellStyle name="Normal 15 2 3 5 2" xfId="43119"/>
    <cellStyle name="Normal 15 2 3 6" xfId="29056"/>
    <cellStyle name="Normal 15 2 4" xfId="4541"/>
    <cellStyle name="Normal 15 2 4 2" xfId="13379"/>
    <cellStyle name="Normal 15 2 4 2 2" xfId="23630"/>
    <cellStyle name="Normal 15 2 4 2 2 2" xfId="49183"/>
    <cellStyle name="Normal 15 2 4 2 3" xfId="38934"/>
    <cellStyle name="Normal 15 2 4 3" xfId="9800"/>
    <cellStyle name="Normal 15 2 4 3 2" xfId="35357"/>
    <cellStyle name="Normal 15 2 4 4" xfId="18623"/>
    <cellStyle name="Normal 15 2 4 4 2" xfId="44176"/>
    <cellStyle name="Normal 15 2 4 5" xfId="30113"/>
    <cellStyle name="Normal 15 2 5" xfId="2321"/>
    <cellStyle name="Normal 15 2 5 2" xfId="11686"/>
    <cellStyle name="Normal 15 2 5 2 2" xfId="37241"/>
    <cellStyle name="Normal 15 2 5 3" xfId="21690"/>
    <cellStyle name="Normal 15 2 5 3 2" xfId="47243"/>
    <cellStyle name="Normal 15 2 5 4" xfId="28173"/>
    <cellStyle name="Normal 15 2 6" xfId="5997"/>
    <cellStyle name="Normal 15 2 6 2" xfId="14824"/>
    <cellStyle name="Normal 15 2 6 2 2" xfId="40379"/>
    <cellStyle name="Normal 15 2 6 3" xfId="25075"/>
    <cellStyle name="Normal 15 2 6 3 2" xfId="50628"/>
    <cellStyle name="Normal 15 2 6 4" xfId="31558"/>
    <cellStyle name="Normal 15 2 7" xfId="7441"/>
    <cellStyle name="Normal 15 2 7 2" xfId="20172"/>
    <cellStyle name="Normal 15 2 7 2 2" xfId="45725"/>
    <cellStyle name="Normal 15 2 7 3" xfId="32998"/>
    <cellStyle name="Normal 15 2 8" xfId="16683"/>
    <cellStyle name="Normal 15 2 8 2" xfId="42236"/>
    <cellStyle name="Normal 15 2 9" xfId="26655"/>
    <cellStyle name="Normal 15 2_Degree data" xfId="3927"/>
    <cellStyle name="Normal 16" xfId="64"/>
    <cellStyle name="Normal 165" xfId="26051"/>
    <cellStyle name="Normal 166" xfId="26052"/>
    <cellStyle name="Normal 167" xfId="26053"/>
    <cellStyle name="Normal 168" xfId="26050"/>
    <cellStyle name="Normal 17" xfId="65"/>
    <cellStyle name="Normal 18" xfId="66"/>
    <cellStyle name="Normal 19" xfId="99"/>
    <cellStyle name="Normal 19 2" xfId="123"/>
    <cellStyle name="Normal 19 3" xfId="118"/>
    <cellStyle name="Normal 192" xfId="26026"/>
    <cellStyle name="Normal 192 2" xfId="51579"/>
    <cellStyle name="Normal 193" xfId="26027"/>
    <cellStyle name="Normal 193 2" xfId="51580"/>
    <cellStyle name="Normal 194" xfId="26028"/>
    <cellStyle name="Normal 194 2" xfId="26037"/>
    <cellStyle name="Normal 194 2 2" xfId="51590"/>
    <cellStyle name="Normal 194 3" xfId="51581"/>
    <cellStyle name="Normal 195" xfId="26029"/>
    <cellStyle name="Normal 195 2" xfId="51582"/>
    <cellStyle name="Normal 196" xfId="26030"/>
    <cellStyle name="Normal 196 2" xfId="51583"/>
    <cellStyle name="Normal 197" xfId="26031"/>
    <cellStyle name="Normal 197 2" xfId="51584"/>
    <cellStyle name="Normal 198" xfId="26032"/>
    <cellStyle name="Normal 198 2" xfId="51585"/>
    <cellStyle name="Normal 2" xfId="7"/>
    <cellStyle name="Normal 2 2" xfId="27"/>
    <cellStyle name="Normal 2 2 2" xfId="49"/>
    <cellStyle name="Normal 2 3" xfId="48"/>
    <cellStyle name="Normal 2 3 2" xfId="50"/>
    <cellStyle name="Normal 2 4" xfId="60"/>
    <cellStyle name="Normal 2 4 2" xfId="288"/>
    <cellStyle name="Normal 2 5" xfId="51"/>
    <cellStyle name="Normal 2 5 10" xfId="300"/>
    <cellStyle name="Normal 2 5 10 10" xfId="26229"/>
    <cellStyle name="Normal 2 5 10 2" xfId="728"/>
    <cellStyle name="Normal 2 5 10 2 2" xfId="3214"/>
    <cellStyle name="Normal 2 5 10 2 2 2" xfId="12356"/>
    <cellStyle name="Normal 2 5 10 2 2 2 2" xfId="22575"/>
    <cellStyle name="Normal 2 5 10 2 2 2 2 2" xfId="48128"/>
    <cellStyle name="Normal 2 5 10 2 2 2 3" xfId="37911"/>
    <cellStyle name="Normal 2 5 10 2 2 3" xfId="8778"/>
    <cellStyle name="Normal 2 5 10 2 2 3 2" xfId="34335"/>
    <cellStyle name="Normal 2 5 10 2 2 4" xfId="17568"/>
    <cellStyle name="Normal 2 5 10 2 2 4 2" xfId="43121"/>
    <cellStyle name="Normal 2 5 10 2 2 5" xfId="29058"/>
    <cellStyle name="Normal 2 5 10 2 3" xfId="4543"/>
    <cellStyle name="Normal 2 5 10 2 3 2" xfId="13381"/>
    <cellStyle name="Normal 2 5 10 2 3 2 2" xfId="23632"/>
    <cellStyle name="Normal 2 5 10 2 3 2 2 2" xfId="49185"/>
    <cellStyle name="Normal 2 5 10 2 3 2 3" xfId="38936"/>
    <cellStyle name="Normal 2 5 10 2 3 3" xfId="9802"/>
    <cellStyle name="Normal 2 5 10 2 3 3 2" xfId="35359"/>
    <cellStyle name="Normal 2 5 10 2 3 4" xfId="18625"/>
    <cellStyle name="Normal 2 5 10 2 3 4 2" xfId="44178"/>
    <cellStyle name="Normal 2 5 10 2 3 5" xfId="30115"/>
    <cellStyle name="Normal 2 5 10 2 4" xfId="2323"/>
    <cellStyle name="Normal 2 5 10 2 4 2" xfId="11688"/>
    <cellStyle name="Normal 2 5 10 2 4 2 2" xfId="37243"/>
    <cellStyle name="Normal 2 5 10 2 4 3" xfId="21692"/>
    <cellStyle name="Normal 2 5 10 2 4 3 2" xfId="47245"/>
    <cellStyle name="Normal 2 5 10 2 4 4" xfId="28175"/>
    <cellStyle name="Normal 2 5 10 2 5" xfId="5999"/>
    <cellStyle name="Normal 2 5 10 2 5 2" xfId="14826"/>
    <cellStyle name="Normal 2 5 10 2 5 2 2" xfId="40381"/>
    <cellStyle name="Normal 2 5 10 2 5 3" xfId="25077"/>
    <cellStyle name="Normal 2 5 10 2 5 3 2" xfId="50630"/>
    <cellStyle name="Normal 2 5 10 2 5 4" xfId="31560"/>
    <cellStyle name="Normal 2 5 10 2 6" xfId="7443"/>
    <cellStyle name="Normal 2 5 10 2 6 2" xfId="20174"/>
    <cellStyle name="Normal 2 5 10 2 6 2 2" xfId="45727"/>
    <cellStyle name="Normal 2 5 10 2 6 3" xfId="33000"/>
    <cellStyle name="Normal 2 5 10 2 7" xfId="16685"/>
    <cellStyle name="Normal 2 5 10 2 7 2" xfId="42238"/>
    <cellStyle name="Normal 2 5 10 2 8" xfId="26657"/>
    <cellStyle name="Normal 2 5 10 3" xfId="1072"/>
    <cellStyle name="Normal 2 5 10 3 2" xfId="3501"/>
    <cellStyle name="Normal 2 5 10 3 2 2" xfId="12637"/>
    <cellStyle name="Normal 2 5 10 3 2 2 2" xfId="22856"/>
    <cellStyle name="Normal 2 5 10 3 2 2 2 2" xfId="48409"/>
    <cellStyle name="Normal 2 5 10 3 2 2 3" xfId="38192"/>
    <cellStyle name="Normal 2 5 10 3 2 3" xfId="9059"/>
    <cellStyle name="Normal 2 5 10 3 2 3 2" xfId="34616"/>
    <cellStyle name="Normal 2 5 10 3 2 4" xfId="17849"/>
    <cellStyle name="Normal 2 5 10 3 2 4 2" xfId="43402"/>
    <cellStyle name="Normal 2 5 10 3 2 5" xfId="29339"/>
    <cellStyle name="Normal 2 5 10 3 3" xfId="4892"/>
    <cellStyle name="Normal 2 5 10 3 3 2" xfId="13729"/>
    <cellStyle name="Normal 2 5 10 3 3 2 2" xfId="23980"/>
    <cellStyle name="Normal 2 5 10 3 3 2 2 2" xfId="49533"/>
    <cellStyle name="Normal 2 5 10 3 3 2 3" xfId="39284"/>
    <cellStyle name="Normal 2 5 10 3 3 3" xfId="10150"/>
    <cellStyle name="Normal 2 5 10 3 3 3 2" xfId="35707"/>
    <cellStyle name="Normal 2 5 10 3 3 4" xfId="18973"/>
    <cellStyle name="Normal 2 5 10 3 3 4 2" xfId="44526"/>
    <cellStyle name="Normal 2 5 10 3 3 5" xfId="30463"/>
    <cellStyle name="Normal 2 5 10 3 4" xfId="2575"/>
    <cellStyle name="Normal 2 5 10 3 4 2" xfId="11939"/>
    <cellStyle name="Normal 2 5 10 3 4 2 2" xfId="37494"/>
    <cellStyle name="Normal 2 5 10 3 4 3" xfId="21943"/>
    <cellStyle name="Normal 2 5 10 3 4 3 2" xfId="47496"/>
    <cellStyle name="Normal 2 5 10 3 4 4" xfId="28426"/>
    <cellStyle name="Normal 2 5 10 3 5" xfId="6347"/>
    <cellStyle name="Normal 2 5 10 3 5 2" xfId="15174"/>
    <cellStyle name="Normal 2 5 10 3 5 2 2" xfId="40729"/>
    <cellStyle name="Normal 2 5 10 3 5 3" xfId="25425"/>
    <cellStyle name="Normal 2 5 10 3 5 3 2" xfId="50978"/>
    <cellStyle name="Normal 2 5 10 3 5 4" xfId="31908"/>
    <cellStyle name="Normal 2 5 10 3 6" xfId="7793"/>
    <cellStyle name="Normal 2 5 10 3 6 2" xfId="20455"/>
    <cellStyle name="Normal 2 5 10 3 6 2 2" xfId="46008"/>
    <cellStyle name="Normal 2 5 10 3 6 3" xfId="33350"/>
    <cellStyle name="Normal 2 5 10 3 7" xfId="16936"/>
    <cellStyle name="Normal 2 5 10 3 7 2" xfId="42489"/>
    <cellStyle name="Normal 2 5 10 3 8" xfId="26938"/>
    <cellStyle name="Normal 2 5 10 4" xfId="2786"/>
    <cellStyle name="Normal 2 5 10 4 2" xfId="5164"/>
    <cellStyle name="Normal 2 5 10 4 2 2" xfId="14001"/>
    <cellStyle name="Normal 2 5 10 4 2 2 2" xfId="24252"/>
    <cellStyle name="Normal 2 5 10 4 2 2 2 2" xfId="49805"/>
    <cellStyle name="Normal 2 5 10 4 2 2 3" xfId="39556"/>
    <cellStyle name="Normal 2 5 10 4 2 3" xfId="10422"/>
    <cellStyle name="Normal 2 5 10 4 2 3 2" xfId="35979"/>
    <cellStyle name="Normal 2 5 10 4 2 4" xfId="19245"/>
    <cellStyle name="Normal 2 5 10 4 2 4 2" xfId="44798"/>
    <cellStyle name="Normal 2 5 10 4 2 5" xfId="30735"/>
    <cellStyle name="Normal 2 5 10 4 3" xfId="6619"/>
    <cellStyle name="Normal 2 5 10 4 3 2" xfId="15446"/>
    <cellStyle name="Normal 2 5 10 4 3 2 2" xfId="41001"/>
    <cellStyle name="Normal 2 5 10 4 3 3" xfId="25697"/>
    <cellStyle name="Normal 2 5 10 4 3 3 2" xfId="51250"/>
    <cellStyle name="Normal 2 5 10 4 3 4" xfId="32180"/>
    <cellStyle name="Normal 2 5 10 4 4" xfId="8065"/>
    <cellStyle name="Normal 2 5 10 4 4 2" xfId="22147"/>
    <cellStyle name="Normal 2 5 10 4 4 2 2" xfId="47700"/>
    <cellStyle name="Normal 2 5 10 4 4 3" xfId="33622"/>
    <cellStyle name="Normal 2 5 10 4 5" xfId="17140"/>
    <cellStyle name="Normal 2 5 10 4 5 2" xfId="42693"/>
    <cellStyle name="Normal 2 5 10 4 6" xfId="28630"/>
    <cellStyle name="Normal 2 5 10 5" xfId="4118"/>
    <cellStyle name="Normal 2 5 10 5 2" xfId="12956"/>
    <cellStyle name="Normal 2 5 10 5 2 2" xfId="23207"/>
    <cellStyle name="Normal 2 5 10 5 2 2 2" xfId="48760"/>
    <cellStyle name="Normal 2 5 10 5 2 3" xfId="38511"/>
    <cellStyle name="Normal 2 5 10 5 3" xfId="9377"/>
    <cellStyle name="Normal 2 5 10 5 3 2" xfId="34934"/>
    <cellStyle name="Normal 2 5 10 5 4" xfId="18200"/>
    <cellStyle name="Normal 2 5 10 5 4 2" xfId="43753"/>
    <cellStyle name="Normal 2 5 10 5 5" xfId="29690"/>
    <cellStyle name="Normal 2 5 10 6" xfId="1895"/>
    <cellStyle name="Normal 2 5 10 6 2" xfId="11260"/>
    <cellStyle name="Normal 2 5 10 6 2 2" xfId="36815"/>
    <cellStyle name="Normal 2 5 10 6 3" xfId="21264"/>
    <cellStyle name="Normal 2 5 10 6 3 2" xfId="46817"/>
    <cellStyle name="Normal 2 5 10 6 4" xfId="27747"/>
    <cellStyle name="Normal 2 5 10 7" xfId="5576"/>
    <cellStyle name="Normal 2 5 10 7 2" xfId="14403"/>
    <cellStyle name="Normal 2 5 10 7 2 2" xfId="39958"/>
    <cellStyle name="Normal 2 5 10 7 3" xfId="24654"/>
    <cellStyle name="Normal 2 5 10 7 3 2" xfId="50207"/>
    <cellStyle name="Normal 2 5 10 7 4" xfId="31137"/>
    <cellStyle name="Normal 2 5 10 8" xfId="7020"/>
    <cellStyle name="Normal 2 5 10 8 2" xfId="19746"/>
    <cellStyle name="Normal 2 5 10 8 2 2" xfId="45299"/>
    <cellStyle name="Normal 2 5 10 8 3" xfId="32577"/>
    <cellStyle name="Normal 2 5 10 9" xfId="16257"/>
    <cellStyle name="Normal 2 5 10 9 2" xfId="41810"/>
    <cellStyle name="Normal 2 5 10_Degree data" xfId="3924"/>
    <cellStyle name="Normal 2 5 11" xfId="727"/>
    <cellStyle name="Normal 2 5 11 2" xfId="3213"/>
    <cellStyle name="Normal 2 5 11 2 2" xfId="12355"/>
    <cellStyle name="Normal 2 5 11 2 2 2" xfId="22574"/>
    <cellStyle name="Normal 2 5 11 2 2 2 2" xfId="48127"/>
    <cellStyle name="Normal 2 5 11 2 2 3" xfId="37910"/>
    <cellStyle name="Normal 2 5 11 2 3" xfId="8777"/>
    <cellStyle name="Normal 2 5 11 2 3 2" xfId="34334"/>
    <cellStyle name="Normal 2 5 11 2 4" xfId="17567"/>
    <cellStyle name="Normal 2 5 11 2 4 2" xfId="43120"/>
    <cellStyle name="Normal 2 5 11 2 5" xfId="29057"/>
    <cellStyle name="Normal 2 5 11 3" xfId="4542"/>
    <cellStyle name="Normal 2 5 11 3 2" xfId="13380"/>
    <cellStyle name="Normal 2 5 11 3 2 2" xfId="23631"/>
    <cellStyle name="Normal 2 5 11 3 2 2 2" xfId="49184"/>
    <cellStyle name="Normal 2 5 11 3 2 3" xfId="38935"/>
    <cellStyle name="Normal 2 5 11 3 3" xfId="9801"/>
    <cellStyle name="Normal 2 5 11 3 3 2" xfId="35358"/>
    <cellStyle name="Normal 2 5 11 3 4" xfId="18624"/>
    <cellStyle name="Normal 2 5 11 3 4 2" xfId="44177"/>
    <cellStyle name="Normal 2 5 11 3 5" xfId="30114"/>
    <cellStyle name="Normal 2 5 11 4" xfId="2322"/>
    <cellStyle name="Normal 2 5 11 4 2" xfId="11687"/>
    <cellStyle name="Normal 2 5 11 4 2 2" xfId="37242"/>
    <cellStyle name="Normal 2 5 11 4 3" xfId="21691"/>
    <cellStyle name="Normal 2 5 11 4 3 2" xfId="47244"/>
    <cellStyle name="Normal 2 5 11 4 4" xfId="28174"/>
    <cellStyle name="Normal 2 5 11 5" xfId="5998"/>
    <cellStyle name="Normal 2 5 11 5 2" xfId="14825"/>
    <cellStyle name="Normal 2 5 11 5 2 2" xfId="40380"/>
    <cellStyle name="Normal 2 5 11 5 3" xfId="25076"/>
    <cellStyle name="Normal 2 5 11 5 3 2" xfId="50629"/>
    <cellStyle name="Normal 2 5 11 5 4" xfId="31559"/>
    <cellStyle name="Normal 2 5 11 6" xfId="7442"/>
    <cellStyle name="Normal 2 5 11 6 2" xfId="20173"/>
    <cellStyle name="Normal 2 5 11 6 2 2" xfId="45726"/>
    <cellStyle name="Normal 2 5 11 6 3" xfId="32999"/>
    <cellStyle name="Normal 2 5 11 7" xfId="16684"/>
    <cellStyle name="Normal 2 5 11 7 2" xfId="42237"/>
    <cellStyle name="Normal 2 5 11 8" xfId="26656"/>
    <cellStyle name="Normal 2 5 12" xfId="1040"/>
    <cellStyle name="Normal 2 5 12 2" xfId="3469"/>
    <cellStyle name="Normal 2 5 12 2 2" xfId="12605"/>
    <cellStyle name="Normal 2 5 12 2 2 2" xfId="22824"/>
    <cellStyle name="Normal 2 5 12 2 2 2 2" xfId="48377"/>
    <cellStyle name="Normal 2 5 12 2 2 3" xfId="38160"/>
    <cellStyle name="Normal 2 5 12 2 3" xfId="9027"/>
    <cellStyle name="Normal 2 5 12 2 3 2" xfId="34584"/>
    <cellStyle name="Normal 2 5 12 2 4" xfId="17817"/>
    <cellStyle name="Normal 2 5 12 2 4 2" xfId="43370"/>
    <cellStyle name="Normal 2 5 12 2 5" xfId="29307"/>
    <cellStyle name="Normal 2 5 12 3" xfId="4891"/>
    <cellStyle name="Normal 2 5 12 3 2" xfId="13728"/>
    <cellStyle name="Normal 2 5 12 3 2 2" xfId="23979"/>
    <cellStyle name="Normal 2 5 12 3 2 2 2" xfId="49532"/>
    <cellStyle name="Normal 2 5 12 3 2 3" xfId="39283"/>
    <cellStyle name="Normal 2 5 12 3 3" xfId="10149"/>
    <cellStyle name="Normal 2 5 12 3 3 2" xfId="35706"/>
    <cellStyle name="Normal 2 5 12 3 4" xfId="18972"/>
    <cellStyle name="Normal 2 5 12 3 4 2" xfId="44525"/>
    <cellStyle name="Normal 2 5 12 3 5" xfId="30462"/>
    <cellStyle name="Normal 2 5 12 4" xfId="1712"/>
    <cellStyle name="Normal 2 5 12 4 2" xfId="11089"/>
    <cellStyle name="Normal 2 5 12 4 2 2" xfId="36644"/>
    <cellStyle name="Normal 2 5 12 4 3" xfId="21093"/>
    <cellStyle name="Normal 2 5 12 4 3 2" xfId="46646"/>
    <cellStyle name="Normal 2 5 12 4 4" xfId="27576"/>
    <cellStyle name="Normal 2 5 12 5" xfId="6346"/>
    <cellStyle name="Normal 2 5 12 5 2" xfId="15173"/>
    <cellStyle name="Normal 2 5 12 5 2 2" xfId="40728"/>
    <cellStyle name="Normal 2 5 12 5 3" xfId="25424"/>
    <cellStyle name="Normal 2 5 12 5 3 2" xfId="50977"/>
    <cellStyle name="Normal 2 5 12 5 4" xfId="31907"/>
    <cellStyle name="Normal 2 5 12 6" xfId="7792"/>
    <cellStyle name="Normal 2 5 12 6 2" xfId="20423"/>
    <cellStyle name="Normal 2 5 12 6 2 2" xfId="45976"/>
    <cellStyle name="Normal 2 5 12 6 3" xfId="33349"/>
    <cellStyle name="Normal 2 5 12 7" xfId="16086"/>
    <cellStyle name="Normal 2 5 12 7 2" xfId="41639"/>
    <cellStyle name="Normal 2 5 12 8" xfId="26906"/>
    <cellStyle name="Normal 2 5 13" xfId="2612"/>
    <cellStyle name="Normal 2 5 13 2" xfId="5132"/>
    <cellStyle name="Normal 2 5 13 2 2" xfId="13969"/>
    <cellStyle name="Normal 2 5 13 2 2 2" xfId="24220"/>
    <cellStyle name="Normal 2 5 13 2 2 2 2" xfId="49773"/>
    <cellStyle name="Normal 2 5 13 2 2 3" xfId="39524"/>
    <cellStyle name="Normal 2 5 13 2 3" xfId="10390"/>
    <cellStyle name="Normal 2 5 13 2 3 2" xfId="35947"/>
    <cellStyle name="Normal 2 5 13 2 4" xfId="19213"/>
    <cellStyle name="Normal 2 5 13 2 4 2" xfId="44766"/>
    <cellStyle name="Normal 2 5 13 2 5" xfId="30703"/>
    <cellStyle name="Normal 2 5 13 3" xfId="6587"/>
    <cellStyle name="Normal 2 5 13 3 2" xfId="15414"/>
    <cellStyle name="Normal 2 5 13 3 2 2" xfId="40969"/>
    <cellStyle name="Normal 2 5 13 3 3" xfId="25665"/>
    <cellStyle name="Normal 2 5 13 3 3 2" xfId="51218"/>
    <cellStyle name="Normal 2 5 13 3 4" xfId="32148"/>
    <cellStyle name="Normal 2 5 13 4" xfId="8033"/>
    <cellStyle name="Normal 2 5 13 4 2" xfId="21976"/>
    <cellStyle name="Normal 2 5 13 4 2 2" xfId="47529"/>
    <cellStyle name="Normal 2 5 13 4 3" xfId="33590"/>
    <cellStyle name="Normal 2 5 13 5" xfId="16969"/>
    <cellStyle name="Normal 2 5 13 5 2" xfId="42522"/>
    <cellStyle name="Normal 2 5 13 6" xfId="28459"/>
    <cellStyle name="Normal 2 5 14" xfId="4085"/>
    <cellStyle name="Normal 2 5 14 2" xfId="5544"/>
    <cellStyle name="Normal 2 5 14 2 2" xfId="14371"/>
    <cellStyle name="Normal 2 5 14 2 2 2" xfId="39926"/>
    <cellStyle name="Normal 2 5 14 2 3" xfId="24622"/>
    <cellStyle name="Normal 2 5 14 2 3 2" xfId="50175"/>
    <cellStyle name="Normal 2 5 14 2 4" xfId="31105"/>
    <cellStyle name="Normal 2 5 14 3" xfId="6988"/>
    <cellStyle name="Normal 2 5 14 3 2" xfId="23174"/>
    <cellStyle name="Normal 2 5 14 3 2 2" xfId="48727"/>
    <cellStyle name="Normal 2 5 14 3 3" xfId="32545"/>
    <cellStyle name="Normal 2 5 14 4" xfId="18167"/>
    <cellStyle name="Normal 2 5 14 4 2" xfId="43720"/>
    <cellStyle name="Normal 2 5 14 5" xfId="29657"/>
    <cellStyle name="Normal 2 5 15" xfId="1392"/>
    <cellStyle name="Normal 2 5 15 2" xfId="10769"/>
    <cellStyle name="Normal 2 5 15 2 2" xfId="36324"/>
    <cellStyle name="Normal 2 5 15 3" xfId="20773"/>
    <cellStyle name="Normal 2 5 15 3 2" xfId="46326"/>
    <cellStyle name="Normal 2 5 15 4" xfId="27256"/>
    <cellStyle name="Normal 2 5 16" xfId="5504"/>
    <cellStyle name="Normal 2 5 16 2" xfId="14331"/>
    <cellStyle name="Normal 2 5 16 2 2" xfId="39886"/>
    <cellStyle name="Normal 2 5 16 3" xfId="24582"/>
    <cellStyle name="Normal 2 5 16 3 2" xfId="50135"/>
    <cellStyle name="Normal 2 5 16 4" xfId="31065"/>
    <cellStyle name="Normal 2 5 17" xfId="6943"/>
    <cellStyle name="Normal 2 5 17 2" xfId="19576"/>
    <cellStyle name="Normal 2 5 17 2 2" xfId="45129"/>
    <cellStyle name="Normal 2 5 17 3" xfId="32501"/>
    <cellStyle name="Normal 2 5 18" xfId="15766"/>
    <cellStyle name="Normal 2 5 18 2" xfId="41319"/>
    <cellStyle name="Normal 2 5 19" xfId="26059"/>
    <cellStyle name="Normal 2 5 2" xfId="116"/>
    <cellStyle name="Normal 2 5 2 10" xfId="2626"/>
    <cellStyle name="Normal 2 5 2 10 2" xfId="5140"/>
    <cellStyle name="Normal 2 5 2 10 2 2" xfId="13977"/>
    <cellStyle name="Normal 2 5 2 10 2 2 2" xfId="24228"/>
    <cellStyle name="Normal 2 5 2 10 2 2 2 2" xfId="49781"/>
    <cellStyle name="Normal 2 5 2 10 2 2 3" xfId="39532"/>
    <cellStyle name="Normal 2 5 2 10 2 3" xfId="10398"/>
    <cellStyle name="Normal 2 5 2 10 2 3 2" xfId="35955"/>
    <cellStyle name="Normal 2 5 2 10 2 4" xfId="19221"/>
    <cellStyle name="Normal 2 5 2 10 2 4 2" xfId="44774"/>
    <cellStyle name="Normal 2 5 2 10 2 5" xfId="30711"/>
    <cellStyle name="Normal 2 5 2 10 3" xfId="6595"/>
    <cellStyle name="Normal 2 5 2 10 3 2" xfId="15422"/>
    <cellStyle name="Normal 2 5 2 10 3 2 2" xfId="40977"/>
    <cellStyle name="Normal 2 5 2 10 3 3" xfId="25673"/>
    <cellStyle name="Normal 2 5 2 10 3 3 2" xfId="51226"/>
    <cellStyle name="Normal 2 5 2 10 3 4" xfId="32156"/>
    <cellStyle name="Normal 2 5 2 10 4" xfId="8041"/>
    <cellStyle name="Normal 2 5 2 10 4 2" xfId="21989"/>
    <cellStyle name="Normal 2 5 2 10 4 2 2" xfId="47542"/>
    <cellStyle name="Normal 2 5 2 10 4 3" xfId="33598"/>
    <cellStyle name="Normal 2 5 2 10 5" xfId="16982"/>
    <cellStyle name="Normal 2 5 2 10 5 2" xfId="42535"/>
    <cellStyle name="Normal 2 5 2 10 6" xfId="28472"/>
    <cellStyle name="Normal 2 5 2 11" xfId="4094"/>
    <cellStyle name="Normal 2 5 2 11 2" xfId="5552"/>
    <cellStyle name="Normal 2 5 2 11 2 2" xfId="14379"/>
    <cellStyle name="Normal 2 5 2 11 2 2 2" xfId="39934"/>
    <cellStyle name="Normal 2 5 2 11 2 3" xfId="24630"/>
    <cellStyle name="Normal 2 5 2 11 2 3 2" xfId="50183"/>
    <cellStyle name="Normal 2 5 2 11 2 4" xfId="31113"/>
    <cellStyle name="Normal 2 5 2 11 3" xfId="6996"/>
    <cellStyle name="Normal 2 5 2 11 3 2" xfId="23183"/>
    <cellStyle name="Normal 2 5 2 11 3 2 2" xfId="48736"/>
    <cellStyle name="Normal 2 5 2 11 3 3" xfId="32553"/>
    <cellStyle name="Normal 2 5 2 11 4" xfId="18176"/>
    <cellStyle name="Normal 2 5 2 11 4 2" xfId="43729"/>
    <cellStyle name="Normal 2 5 2 11 5" xfId="29666"/>
    <cellStyle name="Normal 2 5 2 12" xfId="1400"/>
    <cellStyle name="Normal 2 5 2 12 2" xfId="10777"/>
    <cellStyle name="Normal 2 5 2 12 2 2" xfId="36332"/>
    <cellStyle name="Normal 2 5 2 12 3" xfId="20781"/>
    <cellStyle name="Normal 2 5 2 12 3 2" xfId="46334"/>
    <cellStyle name="Normal 2 5 2 12 4" xfId="27264"/>
    <cellStyle name="Normal 2 5 2 13" xfId="5512"/>
    <cellStyle name="Normal 2 5 2 13 2" xfId="14339"/>
    <cellStyle name="Normal 2 5 2 13 2 2" xfId="39894"/>
    <cellStyle name="Normal 2 5 2 13 3" xfId="24590"/>
    <cellStyle name="Normal 2 5 2 13 3 2" xfId="50143"/>
    <cellStyle name="Normal 2 5 2 13 4" xfId="31073"/>
    <cellStyle name="Normal 2 5 2 14" xfId="6952"/>
    <cellStyle name="Normal 2 5 2 14 2" xfId="19589"/>
    <cellStyle name="Normal 2 5 2 14 2 2" xfId="45142"/>
    <cellStyle name="Normal 2 5 2 14 3" xfId="32510"/>
    <cellStyle name="Normal 2 5 2 15" xfId="15774"/>
    <cellStyle name="Normal 2 5 2 15 2" xfId="41327"/>
    <cellStyle name="Normal 2 5 2 16" xfId="26072"/>
    <cellStyle name="Normal 2 5 2 2" xfId="160"/>
    <cellStyle name="Normal 2 5 2 2 10" xfId="1425"/>
    <cellStyle name="Normal 2 5 2 2 10 2" xfId="10802"/>
    <cellStyle name="Normal 2 5 2 2 10 2 2" xfId="36357"/>
    <cellStyle name="Normal 2 5 2 2 10 3" xfId="20806"/>
    <cellStyle name="Normal 2 5 2 2 10 3 2" xfId="46359"/>
    <cellStyle name="Normal 2 5 2 2 10 4" xfId="27289"/>
    <cellStyle name="Normal 2 5 2 2 11" xfId="5534"/>
    <cellStyle name="Normal 2 5 2 2 11 2" xfId="14361"/>
    <cellStyle name="Normal 2 5 2 2 11 2 2" xfId="39916"/>
    <cellStyle name="Normal 2 5 2 2 11 3" xfId="24612"/>
    <cellStyle name="Normal 2 5 2 2 11 3 2" xfId="50165"/>
    <cellStyle name="Normal 2 5 2 2 11 4" xfId="31095"/>
    <cellStyle name="Normal 2 5 2 2 12" xfId="6978"/>
    <cellStyle name="Normal 2 5 2 2 12 2" xfId="19619"/>
    <cellStyle name="Normal 2 5 2 2 12 2 2" xfId="45172"/>
    <cellStyle name="Normal 2 5 2 2 12 3" xfId="32535"/>
    <cellStyle name="Normal 2 5 2 2 13" xfId="15799"/>
    <cellStyle name="Normal 2 5 2 2 13 2" xfId="41352"/>
    <cellStyle name="Normal 2 5 2 2 14" xfId="26102"/>
    <cellStyle name="Normal 2 5 2 2 2" xfId="207"/>
    <cellStyle name="Normal 2 5 2 2 2 10" xfId="7153"/>
    <cellStyle name="Normal 2 5 2 2 2 10 2" xfId="19662"/>
    <cellStyle name="Normal 2 5 2 2 2 10 2 2" xfId="45215"/>
    <cellStyle name="Normal 2 5 2 2 2 10 3" xfId="32710"/>
    <cellStyle name="Normal 2 5 2 2 2 11" xfId="15899"/>
    <cellStyle name="Normal 2 5 2 2 2 11 2" xfId="41452"/>
    <cellStyle name="Normal 2 5 2 2 2 12" xfId="26145"/>
    <cellStyle name="Normal 2 5 2 2 2 2" xfId="533"/>
    <cellStyle name="Normal 2 5 2 2 2 2 10" xfId="26462"/>
    <cellStyle name="Normal 2 5 2 2 2 2 2" xfId="732"/>
    <cellStyle name="Normal 2 5 2 2 2 2 2 2" xfId="3218"/>
    <cellStyle name="Normal 2 5 2 2 2 2 2 2 2" xfId="12360"/>
    <cellStyle name="Normal 2 5 2 2 2 2 2 2 2 2" xfId="22579"/>
    <cellStyle name="Normal 2 5 2 2 2 2 2 2 2 2 2" xfId="48132"/>
    <cellStyle name="Normal 2 5 2 2 2 2 2 2 2 3" xfId="37915"/>
    <cellStyle name="Normal 2 5 2 2 2 2 2 2 3" xfId="8782"/>
    <cellStyle name="Normal 2 5 2 2 2 2 2 2 3 2" xfId="34339"/>
    <cellStyle name="Normal 2 5 2 2 2 2 2 2 4" xfId="17572"/>
    <cellStyle name="Normal 2 5 2 2 2 2 2 2 4 2" xfId="43125"/>
    <cellStyle name="Normal 2 5 2 2 2 2 2 2 5" xfId="29062"/>
    <cellStyle name="Normal 2 5 2 2 2 2 2 3" xfId="4547"/>
    <cellStyle name="Normal 2 5 2 2 2 2 2 3 2" xfId="13385"/>
    <cellStyle name="Normal 2 5 2 2 2 2 2 3 2 2" xfId="23636"/>
    <cellStyle name="Normal 2 5 2 2 2 2 2 3 2 2 2" xfId="49189"/>
    <cellStyle name="Normal 2 5 2 2 2 2 2 3 2 3" xfId="38940"/>
    <cellStyle name="Normal 2 5 2 2 2 2 2 3 3" xfId="9806"/>
    <cellStyle name="Normal 2 5 2 2 2 2 2 3 3 2" xfId="35363"/>
    <cellStyle name="Normal 2 5 2 2 2 2 2 3 4" xfId="18629"/>
    <cellStyle name="Normal 2 5 2 2 2 2 2 3 4 2" xfId="44182"/>
    <cellStyle name="Normal 2 5 2 2 2 2 2 3 5" xfId="30119"/>
    <cellStyle name="Normal 2 5 2 2 2 2 2 4" xfId="2327"/>
    <cellStyle name="Normal 2 5 2 2 2 2 2 4 2" xfId="11692"/>
    <cellStyle name="Normal 2 5 2 2 2 2 2 4 2 2" xfId="37247"/>
    <cellStyle name="Normal 2 5 2 2 2 2 2 4 3" xfId="21696"/>
    <cellStyle name="Normal 2 5 2 2 2 2 2 4 3 2" xfId="47249"/>
    <cellStyle name="Normal 2 5 2 2 2 2 2 4 4" xfId="28179"/>
    <cellStyle name="Normal 2 5 2 2 2 2 2 5" xfId="6003"/>
    <cellStyle name="Normal 2 5 2 2 2 2 2 5 2" xfId="14830"/>
    <cellStyle name="Normal 2 5 2 2 2 2 2 5 2 2" xfId="40385"/>
    <cellStyle name="Normal 2 5 2 2 2 2 2 5 3" xfId="25081"/>
    <cellStyle name="Normal 2 5 2 2 2 2 2 5 3 2" xfId="50634"/>
    <cellStyle name="Normal 2 5 2 2 2 2 2 5 4" xfId="31564"/>
    <cellStyle name="Normal 2 5 2 2 2 2 2 6" xfId="7447"/>
    <cellStyle name="Normal 2 5 2 2 2 2 2 6 2" xfId="20178"/>
    <cellStyle name="Normal 2 5 2 2 2 2 2 6 2 2" xfId="45731"/>
    <cellStyle name="Normal 2 5 2 2 2 2 2 6 3" xfId="33004"/>
    <cellStyle name="Normal 2 5 2 2 2 2 2 7" xfId="16689"/>
    <cellStyle name="Normal 2 5 2 2 2 2 2 7 2" xfId="42242"/>
    <cellStyle name="Normal 2 5 2 2 2 2 2 8" xfId="26661"/>
    <cellStyle name="Normal 2 5 2 2 2 2 3" xfId="1305"/>
    <cellStyle name="Normal 2 5 2 2 2 2 3 2" xfId="3734"/>
    <cellStyle name="Normal 2 5 2 2 2 2 3 2 2" xfId="12870"/>
    <cellStyle name="Normal 2 5 2 2 2 2 3 2 2 2" xfId="23089"/>
    <cellStyle name="Normal 2 5 2 2 2 2 3 2 2 2 2" xfId="48642"/>
    <cellStyle name="Normal 2 5 2 2 2 2 3 2 2 3" xfId="38425"/>
    <cellStyle name="Normal 2 5 2 2 2 2 3 2 3" xfId="9291"/>
    <cellStyle name="Normal 2 5 2 2 2 2 3 2 3 2" xfId="34848"/>
    <cellStyle name="Normal 2 5 2 2 2 2 3 2 4" xfId="18082"/>
    <cellStyle name="Normal 2 5 2 2 2 2 3 2 4 2" xfId="43635"/>
    <cellStyle name="Normal 2 5 2 2 2 2 3 2 5" xfId="29572"/>
    <cellStyle name="Normal 2 5 2 2 2 2 3 3" xfId="4896"/>
    <cellStyle name="Normal 2 5 2 2 2 2 3 3 2" xfId="13733"/>
    <cellStyle name="Normal 2 5 2 2 2 2 3 3 2 2" xfId="23984"/>
    <cellStyle name="Normal 2 5 2 2 2 2 3 3 2 2 2" xfId="49537"/>
    <cellStyle name="Normal 2 5 2 2 2 2 3 3 2 3" xfId="39288"/>
    <cellStyle name="Normal 2 5 2 2 2 2 3 3 3" xfId="10154"/>
    <cellStyle name="Normal 2 5 2 2 2 2 3 3 3 2" xfId="35711"/>
    <cellStyle name="Normal 2 5 2 2 2 2 3 3 4" xfId="18977"/>
    <cellStyle name="Normal 2 5 2 2 2 2 3 3 4 2" xfId="44530"/>
    <cellStyle name="Normal 2 5 2 2 2 2 3 3 5" xfId="30467"/>
    <cellStyle name="Normal 2 5 2 2 2 2 3 4" xfId="2128"/>
    <cellStyle name="Normal 2 5 2 2 2 2 3 4 2" xfId="11493"/>
    <cellStyle name="Normal 2 5 2 2 2 2 3 4 2 2" xfId="37048"/>
    <cellStyle name="Normal 2 5 2 2 2 2 3 4 3" xfId="21497"/>
    <cellStyle name="Normal 2 5 2 2 2 2 3 4 3 2" xfId="47050"/>
    <cellStyle name="Normal 2 5 2 2 2 2 3 4 4" xfId="27980"/>
    <cellStyle name="Normal 2 5 2 2 2 2 3 5" xfId="6351"/>
    <cellStyle name="Normal 2 5 2 2 2 2 3 5 2" xfId="15178"/>
    <cellStyle name="Normal 2 5 2 2 2 2 3 5 2 2" xfId="40733"/>
    <cellStyle name="Normal 2 5 2 2 2 2 3 5 3" xfId="25429"/>
    <cellStyle name="Normal 2 5 2 2 2 2 3 5 3 2" xfId="50982"/>
    <cellStyle name="Normal 2 5 2 2 2 2 3 5 4" xfId="31912"/>
    <cellStyle name="Normal 2 5 2 2 2 2 3 6" xfId="7797"/>
    <cellStyle name="Normal 2 5 2 2 2 2 3 6 2" xfId="20688"/>
    <cellStyle name="Normal 2 5 2 2 2 2 3 6 2 2" xfId="46241"/>
    <cellStyle name="Normal 2 5 2 2 2 2 3 6 3" xfId="33354"/>
    <cellStyle name="Normal 2 5 2 2 2 2 3 7" xfId="16490"/>
    <cellStyle name="Normal 2 5 2 2 2 2 3 7 2" xfId="42043"/>
    <cellStyle name="Normal 2 5 2 2 2 2 3 8" xfId="27171"/>
    <cellStyle name="Normal 2 5 2 2 2 2 4" xfId="3019"/>
    <cellStyle name="Normal 2 5 2 2 2 2 4 2" xfId="5397"/>
    <cellStyle name="Normal 2 5 2 2 2 2 4 2 2" xfId="14234"/>
    <cellStyle name="Normal 2 5 2 2 2 2 4 2 2 2" xfId="24485"/>
    <cellStyle name="Normal 2 5 2 2 2 2 4 2 2 2 2" xfId="50038"/>
    <cellStyle name="Normal 2 5 2 2 2 2 4 2 2 3" xfId="39789"/>
    <cellStyle name="Normal 2 5 2 2 2 2 4 2 3" xfId="10655"/>
    <cellStyle name="Normal 2 5 2 2 2 2 4 2 3 2" xfId="36212"/>
    <cellStyle name="Normal 2 5 2 2 2 2 4 2 4" xfId="19478"/>
    <cellStyle name="Normal 2 5 2 2 2 2 4 2 4 2" xfId="45031"/>
    <cellStyle name="Normal 2 5 2 2 2 2 4 2 5" xfId="30968"/>
    <cellStyle name="Normal 2 5 2 2 2 2 4 3" xfId="6852"/>
    <cellStyle name="Normal 2 5 2 2 2 2 4 3 2" xfId="15679"/>
    <cellStyle name="Normal 2 5 2 2 2 2 4 3 2 2" xfId="41234"/>
    <cellStyle name="Normal 2 5 2 2 2 2 4 3 3" xfId="25930"/>
    <cellStyle name="Normal 2 5 2 2 2 2 4 3 3 2" xfId="51483"/>
    <cellStyle name="Normal 2 5 2 2 2 2 4 3 4" xfId="32413"/>
    <cellStyle name="Normal 2 5 2 2 2 2 4 4" xfId="8298"/>
    <cellStyle name="Normal 2 5 2 2 2 2 4 4 2" xfId="22380"/>
    <cellStyle name="Normal 2 5 2 2 2 2 4 4 2 2" xfId="47933"/>
    <cellStyle name="Normal 2 5 2 2 2 2 4 4 3" xfId="33855"/>
    <cellStyle name="Normal 2 5 2 2 2 2 4 5" xfId="17373"/>
    <cellStyle name="Normal 2 5 2 2 2 2 4 5 2" xfId="42926"/>
    <cellStyle name="Normal 2 5 2 2 2 2 4 6" xfId="28863"/>
    <cellStyle name="Normal 2 5 2 2 2 2 5" xfId="4353"/>
    <cellStyle name="Normal 2 5 2 2 2 2 5 2" xfId="13191"/>
    <cellStyle name="Normal 2 5 2 2 2 2 5 2 2" xfId="23442"/>
    <cellStyle name="Normal 2 5 2 2 2 2 5 2 2 2" xfId="48995"/>
    <cellStyle name="Normal 2 5 2 2 2 2 5 2 3" xfId="38746"/>
    <cellStyle name="Normal 2 5 2 2 2 2 5 3" xfId="9612"/>
    <cellStyle name="Normal 2 5 2 2 2 2 5 3 2" xfId="35169"/>
    <cellStyle name="Normal 2 5 2 2 2 2 5 4" xfId="18435"/>
    <cellStyle name="Normal 2 5 2 2 2 2 5 4 2" xfId="43988"/>
    <cellStyle name="Normal 2 5 2 2 2 2 5 5" xfId="29925"/>
    <cellStyle name="Normal 2 5 2 2 2 2 6" xfId="1625"/>
    <cellStyle name="Normal 2 5 2 2 2 2 6 2" xfId="11002"/>
    <cellStyle name="Normal 2 5 2 2 2 2 6 2 2" xfId="36557"/>
    <cellStyle name="Normal 2 5 2 2 2 2 6 3" xfId="21006"/>
    <cellStyle name="Normal 2 5 2 2 2 2 6 3 2" xfId="46559"/>
    <cellStyle name="Normal 2 5 2 2 2 2 6 4" xfId="27489"/>
    <cellStyle name="Normal 2 5 2 2 2 2 7" xfId="5809"/>
    <cellStyle name="Normal 2 5 2 2 2 2 7 2" xfId="14636"/>
    <cellStyle name="Normal 2 5 2 2 2 2 7 2 2" xfId="40191"/>
    <cellStyle name="Normal 2 5 2 2 2 2 7 3" xfId="24887"/>
    <cellStyle name="Normal 2 5 2 2 2 2 7 3 2" xfId="50440"/>
    <cellStyle name="Normal 2 5 2 2 2 2 7 4" xfId="31370"/>
    <cellStyle name="Normal 2 5 2 2 2 2 8" xfId="7253"/>
    <cellStyle name="Normal 2 5 2 2 2 2 8 2" xfId="19979"/>
    <cellStyle name="Normal 2 5 2 2 2 2 8 2 2" xfId="45532"/>
    <cellStyle name="Normal 2 5 2 2 2 2 8 3" xfId="32810"/>
    <cellStyle name="Normal 2 5 2 2 2 2 9" xfId="15999"/>
    <cellStyle name="Normal 2 5 2 2 2 2 9 2" xfId="41552"/>
    <cellStyle name="Normal 2 5 2 2 2 2_Degree data" xfId="3859"/>
    <cellStyle name="Normal 2 5 2 2 2 3" xfId="433"/>
    <cellStyle name="Normal 2 5 2 2 2 3 2" xfId="2919"/>
    <cellStyle name="Normal 2 5 2 2 2 3 2 2" xfId="12207"/>
    <cellStyle name="Normal 2 5 2 2 2 3 2 2 2" xfId="22280"/>
    <cellStyle name="Normal 2 5 2 2 2 3 2 2 2 2" xfId="47833"/>
    <cellStyle name="Normal 2 5 2 2 2 3 2 2 3" xfId="37762"/>
    <cellStyle name="Normal 2 5 2 2 2 3 2 3" xfId="8508"/>
    <cellStyle name="Normal 2 5 2 2 2 3 2 3 2" xfId="34065"/>
    <cellStyle name="Normal 2 5 2 2 2 3 2 4" xfId="17273"/>
    <cellStyle name="Normal 2 5 2 2 2 3 2 4 2" xfId="42826"/>
    <cellStyle name="Normal 2 5 2 2 2 3 2 5" xfId="28763"/>
    <cellStyle name="Normal 2 5 2 2 2 3 3" xfId="4546"/>
    <cellStyle name="Normal 2 5 2 2 2 3 3 2" xfId="13384"/>
    <cellStyle name="Normal 2 5 2 2 2 3 3 2 2" xfId="23635"/>
    <cellStyle name="Normal 2 5 2 2 2 3 3 2 2 2" xfId="49188"/>
    <cellStyle name="Normal 2 5 2 2 2 3 3 2 3" xfId="38939"/>
    <cellStyle name="Normal 2 5 2 2 2 3 3 3" xfId="9805"/>
    <cellStyle name="Normal 2 5 2 2 2 3 3 3 2" xfId="35362"/>
    <cellStyle name="Normal 2 5 2 2 2 3 3 4" xfId="18628"/>
    <cellStyle name="Normal 2 5 2 2 2 3 3 4 2" xfId="44181"/>
    <cellStyle name="Normal 2 5 2 2 2 3 3 5" xfId="30118"/>
    <cellStyle name="Normal 2 5 2 2 2 3 4" xfId="2028"/>
    <cellStyle name="Normal 2 5 2 2 2 3 4 2" xfId="11393"/>
    <cellStyle name="Normal 2 5 2 2 2 3 4 2 2" xfId="36948"/>
    <cellStyle name="Normal 2 5 2 2 2 3 4 3" xfId="21397"/>
    <cellStyle name="Normal 2 5 2 2 2 3 4 3 2" xfId="46950"/>
    <cellStyle name="Normal 2 5 2 2 2 3 4 4" xfId="27880"/>
    <cellStyle name="Normal 2 5 2 2 2 3 5" xfId="6002"/>
    <cellStyle name="Normal 2 5 2 2 2 3 5 2" xfId="14829"/>
    <cellStyle name="Normal 2 5 2 2 2 3 5 2 2" xfId="40384"/>
    <cellStyle name="Normal 2 5 2 2 2 3 5 3" xfId="25080"/>
    <cellStyle name="Normal 2 5 2 2 2 3 5 3 2" xfId="50633"/>
    <cellStyle name="Normal 2 5 2 2 2 3 5 4" xfId="31563"/>
    <cellStyle name="Normal 2 5 2 2 2 3 6" xfId="7446"/>
    <cellStyle name="Normal 2 5 2 2 2 3 6 2" xfId="19879"/>
    <cellStyle name="Normal 2 5 2 2 2 3 6 2 2" xfId="45432"/>
    <cellStyle name="Normal 2 5 2 2 2 3 6 3" xfId="33003"/>
    <cellStyle name="Normal 2 5 2 2 2 3 7" xfId="16390"/>
    <cellStyle name="Normal 2 5 2 2 2 3 7 2" xfId="41943"/>
    <cellStyle name="Normal 2 5 2 2 2 3 8" xfId="26362"/>
    <cellStyle name="Normal 2 5 2 2 2 4" xfId="731"/>
    <cellStyle name="Normal 2 5 2 2 2 4 2" xfId="3217"/>
    <cellStyle name="Normal 2 5 2 2 2 4 2 2" xfId="12359"/>
    <cellStyle name="Normal 2 5 2 2 2 4 2 2 2" xfId="22578"/>
    <cellStyle name="Normal 2 5 2 2 2 4 2 2 2 2" xfId="48131"/>
    <cellStyle name="Normal 2 5 2 2 2 4 2 2 3" xfId="37914"/>
    <cellStyle name="Normal 2 5 2 2 2 4 2 3" xfId="8781"/>
    <cellStyle name="Normal 2 5 2 2 2 4 2 3 2" xfId="34338"/>
    <cellStyle name="Normal 2 5 2 2 2 4 2 4" xfId="17571"/>
    <cellStyle name="Normal 2 5 2 2 2 4 2 4 2" xfId="43124"/>
    <cellStyle name="Normal 2 5 2 2 2 4 2 5" xfId="29061"/>
    <cellStyle name="Normal 2 5 2 2 2 4 3" xfId="4895"/>
    <cellStyle name="Normal 2 5 2 2 2 4 3 2" xfId="13732"/>
    <cellStyle name="Normal 2 5 2 2 2 4 3 2 2" xfId="23983"/>
    <cellStyle name="Normal 2 5 2 2 2 4 3 2 2 2" xfId="49536"/>
    <cellStyle name="Normal 2 5 2 2 2 4 3 2 3" xfId="39287"/>
    <cellStyle name="Normal 2 5 2 2 2 4 3 3" xfId="10153"/>
    <cellStyle name="Normal 2 5 2 2 2 4 3 3 2" xfId="35710"/>
    <cellStyle name="Normal 2 5 2 2 2 4 3 4" xfId="18976"/>
    <cellStyle name="Normal 2 5 2 2 2 4 3 4 2" xfId="44529"/>
    <cellStyle name="Normal 2 5 2 2 2 4 3 5" xfId="30466"/>
    <cellStyle name="Normal 2 5 2 2 2 4 4" xfId="2326"/>
    <cellStyle name="Normal 2 5 2 2 2 4 4 2" xfId="11691"/>
    <cellStyle name="Normal 2 5 2 2 2 4 4 2 2" xfId="37246"/>
    <cellStyle name="Normal 2 5 2 2 2 4 4 3" xfId="21695"/>
    <cellStyle name="Normal 2 5 2 2 2 4 4 3 2" xfId="47248"/>
    <cellStyle name="Normal 2 5 2 2 2 4 4 4" xfId="28178"/>
    <cellStyle name="Normal 2 5 2 2 2 4 5" xfId="6350"/>
    <cellStyle name="Normal 2 5 2 2 2 4 5 2" xfId="15177"/>
    <cellStyle name="Normal 2 5 2 2 2 4 5 2 2" xfId="40732"/>
    <cellStyle name="Normal 2 5 2 2 2 4 5 3" xfId="25428"/>
    <cellStyle name="Normal 2 5 2 2 2 4 5 3 2" xfId="50981"/>
    <cellStyle name="Normal 2 5 2 2 2 4 5 4" xfId="31911"/>
    <cellStyle name="Normal 2 5 2 2 2 4 6" xfId="7796"/>
    <cellStyle name="Normal 2 5 2 2 2 4 6 2" xfId="20177"/>
    <cellStyle name="Normal 2 5 2 2 2 4 6 2 2" xfId="45730"/>
    <cellStyle name="Normal 2 5 2 2 2 4 6 3" xfId="33353"/>
    <cellStyle name="Normal 2 5 2 2 2 4 7" xfId="16688"/>
    <cellStyle name="Normal 2 5 2 2 2 4 7 2" xfId="42241"/>
    <cellStyle name="Normal 2 5 2 2 2 4 8" xfId="26660"/>
    <cellStyle name="Normal 2 5 2 2 2 5" xfId="1205"/>
    <cellStyle name="Normal 2 5 2 2 2 5 2" xfId="3634"/>
    <cellStyle name="Normal 2 5 2 2 2 5 2 2" xfId="12770"/>
    <cellStyle name="Normal 2 5 2 2 2 5 2 2 2" xfId="22989"/>
    <cellStyle name="Normal 2 5 2 2 2 5 2 2 2 2" xfId="48542"/>
    <cellStyle name="Normal 2 5 2 2 2 5 2 2 3" xfId="38325"/>
    <cellStyle name="Normal 2 5 2 2 2 5 2 3" xfId="9191"/>
    <cellStyle name="Normal 2 5 2 2 2 5 2 3 2" xfId="34748"/>
    <cellStyle name="Normal 2 5 2 2 2 5 2 4" xfId="17982"/>
    <cellStyle name="Normal 2 5 2 2 2 5 2 4 2" xfId="43535"/>
    <cellStyle name="Normal 2 5 2 2 2 5 2 5" xfId="29472"/>
    <cellStyle name="Normal 2 5 2 2 2 5 3" xfId="5297"/>
    <cellStyle name="Normal 2 5 2 2 2 5 3 2" xfId="14134"/>
    <cellStyle name="Normal 2 5 2 2 2 5 3 2 2" xfId="24385"/>
    <cellStyle name="Normal 2 5 2 2 2 5 3 2 2 2" xfId="49938"/>
    <cellStyle name="Normal 2 5 2 2 2 5 3 2 3" xfId="39689"/>
    <cellStyle name="Normal 2 5 2 2 2 5 3 3" xfId="10555"/>
    <cellStyle name="Normal 2 5 2 2 2 5 3 3 2" xfId="36112"/>
    <cellStyle name="Normal 2 5 2 2 2 5 3 4" xfId="19378"/>
    <cellStyle name="Normal 2 5 2 2 2 5 3 4 2" xfId="44931"/>
    <cellStyle name="Normal 2 5 2 2 2 5 3 5" xfId="30868"/>
    <cellStyle name="Normal 2 5 2 2 2 5 4" xfId="1808"/>
    <cellStyle name="Normal 2 5 2 2 2 5 4 2" xfId="11176"/>
    <cellStyle name="Normal 2 5 2 2 2 5 4 2 2" xfId="36731"/>
    <cellStyle name="Normal 2 5 2 2 2 5 4 3" xfId="21180"/>
    <cellStyle name="Normal 2 5 2 2 2 5 4 3 2" xfId="46733"/>
    <cellStyle name="Normal 2 5 2 2 2 5 4 4" xfId="27663"/>
    <cellStyle name="Normal 2 5 2 2 2 5 5" xfId="6752"/>
    <cellStyle name="Normal 2 5 2 2 2 5 5 2" xfId="15579"/>
    <cellStyle name="Normal 2 5 2 2 2 5 5 2 2" xfId="41134"/>
    <cellStyle name="Normal 2 5 2 2 2 5 5 3" xfId="25830"/>
    <cellStyle name="Normal 2 5 2 2 2 5 5 3 2" xfId="51383"/>
    <cellStyle name="Normal 2 5 2 2 2 5 5 4" xfId="32313"/>
    <cellStyle name="Normal 2 5 2 2 2 5 6" xfId="8198"/>
    <cellStyle name="Normal 2 5 2 2 2 5 6 2" xfId="20588"/>
    <cellStyle name="Normal 2 5 2 2 2 5 6 2 2" xfId="46141"/>
    <cellStyle name="Normal 2 5 2 2 2 5 6 3" xfId="33755"/>
    <cellStyle name="Normal 2 5 2 2 2 5 7" xfId="16173"/>
    <cellStyle name="Normal 2 5 2 2 2 5 7 2" xfId="41726"/>
    <cellStyle name="Normal 2 5 2 2 2 5 8" xfId="27071"/>
    <cellStyle name="Normal 2 5 2 2 2 6" xfId="2702"/>
    <cellStyle name="Normal 2 5 2 2 2 6 2" xfId="12019"/>
    <cellStyle name="Normal 2 5 2 2 2 6 2 2" xfId="22063"/>
    <cellStyle name="Normal 2 5 2 2 2 6 2 2 2" xfId="47616"/>
    <cellStyle name="Normal 2 5 2 2 2 6 2 3" xfId="37574"/>
    <cellStyle name="Normal 2 5 2 2 2 6 3" xfId="8428"/>
    <cellStyle name="Normal 2 5 2 2 2 6 3 2" xfId="33985"/>
    <cellStyle name="Normal 2 5 2 2 2 6 4" xfId="17056"/>
    <cellStyle name="Normal 2 5 2 2 2 6 4 2" xfId="42609"/>
    <cellStyle name="Normal 2 5 2 2 2 6 5" xfId="28546"/>
    <cellStyle name="Normal 2 5 2 2 2 7" xfId="4253"/>
    <cellStyle name="Normal 2 5 2 2 2 7 2" xfId="13091"/>
    <cellStyle name="Normal 2 5 2 2 2 7 2 2" xfId="23342"/>
    <cellStyle name="Normal 2 5 2 2 2 7 2 2 2" xfId="48895"/>
    <cellStyle name="Normal 2 5 2 2 2 7 2 3" xfId="38646"/>
    <cellStyle name="Normal 2 5 2 2 2 7 3" xfId="9512"/>
    <cellStyle name="Normal 2 5 2 2 2 7 3 2" xfId="35069"/>
    <cellStyle name="Normal 2 5 2 2 2 7 4" xfId="18335"/>
    <cellStyle name="Normal 2 5 2 2 2 7 4 2" xfId="43888"/>
    <cellStyle name="Normal 2 5 2 2 2 7 5" xfId="29825"/>
    <cellStyle name="Normal 2 5 2 2 2 8" xfId="1525"/>
    <cellStyle name="Normal 2 5 2 2 2 8 2" xfId="10902"/>
    <cellStyle name="Normal 2 5 2 2 2 8 2 2" xfId="36457"/>
    <cellStyle name="Normal 2 5 2 2 2 8 3" xfId="20906"/>
    <cellStyle name="Normal 2 5 2 2 2 8 3 2" xfId="46459"/>
    <cellStyle name="Normal 2 5 2 2 2 8 4" xfId="27389"/>
    <cellStyle name="Normal 2 5 2 2 2 9" xfId="5709"/>
    <cellStyle name="Normal 2 5 2 2 2 9 2" xfId="14536"/>
    <cellStyle name="Normal 2 5 2 2 2 9 2 2" xfId="40091"/>
    <cellStyle name="Normal 2 5 2 2 2 9 3" xfId="24787"/>
    <cellStyle name="Normal 2 5 2 2 2 9 3 2" xfId="50340"/>
    <cellStyle name="Normal 2 5 2 2 2 9 4" xfId="31270"/>
    <cellStyle name="Normal 2 5 2 2 2_Degree data" xfId="3920"/>
    <cellStyle name="Normal 2 5 2 2 3" xfId="272"/>
    <cellStyle name="Normal 2 5 2 2 3 10" xfId="7110"/>
    <cellStyle name="Normal 2 5 2 2 3 10 2" xfId="19723"/>
    <cellStyle name="Normal 2 5 2 2 3 10 2 2" xfId="45276"/>
    <cellStyle name="Normal 2 5 2 2 3 10 3" xfId="32667"/>
    <cellStyle name="Normal 2 5 2 2 3 11" xfId="15856"/>
    <cellStyle name="Normal 2 5 2 2 3 11 2" xfId="41409"/>
    <cellStyle name="Normal 2 5 2 2 3 12" xfId="26206"/>
    <cellStyle name="Normal 2 5 2 2 3 2" xfId="594"/>
    <cellStyle name="Normal 2 5 2 2 3 2 10" xfId="26523"/>
    <cellStyle name="Normal 2 5 2 2 3 2 2" xfId="734"/>
    <cellStyle name="Normal 2 5 2 2 3 2 2 2" xfId="3220"/>
    <cellStyle name="Normal 2 5 2 2 3 2 2 2 2" xfId="12362"/>
    <cellStyle name="Normal 2 5 2 2 3 2 2 2 2 2" xfId="22581"/>
    <cellStyle name="Normal 2 5 2 2 3 2 2 2 2 2 2" xfId="48134"/>
    <cellStyle name="Normal 2 5 2 2 3 2 2 2 2 3" xfId="37917"/>
    <cellStyle name="Normal 2 5 2 2 3 2 2 2 3" xfId="8784"/>
    <cellStyle name="Normal 2 5 2 2 3 2 2 2 3 2" xfId="34341"/>
    <cellStyle name="Normal 2 5 2 2 3 2 2 2 4" xfId="17574"/>
    <cellStyle name="Normal 2 5 2 2 3 2 2 2 4 2" xfId="43127"/>
    <cellStyle name="Normal 2 5 2 2 3 2 2 2 5" xfId="29064"/>
    <cellStyle name="Normal 2 5 2 2 3 2 2 3" xfId="4549"/>
    <cellStyle name="Normal 2 5 2 2 3 2 2 3 2" xfId="13387"/>
    <cellStyle name="Normal 2 5 2 2 3 2 2 3 2 2" xfId="23638"/>
    <cellStyle name="Normal 2 5 2 2 3 2 2 3 2 2 2" xfId="49191"/>
    <cellStyle name="Normal 2 5 2 2 3 2 2 3 2 3" xfId="38942"/>
    <cellStyle name="Normal 2 5 2 2 3 2 2 3 3" xfId="9808"/>
    <cellStyle name="Normal 2 5 2 2 3 2 2 3 3 2" xfId="35365"/>
    <cellStyle name="Normal 2 5 2 2 3 2 2 3 4" xfId="18631"/>
    <cellStyle name="Normal 2 5 2 2 3 2 2 3 4 2" xfId="44184"/>
    <cellStyle name="Normal 2 5 2 2 3 2 2 3 5" xfId="30121"/>
    <cellStyle name="Normal 2 5 2 2 3 2 2 4" xfId="2329"/>
    <cellStyle name="Normal 2 5 2 2 3 2 2 4 2" xfId="11694"/>
    <cellStyle name="Normal 2 5 2 2 3 2 2 4 2 2" xfId="37249"/>
    <cellStyle name="Normal 2 5 2 2 3 2 2 4 3" xfId="21698"/>
    <cellStyle name="Normal 2 5 2 2 3 2 2 4 3 2" xfId="47251"/>
    <cellStyle name="Normal 2 5 2 2 3 2 2 4 4" xfId="28181"/>
    <cellStyle name="Normal 2 5 2 2 3 2 2 5" xfId="6005"/>
    <cellStyle name="Normal 2 5 2 2 3 2 2 5 2" xfId="14832"/>
    <cellStyle name="Normal 2 5 2 2 3 2 2 5 2 2" xfId="40387"/>
    <cellStyle name="Normal 2 5 2 2 3 2 2 5 3" xfId="25083"/>
    <cellStyle name="Normal 2 5 2 2 3 2 2 5 3 2" xfId="50636"/>
    <cellStyle name="Normal 2 5 2 2 3 2 2 5 4" xfId="31566"/>
    <cellStyle name="Normal 2 5 2 2 3 2 2 6" xfId="7449"/>
    <cellStyle name="Normal 2 5 2 2 3 2 2 6 2" xfId="20180"/>
    <cellStyle name="Normal 2 5 2 2 3 2 2 6 2 2" xfId="45733"/>
    <cellStyle name="Normal 2 5 2 2 3 2 2 6 3" xfId="33006"/>
    <cellStyle name="Normal 2 5 2 2 3 2 2 7" xfId="16691"/>
    <cellStyle name="Normal 2 5 2 2 3 2 2 7 2" xfId="42244"/>
    <cellStyle name="Normal 2 5 2 2 3 2 2 8" xfId="26663"/>
    <cellStyle name="Normal 2 5 2 2 3 2 3" xfId="1366"/>
    <cellStyle name="Normal 2 5 2 2 3 2 3 2" xfId="3795"/>
    <cellStyle name="Normal 2 5 2 2 3 2 3 2 2" xfId="12931"/>
    <cellStyle name="Normal 2 5 2 2 3 2 3 2 2 2" xfId="23150"/>
    <cellStyle name="Normal 2 5 2 2 3 2 3 2 2 2 2" xfId="48703"/>
    <cellStyle name="Normal 2 5 2 2 3 2 3 2 2 3" xfId="38486"/>
    <cellStyle name="Normal 2 5 2 2 3 2 3 2 3" xfId="9352"/>
    <cellStyle name="Normal 2 5 2 2 3 2 3 2 3 2" xfId="34909"/>
    <cellStyle name="Normal 2 5 2 2 3 2 3 2 4" xfId="18143"/>
    <cellStyle name="Normal 2 5 2 2 3 2 3 2 4 2" xfId="43696"/>
    <cellStyle name="Normal 2 5 2 2 3 2 3 2 5" xfId="29633"/>
    <cellStyle name="Normal 2 5 2 2 3 2 3 3" xfId="4898"/>
    <cellStyle name="Normal 2 5 2 2 3 2 3 3 2" xfId="13735"/>
    <cellStyle name="Normal 2 5 2 2 3 2 3 3 2 2" xfId="23986"/>
    <cellStyle name="Normal 2 5 2 2 3 2 3 3 2 2 2" xfId="49539"/>
    <cellStyle name="Normal 2 5 2 2 3 2 3 3 2 3" xfId="39290"/>
    <cellStyle name="Normal 2 5 2 2 3 2 3 3 3" xfId="10156"/>
    <cellStyle name="Normal 2 5 2 2 3 2 3 3 3 2" xfId="35713"/>
    <cellStyle name="Normal 2 5 2 2 3 2 3 3 4" xfId="18979"/>
    <cellStyle name="Normal 2 5 2 2 3 2 3 3 4 2" xfId="44532"/>
    <cellStyle name="Normal 2 5 2 2 3 2 3 3 5" xfId="30469"/>
    <cellStyle name="Normal 2 5 2 2 3 2 3 4" xfId="2189"/>
    <cellStyle name="Normal 2 5 2 2 3 2 3 4 2" xfId="11554"/>
    <cellStyle name="Normal 2 5 2 2 3 2 3 4 2 2" xfId="37109"/>
    <cellStyle name="Normal 2 5 2 2 3 2 3 4 3" xfId="21558"/>
    <cellStyle name="Normal 2 5 2 2 3 2 3 4 3 2" xfId="47111"/>
    <cellStyle name="Normal 2 5 2 2 3 2 3 4 4" xfId="28041"/>
    <cellStyle name="Normal 2 5 2 2 3 2 3 5" xfId="6353"/>
    <cellStyle name="Normal 2 5 2 2 3 2 3 5 2" xfId="15180"/>
    <cellStyle name="Normal 2 5 2 2 3 2 3 5 2 2" xfId="40735"/>
    <cellStyle name="Normal 2 5 2 2 3 2 3 5 3" xfId="25431"/>
    <cellStyle name="Normal 2 5 2 2 3 2 3 5 3 2" xfId="50984"/>
    <cellStyle name="Normal 2 5 2 2 3 2 3 5 4" xfId="31914"/>
    <cellStyle name="Normal 2 5 2 2 3 2 3 6" xfId="7799"/>
    <cellStyle name="Normal 2 5 2 2 3 2 3 6 2" xfId="20749"/>
    <cellStyle name="Normal 2 5 2 2 3 2 3 6 2 2" xfId="46302"/>
    <cellStyle name="Normal 2 5 2 2 3 2 3 6 3" xfId="33356"/>
    <cellStyle name="Normal 2 5 2 2 3 2 3 7" xfId="16551"/>
    <cellStyle name="Normal 2 5 2 2 3 2 3 7 2" xfId="42104"/>
    <cellStyle name="Normal 2 5 2 2 3 2 3 8" xfId="27232"/>
    <cellStyle name="Normal 2 5 2 2 3 2 4" xfId="3080"/>
    <cellStyle name="Normal 2 5 2 2 3 2 4 2" xfId="5458"/>
    <cellStyle name="Normal 2 5 2 2 3 2 4 2 2" xfId="14295"/>
    <cellStyle name="Normal 2 5 2 2 3 2 4 2 2 2" xfId="24546"/>
    <cellStyle name="Normal 2 5 2 2 3 2 4 2 2 2 2" xfId="50099"/>
    <cellStyle name="Normal 2 5 2 2 3 2 4 2 2 3" xfId="39850"/>
    <cellStyle name="Normal 2 5 2 2 3 2 4 2 3" xfId="10716"/>
    <cellStyle name="Normal 2 5 2 2 3 2 4 2 3 2" xfId="36273"/>
    <cellStyle name="Normal 2 5 2 2 3 2 4 2 4" xfId="19539"/>
    <cellStyle name="Normal 2 5 2 2 3 2 4 2 4 2" xfId="45092"/>
    <cellStyle name="Normal 2 5 2 2 3 2 4 2 5" xfId="31029"/>
    <cellStyle name="Normal 2 5 2 2 3 2 4 3" xfId="6913"/>
    <cellStyle name="Normal 2 5 2 2 3 2 4 3 2" xfId="15740"/>
    <cellStyle name="Normal 2 5 2 2 3 2 4 3 2 2" xfId="41295"/>
    <cellStyle name="Normal 2 5 2 2 3 2 4 3 3" xfId="25991"/>
    <cellStyle name="Normal 2 5 2 2 3 2 4 3 3 2" xfId="51544"/>
    <cellStyle name="Normal 2 5 2 2 3 2 4 3 4" xfId="32474"/>
    <cellStyle name="Normal 2 5 2 2 3 2 4 4" xfId="8359"/>
    <cellStyle name="Normal 2 5 2 2 3 2 4 4 2" xfId="22441"/>
    <cellStyle name="Normal 2 5 2 2 3 2 4 4 2 2" xfId="47994"/>
    <cellStyle name="Normal 2 5 2 2 3 2 4 4 3" xfId="33916"/>
    <cellStyle name="Normal 2 5 2 2 3 2 4 5" xfId="17434"/>
    <cellStyle name="Normal 2 5 2 2 3 2 4 5 2" xfId="42987"/>
    <cellStyle name="Normal 2 5 2 2 3 2 4 6" xfId="28924"/>
    <cellStyle name="Normal 2 5 2 2 3 2 5" xfId="4414"/>
    <cellStyle name="Normal 2 5 2 2 3 2 5 2" xfId="13252"/>
    <cellStyle name="Normal 2 5 2 2 3 2 5 2 2" xfId="23503"/>
    <cellStyle name="Normal 2 5 2 2 3 2 5 2 2 2" xfId="49056"/>
    <cellStyle name="Normal 2 5 2 2 3 2 5 2 3" xfId="38807"/>
    <cellStyle name="Normal 2 5 2 2 3 2 5 3" xfId="9673"/>
    <cellStyle name="Normal 2 5 2 2 3 2 5 3 2" xfId="35230"/>
    <cellStyle name="Normal 2 5 2 2 3 2 5 4" xfId="18496"/>
    <cellStyle name="Normal 2 5 2 2 3 2 5 4 2" xfId="44049"/>
    <cellStyle name="Normal 2 5 2 2 3 2 5 5" xfId="29986"/>
    <cellStyle name="Normal 2 5 2 2 3 2 6" xfId="1686"/>
    <cellStyle name="Normal 2 5 2 2 3 2 6 2" xfId="11063"/>
    <cellStyle name="Normal 2 5 2 2 3 2 6 2 2" xfId="36618"/>
    <cellStyle name="Normal 2 5 2 2 3 2 6 3" xfId="21067"/>
    <cellStyle name="Normal 2 5 2 2 3 2 6 3 2" xfId="46620"/>
    <cellStyle name="Normal 2 5 2 2 3 2 6 4" xfId="27550"/>
    <cellStyle name="Normal 2 5 2 2 3 2 7" xfId="5870"/>
    <cellStyle name="Normal 2 5 2 2 3 2 7 2" xfId="14697"/>
    <cellStyle name="Normal 2 5 2 2 3 2 7 2 2" xfId="40252"/>
    <cellStyle name="Normal 2 5 2 2 3 2 7 3" xfId="24948"/>
    <cellStyle name="Normal 2 5 2 2 3 2 7 3 2" xfId="50501"/>
    <cellStyle name="Normal 2 5 2 2 3 2 7 4" xfId="31431"/>
    <cellStyle name="Normal 2 5 2 2 3 2 8" xfId="7314"/>
    <cellStyle name="Normal 2 5 2 2 3 2 8 2" xfId="20040"/>
    <cellStyle name="Normal 2 5 2 2 3 2 8 2 2" xfId="45593"/>
    <cellStyle name="Normal 2 5 2 2 3 2 8 3" xfId="32871"/>
    <cellStyle name="Normal 2 5 2 2 3 2 9" xfId="16060"/>
    <cellStyle name="Normal 2 5 2 2 3 2 9 2" xfId="41613"/>
    <cellStyle name="Normal 2 5 2 2 3 2_Degree data" xfId="3866"/>
    <cellStyle name="Normal 2 5 2 2 3 3" xfId="390"/>
    <cellStyle name="Normal 2 5 2 2 3 3 2" xfId="2876"/>
    <cellStyle name="Normal 2 5 2 2 3 3 2 2" xfId="12164"/>
    <cellStyle name="Normal 2 5 2 2 3 3 2 2 2" xfId="22237"/>
    <cellStyle name="Normal 2 5 2 2 3 3 2 2 2 2" xfId="47790"/>
    <cellStyle name="Normal 2 5 2 2 3 3 2 2 3" xfId="37719"/>
    <cellStyle name="Normal 2 5 2 2 3 3 2 3" xfId="8519"/>
    <cellStyle name="Normal 2 5 2 2 3 3 2 3 2" xfId="34076"/>
    <cellStyle name="Normal 2 5 2 2 3 3 2 4" xfId="17230"/>
    <cellStyle name="Normal 2 5 2 2 3 3 2 4 2" xfId="42783"/>
    <cellStyle name="Normal 2 5 2 2 3 3 2 5" xfId="28720"/>
    <cellStyle name="Normal 2 5 2 2 3 3 3" xfId="4548"/>
    <cellStyle name="Normal 2 5 2 2 3 3 3 2" xfId="13386"/>
    <cellStyle name="Normal 2 5 2 2 3 3 3 2 2" xfId="23637"/>
    <cellStyle name="Normal 2 5 2 2 3 3 3 2 2 2" xfId="49190"/>
    <cellStyle name="Normal 2 5 2 2 3 3 3 2 3" xfId="38941"/>
    <cellStyle name="Normal 2 5 2 2 3 3 3 3" xfId="9807"/>
    <cellStyle name="Normal 2 5 2 2 3 3 3 3 2" xfId="35364"/>
    <cellStyle name="Normal 2 5 2 2 3 3 3 4" xfId="18630"/>
    <cellStyle name="Normal 2 5 2 2 3 3 3 4 2" xfId="44183"/>
    <cellStyle name="Normal 2 5 2 2 3 3 3 5" xfId="30120"/>
    <cellStyle name="Normal 2 5 2 2 3 3 4" xfId="1985"/>
    <cellStyle name="Normal 2 5 2 2 3 3 4 2" xfId="11350"/>
    <cellStyle name="Normal 2 5 2 2 3 3 4 2 2" xfId="36905"/>
    <cellStyle name="Normal 2 5 2 2 3 3 4 3" xfId="21354"/>
    <cellStyle name="Normal 2 5 2 2 3 3 4 3 2" xfId="46907"/>
    <cellStyle name="Normal 2 5 2 2 3 3 4 4" xfId="27837"/>
    <cellStyle name="Normal 2 5 2 2 3 3 5" xfId="6004"/>
    <cellStyle name="Normal 2 5 2 2 3 3 5 2" xfId="14831"/>
    <cellStyle name="Normal 2 5 2 2 3 3 5 2 2" xfId="40386"/>
    <cellStyle name="Normal 2 5 2 2 3 3 5 3" xfId="25082"/>
    <cellStyle name="Normal 2 5 2 2 3 3 5 3 2" xfId="50635"/>
    <cellStyle name="Normal 2 5 2 2 3 3 5 4" xfId="31565"/>
    <cellStyle name="Normal 2 5 2 2 3 3 6" xfId="7448"/>
    <cellStyle name="Normal 2 5 2 2 3 3 6 2" xfId="19836"/>
    <cellStyle name="Normal 2 5 2 2 3 3 6 2 2" xfId="45389"/>
    <cellStyle name="Normal 2 5 2 2 3 3 6 3" xfId="33005"/>
    <cellStyle name="Normal 2 5 2 2 3 3 7" xfId="16347"/>
    <cellStyle name="Normal 2 5 2 2 3 3 7 2" xfId="41900"/>
    <cellStyle name="Normal 2 5 2 2 3 3 8" xfId="26319"/>
    <cellStyle name="Normal 2 5 2 2 3 4" xfId="733"/>
    <cellStyle name="Normal 2 5 2 2 3 4 2" xfId="3219"/>
    <cellStyle name="Normal 2 5 2 2 3 4 2 2" xfId="12361"/>
    <cellStyle name="Normal 2 5 2 2 3 4 2 2 2" xfId="22580"/>
    <cellStyle name="Normal 2 5 2 2 3 4 2 2 2 2" xfId="48133"/>
    <cellStyle name="Normal 2 5 2 2 3 4 2 2 3" xfId="37916"/>
    <cellStyle name="Normal 2 5 2 2 3 4 2 3" xfId="8783"/>
    <cellStyle name="Normal 2 5 2 2 3 4 2 3 2" xfId="34340"/>
    <cellStyle name="Normal 2 5 2 2 3 4 2 4" xfId="17573"/>
    <cellStyle name="Normal 2 5 2 2 3 4 2 4 2" xfId="43126"/>
    <cellStyle name="Normal 2 5 2 2 3 4 2 5" xfId="29063"/>
    <cellStyle name="Normal 2 5 2 2 3 4 3" xfId="4897"/>
    <cellStyle name="Normal 2 5 2 2 3 4 3 2" xfId="13734"/>
    <cellStyle name="Normal 2 5 2 2 3 4 3 2 2" xfId="23985"/>
    <cellStyle name="Normal 2 5 2 2 3 4 3 2 2 2" xfId="49538"/>
    <cellStyle name="Normal 2 5 2 2 3 4 3 2 3" xfId="39289"/>
    <cellStyle name="Normal 2 5 2 2 3 4 3 3" xfId="10155"/>
    <cellStyle name="Normal 2 5 2 2 3 4 3 3 2" xfId="35712"/>
    <cellStyle name="Normal 2 5 2 2 3 4 3 4" xfId="18978"/>
    <cellStyle name="Normal 2 5 2 2 3 4 3 4 2" xfId="44531"/>
    <cellStyle name="Normal 2 5 2 2 3 4 3 5" xfId="30468"/>
    <cellStyle name="Normal 2 5 2 2 3 4 4" xfId="2328"/>
    <cellStyle name="Normal 2 5 2 2 3 4 4 2" xfId="11693"/>
    <cellStyle name="Normal 2 5 2 2 3 4 4 2 2" xfId="37248"/>
    <cellStyle name="Normal 2 5 2 2 3 4 4 3" xfId="21697"/>
    <cellStyle name="Normal 2 5 2 2 3 4 4 3 2" xfId="47250"/>
    <cellStyle name="Normal 2 5 2 2 3 4 4 4" xfId="28180"/>
    <cellStyle name="Normal 2 5 2 2 3 4 5" xfId="6352"/>
    <cellStyle name="Normal 2 5 2 2 3 4 5 2" xfId="15179"/>
    <cellStyle name="Normal 2 5 2 2 3 4 5 2 2" xfId="40734"/>
    <cellStyle name="Normal 2 5 2 2 3 4 5 3" xfId="25430"/>
    <cellStyle name="Normal 2 5 2 2 3 4 5 3 2" xfId="50983"/>
    <cellStyle name="Normal 2 5 2 2 3 4 5 4" xfId="31913"/>
    <cellStyle name="Normal 2 5 2 2 3 4 6" xfId="7798"/>
    <cellStyle name="Normal 2 5 2 2 3 4 6 2" xfId="20179"/>
    <cellStyle name="Normal 2 5 2 2 3 4 6 2 2" xfId="45732"/>
    <cellStyle name="Normal 2 5 2 2 3 4 6 3" xfId="33355"/>
    <cellStyle name="Normal 2 5 2 2 3 4 7" xfId="16690"/>
    <cellStyle name="Normal 2 5 2 2 3 4 7 2" xfId="42243"/>
    <cellStyle name="Normal 2 5 2 2 3 4 8" xfId="26662"/>
    <cellStyle name="Normal 2 5 2 2 3 5" xfId="1162"/>
    <cellStyle name="Normal 2 5 2 2 3 5 2" xfId="3591"/>
    <cellStyle name="Normal 2 5 2 2 3 5 2 2" xfId="12727"/>
    <cellStyle name="Normal 2 5 2 2 3 5 2 2 2" xfId="22946"/>
    <cellStyle name="Normal 2 5 2 2 3 5 2 2 2 2" xfId="48499"/>
    <cellStyle name="Normal 2 5 2 2 3 5 2 2 3" xfId="38282"/>
    <cellStyle name="Normal 2 5 2 2 3 5 2 3" xfId="9148"/>
    <cellStyle name="Normal 2 5 2 2 3 5 2 3 2" xfId="34705"/>
    <cellStyle name="Normal 2 5 2 2 3 5 2 4" xfId="17939"/>
    <cellStyle name="Normal 2 5 2 2 3 5 2 4 2" xfId="43492"/>
    <cellStyle name="Normal 2 5 2 2 3 5 2 5" xfId="29429"/>
    <cellStyle name="Normal 2 5 2 2 3 5 3" xfId="5254"/>
    <cellStyle name="Normal 2 5 2 2 3 5 3 2" xfId="14091"/>
    <cellStyle name="Normal 2 5 2 2 3 5 3 2 2" xfId="24342"/>
    <cellStyle name="Normal 2 5 2 2 3 5 3 2 2 2" xfId="49895"/>
    <cellStyle name="Normal 2 5 2 2 3 5 3 2 3" xfId="39646"/>
    <cellStyle name="Normal 2 5 2 2 3 5 3 3" xfId="10512"/>
    <cellStyle name="Normal 2 5 2 2 3 5 3 3 2" xfId="36069"/>
    <cellStyle name="Normal 2 5 2 2 3 5 3 4" xfId="19335"/>
    <cellStyle name="Normal 2 5 2 2 3 5 3 4 2" xfId="44888"/>
    <cellStyle name="Normal 2 5 2 2 3 5 3 5" xfId="30825"/>
    <cellStyle name="Normal 2 5 2 2 3 5 4" xfId="1869"/>
    <cellStyle name="Normal 2 5 2 2 3 5 4 2" xfId="11237"/>
    <cellStyle name="Normal 2 5 2 2 3 5 4 2 2" xfId="36792"/>
    <cellStyle name="Normal 2 5 2 2 3 5 4 3" xfId="21241"/>
    <cellStyle name="Normal 2 5 2 2 3 5 4 3 2" xfId="46794"/>
    <cellStyle name="Normal 2 5 2 2 3 5 4 4" xfId="27724"/>
    <cellStyle name="Normal 2 5 2 2 3 5 5" xfId="6709"/>
    <cellStyle name="Normal 2 5 2 2 3 5 5 2" xfId="15536"/>
    <cellStyle name="Normal 2 5 2 2 3 5 5 2 2" xfId="41091"/>
    <cellStyle name="Normal 2 5 2 2 3 5 5 3" xfId="25787"/>
    <cellStyle name="Normal 2 5 2 2 3 5 5 3 2" xfId="51340"/>
    <cellStyle name="Normal 2 5 2 2 3 5 5 4" xfId="32270"/>
    <cellStyle name="Normal 2 5 2 2 3 5 6" xfId="8155"/>
    <cellStyle name="Normal 2 5 2 2 3 5 6 2" xfId="20545"/>
    <cellStyle name="Normal 2 5 2 2 3 5 6 2 2" xfId="46098"/>
    <cellStyle name="Normal 2 5 2 2 3 5 6 3" xfId="33712"/>
    <cellStyle name="Normal 2 5 2 2 3 5 7" xfId="16234"/>
    <cellStyle name="Normal 2 5 2 2 3 5 7 2" xfId="41787"/>
    <cellStyle name="Normal 2 5 2 2 3 5 8" xfId="27028"/>
    <cellStyle name="Normal 2 5 2 2 3 6" xfId="2763"/>
    <cellStyle name="Normal 2 5 2 2 3 6 2" xfId="12080"/>
    <cellStyle name="Normal 2 5 2 2 3 6 2 2" xfId="22124"/>
    <cellStyle name="Normal 2 5 2 2 3 6 2 2 2" xfId="47677"/>
    <cellStyle name="Normal 2 5 2 2 3 6 2 3" xfId="37635"/>
    <cellStyle name="Normal 2 5 2 2 3 6 3" xfId="8540"/>
    <cellStyle name="Normal 2 5 2 2 3 6 3 2" xfId="34097"/>
    <cellStyle name="Normal 2 5 2 2 3 6 4" xfId="17117"/>
    <cellStyle name="Normal 2 5 2 2 3 6 4 2" xfId="42670"/>
    <cellStyle name="Normal 2 5 2 2 3 6 5" xfId="28607"/>
    <cellStyle name="Normal 2 5 2 2 3 7" xfId="4210"/>
    <cellStyle name="Normal 2 5 2 2 3 7 2" xfId="13048"/>
    <cellStyle name="Normal 2 5 2 2 3 7 2 2" xfId="23299"/>
    <cellStyle name="Normal 2 5 2 2 3 7 2 2 2" xfId="48852"/>
    <cellStyle name="Normal 2 5 2 2 3 7 2 3" xfId="38603"/>
    <cellStyle name="Normal 2 5 2 2 3 7 3" xfId="9469"/>
    <cellStyle name="Normal 2 5 2 2 3 7 3 2" xfId="35026"/>
    <cellStyle name="Normal 2 5 2 2 3 7 4" xfId="18292"/>
    <cellStyle name="Normal 2 5 2 2 3 7 4 2" xfId="43845"/>
    <cellStyle name="Normal 2 5 2 2 3 7 5" xfId="29782"/>
    <cellStyle name="Normal 2 5 2 2 3 8" xfId="1482"/>
    <cellStyle name="Normal 2 5 2 2 3 8 2" xfId="10859"/>
    <cellStyle name="Normal 2 5 2 2 3 8 2 2" xfId="36414"/>
    <cellStyle name="Normal 2 5 2 2 3 8 3" xfId="20863"/>
    <cellStyle name="Normal 2 5 2 2 3 8 3 2" xfId="46416"/>
    <cellStyle name="Normal 2 5 2 2 3 8 4" xfId="27346"/>
    <cellStyle name="Normal 2 5 2 2 3 9" xfId="5666"/>
    <cellStyle name="Normal 2 5 2 2 3 9 2" xfId="14493"/>
    <cellStyle name="Normal 2 5 2 2 3 9 2 2" xfId="40048"/>
    <cellStyle name="Normal 2 5 2 2 3 9 3" xfId="24744"/>
    <cellStyle name="Normal 2 5 2 2 3 9 3 2" xfId="50297"/>
    <cellStyle name="Normal 2 5 2 2 3 9 4" xfId="31227"/>
    <cellStyle name="Normal 2 5 2 2 3_Degree data" xfId="3821"/>
    <cellStyle name="Normal 2 5 2 2 4" xfId="490"/>
    <cellStyle name="Normal 2 5 2 2 4 10" xfId="26419"/>
    <cellStyle name="Normal 2 5 2 2 4 2" xfId="735"/>
    <cellStyle name="Normal 2 5 2 2 4 2 2" xfId="3221"/>
    <cellStyle name="Normal 2 5 2 2 4 2 2 2" xfId="12363"/>
    <cellStyle name="Normal 2 5 2 2 4 2 2 2 2" xfId="22582"/>
    <cellStyle name="Normal 2 5 2 2 4 2 2 2 2 2" xfId="48135"/>
    <cellStyle name="Normal 2 5 2 2 4 2 2 2 3" xfId="37918"/>
    <cellStyle name="Normal 2 5 2 2 4 2 2 3" xfId="8785"/>
    <cellStyle name="Normal 2 5 2 2 4 2 2 3 2" xfId="34342"/>
    <cellStyle name="Normal 2 5 2 2 4 2 2 4" xfId="17575"/>
    <cellStyle name="Normal 2 5 2 2 4 2 2 4 2" xfId="43128"/>
    <cellStyle name="Normal 2 5 2 2 4 2 2 5" xfId="29065"/>
    <cellStyle name="Normal 2 5 2 2 4 2 3" xfId="4550"/>
    <cellStyle name="Normal 2 5 2 2 4 2 3 2" xfId="13388"/>
    <cellStyle name="Normal 2 5 2 2 4 2 3 2 2" xfId="23639"/>
    <cellStyle name="Normal 2 5 2 2 4 2 3 2 2 2" xfId="49192"/>
    <cellStyle name="Normal 2 5 2 2 4 2 3 2 3" xfId="38943"/>
    <cellStyle name="Normal 2 5 2 2 4 2 3 3" xfId="9809"/>
    <cellStyle name="Normal 2 5 2 2 4 2 3 3 2" xfId="35366"/>
    <cellStyle name="Normal 2 5 2 2 4 2 3 4" xfId="18632"/>
    <cellStyle name="Normal 2 5 2 2 4 2 3 4 2" xfId="44185"/>
    <cellStyle name="Normal 2 5 2 2 4 2 3 5" xfId="30122"/>
    <cellStyle name="Normal 2 5 2 2 4 2 4" xfId="2330"/>
    <cellStyle name="Normal 2 5 2 2 4 2 4 2" xfId="11695"/>
    <cellStyle name="Normal 2 5 2 2 4 2 4 2 2" xfId="37250"/>
    <cellStyle name="Normal 2 5 2 2 4 2 4 3" xfId="21699"/>
    <cellStyle name="Normal 2 5 2 2 4 2 4 3 2" xfId="47252"/>
    <cellStyle name="Normal 2 5 2 2 4 2 4 4" xfId="28182"/>
    <cellStyle name="Normal 2 5 2 2 4 2 5" xfId="6006"/>
    <cellStyle name="Normal 2 5 2 2 4 2 5 2" xfId="14833"/>
    <cellStyle name="Normal 2 5 2 2 4 2 5 2 2" xfId="40388"/>
    <cellStyle name="Normal 2 5 2 2 4 2 5 3" xfId="25084"/>
    <cellStyle name="Normal 2 5 2 2 4 2 5 3 2" xfId="50637"/>
    <cellStyle name="Normal 2 5 2 2 4 2 5 4" xfId="31567"/>
    <cellStyle name="Normal 2 5 2 2 4 2 6" xfId="7450"/>
    <cellStyle name="Normal 2 5 2 2 4 2 6 2" xfId="20181"/>
    <cellStyle name="Normal 2 5 2 2 4 2 6 2 2" xfId="45734"/>
    <cellStyle name="Normal 2 5 2 2 4 2 6 3" xfId="33007"/>
    <cellStyle name="Normal 2 5 2 2 4 2 7" xfId="16692"/>
    <cellStyle name="Normal 2 5 2 2 4 2 7 2" xfId="42245"/>
    <cellStyle name="Normal 2 5 2 2 4 2 8" xfId="26664"/>
    <cellStyle name="Normal 2 5 2 2 4 3" xfId="1262"/>
    <cellStyle name="Normal 2 5 2 2 4 3 2" xfId="3691"/>
    <cellStyle name="Normal 2 5 2 2 4 3 2 2" xfId="12827"/>
    <cellStyle name="Normal 2 5 2 2 4 3 2 2 2" xfId="23046"/>
    <cellStyle name="Normal 2 5 2 2 4 3 2 2 2 2" xfId="48599"/>
    <cellStyle name="Normal 2 5 2 2 4 3 2 2 3" xfId="38382"/>
    <cellStyle name="Normal 2 5 2 2 4 3 2 3" xfId="9248"/>
    <cellStyle name="Normal 2 5 2 2 4 3 2 3 2" xfId="34805"/>
    <cellStyle name="Normal 2 5 2 2 4 3 2 4" xfId="18039"/>
    <cellStyle name="Normal 2 5 2 2 4 3 2 4 2" xfId="43592"/>
    <cellStyle name="Normal 2 5 2 2 4 3 2 5" xfId="29529"/>
    <cellStyle name="Normal 2 5 2 2 4 3 3" xfId="4899"/>
    <cellStyle name="Normal 2 5 2 2 4 3 3 2" xfId="13736"/>
    <cellStyle name="Normal 2 5 2 2 4 3 3 2 2" xfId="23987"/>
    <cellStyle name="Normal 2 5 2 2 4 3 3 2 2 2" xfId="49540"/>
    <cellStyle name="Normal 2 5 2 2 4 3 3 2 3" xfId="39291"/>
    <cellStyle name="Normal 2 5 2 2 4 3 3 3" xfId="10157"/>
    <cellStyle name="Normal 2 5 2 2 4 3 3 3 2" xfId="35714"/>
    <cellStyle name="Normal 2 5 2 2 4 3 3 4" xfId="18980"/>
    <cellStyle name="Normal 2 5 2 2 4 3 3 4 2" xfId="44533"/>
    <cellStyle name="Normal 2 5 2 2 4 3 3 5" xfId="30470"/>
    <cellStyle name="Normal 2 5 2 2 4 3 4" xfId="2085"/>
    <cellStyle name="Normal 2 5 2 2 4 3 4 2" xfId="11450"/>
    <cellStyle name="Normal 2 5 2 2 4 3 4 2 2" xfId="37005"/>
    <cellStyle name="Normal 2 5 2 2 4 3 4 3" xfId="21454"/>
    <cellStyle name="Normal 2 5 2 2 4 3 4 3 2" xfId="47007"/>
    <cellStyle name="Normal 2 5 2 2 4 3 4 4" xfId="27937"/>
    <cellStyle name="Normal 2 5 2 2 4 3 5" xfId="6354"/>
    <cellStyle name="Normal 2 5 2 2 4 3 5 2" xfId="15181"/>
    <cellStyle name="Normal 2 5 2 2 4 3 5 2 2" xfId="40736"/>
    <cellStyle name="Normal 2 5 2 2 4 3 5 3" xfId="25432"/>
    <cellStyle name="Normal 2 5 2 2 4 3 5 3 2" xfId="50985"/>
    <cellStyle name="Normal 2 5 2 2 4 3 5 4" xfId="31915"/>
    <cellStyle name="Normal 2 5 2 2 4 3 6" xfId="7800"/>
    <cellStyle name="Normal 2 5 2 2 4 3 6 2" xfId="20645"/>
    <cellStyle name="Normal 2 5 2 2 4 3 6 2 2" xfId="46198"/>
    <cellStyle name="Normal 2 5 2 2 4 3 6 3" xfId="33357"/>
    <cellStyle name="Normal 2 5 2 2 4 3 7" xfId="16447"/>
    <cellStyle name="Normal 2 5 2 2 4 3 7 2" xfId="42000"/>
    <cellStyle name="Normal 2 5 2 2 4 3 8" xfId="27128"/>
    <cellStyle name="Normal 2 5 2 2 4 4" xfId="2976"/>
    <cellStyle name="Normal 2 5 2 2 4 4 2" xfId="5354"/>
    <cellStyle name="Normal 2 5 2 2 4 4 2 2" xfId="14191"/>
    <cellStyle name="Normal 2 5 2 2 4 4 2 2 2" xfId="24442"/>
    <cellStyle name="Normal 2 5 2 2 4 4 2 2 2 2" xfId="49995"/>
    <cellStyle name="Normal 2 5 2 2 4 4 2 2 3" xfId="39746"/>
    <cellStyle name="Normal 2 5 2 2 4 4 2 3" xfId="10612"/>
    <cellStyle name="Normal 2 5 2 2 4 4 2 3 2" xfId="36169"/>
    <cellStyle name="Normal 2 5 2 2 4 4 2 4" xfId="19435"/>
    <cellStyle name="Normal 2 5 2 2 4 4 2 4 2" xfId="44988"/>
    <cellStyle name="Normal 2 5 2 2 4 4 2 5" xfId="30925"/>
    <cellStyle name="Normal 2 5 2 2 4 4 3" xfId="6809"/>
    <cellStyle name="Normal 2 5 2 2 4 4 3 2" xfId="15636"/>
    <cellStyle name="Normal 2 5 2 2 4 4 3 2 2" xfId="41191"/>
    <cellStyle name="Normal 2 5 2 2 4 4 3 3" xfId="25887"/>
    <cellStyle name="Normal 2 5 2 2 4 4 3 3 2" xfId="51440"/>
    <cellStyle name="Normal 2 5 2 2 4 4 3 4" xfId="32370"/>
    <cellStyle name="Normal 2 5 2 2 4 4 4" xfId="8255"/>
    <cellStyle name="Normal 2 5 2 2 4 4 4 2" xfId="22337"/>
    <cellStyle name="Normal 2 5 2 2 4 4 4 2 2" xfId="47890"/>
    <cellStyle name="Normal 2 5 2 2 4 4 4 3" xfId="33812"/>
    <cellStyle name="Normal 2 5 2 2 4 4 5" xfId="17330"/>
    <cellStyle name="Normal 2 5 2 2 4 4 5 2" xfId="42883"/>
    <cellStyle name="Normal 2 5 2 2 4 4 6" xfId="28820"/>
    <cellStyle name="Normal 2 5 2 2 4 5" xfId="4310"/>
    <cellStyle name="Normal 2 5 2 2 4 5 2" xfId="13148"/>
    <cellStyle name="Normal 2 5 2 2 4 5 2 2" xfId="23399"/>
    <cellStyle name="Normal 2 5 2 2 4 5 2 2 2" xfId="48952"/>
    <cellStyle name="Normal 2 5 2 2 4 5 2 3" xfId="38703"/>
    <cellStyle name="Normal 2 5 2 2 4 5 3" xfId="9569"/>
    <cellStyle name="Normal 2 5 2 2 4 5 3 2" xfId="35126"/>
    <cellStyle name="Normal 2 5 2 2 4 5 4" xfId="18392"/>
    <cellStyle name="Normal 2 5 2 2 4 5 4 2" xfId="43945"/>
    <cellStyle name="Normal 2 5 2 2 4 5 5" xfId="29882"/>
    <cellStyle name="Normal 2 5 2 2 4 6" xfId="1582"/>
    <cellStyle name="Normal 2 5 2 2 4 6 2" xfId="10959"/>
    <cellStyle name="Normal 2 5 2 2 4 6 2 2" xfId="36514"/>
    <cellStyle name="Normal 2 5 2 2 4 6 3" xfId="20963"/>
    <cellStyle name="Normal 2 5 2 2 4 6 3 2" xfId="46516"/>
    <cellStyle name="Normal 2 5 2 2 4 6 4" xfId="27446"/>
    <cellStyle name="Normal 2 5 2 2 4 7" xfId="5766"/>
    <cellStyle name="Normal 2 5 2 2 4 7 2" xfId="14593"/>
    <cellStyle name="Normal 2 5 2 2 4 7 2 2" xfId="40148"/>
    <cellStyle name="Normal 2 5 2 2 4 7 3" xfId="24844"/>
    <cellStyle name="Normal 2 5 2 2 4 7 3 2" xfId="50397"/>
    <cellStyle name="Normal 2 5 2 2 4 7 4" xfId="31327"/>
    <cellStyle name="Normal 2 5 2 2 4 8" xfId="7210"/>
    <cellStyle name="Normal 2 5 2 2 4 8 2" xfId="19936"/>
    <cellStyle name="Normal 2 5 2 2 4 8 2 2" xfId="45489"/>
    <cellStyle name="Normal 2 5 2 2 4 8 3" xfId="32767"/>
    <cellStyle name="Normal 2 5 2 2 4 9" xfId="15956"/>
    <cellStyle name="Normal 2 5 2 2 4 9 2" xfId="41509"/>
    <cellStyle name="Normal 2 5 2 2 4_Degree data" xfId="3847"/>
    <cellStyle name="Normal 2 5 2 2 5" xfId="333"/>
    <cellStyle name="Normal 2 5 2 2 5 10" xfId="26262"/>
    <cellStyle name="Normal 2 5 2 2 5 2" xfId="736"/>
    <cellStyle name="Normal 2 5 2 2 5 2 2" xfId="3222"/>
    <cellStyle name="Normal 2 5 2 2 5 2 2 2" xfId="12364"/>
    <cellStyle name="Normal 2 5 2 2 5 2 2 2 2" xfId="22583"/>
    <cellStyle name="Normal 2 5 2 2 5 2 2 2 2 2" xfId="48136"/>
    <cellStyle name="Normal 2 5 2 2 5 2 2 2 3" xfId="37919"/>
    <cellStyle name="Normal 2 5 2 2 5 2 2 3" xfId="8786"/>
    <cellStyle name="Normal 2 5 2 2 5 2 2 3 2" xfId="34343"/>
    <cellStyle name="Normal 2 5 2 2 5 2 2 4" xfId="17576"/>
    <cellStyle name="Normal 2 5 2 2 5 2 2 4 2" xfId="43129"/>
    <cellStyle name="Normal 2 5 2 2 5 2 2 5" xfId="29066"/>
    <cellStyle name="Normal 2 5 2 2 5 2 3" xfId="4551"/>
    <cellStyle name="Normal 2 5 2 2 5 2 3 2" xfId="13389"/>
    <cellStyle name="Normal 2 5 2 2 5 2 3 2 2" xfId="23640"/>
    <cellStyle name="Normal 2 5 2 2 5 2 3 2 2 2" xfId="49193"/>
    <cellStyle name="Normal 2 5 2 2 5 2 3 2 3" xfId="38944"/>
    <cellStyle name="Normal 2 5 2 2 5 2 3 3" xfId="9810"/>
    <cellStyle name="Normal 2 5 2 2 5 2 3 3 2" xfId="35367"/>
    <cellStyle name="Normal 2 5 2 2 5 2 3 4" xfId="18633"/>
    <cellStyle name="Normal 2 5 2 2 5 2 3 4 2" xfId="44186"/>
    <cellStyle name="Normal 2 5 2 2 5 2 3 5" xfId="30123"/>
    <cellStyle name="Normal 2 5 2 2 5 2 4" xfId="2331"/>
    <cellStyle name="Normal 2 5 2 2 5 2 4 2" xfId="11696"/>
    <cellStyle name="Normal 2 5 2 2 5 2 4 2 2" xfId="37251"/>
    <cellStyle name="Normal 2 5 2 2 5 2 4 3" xfId="21700"/>
    <cellStyle name="Normal 2 5 2 2 5 2 4 3 2" xfId="47253"/>
    <cellStyle name="Normal 2 5 2 2 5 2 4 4" xfId="28183"/>
    <cellStyle name="Normal 2 5 2 2 5 2 5" xfId="6007"/>
    <cellStyle name="Normal 2 5 2 2 5 2 5 2" xfId="14834"/>
    <cellStyle name="Normal 2 5 2 2 5 2 5 2 2" xfId="40389"/>
    <cellStyle name="Normal 2 5 2 2 5 2 5 3" xfId="25085"/>
    <cellStyle name="Normal 2 5 2 2 5 2 5 3 2" xfId="50638"/>
    <cellStyle name="Normal 2 5 2 2 5 2 5 4" xfId="31568"/>
    <cellStyle name="Normal 2 5 2 2 5 2 6" xfId="7451"/>
    <cellStyle name="Normal 2 5 2 2 5 2 6 2" xfId="20182"/>
    <cellStyle name="Normal 2 5 2 2 5 2 6 2 2" xfId="45735"/>
    <cellStyle name="Normal 2 5 2 2 5 2 6 3" xfId="33008"/>
    <cellStyle name="Normal 2 5 2 2 5 2 7" xfId="16693"/>
    <cellStyle name="Normal 2 5 2 2 5 2 7 2" xfId="42246"/>
    <cellStyle name="Normal 2 5 2 2 5 2 8" xfId="26665"/>
    <cellStyle name="Normal 2 5 2 2 5 3" xfId="1105"/>
    <cellStyle name="Normal 2 5 2 2 5 3 2" xfId="3534"/>
    <cellStyle name="Normal 2 5 2 2 5 3 2 2" xfId="12670"/>
    <cellStyle name="Normal 2 5 2 2 5 3 2 2 2" xfId="22889"/>
    <cellStyle name="Normal 2 5 2 2 5 3 2 2 2 2" xfId="48442"/>
    <cellStyle name="Normal 2 5 2 2 5 3 2 2 3" xfId="38225"/>
    <cellStyle name="Normal 2 5 2 2 5 3 2 3" xfId="9091"/>
    <cellStyle name="Normal 2 5 2 2 5 3 2 3 2" xfId="34648"/>
    <cellStyle name="Normal 2 5 2 2 5 3 2 4" xfId="17882"/>
    <cellStyle name="Normal 2 5 2 2 5 3 2 4 2" xfId="43435"/>
    <cellStyle name="Normal 2 5 2 2 5 3 2 5" xfId="29372"/>
    <cellStyle name="Normal 2 5 2 2 5 3 3" xfId="4900"/>
    <cellStyle name="Normal 2 5 2 2 5 3 3 2" xfId="13737"/>
    <cellStyle name="Normal 2 5 2 2 5 3 3 2 2" xfId="23988"/>
    <cellStyle name="Normal 2 5 2 2 5 3 3 2 2 2" xfId="49541"/>
    <cellStyle name="Normal 2 5 2 2 5 3 3 2 3" xfId="39292"/>
    <cellStyle name="Normal 2 5 2 2 5 3 3 3" xfId="10158"/>
    <cellStyle name="Normal 2 5 2 2 5 3 3 3 2" xfId="35715"/>
    <cellStyle name="Normal 2 5 2 2 5 3 3 4" xfId="18981"/>
    <cellStyle name="Normal 2 5 2 2 5 3 3 4 2" xfId="44534"/>
    <cellStyle name="Normal 2 5 2 2 5 3 3 5" xfId="30471"/>
    <cellStyle name="Normal 2 5 2 2 5 3 4" xfId="2586"/>
    <cellStyle name="Normal 2 5 2 2 5 3 4 2" xfId="11950"/>
    <cellStyle name="Normal 2 5 2 2 5 3 4 2 2" xfId="37505"/>
    <cellStyle name="Normal 2 5 2 2 5 3 4 3" xfId="21954"/>
    <cellStyle name="Normal 2 5 2 2 5 3 4 3 2" xfId="47507"/>
    <cellStyle name="Normal 2 5 2 2 5 3 4 4" xfId="28437"/>
    <cellStyle name="Normal 2 5 2 2 5 3 5" xfId="6355"/>
    <cellStyle name="Normal 2 5 2 2 5 3 5 2" xfId="15182"/>
    <cellStyle name="Normal 2 5 2 2 5 3 5 2 2" xfId="40737"/>
    <cellStyle name="Normal 2 5 2 2 5 3 5 3" xfId="25433"/>
    <cellStyle name="Normal 2 5 2 2 5 3 5 3 2" xfId="50986"/>
    <cellStyle name="Normal 2 5 2 2 5 3 5 4" xfId="31916"/>
    <cellStyle name="Normal 2 5 2 2 5 3 6" xfId="7801"/>
    <cellStyle name="Normal 2 5 2 2 5 3 6 2" xfId="20488"/>
    <cellStyle name="Normal 2 5 2 2 5 3 6 2 2" xfId="46041"/>
    <cellStyle name="Normal 2 5 2 2 5 3 6 3" xfId="33358"/>
    <cellStyle name="Normal 2 5 2 2 5 3 7" xfId="16947"/>
    <cellStyle name="Normal 2 5 2 2 5 3 7 2" xfId="42500"/>
    <cellStyle name="Normal 2 5 2 2 5 3 8" xfId="26971"/>
    <cellStyle name="Normal 2 5 2 2 5 4" xfId="2819"/>
    <cellStyle name="Normal 2 5 2 2 5 4 2" xfId="5197"/>
    <cellStyle name="Normal 2 5 2 2 5 4 2 2" xfId="14034"/>
    <cellStyle name="Normal 2 5 2 2 5 4 2 2 2" xfId="24285"/>
    <cellStyle name="Normal 2 5 2 2 5 4 2 2 2 2" xfId="49838"/>
    <cellStyle name="Normal 2 5 2 2 5 4 2 2 3" xfId="39589"/>
    <cellStyle name="Normal 2 5 2 2 5 4 2 3" xfId="10455"/>
    <cellStyle name="Normal 2 5 2 2 5 4 2 3 2" xfId="36012"/>
    <cellStyle name="Normal 2 5 2 2 5 4 2 4" xfId="19278"/>
    <cellStyle name="Normal 2 5 2 2 5 4 2 4 2" xfId="44831"/>
    <cellStyle name="Normal 2 5 2 2 5 4 2 5" xfId="30768"/>
    <cellStyle name="Normal 2 5 2 2 5 4 3" xfId="6652"/>
    <cellStyle name="Normal 2 5 2 2 5 4 3 2" xfId="15479"/>
    <cellStyle name="Normal 2 5 2 2 5 4 3 2 2" xfId="41034"/>
    <cellStyle name="Normal 2 5 2 2 5 4 3 3" xfId="25730"/>
    <cellStyle name="Normal 2 5 2 2 5 4 3 3 2" xfId="51283"/>
    <cellStyle name="Normal 2 5 2 2 5 4 3 4" xfId="32213"/>
    <cellStyle name="Normal 2 5 2 2 5 4 4" xfId="8098"/>
    <cellStyle name="Normal 2 5 2 2 5 4 4 2" xfId="22180"/>
    <cellStyle name="Normal 2 5 2 2 5 4 4 2 2" xfId="47733"/>
    <cellStyle name="Normal 2 5 2 2 5 4 4 3" xfId="33655"/>
    <cellStyle name="Normal 2 5 2 2 5 4 5" xfId="17173"/>
    <cellStyle name="Normal 2 5 2 2 5 4 5 2" xfId="42726"/>
    <cellStyle name="Normal 2 5 2 2 5 4 6" xfId="28663"/>
    <cellStyle name="Normal 2 5 2 2 5 5" xfId="4151"/>
    <cellStyle name="Normal 2 5 2 2 5 5 2" xfId="12989"/>
    <cellStyle name="Normal 2 5 2 2 5 5 2 2" xfId="23240"/>
    <cellStyle name="Normal 2 5 2 2 5 5 2 2 2" xfId="48793"/>
    <cellStyle name="Normal 2 5 2 2 5 5 2 3" xfId="38544"/>
    <cellStyle name="Normal 2 5 2 2 5 5 3" xfId="9410"/>
    <cellStyle name="Normal 2 5 2 2 5 5 3 2" xfId="34967"/>
    <cellStyle name="Normal 2 5 2 2 5 5 4" xfId="18233"/>
    <cellStyle name="Normal 2 5 2 2 5 5 4 2" xfId="43786"/>
    <cellStyle name="Normal 2 5 2 2 5 5 5" xfId="29723"/>
    <cellStyle name="Normal 2 5 2 2 5 6" xfId="1928"/>
    <cellStyle name="Normal 2 5 2 2 5 6 2" xfId="11293"/>
    <cellStyle name="Normal 2 5 2 2 5 6 2 2" xfId="36848"/>
    <cellStyle name="Normal 2 5 2 2 5 6 3" xfId="21297"/>
    <cellStyle name="Normal 2 5 2 2 5 6 3 2" xfId="46850"/>
    <cellStyle name="Normal 2 5 2 2 5 6 4" xfId="27780"/>
    <cellStyle name="Normal 2 5 2 2 5 7" xfId="5609"/>
    <cellStyle name="Normal 2 5 2 2 5 7 2" xfId="14436"/>
    <cellStyle name="Normal 2 5 2 2 5 7 2 2" xfId="39991"/>
    <cellStyle name="Normal 2 5 2 2 5 7 3" xfId="24687"/>
    <cellStyle name="Normal 2 5 2 2 5 7 3 2" xfId="50240"/>
    <cellStyle name="Normal 2 5 2 2 5 7 4" xfId="31170"/>
    <cellStyle name="Normal 2 5 2 2 5 8" xfId="7053"/>
    <cellStyle name="Normal 2 5 2 2 5 8 2" xfId="19779"/>
    <cellStyle name="Normal 2 5 2 2 5 8 2 2" xfId="45332"/>
    <cellStyle name="Normal 2 5 2 2 5 8 3" xfId="32610"/>
    <cellStyle name="Normal 2 5 2 2 5 9" xfId="16290"/>
    <cellStyle name="Normal 2 5 2 2 5 9 2" xfId="41843"/>
    <cellStyle name="Normal 2 5 2 2 5_Degree data" xfId="3817"/>
    <cellStyle name="Normal 2 5 2 2 6" xfId="730"/>
    <cellStyle name="Normal 2 5 2 2 6 2" xfId="3216"/>
    <cellStyle name="Normal 2 5 2 2 6 2 2" xfId="12358"/>
    <cellStyle name="Normal 2 5 2 2 6 2 2 2" xfId="22577"/>
    <cellStyle name="Normal 2 5 2 2 6 2 2 2 2" xfId="48130"/>
    <cellStyle name="Normal 2 5 2 2 6 2 2 3" xfId="37913"/>
    <cellStyle name="Normal 2 5 2 2 6 2 3" xfId="8780"/>
    <cellStyle name="Normal 2 5 2 2 6 2 3 2" xfId="34337"/>
    <cellStyle name="Normal 2 5 2 2 6 2 4" xfId="17570"/>
    <cellStyle name="Normal 2 5 2 2 6 2 4 2" xfId="43123"/>
    <cellStyle name="Normal 2 5 2 2 6 2 5" xfId="29060"/>
    <cellStyle name="Normal 2 5 2 2 6 3" xfId="4545"/>
    <cellStyle name="Normal 2 5 2 2 6 3 2" xfId="13383"/>
    <cellStyle name="Normal 2 5 2 2 6 3 2 2" xfId="23634"/>
    <cellStyle name="Normal 2 5 2 2 6 3 2 2 2" xfId="49187"/>
    <cellStyle name="Normal 2 5 2 2 6 3 2 3" xfId="38938"/>
    <cellStyle name="Normal 2 5 2 2 6 3 3" xfId="9804"/>
    <cellStyle name="Normal 2 5 2 2 6 3 3 2" xfId="35361"/>
    <cellStyle name="Normal 2 5 2 2 6 3 4" xfId="18627"/>
    <cellStyle name="Normal 2 5 2 2 6 3 4 2" xfId="44180"/>
    <cellStyle name="Normal 2 5 2 2 6 3 5" xfId="30117"/>
    <cellStyle name="Normal 2 5 2 2 6 4" xfId="2325"/>
    <cellStyle name="Normal 2 5 2 2 6 4 2" xfId="11690"/>
    <cellStyle name="Normal 2 5 2 2 6 4 2 2" xfId="37245"/>
    <cellStyle name="Normal 2 5 2 2 6 4 3" xfId="21694"/>
    <cellStyle name="Normal 2 5 2 2 6 4 3 2" xfId="47247"/>
    <cellStyle name="Normal 2 5 2 2 6 4 4" xfId="28177"/>
    <cellStyle name="Normal 2 5 2 2 6 5" xfId="6001"/>
    <cellStyle name="Normal 2 5 2 2 6 5 2" xfId="14828"/>
    <cellStyle name="Normal 2 5 2 2 6 5 2 2" xfId="40383"/>
    <cellStyle name="Normal 2 5 2 2 6 5 3" xfId="25079"/>
    <cellStyle name="Normal 2 5 2 2 6 5 3 2" xfId="50632"/>
    <cellStyle name="Normal 2 5 2 2 6 5 4" xfId="31562"/>
    <cellStyle name="Normal 2 5 2 2 6 6" xfId="7445"/>
    <cellStyle name="Normal 2 5 2 2 6 6 2" xfId="20176"/>
    <cellStyle name="Normal 2 5 2 2 6 6 2 2" xfId="45729"/>
    <cellStyle name="Normal 2 5 2 2 6 6 3" xfId="33002"/>
    <cellStyle name="Normal 2 5 2 2 6 7" xfId="16687"/>
    <cellStyle name="Normal 2 5 2 2 6 7 2" xfId="42240"/>
    <cellStyle name="Normal 2 5 2 2 6 8" xfId="26659"/>
    <cellStyle name="Normal 2 5 2 2 7" xfId="1060"/>
    <cellStyle name="Normal 2 5 2 2 7 2" xfId="3489"/>
    <cellStyle name="Normal 2 5 2 2 7 2 2" xfId="12625"/>
    <cellStyle name="Normal 2 5 2 2 7 2 2 2" xfId="22844"/>
    <cellStyle name="Normal 2 5 2 2 7 2 2 2 2" xfId="48397"/>
    <cellStyle name="Normal 2 5 2 2 7 2 2 3" xfId="38180"/>
    <cellStyle name="Normal 2 5 2 2 7 2 3" xfId="9047"/>
    <cellStyle name="Normal 2 5 2 2 7 2 3 2" xfId="34604"/>
    <cellStyle name="Normal 2 5 2 2 7 2 4" xfId="17837"/>
    <cellStyle name="Normal 2 5 2 2 7 2 4 2" xfId="43390"/>
    <cellStyle name="Normal 2 5 2 2 7 2 5" xfId="29327"/>
    <cellStyle name="Normal 2 5 2 2 7 3" xfId="4894"/>
    <cellStyle name="Normal 2 5 2 2 7 3 2" xfId="13731"/>
    <cellStyle name="Normal 2 5 2 2 7 3 2 2" xfId="23982"/>
    <cellStyle name="Normal 2 5 2 2 7 3 2 2 2" xfId="49535"/>
    <cellStyle name="Normal 2 5 2 2 7 3 2 3" xfId="39286"/>
    <cellStyle name="Normal 2 5 2 2 7 3 3" xfId="10152"/>
    <cellStyle name="Normal 2 5 2 2 7 3 3 2" xfId="35709"/>
    <cellStyle name="Normal 2 5 2 2 7 3 4" xfId="18975"/>
    <cellStyle name="Normal 2 5 2 2 7 3 4 2" xfId="44528"/>
    <cellStyle name="Normal 2 5 2 2 7 3 5" xfId="30465"/>
    <cellStyle name="Normal 2 5 2 2 7 4" xfId="1762"/>
    <cellStyle name="Normal 2 5 2 2 7 4 2" xfId="11133"/>
    <cellStyle name="Normal 2 5 2 2 7 4 2 2" xfId="36688"/>
    <cellStyle name="Normal 2 5 2 2 7 4 3" xfId="21137"/>
    <cellStyle name="Normal 2 5 2 2 7 4 3 2" xfId="46690"/>
    <cellStyle name="Normal 2 5 2 2 7 4 4" xfId="27620"/>
    <cellStyle name="Normal 2 5 2 2 7 5" xfId="6349"/>
    <cellStyle name="Normal 2 5 2 2 7 5 2" xfId="15176"/>
    <cellStyle name="Normal 2 5 2 2 7 5 2 2" xfId="40731"/>
    <cellStyle name="Normal 2 5 2 2 7 5 3" xfId="25427"/>
    <cellStyle name="Normal 2 5 2 2 7 5 3 2" xfId="50980"/>
    <cellStyle name="Normal 2 5 2 2 7 5 4" xfId="31910"/>
    <cellStyle name="Normal 2 5 2 2 7 6" xfId="7795"/>
    <cellStyle name="Normal 2 5 2 2 7 6 2" xfId="20443"/>
    <cellStyle name="Normal 2 5 2 2 7 6 2 2" xfId="45996"/>
    <cellStyle name="Normal 2 5 2 2 7 6 3" xfId="33352"/>
    <cellStyle name="Normal 2 5 2 2 7 7" xfId="16130"/>
    <cellStyle name="Normal 2 5 2 2 7 7 2" xfId="41683"/>
    <cellStyle name="Normal 2 5 2 2 7 8" xfId="26926"/>
    <cellStyle name="Normal 2 5 2 2 8" xfId="2659"/>
    <cellStyle name="Normal 2 5 2 2 8 2" xfId="5152"/>
    <cellStyle name="Normal 2 5 2 2 8 2 2" xfId="13989"/>
    <cellStyle name="Normal 2 5 2 2 8 2 2 2" xfId="24240"/>
    <cellStyle name="Normal 2 5 2 2 8 2 2 2 2" xfId="49793"/>
    <cellStyle name="Normal 2 5 2 2 8 2 2 3" xfId="39544"/>
    <cellStyle name="Normal 2 5 2 2 8 2 3" xfId="10410"/>
    <cellStyle name="Normal 2 5 2 2 8 2 3 2" xfId="35967"/>
    <cellStyle name="Normal 2 5 2 2 8 2 4" xfId="19233"/>
    <cellStyle name="Normal 2 5 2 2 8 2 4 2" xfId="44786"/>
    <cellStyle name="Normal 2 5 2 2 8 2 5" xfId="30723"/>
    <cellStyle name="Normal 2 5 2 2 8 3" xfId="6607"/>
    <cellStyle name="Normal 2 5 2 2 8 3 2" xfId="15434"/>
    <cellStyle name="Normal 2 5 2 2 8 3 2 2" xfId="40989"/>
    <cellStyle name="Normal 2 5 2 2 8 3 3" xfId="25685"/>
    <cellStyle name="Normal 2 5 2 2 8 3 3 2" xfId="51238"/>
    <cellStyle name="Normal 2 5 2 2 8 3 4" xfId="32168"/>
    <cellStyle name="Normal 2 5 2 2 8 4" xfId="8053"/>
    <cellStyle name="Normal 2 5 2 2 8 4 2" xfId="22020"/>
    <cellStyle name="Normal 2 5 2 2 8 4 2 2" xfId="47573"/>
    <cellStyle name="Normal 2 5 2 2 8 4 3" xfId="33610"/>
    <cellStyle name="Normal 2 5 2 2 8 5" xfId="17013"/>
    <cellStyle name="Normal 2 5 2 2 8 5 2" xfId="42566"/>
    <cellStyle name="Normal 2 5 2 2 8 6" xfId="28503"/>
    <cellStyle name="Normal 2 5 2 2 9" xfId="4106"/>
    <cellStyle name="Normal 2 5 2 2 9 2" xfId="5564"/>
    <cellStyle name="Normal 2 5 2 2 9 2 2" xfId="14391"/>
    <cellStyle name="Normal 2 5 2 2 9 2 2 2" xfId="39946"/>
    <cellStyle name="Normal 2 5 2 2 9 2 3" xfId="24642"/>
    <cellStyle name="Normal 2 5 2 2 9 2 3 2" xfId="50195"/>
    <cellStyle name="Normal 2 5 2 2 9 2 4" xfId="31125"/>
    <cellStyle name="Normal 2 5 2 2 9 3" xfId="7008"/>
    <cellStyle name="Normal 2 5 2 2 9 3 2" xfId="23195"/>
    <cellStyle name="Normal 2 5 2 2 9 3 2 2" xfId="48748"/>
    <cellStyle name="Normal 2 5 2 2 9 3 3" xfId="32565"/>
    <cellStyle name="Normal 2 5 2 2 9 4" xfId="18188"/>
    <cellStyle name="Normal 2 5 2 2 9 4 2" xfId="43741"/>
    <cellStyle name="Normal 2 5 2 2 9 5" xfId="29678"/>
    <cellStyle name="Normal 2 5 2 2_Degree data" xfId="3922"/>
    <cellStyle name="Normal 2 5 2 3" xfId="143"/>
    <cellStyle name="Normal 2 5 2 3 10" xfId="1411"/>
    <cellStyle name="Normal 2 5 2 3 10 2" xfId="10788"/>
    <cellStyle name="Normal 2 5 2 3 10 2 2" xfId="36343"/>
    <cellStyle name="Normal 2 5 2 3 10 3" xfId="20792"/>
    <cellStyle name="Normal 2 5 2 3 10 3 2" xfId="46345"/>
    <cellStyle name="Normal 2 5 2 3 10 4" xfId="27275"/>
    <cellStyle name="Normal 2 5 2 3 11" xfId="5522"/>
    <cellStyle name="Normal 2 5 2 3 11 2" xfId="14349"/>
    <cellStyle name="Normal 2 5 2 3 11 2 2" xfId="39904"/>
    <cellStyle name="Normal 2 5 2 3 11 3" xfId="24600"/>
    <cellStyle name="Normal 2 5 2 3 11 3 2" xfId="50153"/>
    <cellStyle name="Normal 2 5 2 3 11 4" xfId="31083"/>
    <cellStyle name="Normal 2 5 2 3 12" xfId="6962"/>
    <cellStyle name="Normal 2 5 2 3 12 2" xfId="19607"/>
    <cellStyle name="Normal 2 5 2 3 12 2 2" xfId="45160"/>
    <cellStyle name="Normal 2 5 2 3 12 3" xfId="32520"/>
    <cellStyle name="Normal 2 5 2 3 13" xfId="15785"/>
    <cellStyle name="Normal 2 5 2 3 13 2" xfId="41338"/>
    <cellStyle name="Normal 2 5 2 3 14" xfId="26090"/>
    <cellStyle name="Normal 2 5 2 3 2" xfId="193"/>
    <cellStyle name="Normal 2 5 2 3 2 10" xfId="7141"/>
    <cellStyle name="Normal 2 5 2 3 2 10 2" xfId="19650"/>
    <cellStyle name="Normal 2 5 2 3 2 10 2 2" xfId="45203"/>
    <cellStyle name="Normal 2 5 2 3 2 10 3" xfId="32698"/>
    <cellStyle name="Normal 2 5 2 3 2 11" xfId="15887"/>
    <cellStyle name="Normal 2 5 2 3 2 11 2" xfId="41440"/>
    <cellStyle name="Normal 2 5 2 3 2 12" xfId="26133"/>
    <cellStyle name="Normal 2 5 2 3 2 2" xfId="521"/>
    <cellStyle name="Normal 2 5 2 3 2 2 10" xfId="26450"/>
    <cellStyle name="Normal 2 5 2 3 2 2 2" xfId="739"/>
    <cellStyle name="Normal 2 5 2 3 2 2 2 2" xfId="3225"/>
    <cellStyle name="Normal 2 5 2 3 2 2 2 2 2" xfId="12367"/>
    <cellStyle name="Normal 2 5 2 3 2 2 2 2 2 2" xfId="22586"/>
    <cellStyle name="Normal 2 5 2 3 2 2 2 2 2 2 2" xfId="48139"/>
    <cellStyle name="Normal 2 5 2 3 2 2 2 2 2 3" xfId="37922"/>
    <cellStyle name="Normal 2 5 2 3 2 2 2 2 3" xfId="8789"/>
    <cellStyle name="Normal 2 5 2 3 2 2 2 2 3 2" xfId="34346"/>
    <cellStyle name="Normal 2 5 2 3 2 2 2 2 4" xfId="17579"/>
    <cellStyle name="Normal 2 5 2 3 2 2 2 2 4 2" xfId="43132"/>
    <cellStyle name="Normal 2 5 2 3 2 2 2 2 5" xfId="29069"/>
    <cellStyle name="Normal 2 5 2 3 2 2 2 3" xfId="4554"/>
    <cellStyle name="Normal 2 5 2 3 2 2 2 3 2" xfId="13392"/>
    <cellStyle name="Normal 2 5 2 3 2 2 2 3 2 2" xfId="23643"/>
    <cellStyle name="Normal 2 5 2 3 2 2 2 3 2 2 2" xfId="49196"/>
    <cellStyle name="Normal 2 5 2 3 2 2 2 3 2 3" xfId="38947"/>
    <cellStyle name="Normal 2 5 2 3 2 2 2 3 3" xfId="9813"/>
    <cellStyle name="Normal 2 5 2 3 2 2 2 3 3 2" xfId="35370"/>
    <cellStyle name="Normal 2 5 2 3 2 2 2 3 4" xfId="18636"/>
    <cellStyle name="Normal 2 5 2 3 2 2 2 3 4 2" xfId="44189"/>
    <cellStyle name="Normal 2 5 2 3 2 2 2 3 5" xfId="30126"/>
    <cellStyle name="Normal 2 5 2 3 2 2 2 4" xfId="2334"/>
    <cellStyle name="Normal 2 5 2 3 2 2 2 4 2" xfId="11699"/>
    <cellStyle name="Normal 2 5 2 3 2 2 2 4 2 2" xfId="37254"/>
    <cellStyle name="Normal 2 5 2 3 2 2 2 4 3" xfId="21703"/>
    <cellStyle name="Normal 2 5 2 3 2 2 2 4 3 2" xfId="47256"/>
    <cellStyle name="Normal 2 5 2 3 2 2 2 4 4" xfId="28186"/>
    <cellStyle name="Normal 2 5 2 3 2 2 2 5" xfId="6010"/>
    <cellStyle name="Normal 2 5 2 3 2 2 2 5 2" xfId="14837"/>
    <cellStyle name="Normal 2 5 2 3 2 2 2 5 2 2" xfId="40392"/>
    <cellStyle name="Normal 2 5 2 3 2 2 2 5 3" xfId="25088"/>
    <cellStyle name="Normal 2 5 2 3 2 2 2 5 3 2" xfId="50641"/>
    <cellStyle name="Normal 2 5 2 3 2 2 2 5 4" xfId="31571"/>
    <cellStyle name="Normal 2 5 2 3 2 2 2 6" xfId="7454"/>
    <cellStyle name="Normal 2 5 2 3 2 2 2 6 2" xfId="20185"/>
    <cellStyle name="Normal 2 5 2 3 2 2 2 6 2 2" xfId="45738"/>
    <cellStyle name="Normal 2 5 2 3 2 2 2 6 3" xfId="33011"/>
    <cellStyle name="Normal 2 5 2 3 2 2 2 7" xfId="16696"/>
    <cellStyle name="Normal 2 5 2 3 2 2 2 7 2" xfId="42249"/>
    <cellStyle name="Normal 2 5 2 3 2 2 2 8" xfId="26668"/>
    <cellStyle name="Normal 2 5 2 3 2 2 3" xfId="1293"/>
    <cellStyle name="Normal 2 5 2 3 2 2 3 2" xfId="3722"/>
    <cellStyle name="Normal 2 5 2 3 2 2 3 2 2" xfId="12858"/>
    <cellStyle name="Normal 2 5 2 3 2 2 3 2 2 2" xfId="23077"/>
    <cellStyle name="Normal 2 5 2 3 2 2 3 2 2 2 2" xfId="48630"/>
    <cellStyle name="Normal 2 5 2 3 2 2 3 2 2 3" xfId="38413"/>
    <cellStyle name="Normal 2 5 2 3 2 2 3 2 3" xfId="9279"/>
    <cellStyle name="Normal 2 5 2 3 2 2 3 2 3 2" xfId="34836"/>
    <cellStyle name="Normal 2 5 2 3 2 2 3 2 4" xfId="18070"/>
    <cellStyle name="Normal 2 5 2 3 2 2 3 2 4 2" xfId="43623"/>
    <cellStyle name="Normal 2 5 2 3 2 2 3 2 5" xfId="29560"/>
    <cellStyle name="Normal 2 5 2 3 2 2 3 3" xfId="4903"/>
    <cellStyle name="Normal 2 5 2 3 2 2 3 3 2" xfId="13740"/>
    <cellStyle name="Normal 2 5 2 3 2 2 3 3 2 2" xfId="23991"/>
    <cellStyle name="Normal 2 5 2 3 2 2 3 3 2 2 2" xfId="49544"/>
    <cellStyle name="Normal 2 5 2 3 2 2 3 3 2 3" xfId="39295"/>
    <cellStyle name="Normal 2 5 2 3 2 2 3 3 3" xfId="10161"/>
    <cellStyle name="Normal 2 5 2 3 2 2 3 3 3 2" xfId="35718"/>
    <cellStyle name="Normal 2 5 2 3 2 2 3 3 4" xfId="18984"/>
    <cellStyle name="Normal 2 5 2 3 2 2 3 3 4 2" xfId="44537"/>
    <cellStyle name="Normal 2 5 2 3 2 2 3 3 5" xfId="30474"/>
    <cellStyle name="Normal 2 5 2 3 2 2 3 4" xfId="2116"/>
    <cellStyle name="Normal 2 5 2 3 2 2 3 4 2" xfId="11481"/>
    <cellStyle name="Normal 2 5 2 3 2 2 3 4 2 2" xfId="37036"/>
    <cellStyle name="Normal 2 5 2 3 2 2 3 4 3" xfId="21485"/>
    <cellStyle name="Normal 2 5 2 3 2 2 3 4 3 2" xfId="47038"/>
    <cellStyle name="Normal 2 5 2 3 2 2 3 4 4" xfId="27968"/>
    <cellStyle name="Normal 2 5 2 3 2 2 3 5" xfId="6358"/>
    <cellStyle name="Normal 2 5 2 3 2 2 3 5 2" xfId="15185"/>
    <cellStyle name="Normal 2 5 2 3 2 2 3 5 2 2" xfId="40740"/>
    <cellStyle name="Normal 2 5 2 3 2 2 3 5 3" xfId="25436"/>
    <cellStyle name="Normal 2 5 2 3 2 2 3 5 3 2" xfId="50989"/>
    <cellStyle name="Normal 2 5 2 3 2 2 3 5 4" xfId="31919"/>
    <cellStyle name="Normal 2 5 2 3 2 2 3 6" xfId="7804"/>
    <cellStyle name="Normal 2 5 2 3 2 2 3 6 2" xfId="20676"/>
    <cellStyle name="Normal 2 5 2 3 2 2 3 6 2 2" xfId="46229"/>
    <cellStyle name="Normal 2 5 2 3 2 2 3 6 3" xfId="33361"/>
    <cellStyle name="Normal 2 5 2 3 2 2 3 7" xfId="16478"/>
    <cellStyle name="Normal 2 5 2 3 2 2 3 7 2" xfId="42031"/>
    <cellStyle name="Normal 2 5 2 3 2 2 3 8" xfId="27159"/>
    <cellStyle name="Normal 2 5 2 3 2 2 4" xfId="3007"/>
    <cellStyle name="Normal 2 5 2 3 2 2 4 2" xfId="5385"/>
    <cellStyle name="Normal 2 5 2 3 2 2 4 2 2" xfId="14222"/>
    <cellStyle name="Normal 2 5 2 3 2 2 4 2 2 2" xfId="24473"/>
    <cellStyle name="Normal 2 5 2 3 2 2 4 2 2 2 2" xfId="50026"/>
    <cellStyle name="Normal 2 5 2 3 2 2 4 2 2 3" xfId="39777"/>
    <cellStyle name="Normal 2 5 2 3 2 2 4 2 3" xfId="10643"/>
    <cellStyle name="Normal 2 5 2 3 2 2 4 2 3 2" xfId="36200"/>
    <cellStyle name="Normal 2 5 2 3 2 2 4 2 4" xfId="19466"/>
    <cellStyle name="Normal 2 5 2 3 2 2 4 2 4 2" xfId="45019"/>
    <cellStyle name="Normal 2 5 2 3 2 2 4 2 5" xfId="30956"/>
    <cellStyle name="Normal 2 5 2 3 2 2 4 3" xfId="6840"/>
    <cellStyle name="Normal 2 5 2 3 2 2 4 3 2" xfId="15667"/>
    <cellStyle name="Normal 2 5 2 3 2 2 4 3 2 2" xfId="41222"/>
    <cellStyle name="Normal 2 5 2 3 2 2 4 3 3" xfId="25918"/>
    <cellStyle name="Normal 2 5 2 3 2 2 4 3 3 2" xfId="51471"/>
    <cellStyle name="Normal 2 5 2 3 2 2 4 3 4" xfId="32401"/>
    <cellStyle name="Normal 2 5 2 3 2 2 4 4" xfId="8286"/>
    <cellStyle name="Normal 2 5 2 3 2 2 4 4 2" xfId="22368"/>
    <cellStyle name="Normal 2 5 2 3 2 2 4 4 2 2" xfId="47921"/>
    <cellStyle name="Normal 2 5 2 3 2 2 4 4 3" xfId="33843"/>
    <cellStyle name="Normal 2 5 2 3 2 2 4 5" xfId="17361"/>
    <cellStyle name="Normal 2 5 2 3 2 2 4 5 2" xfId="42914"/>
    <cellStyle name="Normal 2 5 2 3 2 2 4 6" xfId="28851"/>
    <cellStyle name="Normal 2 5 2 3 2 2 5" xfId="4341"/>
    <cellStyle name="Normal 2 5 2 3 2 2 5 2" xfId="13179"/>
    <cellStyle name="Normal 2 5 2 3 2 2 5 2 2" xfId="23430"/>
    <cellStyle name="Normal 2 5 2 3 2 2 5 2 2 2" xfId="48983"/>
    <cellStyle name="Normal 2 5 2 3 2 2 5 2 3" xfId="38734"/>
    <cellStyle name="Normal 2 5 2 3 2 2 5 3" xfId="9600"/>
    <cellStyle name="Normal 2 5 2 3 2 2 5 3 2" xfId="35157"/>
    <cellStyle name="Normal 2 5 2 3 2 2 5 4" xfId="18423"/>
    <cellStyle name="Normal 2 5 2 3 2 2 5 4 2" xfId="43976"/>
    <cellStyle name="Normal 2 5 2 3 2 2 5 5" xfId="29913"/>
    <cellStyle name="Normal 2 5 2 3 2 2 6" xfId="1613"/>
    <cellStyle name="Normal 2 5 2 3 2 2 6 2" xfId="10990"/>
    <cellStyle name="Normal 2 5 2 3 2 2 6 2 2" xfId="36545"/>
    <cellStyle name="Normal 2 5 2 3 2 2 6 3" xfId="20994"/>
    <cellStyle name="Normal 2 5 2 3 2 2 6 3 2" xfId="46547"/>
    <cellStyle name="Normal 2 5 2 3 2 2 6 4" xfId="27477"/>
    <cellStyle name="Normal 2 5 2 3 2 2 7" xfId="5797"/>
    <cellStyle name="Normal 2 5 2 3 2 2 7 2" xfId="14624"/>
    <cellStyle name="Normal 2 5 2 3 2 2 7 2 2" xfId="40179"/>
    <cellStyle name="Normal 2 5 2 3 2 2 7 3" xfId="24875"/>
    <cellStyle name="Normal 2 5 2 3 2 2 7 3 2" xfId="50428"/>
    <cellStyle name="Normal 2 5 2 3 2 2 7 4" xfId="31358"/>
    <cellStyle name="Normal 2 5 2 3 2 2 8" xfId="7241"/>
    <cellStyle name="Normal 2 5 2 3 2 2 8 2" xfId="19967"/>
    <cellStyle name="Normal 2 5 2 3 2 2 8 2 2" xfId="45520"/>
    <cellStyle name="Normal 2 5 2 3 2 2 8 3" xfId="32798"/>
    <cellStyle name="Normal 2 5 2 3 2 2 9" xfId="15987"/>
    <cellStyle name="Normal 2 5 2 3 2 2 9 2" xfId="41540"/>
    <cellStyle name="Normal 2 5 2 3 2 2_Degree data" xfId="3851"/>
    <cellStyle name="Normal 2 5 2 3 2 3" xfId="421"/>
    <cellStyle name="Normal 2 5 2 3 2 3 2" xfId="2907"/>
    <cellStyle name="Normal 2 5 2 3 2 3 2 2" xfId="12195"/>
    <cellStyle name="Normal 2 5 2 3 2 3 2 2 2" xfId="22268"/>
    <cellStyle name="Normal 2 5 2 3 2 3 2 2 2 2" xfId="47821"/>
    <cellStyle name="Normal 2 5 2 3 2 3 2 2 3" xfId="37750"/>
    <cellStyle name="Normal 2 5 2 3 2 3 2 3" xfId="8432"/>
    <cellStyle name="Normal 2 5 2 3 2 3 2 3 2" xfId="33989"/>
    <cellStyle name="Normal 2 5 2 3 2 3 2 4" xfId="17261"/>
    <cellStyle name="Normal 2 5 2 3 2 3 2 4 2" xfId="42814"/>
    <cellStyle name="Normal 2 5 2 3 2 3 2 5" xfId="28751"/>
    <cellStyle name="Normal 2 5 2 3 2 3 3" xfId="4553"/>
    <cellStyle name="Normal 2 5 2 3 2 3 3 2" xfId="13391"/>
    <cellStyle name="Normal 2 5 2 3 2 3 3 2 2" xfId="23642"/>
    <cellStyle name="Normal 2 5 2 3 2 3 3 2 2 2" xfId="49195"/>
    <cellStyle name="Normal 2 5 2 3 2 3 3 2 3" xfId="38946"/>
    <cellStyle name="Normal 2 5 2 3 2 3 3 3" xfId="9812"/>
    <cellStyle name="Normal 2 5 2 3 2 3 3 3 2" xfId="35369"/>
    <cellStyle name="Normal 2 5 2 3 2 3 3 4" xfId="18635"/>
    <cellStyle name="Normal 2 5 2 3 2 3 3 4 2" xfId="44188"/>
    <cellStyle name="Normal 2 5 2 3 2 3 3 5" xfId="30125"/>
    <cellStyle name="Normal 2 5 2 3 2 3 4" xfId="2016"/>
    <cellStyle name="Normal 2 5 2 3 2 3 4 2" xfId="11381"/>
    <cellStyle name="Normal 2 5 2 3 2 3 4 2 2" xfId="36936"/>
    <cellStyle name="Normal 2 5 2 3 2 3 4 3" xfId="21385"/>
    <cellStyle name="Normal 2 5 2 3 2 3 4 3 2" xfId="46938"/>
    <cellStyle name="Normal 2 5 2 3 2 3 4 4" xfId="27868"/>
    <cellStyle name="Normal 2 5 2 3 2 3 5" xfId="6009"/>
    <cellStyle name="Normal 2 5 2 3 2 3 5 2" xfId="14836"/>
    <cellStyle name="Normal 2 5 2 3 2 3 5 2 2" xfId="40391"/>
    <cellStyle name="Normal 2 5 2 3 2 3 5 3" xfId="25087"/>
    <cellStyle name="Normal 2 5 2 3 2 3 5 3 2" xfId="50640"/>
    <cellStyle name="Normal 2 5 2 3 2 3 5 4" xfId="31570"/>
    <cellStyle name="Normal 2 5 2 3 2 3 6" xfId="7453"/>
    <cellStyle name="Normal 2 5 2 3 2 3 6 2" xfId="19867"/>
    <cellStyle name="Normal 2 5 2 3 2 3 6 2 2" xfId="45420"/>
    <cellStyle name="Normal 2 5 2 3 2 3 6 3" xfId="33010"/>
    <cellStyle name="Normal 2 5 2 3 2 3 7" xfId="16378"/>
    <cellStyle name="Normal 2 5 2 3 2 3 7 2" xfId="41931"/>
    <cellStyle name="Normal 2 5 2 3 2 3 8" xfId="26350"/>
    <cellStyle name="Normal 2 5 2 3 2 4" xfId="738"/>
    <cellStyle name="Normal 2 5 2 3 2 4 2" xfId="3224"/>
    <cellStyle name="Normal 2 5 2 3 2 4 2 2" xfId="12366"/>
    <cellStyle name="Normal 2 5 2 3 2 4 2 2 2" xfId="22585"/>
    <cellStyle name="Normal 2 5 2 3 2 4 2 2 2 2" xfId="48138"/>
    <cellStyle name="Normal 2 5 2 3 2 4 2 2 3" xfId="37921"/>
    <cellStyle name="Normal 2 5 2 3 2 4 2 3" xfId="8788"/>
    <cellStyle name="Normal 2 5 2 3 2 4 2 3 2" xfId="34345"/>
    <cellStyle name="Normal 2 5 2 3 2 4 2 4" xfId="17578"/>
    <cellStyle name="Normal 2 5 2 3 2 4 2 4 2" xfId="43131"/>
    <cellStyle name="Normal 2 5 2 3 2 4 2 5" xfId="29068"/>
    <cellStyle name="Normal 2 5 2 3 2 4 3" xfId="4902"/>
    <cellStyle name="Normal 2 5 2 3 2 4 3 2" xfId="13739"/>
    <cellStyle name="Normal 2 5 2 3 2 4 3 2 2" xfId="23990"/>
    <cellStyle name="Normal 2 5 2 3 2 4 3 2 2 2" xfId="49543"/>
    <cellStyle name="Normal 2 5 2 3 2 4 3 2 3" xfId="39294"/>
    <cellStyle name="Normal 2 5 2 3 2 4 3 3" xfId="10160"/>
    <cellStyle name="Normal 2 5 2 3 2 4 3 3 2" xfId="35717"/>
    <cellStyle name="Normal 2 5 2 3 2 4 3 4" xfId="18983"/>
    <cellStyle name="Normal 2 5 2 3 2 4 3 4 2" xfId="44536"/>
    <cellStyle name="Normal 2 5 2 3 2 4 3 5" xfId="30473"/>
    <cellStyle name="Normal 2 5 2 3 2 4 4" xfId="2333"/>
    <cellStyle name="Normal 2 5 2 3 2 4 4 2" xfId="11698"/>
    <cellStyle name="Normal 2 5 2 3 2 4 4 2 2" xfId="37253"/>
    <cellStyle name="Normal 2 5 2 3 2 4 4 3" xfId="21702"/>
    <cellStyle name="Normal 2 5 2 3 2 4 4 3 2" xfId="47255"/>
    <cellStyle name="Normal 2 5 2 3 2 4 4 4" xfId="28185"/>
    <cellStyle name="Normal 2 5 2 3 2 4 5" xfId="6357"/>
    <cellStyle name="Normal 2 5 2 3 2 4 5 2" xfId="15184"/>
    <cellStyle name="Normal 2 5 2 3 2 4 5 2 2" xfId="40739"/>
    <cellStyle name="Normal 2 5 2 3 2 4 5 3" xfId="25435"/>
    <cellStyle name="Normal 2 5 2 3 2 4 5 3 2" xfId="50988"/>
    <cellStyle name="Normal 2 5 2 3 2 4 5 4" xfId="31918"/>
    <cellStyle name="Normal 2 5 2 3 2 4 6" xfId="7803"/>
    <cellStyle name="Normal 2 5 2 3 2 4 6 2" xfId="20184"/>
    <cellStyle name="Normal 2 5 2 3 2 4 6 2 2" xfId="45737"/>
    <cellStyle name="Normal 2 5 2 3 2 4 6 3" xfId="33360"/>
    <cellStyle name="Normal 2 5 2 3 2 4 7" xfId="16695"/>
    <cellStyle name="Normal 2 5 2 3 2 4 7 2" xfId="42248"/>
    <cellStyle name="Normal 2 5 2 3 2 4 8" xfId="26667"/>
    <cellStyle name="Normal 2 5 2 3 2 5" xfId="1193"/>
    <cellStyle name="Normal 2 5 2 3 2 5 2" xfId="3622"/>
    <cellStyle name="Normal 2 5 2 3 2 5 2 2" xfId="12758"/>
    <cellStyle name="Normal 2 5 2 3 2 5 2 2 2" xfId="22977"/>
    <cellStyle name="Normal 2 5 2 3 2 5 2 2 2 2" xfId="48530"/>
    <cellStyle name="Normal 2 5 2 3 2 5 2 2 3" xfId="38313"/>
    <cellStyle name="Normal 2 5 2 3 2 5 2 3" xfId="9179"/>
    <cellStyle name="Normal 2 5 2 3 2 5 2 3 2" xfId="34736"/>
    <cellStyle name="Normal 2 5 2 3 2 5 2 4" xfId="17970"/>
    <cellStyle name="Normal 2 5 2 3 2 5 2 4 2" xfId="43523"/>
    <cellStyle name="Normal 2 5 2 3 2 5 2 5" xfId="29460"/>
    <cellStyle name="Normal 2 5 2 3 2 5 3" xfId="5285"/>
    <cellStyle name="Normal 2 5 2 3 2 5 3 2" xfId="14122"/>
    <cellStyle name="Normal 2 5 2 3 2 5 3 2 2" xfId="24373"/>
    <cellStyle name="Normal 2 5 2 3 2 5 3 2 2 2" xfId="49926"/>
    <cellStyle name="Normal 2 5 2 3 2 5 3 2 3" xfId="39677"/>
    <cellStyle name="Normal 2 5 2 3 2 5 3 3" xfId="10543"/>
    <cellStyle name="Normal 2 5 2 3 2 5 3 3 2" xfId="36100"/>
    <cellStyle name="Normal 2 5 2 3 2 5 3 4" xfId="19366"/>
    <cellStyle name="Normal 2 5 2 3 2 5 3 4 2" xfId="44919"/>
    <cellStyle name="Normal 2 5 2 3 2 5 3 5" xfId="30856"/>
    <cellStyle name="Normal 2 5 2 3 2 5 4" xfId="1795"/>
    <cellStyle name="Normal 2 5 2 3 2 5 4 2" xfId="11164"/>
    <cellStyle name="Normal 2 5 2 3 2 5 4 2 2" xfId="36719"/>
    <cellStyle name="Normal 2 5 2 3 2 5 4 3" xfId="21168"/>
    <cellStyle name="Normal 2 5 2 3 2 5 4 3 2" xfId="46721"/>
    <cellStyle name="Normal 2 5 2 3 2 5 4 4" xfId="27651"/>
    <cellStyle name="Normal 2 5 2 3 2 5 5" xfId="6740"/>
    <cellStyle name="Normal 2 5 2 3 2 5 5 2" xfId="15567"/>
    <cellStyle name="Normal 2 5 2 3 2 5 5 2 2" xfId="41122"/>
    <cellStyle name="Normal 2 5 2 3 2 5 5 3" xfId="25818"/>
    <cellStyle name="Normal 2 5 2 3 2 5 5 3 2" xfId="51371"/>
    <cellStyle name="Normal 2 5 2 3 2 5 5 4" xfId="32301"/>
    <cellStyle name="Normal 2 5 2 3 2 5 6" xfId="8186"/>
    <cellStyle name="Normal 2 5 2 3 2 5 6 2" xfId="20576"/>
    <cellStyle name="Normal 2 5 2 3 2 5 6 2 2" xfId="46129"/>
    <cellStyle name="Normal 2 5 2 3 2 5 6 3" xfId="33743"/>
    <cellStyle name="Normal 2 5 2 3 2 5 7" xfId="16161"/>
    <cellStyle name="Normal 2 5 2 3 2 5 7 2" xfId="41714"/>
    <cellStyle name="Normal 2 5 2 3 2 5 8" xfId="27059"/>
    <cellStyle name="Normal 2 5 2 3 2 6" xfId="2690"/>
    <cellStyle name="Normal 2 5 2 3 2 6 2" xfId="12007"/>
    <cellStyle name="Normal 2 5 2 3 2 6 2 2" xfId="22051"/>
    <cellStyle name="Normal 2 5 2 3 2 6 2 2 2" xfId="47604"/>
    <cellStyle name="Normal 2 5 2 3 2 6 2 3" xfId="37562"/>
    <cellStyle name="Normal 2 5 2 3 2 6 3" xfId="8558"/>
    <cellStyle name="Normal 2 5 2 3 2 6 3 2" xfId="34115"/>
    <cellStyle name="Normal 2 5 2 3 2 6 4" xfId="17044"/>
    <cellStyle name="Normal 2 5 2 3 2 6 4 2" xfId="42597"/>
    <cellStyle name="Normal 2 5 2 3 2 6 5" xfId="28534"/>
    <cellStyle name="Normal 2 5 2 3 2 7" xfId="4241"/>
    <cellStyle name="Normal 2 5 2 3 2 7 2" xfId="13079"/>
    <cellStyle name="Normal 2 5 2 3 2 7 2 2" xfId="23330"/>
    <cellStyle name="Normal 2 5 2 3 2 7 2 2 2" xfId="48883"/>
    <cellStyle name="Normal 2 5 2 3 2 7 2 3" xfId="38634"/>
    <cellStyle name="Normal 2 5 2 3 2 7 3" xfId="9500"/>
    <cellStyle name="Normal 2 5 2 3 2 7 3 2" xfId="35057"/>
    <cellStyle name="Normal 2 5 2 3 2 7 4" xfId="18323"/>
    <cellStyle name="Normal 2 5 2 3 2 7 4 2" xfId="43876"/>
    <cellStyle name="Normal 2 5 2 3 2 7 5" xfId="29813"/>
    <cellStyle name="Normal 2 5 2 3 2 8" xfId="1513"/>
    <cellStyle name="Normal 2 5 2 3 2 8 2" xfId="10890"/>
    <cellStyle name="Normal 2 5 2 3 2 8 2 2" xfId="36445"/>
    <cellStyle name="Normal 2 5 2 3 2 8 3" xfId="20894"/>
    <cellStyle name="Normal 2 5 2 3 2 8 3 2" xfId="46447"/>
    <cellStyle name="Normal 2 5 2 3 2 8 4" xfId="27377"/>
    <cellStyle name="Normal 2 5 2 3 2 9" xfId="5697"/>
    <cellStyle name="Normal 2 5 2 3 2 9 2" xfId="14524"/>
    <cellStyle name="Normal 2 5 2 3 2 9 2 2" xfId="40079"/>
    <cellStyle name="Normal 2 5 2 3 2 9 3" xfId="24775"/>
    <cellStyle name="Normal 2 5 2 3 2 9 3 2" xfId="50328"/>
    <cellStyle name="Normal 2 5 2 3 2 9 4" xfId="31258"/>
    <cellStyle name="Normal 2 5 2 3 2_Degree data" xfId="3915"/>
    <cellStyle name="Normal 2 5 2 3 3" xfId="260"/>
    <cellStyle name="Normal 2 5 2 3 3 10" xfId="7098"/>
    <cellStyle name="Normal 2 5 2 3 3 10 2" xfId="19712"/>
    <cellStyle name="Normal 2 5 2 3 3 10 2 2" xfId="45265"/>
    <cellStyle name="Normal 2 5 2 3 3 10 3" xfId="32655"/>
    <cellStyle name="Normal 2 5 2 3 3 11" xfId="15844"/>
    <cellStyle name="Normal 2 5 2 3 3 11 2" xfId="41397"/>
    <cellStyle name="Normal 2 5 2 3 3 12" xfId="26195"/>
    <cellStyle name="Normal 2 5 2 3 3 2" xfId="583"/>
    <cellStyle name="Normal 2 5 2 3 3 2 10" xfId="26512"/>
    <cellStyle name="Normal 2 5 2 3 3 2 2" xfId="741"/>
    <cellStyle name="Normal 2 5 2 3 3 2 2 2" xfId="3227"/>
    <cellStyle name="Normal 2 5 2 3 3 2 2 2 2" xfId="12369"/>
    <cellStyle name="Normal 2 5 2 3 3 2 2 2 2 2" xfId="22588"/>
    <cellStyle name="Normal 2 5 2 3 3 2 2 2 2 2 2" xfId="48141"/>
    <cellStyle name="Normal 2 5 2 3 3 2 2 2 2 3" xfId="37924"/>
    <cellStyle name="Normal 2 5 2 3 3 2 2 2 3" xfId="8791"/>
    <cellStyle name="Normal 2 5 2 3 3 2 2 2 3 2" xfId="34348"/>
    <cellStyle name="Normal 2 5 2 3 3 2 2 2 4" xfId="17581"/>
    <cellStyle name="Normal 2 5 2 3 3 2 2 2 4 2" xfId="43134"/>
    <cellStyle name="Normal 2 5 2 3 3 2 2 2 5" xfId="29071"/>
    <cellStyle name="Normal 2 5 2 3 3 2 2 3" xfId="4556"/>
    <cellStyle name="Normal 2 5 2 3 3 2 2 3 2" xfId="13394"/>
    <cellStyle name="Normal 2 5 2 3 3 2 2 3 2 2" xfId="23645"/>
    <cellStyle name="Normal 2 5 2 3 3 2 2 3 2 2 2" xfId="49198"/>
    <cellStyle name="Normal 2 5 2 3 3 2 2 3 2 3" xfId="38949"/>
    <cellStyle name="Normal 2 5 2 3 3 2 2 3 3" xfId="9815"/>
    <cellStyle name="Normal 2 5 2 3 3 2 2 3 3 2" xfId="35372"/>
    <cellStyle name="Normal 2 5 2 3 3 2 2 3 4" xfId="18638"/>
    <cellStyle name="Normal 2 5 2 3 3 2 2 3 4 2" xfId="44191"/>
    <cellStyle name="Normal 2 5 2 3 3 2 2 3 5" xfId="30128"/>
    <cellStyle name="Normal 2 5 2 3 3 2 2 4" xfId="2336"/>
    <cellStyle name="Normal 2 5 2 3 3 2 2 4 2" xfId="11701"/>
    <cellStyle name="Normal 2 5 2 3 3 2 2 4 2 2" xfId="37256"/>
    <cellStyle name="Normal 2 5 2 3 3 2 2 4 3" xfId="21705"/>
    <cellStyle name="Normal 2 5 2 3 3 2 2 4 3 2" xfId="47258"/>
    <cellStyle name="Normal 2 5 2 3 3 2 2 4 4" xfId="28188"/>
    <cellStyle name="Normal 2 5 2 3 3 2 2 5" xfId="6012"/>
    <cellStyle name="Normal 2 5 2 3 3 2 2 5 2" xfId="14839"/>
    <cellStyle name="Normal 2 5 2 3 3 2 2 5 2 2" xfId="40394"/>
    <cellStyle name="Normal 2 5 2 3 3 2 2 5 3" xfId="25090"/>
    <cellStyle name="Normal 2 5 2 3 3 2 2 5 3 2" xfId="50643"/>
    <cellStyle name="Normal 2 5 2 3 3 2 2 5 4" xfId="31573"/>
    <cellStyle name="Normal 2 5 2 3 3 2 2 6" xfId="7456"/>
    <cellStyle name="Normal 2 5 2 3 3 2 2 6 2" xfId="20187"/>
    <cellStyle name="Normal 2 5 2 3 3 2 2 6 2 2" xfId="45740"/>
    <cellStyle name="Normal 2 5 2 3 3 2 2 6 3" xfId="33013"/>
    <cellStyle name="Normal 2 5 2 3 3 2 2 7" xfId="16698"/>
    <cellStyle name="Normal 2 5 2 3 3 2 2 7 2" xfId="42251"/>
    <cellStyle name="Normal 2 5 2 3 3 2 2 8" xfId="26670"/>
    <cellStyle name="Normal 2 5 2 3 3 2 3" xfId="1355"/>
    <cellStyle name="Normal 2 5 2 3 3 2 3 2" xfId="3784"/>
    <cellStyle name="Normal 2 5 2 3 3 2 3 2 2" xfId="12920"/>
    <cellStyle name="Normal 2 5 2 3 3 2 3 2 2 2" xfId="23139"/>
    <cellStyle name="Normal 2 5 2 3 3 2 3 2 2 2 2" xfId="48692"/>
    <cellStyle name="Normal 2 5 2 3 3 2 3 2 2 3" xfId="38475"/>
    <cellStyle name="Normal 2 5 2 3 3 2 3 2 3" xfId="9341"/>
    <cellStyle name="Normal 2 5 2 3 3 2 3 2 3 2" xfId="34898"/>
    <cellStyle name="Normal 2 5 2 3 3 2 3 2 4" xfId="18132"/>
    <cellStyle name="Normal 2 5 2 3 3 2 3 2 4 2" xfId="43685"/>
    <cellStyle name="Normal 2 5 2 3 3 2 3 2 5" xfId="29622"/>
    <cellStyle name="Normal 2 5 2 3 3 2 3 3" xfId="4905"/>
    <cellStyle name="Normal 2 5 2 3 3 2 3 3 2" xfId="13742"/>
    <cellStyle name="Normal 2 5 2 3 3 2 3 3 2 2" xfId="23993"/>
    <cellStyle name="Normal 2 5 2 3 3 2 3 3 2 2 2" xfId="49546"/>
    <cellStyle name="Normal 2 5 2 3 3 2 3 3 2 3" xfId="39297"/>
    <cellStyle name="Normal 2 5 2 3 3 2 3 3 3" xfId="10163"/>
    <cellStyle name="Normal 2 5 2 3 3 2 3 3 3 2" xfId="35720"/>
    <cellStyle name="Normal 2 5 2 3 3 2 3 3 4" xfId="18986"/>
    <cellStyle name="Normal 2 5 2 3 3 2 3 3 4 2" xfId="44539"/>
    <cellStyle name="Normal 2 5 2 3 3 2 3 3 5" xfId="30476"/>
    <cellStyle name="Normal 2 5 2 3 3 2 3 4" xfId="2178"/>
    <cellStyle name="Normal 2 5 2 3 3 2 3 4 2" xfId="11543"/>
    <cellStyle name="Normal 2 5 2 3 3 2 3 4 2 2" xfId="37098"/>
    <cellStyle name="Normal 2 5 2 3 3 2 3 4 3" xfId="21547"/>
    <cellStyle name="Normal 2 5 2 3 3 2 3 4 3 2" xfId="47100"/>
    <cellStyle name="Normal 2 5 2 3 3 2 3 4 4" xfId="28030"/>
    <cellStyle name="Normal 2 5 2 3 3 2 3 5" xfId="6360"/>
    <cellStyle name="Normal 2 5 2 3 3 2 3 5 2" xfId="15187"/>
    <cellStyle name="Normal 2 5 2 3 3 2 3 5 2 2" xfId="40742"/>
    <cellStyle name="Normal 2 5 2 3 3 2 3 5 3" xfId="25438"/>
    <cellStyle name="Normal 2 5 2 3 3 2 3 5 3 2" xfId="50991"/>
    <cellStyle name="Normal 2 5 2 3 3 2 3 5 4" xfId="31921"/>
    <cellStyle name="Normal 2 5 2 3 3 2 3 6" xfId="7806"/>
    <cellStyle name="Normal 2 5 2 3 3 2 3 6 2" xfId="20738"/>
    <cellStyle name="Normal 2 5 2 3 3 2 3 6 2 2" xfId="46291"/>
    <cellStyle name="Normal 2 5 2 3 3 2 3 6 3" xfId="33363"/>
    <cellStyle name="Normal 2 5 2 3 3 2 3 7" xfId="16540"/>
    <cellStyle name="Normal 2 5 2 3 3 2 3 7 2" xfId="42093"/>
    <cellStyle name="Normal 2 5 2 3 3 2 3 8" xfId="27221"/>
    <cellStyle name="Normal 2 5 2 3 3 2 4" xfId="3069"/>
    <cellStyle name="Normal 2 5 2 3 3 2 4 2" xfId="5447"/>
    <cellStyle name="Normal 2 5 2 3 3 2 4 2 2" xfId="14284"/>
    <cellStyle name="Normal 2 5 2 3 3 2 4 2 2 2" xfId="24535"/>
    <cellStyle name="Normal 2 5 2 3 3 2 4 2 2 2 2" xfId="50088"/>
    <cellStyle name="Normal 2 5 2 3 3 2 4 2 2 3" xfId="39839"/>
    <cellStyle name="Normal 2 5 2 3 3 2 4 2 3" xfId="10705"/>
    <cellStyle name="Normal 2 5 2 3 3 2 4 2 3 2" xfId="36262"/>
    <cellStyle name="Normal 2 5 2 3 3 2 4 2 4" xfId="19528"/>
    <cellStyle name="Normal 2 5 2 3 3 2 4 2 4 2" xfId="45081"/>
    <cellStyle name="Normal 2 5 2 3 3 2 4 2 5" xfId="31018"/>
    <cellStyle name="Normal 2 5 2 3 3 2 4 3" xfId="6902"/>
    <cellStyle name="Normal 2 5 2 3 3 2 4 3 2" xfId="15729"/>
    <cellStyle name="Normal 2 5 2 3 3 2 4 3 2 2" xfId="41284"/>
    <cellStyle name="Normal 2 5 2 3 3 2 4 3 3" xfId="25980"/>
    <cellStyle name="Normal 2 5 2 3 3 2 4 3 3 2" xfId="51533"/>
    <cellStyle name="Normal 2 5 2 3 3 2 4 3 4" xfId="32463"/>
    <cellStyle name="Normal 2 5 2 3 3 2 4 4" xfId="8348"/>
    <cellStyle name="Normal 2 5 2 3 3 2 4 4 2" xfId="22430"/>
    <cellStyle name="Normal 2 5 2 3 3 2 4 4 2 2" xfId="47983"/>
    <cellStyle name="Normal 2 5 2 3 3 2 4 4 3" xfId="33905"/>
    <cellStyle name="Normal 2 5 2 3 3 2 4 5" xfId="17423"/>
    <cellStyle name="Normal 2 5 2 3 3 2 4 5 2" xfId="42976"/>
    <cellStyle name="Normal 2 5 2 3 3 2 4 6" xfId="28913"/>
    <cellStyle name="Normal 2 5 2 3 3 2 5" xfId="4403"/>
    <cellStyle name="Normal 2 5 2 3 3 2 5 2" xfId="13241"/>
    <cellStyle name="Normal 2 5 2 3 3 2 5 2 2" xfId="23492"/>
    <cellStyle name="Normal 2 5 2 3 3 2 5 2 2 2" xfId="49045"/>
    <cellStyle name="Normal 2 5 2 3 3 2 5 2 3" xfId="38796"/>
    <cellStyle name="Normal 2 5 2 3 3 2 5 3" xfId="9662"/>
    <cellStyle name="Normal 2 5 2 3 3 2 5 3 2" xfId="35219"/>
    <cellStyle name="Normal 2 5 2 3 3 2 5 4" xfId="18485"/>
    <cellStyle name="Normal 2 5 2 3 3 2 5 4 2" xfId="44038"/>
    <cellStyle name="Normal 2 5 2 3 3 2 5 5" xfId="29975"/>
    <cellStyle name="Normal 2 5 2 3 3 2 6" xfId="1675"/>
    <cellStyle name="Normal 2 5 2 3 3 2 6 2" xfId="11052"/>
    <cellStyle name="Normal 2 5 2 3 3 2 6 2 2" xfId="36607"/>
    <cellStyle name="Normal 2 5 2 3 3 2 6 3" xfId="21056"/>
    <cellStyle name="Normal 2 5 2 3 3 2 6 3 2" xfId="46609"/>
    <cellStyle name="Normal 2 5 2 3 3 2 6 4" xfId="27539"/>
    <cellStyle name="Normal 2 5 2 3 3 2 7" xfId="5859"/>
    <cellStyle name="Normal 2 5 2 3 3 2 7 2" xfId="14686"/>
    <cellStyle name="Normal 2 5 2 3 3 2 7 2 2" xfId="40241"/>
    <cellStyle name="Normal 2 5 2 3 3 2 7 3" xfId="24937"/>
    <cellStyle name="Normal 2 5 2 3 3 2 7 3 2" xfId="50490"/>
    <cellStyle name="Normal 2 5 2 3 3 2 7 4" xfId="31420"/>
    <cellStyle name="Normal 2 5 2 3 3 2 8" xfId="7303"/>
    <cellStyle name="Normal 2 5 2 3 3 2 8 2" xfId="20029"/>
    <cellStyle name="Normal 2 5 2 3 3 2 8 2 2" xfId="45582"/>
    <cellStyle name="Normal 2 5 2 3 3 2 8 3" xfId="32860"/>
    <cellStyle name="Normal 2 5 2 3 3 2 9" xfId="16049"/>
    <cellStyle name="Normal 2 5 2 3 3 2 9 2" xfId="41602"/>
    <cellStyle name="Normal 2 5 2 3 3 2_Degree data" xfId="3916"/>
    <cellStyle name="Normal 2 5 2 3 3 3" xfId="378"/>
    <cellStyle name="Normal 2 5 2 3 3 3 2" xfId="2864"/>
    <cellStyle name="Normal 2 5 2 3 3 3 2 2" xfId="12152"/>
    <cellStyle name="Normal 2 5 2 3 3 3 2 2 2" xfId="22225"/>
    <cellStyle name="Normal 2 5 2 3 3 3 2 2 2 2" xfId="47778"/>
    <cellStyle name="Normal 2 5 2 3 3 3 2 2 3" xfId="37707"/>
    <cellStyle name="Normal 2 5 2 3 3 3 2 3" xfId="8463"/>
    <cellStyle name="Normal 2 5 2 3 3 3 2 3 2" xfId="34020"/>
    <cellStyle name="Normal 2 5 2 3 3 3 2 4" xfId="17218"/>
    <cellStyle name="Normal 2 5 2 3 3 3 2 4 2" xfId="42771"/>
    <cellStyle name="Normal 2 5 2 3 3 3 2 5" xfId="28708"/>
    <cellStyle name="Normal 2 5 2 3 3 3 3" xfId="4555"/>
    <cellStyle name="Normal 2 5 2 3 3 3 3 2" xfId="13393"/>
    <cellStyle name="Normal 2 5 2 3 3 3 3 2 2" xfId="23644"/>
    <cellStyle name="Normal 2 5 2 3 3 3 3 2 2 2" xfId="49197"/>
    <cellStyle name="Normal 2 5 2 3 3 3 3 2 3" xfId="38948"/>
    <cellStyle name="Normal 2 5 2 3 3 3 3 3" xfId="9814"/>
    <cellStyle name="Normal 2 5 2 3 3 3 3 3 2" xfId="35371"/>
    <cellStyle name="Normal 2 5 2 3 3 3 3 4" xfId="18637"/>
    <cellStyle name="Normal 2 5 2 3 3 3 3 4 2" xfId="44190"/>
    <cellStyle name="Normal 2 5 2 3 3 3 3 5" xfId="30127"/>
    <cellStyle name="Normal 2 5 2 3 3 3 4" xfId="1973"/>
    <cellStyle name="Normal 2 5 2 3 3 3 4 2" xfId="11338"/>
    <cellStyle name="Normal 2 5 2 3 3 3 4 2 2" xfId="36893"/>
    <cellStyle name="Normal 2 5 2 3 3 3 4 3" xfId="21342"/>
    <cellStyle name="Normal 2 5 2 3 3 3 4 3 2" xfId="46895"/>
    <cellStyle name="Normal 2 5 2 3 3 3 4 4" xfId="27825"/>
    <cellStyle name="Normal 2 5 2 3 3 3 5" xfId="6011"/>
    <cellStyle name="Normal 2 5 2 3 3 3 5 2" xfId="14838"/>
    <cellStyle name="Normal 2 5 2 3 3 3 5 2 2" xfId="40393"/>
    <cellStyle name="Normal 2 5 2 3 3 3 5 3" xfId="25089"/>
    <cellStyle name="Normal 2 5 2 3 3 3 5 3 2" xfId="50642"/>
    <cellStyle name="Normal 2 5 2 3 3 3 5 4" xfId="31572"/>
    <cellStyle name="Normal 2 5 2 3 3 3 6" xfId="7455"/>
    <cellStyle name="Normal 2 5 2 3 3 3 6 2" xfId="19824"/>
    <cellStyle name="Normal 2 5 2 3 3 3 6 2 2" xfId="45377"/>
    <cellStyle name="Normal 2 5 2 3 3 3 6 3" xfId="33012"/>
    <cellStyle name="Normal 2 5 2 3 3 3 7" xfId="16335"/>
    <cellStyle name="Normal 2 5 2 3 3 3 7 2" xfId="41888"/>
    <cellStyle name="Normal 2 5 2 3 3 3 8" xfId="26307"/>
    <cellStyle name="Normal 2 5 2 3 3 4" xfId="740"/>
    <cellStyle name="Normal 2 5 2 3 3 4 2" xfId="3226"/>
    <cellStyle name="Normal 2 5 2 3 3 4 2 2" xfId="12368"/>
    <cellStyle name="Normal 2 5 2 3 3 4 2 2 2" xfId="22587"/>
    <cellStyle name="Normal 2 5 2 3 3 4 2 2 2 2" xfId="48140"/>
    <cellStyle name="Normal 2 5 2 3 3 4 2 2 3" xfId="37923"/>
    <cellStyle name="Normal 2 5 2 3 3 4 2 3" xfId="8790"/>
    <cellStyle name="Normal 2 5 2 3 3 4 2 3 2" xfId="34347"/>
    <cellStyle name="Normal 2 5 2 3 3 4 2 4" xfId="17580"/>
    <cellStyle name="Normal 2 5 2 3 3 4 2 4 2" xfId="43133"/>
    <cellStyle name="Normal 2 5 2 3 3 4 2 5" xfId="29070"/>
    <cellStyle name="Normal 2 5 2 3 3 4 3" xfId="4904"/>
    <cellStyle name="Normal 2 5 2 3 3 4 3 2" xfId="13741"/>
    <cellStyle name="Normal 2 5 2 3 3 4 3 2 2" xfId="23992"/>
    <cellStyle name="Normal 2 5 2 3 3 4 3 2 2 2" xfId="49545"/>
    <cellStyle name="Normal 2 5 2 3 3 4 3 2 3" xfId="39296"/>
    <cellStyle name="Normal 2 5 2 3 3 4 3 3" xfId="10162"/>
    <cellStyle name="Normal 2 5 2 3 3 4 3 3 2" xfId="35719"/>
    <cellStyle name="Normal 2 5 2 3 3 4 3 4" xfId="18985"/>
    <cellStyle name="Normal 2 5 2 3 3 4 3 4 2" xfId="44538"/>
    <cellStyle name="Normal 2 5 2 3 3 4 3 5" xfId="30475"/>
    <cellStyle name="Normal 2 5 2 3 3 4 4" xfId="2335"/>
    <cellStyle name="Normal 2 5 2 3 3 4 4 2" xfId="11700"/>
    <cellStyle name="Normal 2 5 2 3 3 4 4 2 2" xfId="37255"/>
    <cellStyle name="Normal 2 5 2 3 3 4 4 3" xfId="21704"/>
    <cellStyle name="Normal 2 5 2 3 3 4 4 3 2" xfId="47257"/>
    <cellStyle name="Normal 2 5 2 3 3 4 4 4" xfId="28187"/>
    <cellStyle name="Normal 2 5 2 3 3 4 5" xfId="6359"/>
    <cellStyle name="Normal 2 5 2 3 3 4 5 2" xfId="15186"/>
    <cellStyle name="Normal 2 5 2 3 3 4 5 2 2" xfId="40741"/>
    <cellStyle name="Normal 2 5 2 3 3 4 5 3" xfId="25437"/>
    <cellStyle name="Normal 2 5 2 3 3 4 5 3 2" xfId="50990"/>
    <cellStyle name="Normal 2 5 2 3 3 4 5 4" xfId="31920"/>
    <cellStyle name="Normal 2 5 2 3 3 4 6" xfId="7805"/>
    <cellStyle name="Normal 2 5 2 3 3 4 6 2" xfId="20186"/>
    <cellStyle name="Normal 2 5 2 3 3 4 6 2 2" xfId="45739"/>
    <cellStyle name="Normal 2 5 2 3 3 4 6 3" xfId="33362"/>
    <cellStyle name="Normal 2 5 2 3 3 4 7" xfId="16697"/>
    <cellStyle name="Normal 2 5 2 3 3 4 7 2" xfId="42250"/>
    <cellStyle name="Normal 2 5 2 3 3 4 8" xfId="26669"/>
    <cellStyle name="Normal 2 5 2 3 3 5" xfId="1150"/>
    <cellStyle name="Normal 2 5 2 3 3 5 2" xfId="3579"/>
    <cellStyle name="Normal 2 5 2 3 3 5 2 2" xfId="12715"/>
    <cellStyle name="Normal 2 5 2 3 3 5 2 2 2" xfId="22934"/>
    <cellStyle name="Normal 2 5 2 3 3 5 2 2 2 2" xfId="48487"/>
    <cellStyle name="Normal 2 5 2 3 3 5 2 2 3" xfId="38270"/>
    <cellStyle name="Normal 2 5 2 3 3 5 2 3" xfId="9136"/>
    <cellStyle name="Normal 2 5 2 3 3 5 2 3 2" xfId="34693"/>
    <cellStyle name="Normal 2 5 2 3 3 5 2 4" xfId="17927"/>
    <cellStyle name="Normal 2 5 2 3 3 5 2 4 2" xfId="43480"/>
    <cellStyle name="Normal 2 5 2 3 3 5 2 5" xfId="29417"/>
    <cellStyle name="Normal 2 5 2 3 3 5 3" xfId="5242"/>
    <cellStyle name="Normal 2 5 2 3 3 5 3 2" xfId="14079"/>
    <cellStyle name="Normal 2 5 2 3 3 5 3 2 2" xfId="24330"/>
    <cellStyle name="Normal 2 5 2 3 3 5 3 2 2 2" xfId="49883"/>
    <cellStyle name="Normal 2 5 2 3 3 5 3 2 3" xfId="39634"/>
    <cellStyle name="Normal 2 5 2 3 3 5 3 3" xfId="10500"/>
    <cellStyle name="Normal 2 5 2 3 3 5 3 3 2" xfId="36057"/>
    <cellStyle name="Normal 2 5 2 3 3 5 3 4" xfId="19323"/>
    <cellStyle name="Normal 2 5 2 3 3 5 3 4 2" xfId="44876"/>
    <cellStyle name="Normal 2 5 2 3 3 5 3 5" xfId="30813"/>
    <cellStyle name="Normal 2 5 2 3 3 5 4" xfId="1858"/>
    <cellStyle name="Normal 2 5 2 3 3 5 4 2" xfId="11226"/>
    <cellStyle name="Normal 2 5 2 3 3 5 4 2 2" xfId="36781"/>
    <cellStyle name="Normal 2 5 2 3 3 5 4 3" xfId="21230"/>
    <cellStyle name="Normal 2 5 2 3 3 5 4 3 2" xfId="46783"/>
    <cellStyle name="Normal 2 5 2 3 3 5 4 4" xfId="27713"/>
    <cellStyle name="Normal 2 5 2 3 3 5 5" xfId="6697"/>
    <cellStyle name="Normal 2 5 2 3 3 5 5 2" xfId="15524"/>
    <cellStyle name="Normal 2 5 2 3 3 5 5 2 2" xfId="41079"/>
    <cellStyle name="Normal 2 5 2 3 3 5 5 3" xfId="25775"/>
    <cellStyle name="Normal 2 5 2 3 3 5 5 3 2" xfId="51328"/>
    <cellStyle name="Normal 2 5 2 3 3 5 5 4" xfId="32258"/>
    <cellStyle name="Normal 2 5 2 3 3 5 6" xfId="8143"/>
    <cellStyle name="Normal 2 5 2 3 3 5 6 2" xfId="20533"/>
    <cellStyle name="Normal 2 5 2 3 3 5 6 2 2" xfId="46086"/>
    <cellStyle name="Normal 2 5 2 3 3 5 6 3" xfId="33700"/>
    <cellStyle name="Normal 2 5 2 3 3 5 7" xfId="16223"/>
    <cellStyle name="Normal 2 5 2 3 3 5 7 2" xfId="41776"/>
    <cellStyle name="Normal 2 5 2 3 3 5 8" xfId="27016"/>
    <cellStyle name="Normal 2 5 2 3 3 6" xfId="2752"/>
    <cellStyle name="Normal 2 5 2 3 3 6 2" xfId="12069"/>
    <cellStyle name="Normal 2 5 2 3 3 6 2 2" xfId="22113"/>
    <cellStyle name="Normal 2 5 2 3 3 6 2 2 2" xfId="47666"/>
    <cellStyle name="Normal 2 5 2 3 3 6 2 3" xfId="37624"/>
    <cellStyle name="Normal 2 5 2 3 3 6 3" xfId="8484"/>
    <cellStyle name="Normal 2 5 2 3 3 6 3 2" xfId="34041"/>
    <cellStyle name="Normal 2 5 2 3 3 6 4" xfId="17106"/>
    <cellStyle name="Normal 2 5 2 3 3 6 4 2" xfId="42659"/>
    <cellStyle name="Normal 2 5 2 3 3 6 5" xfId="28596"/>
    <cellStyle name="Normal 2 5 2 3 3 7" xfId="4198"/>
    <cellStyle name="Normal 2 5 2 3 3 7 2" xfId="13036"/>
    <cellStyle name="Normal 2 5 2 3 3 7 2 2" xfId="23287"/>
    <cellStyle name="Normal 2 5 2 3 3 7 2 2 2" xfId="48840"/>
    <cellStyle name="Normal 2 5 2 3 3 7 2 3" xfId="38591"/>
    <cellStyle name="Normal 2 5 2 3 3 7 3" xfId="9457"/>
    <cellStyle name="Normal 2 5 2 3 3 7 3 2" xfId="35014"/>
    <cellStyle name="Normal 2 5 2 3 3 7 4" xfId="18280"/>
    <cellStyle name="Normal 2 5 2 3 3 7 4 2" xfId="43833"/>
    <cellStyle name="Normal 2 5 2 3 3 7 5" xfId="29770"/>
    <cellStyle name="Normal 2 5 2 3 3 8" xfId="1470"/>
    <cellStyle name="Normal 2 5 2 3 3 8 2" xfId="10847"/>
    <cellStyle name="Normal 2 5 2 3 3 8 2 2" xfId="36402"/>
    <cellStyle name="Normal 2 5 2 3 3 8 3" xfId="20851"/>
    <cellStyle name="Normal 2 5 2 3 3 8 3 2" xfId="46404"/>
    <cellStyle name="Normal 2 5 2 3 3 8 4" xfId="27334"/>
    <cellStyle name="Normal 2 5 2 3 3 9" xfId="5654"/>
    <cellStyle name="Normal 2 5 2 3 3 9 2" xfId="14481"/>
    <cellStyle name="Normal 2 5 2 3 3 9 2 2" xfId="40036"/>
    <cellStyle name="Normal 2 5 2 3 3 9 3" xfId="24732"/>
    <cellStyle name="Normal 2 5 2 3 3 9 3 2" xfId="50285"/>
    <cellStyle name="Normal 2 5 2 3 3 9 4" xfId="31215"/>
    <cellStyle name="Normal 2 5 2 3 3_Degree data" xfId="3463"/>
    <cellStyle name="Normal 2 5 2 3 4" xfId="478"/>
    <cellStyle name="Normal 2 5 2 3 4 10" xfId="26407"/>
    <cellStyle name="Normal 2 5 2 3 4 2" xfId="742"/>
    <cellStyle name="Normal 2 5 2 3 4 2 2" xfId="3228"/>
    <cellStyle name="Normal 2 5 2 3 4 2 2 2" xfId="12370"/>
    <cellStyle name="Normal 2 5 2 3 4 2 2 2 2" xfId="22589"/>
    <cellStyle name="Normal 2 5 2 3 4 2 2 2 2 2" xfId="48142"/>
    <cellStyle name="Normal 2 5 2 3 4 2 2 2 3" xfId="37925"/>
    <cellStyle name="Normal 2 5 2 3 4 2 2 3" xfId="8792"/>
    <cellStyle name="Normal 2 5 2 3 4 2 2 3 2" xfId="34349"/>
    <cellStyle name="Normal 2 5 2 3 4 2 2 4" xfId="17582"/>
    <cellStyle name="Normal 2 5 2 3 4 2 2 4 2" xfId="43135"/>
    <cellStyle name="Normal 2 5 2 3 4 2 2 5" xfId="29072"/>
    <cellStyle name="Normal 2 5 2 3 4 2 3" xfId="4557"/>
    <cellStyle name="Normal 2 5 2 3 4 2 3 2" xfId="13395"/>
    <cellStyle name="Normal 2 5 2 3 4 2 3 2 2" xfId="23646"/>
    <cellStyle name="Normal 2 5 2 3 4 2 3 2 2 2" xfId="49199"/>
    <cellStyle name="Normal 2 5 2 3 4 2 3 2 3" xfId="38950"/>
    <cellStyle name="Normal 2 5 2 3 4 2 3 3" xfId="9816"/>
    <cellStyle name="Normal 2 5 2 3 4 2 3 3 2" xfId="35373"/>
    <cellStyle name="Normal 2 5 2 3 4 2 3 4" xfId="18639"/>
    <cellStyle name="Normal 2 5 2 3 4 2 3 4 2" xfId="44192"/>
    <cellStyle name="Normal 2 5 2 3 4 2 3 5" xfId="30129"/>
    <cellStyle name="Normal 2 5 2 3 4 2 4" xfId="2337"/>
    <cellStyle name="Normal 2 5 2 3 4 2 4 2" xfId="11702"/>
    <cellStyle name="Normal 2 5 2 3 4 2 4 2 2" xfId="37257"/>
    <cellStyle name="Normal 2 5 2 3 4 2 4 3" xfId="21706"/>
    <cellStyle name="Normal 2 5 2 3 4 2 4 3 2" xfId="47259"/>
    <cellStyle name="Normal 2 5 2 3 4 2 4 4" xfId="28189"/>
    <cellStyle name="Normal 2 5 2 3 4 2 5" xfId="6013"/>
    <cellStyle name="Normal 2 5 2 3 4 2 5 2" xfId="14840"/>
    <cellStyle name="Normal 2 5 2 3 4 2 5 2 2" xfId="40395"/>
    <cellStyle name="Normal 2 5 2 3 4 2 5 3" xfId="25091"/>
    <cellStyle name="Normal 2 5 2 3 4 2 5 3 2" xfId="50644"/>
    <cellStyle name="Normal 2 5 2 3 4 2 5 4" xfId="31574"/>
    <cellStyle name="Normal 2 5 2 3 4 2 6" xfId="7457"/>
    <cellStyle name="Normal 2 5 2 3 4 2 6 2" xfId="20188"/>
    <cellStyle name="Normal 2 5 2 3 4 2 6 2 2" xfId="45741"/>
    <cellStyle name="Normal 2 5 2 3 4 2 6 3" xfId="33014"/>
    <cellStyle name="Normal 2 5 2 3 4 2 7" xfId="16699"/>
    <cellStyle name="Normal 2 5 2 3 4 2 7 2" xfId="42252"/>
    <cellStyle name="Normal 2 5 2 3 4 2 8" xfId="26671"/>
    <cellStyle name="Normal 2 5 2 3 4 3" xfId="1250"/>
    <cellStyle name="Normal 2 5 2 3 4 3 2" xfId="3679"/>
    <cellStyle name="Normal 2 5 2 3 4 3 2 2" xfId="12815"/>
    <cellStyle name="Normal 2 5 2 3 4 3 2 2 2" xfId="23034"/>
    <cellStyle name="Normal 2 5 2 3 4 3 2 2 2 2" xfId="48587"/>
    <cellStyle name="Normal 2 5 2 3 4 3 2 2 3" xfId="38370"/>
    <cellStyle name="Normal 2 5 2 3 4 3 2 3" xfId="9236"/>
    <cellStyle name="Normal 2 5 2 3 4 3 2 3 2" xfId="34793"/>
    <cellStyle name="Normal 2 5 2 3 4 3 2 4" xfId="18027"/>
    <cellStyle name="Normal 2 5 2 3 4 3 2 4 2" xfId="43580"/>
    <cellStyle name="Normal 2 5 2 3 4 3 2 5" xfId="29517"/>
    <cellStyle name="Normal 2 5 2 3 4 3 3" xfId="4906"/>
    <cellStyle name="Normal 2 5 2 3 4 3 3 2" xfId="13743"/>
    <cellStyle name="Normal 2 5 2 3 4 3 3 2 2" xfId="23994"/>
    <cellStyle name="Normal 2 5 2 3 4 3 3 2 2 2" xfId="49547"/>
    <cellStyle name="Normal 2 5 2 3 4 3 3 2 3" xfId="39298"/>
    <cellStyle name="Normal 2 5 2 3 4 3 3 3" xfId="10164"/>
    <cellStyle name="Normal 2 5 2 3 4 3 3 3 2" xfId="35721"/>
    <cellStyle name="Normal 2 5 2 3 4 3 3 4" xfId="18987"/>
    <cellStyle name="Normal 2 5 2 3 4 3 3 4 2" xfId="44540"/>
    <cellStyle name="Normal 2 5 2 3 4 3 3 5" xfId="30477"/>
    <cellStyle name="Normal 2 5 2 3 4 3 4" xfId="2073"/>
    <cellStyle name="Normal 2 5 2 3 4 3 4 2" xfId="11438"/>
    <cellStyle name="Normal 2 5 2 3 4 3 4 2 2" xfId="36993"/>
    <cellStyle name="Normal 2 5 2 3 4 3 4 3" xfId="21442"/>
    <cellStyle name="Normal 2 5 2 3 4 3 4 3 2" xfId="46995"/>
    <cellStyle name="Normal 2 5 2 3 4 3 4 4" xfId="27925"/>
    <cellStyle name="Normal 2 5 2 3 4 3 5" xfId="6361"/>
    <cellStyle name="Normal 2 5 2 3 4 3 5 2" xfId="15188"/>
    <cellStyle name="Normal 2 5 2 3 4 3 5 2 2" xfId="40743"/>
    <cellStyle name="Normal 2 5 2 3 4 3 5 3" xfId="25439"/>
    <cellStyle name="Normal 2 5 2 3 4 3 5 3 2" xfId="50992"/>
    <cellStyle name="Normal 2 5 2 3 4 3 5 4" xfId="31922"/>
    <cellStyle name="Normal 2 5 2 3 4 3 6" xfId="7807"/>
    <cellStyle name="Normal 2 5 2 3 4 3 6 2" xfId="20633"/>
    <cellStyle name="Normal 2 5 2 3 4 3 6 2 2" xfId="46186"/>
    <cellStyle name="Normal 2 5 2 3 4 3 6 3" xfId="33364"/>
    <cellStyle name="Normal 2 5 2 3 4 3 7" xfId="16435"/>
    <cellStyle name="Normal 2 5 2 3 4 3 7 2" xfId="41988"/>
    <cellStyle name="Normal 2 5 2 3 4 3 8" xfId="27116"/>
    <cellStyle name="Normal 2 5 2 3 4 4" xfId="2964"/>
    <cellStyle name="Normal 2 5 2 3 4 4 2" xfId="5342"/>
    <cellStyle name="Normal 2 5 2 3 4 4 2 2" xfId="14179"/>
    <cellStyle name="Normal 2 5 2 3 4 4 2 2 2" xfId="24430"/>
    <cellStyle name="Normal 2 5 2 3 4 4 2 2 2 2" xfId="49983"/>
    <cellStyle name="Normal 2 5 2 3 4 4 2 2 3" xfId="39734"/>
    <cellStyle name="Normal 2 5 2 3 4 4 2 3" xfId="10600"/>
    <cellStyle name="Normal 2 5 2 3 4 4 2 3 2" xfId="36157"/>
    <cellStyle name="Normal 2 5 2 3 4 4 2 4" xfId="19423"/>
    <cellStyle name="Normal 2 5 2 3 4 4 2 4 2" xfId="44976"/>
    <cellStyle name="Normal 2 5 2 3 4 4 2 5" xfId="30913"/>
    <cellStyle name="Normal 2 5 2 3 4 4 3" xfId="6797"/>
    <cellStyle name="Normal 2 5 2 3 4 4 3 2" xfId="15624"/>
    <cellStyle name="Normal 2 5 2 3 4 4 3 2 2" xfId="41179"/>
    <cellStyle name="Normal 2 5 2 3 4 4 3 3" xfId="25875"/>
    <cellStyle name="Normal 2 5 2 3 4 4 3 3 2" xfId="51428"/>
    <cellStyle name="Normal 2 5 2 3 4 4 3 4" xfId="32358"/>
    <cellStyle name="Normal 2 5 2 3 4 4 4" xfId="8243"/>
    <cellStyle name="Normal 2 5 2 3 4 4 4 2" xfId="22325"/>
    <cellStyle name="Normal 2 5 2 3 4 4 4 2 2" xfId="47878"/>
    <cellStyle name="Normal 2 5 2 3 4 4 4 3" xfId="33800"/>
    <cellStyle name="Normal 2 5 2 3 4 4 5" xfId="17318"/>
    <cellStyle name="Normal 2 5 2 3 4 4 5 2" xfId="42871"/>
    <cellStyle name="Normal 2 5 2 3 4 4 6" xfId="28808"/>
    <cellStyle name="Normal 2 5 2 3 4 5" xfId="4298"/>
    <cellStyle name="Normal 2 5 2 3 4 5 2" xfId="13136"/>
    <cellStyle name="Normal 2 5 2 3 4 5 2 2" xfId="23387"/>
    <cellStyle name="Normal 2 5 2 3 4 5 2 2 2" xfId="48940"/>
    <cellStyle name="Normal 2 5 2 3 4 5 2 3" xfId="38691"/>
    <cellStyle name="Normal 2 5 2 3 4 5 3" xfId="9557"/>
    <cellStyle name="Normal 2 5 2 3 4 5 3 2" xfId="35114"/>
    <cellStyle name="Normal 2 5 2 3 4 5 4" xfId="18380"/>
    <cellStyle name="Normal 2 5 2 3 4 5 4 2" xfId="43933"/>
    <cellStyle name="Normal 2 5 2 3 4 5 5" xfId="29870"/>
    <cellStyle name="Normal 2 5 2 3 4 6" xfId="1570"/>
    <cellStyle name="Normal 2 5 2 3 4 6 2" xfId="10947"/>
    <cellStyle name="Normal 2 5 2 3 4 6 2 2" xfId="36502"/>
    <cellStyle name="Normal 2 5 2 3 4 6 3" xfId="20951"/>
    <cellStyle name="Normal 2 5 2 3 4 6 3 2" xfId="46504"/>
    <cellStyle name="Normal 2 5 2 3 4 6 4" xfId="27434"/>
    <cellStyle name="Normal 2 5 2 3 4 7" xfId="5754"/>
    <cellStyle name="Normal 2 5 2 3 4 7 2" xfId="14581"/>
    <cellStyle name="Normal 2 5 2 3 4 7 2 2" xfId="40136"/>
    <cellStyle name="Normal 2 5 2 3 4 7 3" xfId="24832"/>
    <cellStyle name="Normal 2 5 2 3 4 7 3 2" xfId="50385"/>
    <cellStyle name="Normal 2 5 2 3 4 7 4" xfId="31315"/>
    <cellStyle name="Normal 2 5 2 3 4 8" xfId="7198"/>
    <cellStyle name="Normal 2 5 2 3 4 8 2" xfId="19924"/>
    <cellStyle name="Normal 2 5 2 3 4 8 2 2" xfId="45477"/>
    <cellStyle name="Normal 2 5 2 3 4 8 3" xfId="32755"/>
    <cellStyle name="Normal 2 5 2 3 4 9" xfId="15944"/>
    <cellStyle name="Normal 2 5 2 3 4 9 2" xfId="41497"/>
    <cellStyle name="Normal 2 5 2 3 4_Degree data" xfId="3910"/>
    <cellStyle name="Normal 2 5 2 3 5" xfId="319"/>
    <cellStyle name="Normal 2 5 2 3 5 2" xfId="2805"/>
    <cellStyle name="Normal 2 5 2 3 5 2 2" xfId="12109"/>
    <cellStyle name="Normal 2 5 2 3 5 2 2 2" xfId="22166"/>
    <cellStyle name="Normal 2 5 2 3 5 2 2 2 2" xfId="47719"/>
    <cellStyle name="Normal 2 5 2 3 5 2 2 3" xfId="37664"/>
    <cellStyle name="Normal 2 5 2 3 5 2 3" xfId="8407"/>
    <cellStyle name="Normal 2 5 2 3 5 2 3 2" xfId="33964"/>
    <cellStyle name="Normal 2 5 2 3 5 2 4" xfId="17159"/>
    <cellStyle name="Normal 2 5 2 3 5 2 4 2" xfId="42712"/>
    <cellStyle name="Normal 2 5 2 3 5 2 5" xfId="28649"/>
    <cellStyle name="Normal 2 5 2 3 5 3" xfId="4552"/>
    <cellStyle name="Normal 2 5 2 3 5 3 2" xfId="13390"/>
    <cellStyle name="Normal 2 5 2 3 5 3 2 2" xfId="23641"/>
    <cellStyle name="Normal 2 5 2 3 5 3 2 2 2" xfId="49194"/>
    <cellStyle name="Normal 2 5 2 3 5 3 2 3" xfId="38945"/>
    <cellStyle name="Normal 2 5 2 3 5 3 3" xfId="9811"/>
    <cellStyle name="Normal 2 5 2 3 5 3 3 2" xfId="35368"/>
    <cellStyle name="Normal 2 5 2 3 5 3 4" xfId="18634"/>
    <cellStyle name="Normal 2 5 2 3 5 3 4 2" xfId="44187"/>
    <cellStyle name="Normal 2 5 2 3 5 3 5" xfId="30124"/>
    <cellStyle name="Normal 2 5 2 3 5 4" xfId="1914"/>
    <cellStyle name="Normal 2 5 2 3 5 4 2" xfId="11279"/>
    <cellStyle name="Normal 2 5 2 3 5 4 2 2" xfId="36834"/>
    <cellStyle name="Normal 2 5 2 3 5 4 3" xfId="21283"/>
    <cellStyle name="Normal 2 5 2 3 5 4 3 2" xfId="46836"/>
    <cellStyle name="Normal 2 5 2 3 5 4 4" xfId="27766"/>
    <cellStyle name="Normal 2 5 2 3 5 5" xfId="6008"/>
    <cellStyle name="Normal 2 5 2 3 5 5 2" xfId="14835"/>
    <cellStyle name="Normal 2 5 2 3 5 5 2 2" xfId="40390"/>
    <cellStyle name="Normal 2 5 2 3 5 5 3" xfId="25086"/>
    <cellStyle name="Normal 2 5 2 3 5 5 3 2" xfId="50639"/>
    <cellStyle name="Normal 2 5 2 3 5 5 4" xfId="31569"/>
    <cellStyle name="Normal 2 5 2 3 5 6" xfId="7452"/>
    <cellStyle name="Normal 2 5 2 3 5 6 2" xfId="19765"/>
    <cellStyle name="Normal 2 5 2 3 5 6 2 2" xfId="45318"/>
    <cellStyle name="Normal 2 5 2 3 5 6 3" xfId="33009"/>
    <cellStyle name="Normal 2 5 2 3 5 7" xfId="16276"/>
    <cellStyle name="Normal 2 5 2 3 5 7 2" xfId="41829"/>
    <cellStyle name="Normal 2 5 2 3 5 8" xfId="26248"/>
    <cellStyle name="Normal 2 5 2 3 6" xfId="737"/>
    <cellStyle name="Normal 2 5 2 3 6 2" xfId="3223"/>
    <cellStyle name="Normal 2 5 2 3 6 2 2" xfId="12365"/>
    <cellStyle name="Normal 2 5 2 3 6 2 2 2" xfId="22584"/>
    <cellStyle name="Normal 2 5 2 3 6 2 2 2 2" xfId="48137"/>
    <cellStyle name="Normal 2 5 2 3 6 2 2 3" xfId="37920"/>
    <cellStyle name="Normal 2 5 2 3 6 2 3" xfId="8787"/>
    <cellStyle name="Normal 2 5 2 3 6 2 3 2" xfId="34344"/>
    <cellStyle name="Normal 2 5 2 3 6 2 4" xfId="17577"/>
    <cellStyle name="Normal 2 5 2 3 6 2 4 2" xfId="43130"/>
    <cellStyle name="Normal 2 5 2 3 6 2 5" xfId="29067"/>
    <cellStyle name="Normal 2 5 2 3 6 3" xfId="4901"/>
    <cellStyle name="Normal 2 5 2 3 6 3 2" xfId="13738"/>
    <cellStyle name="Normal 2 5 2 3 6 3 2 2" xfId="23989"/>
    <cellStyle name="Normal 2 5 2 3 6 3 2 2 2" xfId="49542"/>
    <cellStyle name="Normal 2 5 2 3 6 3 2 3" xfId="39293"/>
    <cellStyle name="Normal 2 5 2 3 6 3 3" xfId="10159"/>
    <cellStyle name="Normal 2 5 2 3 6 3 3 2" xfId="35716"/>
    <cellStyle name="Normal 2 5 2 3 6 3 4" xfId="18982"/>
    <cellStyle name="Normal 2 5 2 3 6 3 4 2" xfId="44535"/>
    <cellStyle name="Normal 2 5 2 3 6 3 5" xfId="30472"/>
    <cellStyle name="Normal 2 5 2 3 6 4" xfId="2332"/>
    <cellStyle name="Normal 2 5 2 3 6 4 2" xfId="11697"/>
    <cellStyle name="Normal 2 5 2 3 6 4 2 2" xfId="37252"/>
    <cellStyle name="Normal 2 5 2 3 6 4 3" xfId="21701"/>
    <cellStyle name="Normal 2 5 2 3 6 4 3 2" xfId="47254"/>
    <cellStyle name="Normal 2 5 2 3 6 4 4" xfId="28184"/>
    <cellStyle name="Normal 2 5 2 3 6 5" xfId="6356"/>
    <cellStyle name="Normal 2 5 2 3 6 5 2" xfId="15183"/>
    <cellStyle name="Normal 2 5 2 3 6 5 2 2" xfId="40738"/>
    <cellStyle name="Normal 2 5 2 3 6 5 3" xfId="25434"/>
    <cellStyle name="Normal 2 5 2 3 6 5 3 2" xfId="50987"/>
    <cellStyle name="Normal 2 5 2 3 6 5 4" xfId="31917"/>
    <cellStyle name="Normal 2 5 2 3 6 6" xfId="7802"/>
    <cellStyle name="Normal 2 5 2 3 6 6 2" xfId="20183"/>
    <cellStyle name="Normal 2 5 2 3 6 6 2 2" xfId="45736"/>
    <cellStyle name="Normal 2 5 2 3 6 6 3" xfId="33359"/>
    <cellStyle name="Normal 2 5 2 3 6 7" xfId="16694"/>
    <cellStyle name="Normal 2 5 2 3 6 7 2" xfId="42247"/>
    <cellStyle name="Normal 2 5 2 3 6 8" xfId="26666"/>
    <cellStyle name="Normal 2 5 2 3 7" xfId="1091"/>
    <cellStyle name="Normal 2 5 2 3 7 2" xfId="3520"/>
    <cellStyle name="Normal 2 5 2 3 7 2 2" xfId="12656"/>
    <cellStyle name="Normal 2 5 2 3 7 2 2 2" xfId="22875"/>
    <cellStyle name="Normal 2 5 2 3 7 2 2 2 2" xfId="48428"/>
    <cellStyle name="Normal 2 5 2 3 7 2 2 3" xfId="38211"/>
    <cellStyle name="Normal 2 5 2 3 7 2 3" xfId="9078"/>
    <cellStyle name="Normal 2 5 2 3 7 2 3 2" xfId="34635"/>
    <cellStyle name="Normal 2 5 2 3 7 2 4" xfId="17868"/>
    <cellStyle name="Normal 2 5 2 3 7 2 4 2" xfId="43421"/>
    <cellStyle name="Normal 2 5 2 3 7 2 5" xfId="29358"/>
    <cellStyle name="Normal 2 5 2 3 7 3" xfId="5183"/>
    <cellStyle name="Normal 2 5 2 3 7 3 2" xfId="14020"/>
    <cellStyle name="Normal 2 5 2 3 7 3 2 2" xfId="24271"/>
    <cellStyle name="Normal 2 5 2 3 7 3 2 2 2" xfId="49824"/>
    <cellStyle name="Normal 2 5 2 3 7 3 2 3" xfId="39575"/>
    <cellStyle name="Normal 2 5 2 3 7 3 3" xfId="10441"/>
    <cellStyle name="Normal 2 5 2 3 7 3 3 2" xfId="35998"/>
    <cellStyle name="Normal 2 5 2 3 7 3 4" xfId="19264"/>
    <cellStyle name="Normal 2 5 2 3 7 3 4 2" xfId="44817"/>
    <cellStyle name="Normal 2 5 2 3 7 3 5" xfId="30754"/>
    <cellStyle name="Normal 2 5 2 3 7 4" xfId="1749"/>
    <cellStyle name="Normal 2 5 2 3 7 4 2" xfId="11120"/>
    <cellStyle name="Normal 2 5 2 3 7 4 2 2" xfId="36675"/>
    <cellStyle name="Normal 2 5 2 3 7 4 3" xfId="21124"/>
    <cellStyle name="Normal 2 5 2 3 7 4 3 2" xfId="46677"/>
    <cellStyle name="Normal 2 5 2 3 7 4 4" xfId="27607"/>
    <cellStyle name="Normal 2 5 2 3 7 5" xfId="6638"/>
    <cellStyle name="Normal 2 5 2 3 7 5 2" xfId="15465"/>
    <cellStyle name="Normal 2 5 2 3 7 5 2 2" xfId="41020"/>
    <cellStyle name="Normal 2 5 2 3 7 5 3" xfId="25716"/>
    <cellStyle name="Normal 2 5 2 3 7 5 3 2" xfId="51269"/>
    <cellStyle name="Normal 2 5 2 3 7 5 4" xfId="32199"/>
    <cellStyle name="Normal 2 5 2 3 7 6" xfId="8084"/>
    <cellStyle name="Normal 2 5 2 3 7 6 2" xfId="20474"/>
    <cellStyle name="Normal 2 5 2 3 7 6 2 2" xfId="46027"/>
    <cellStyle name="Normal 2 5 2 3 7 6 3" xfId="33641"/>
    <cellStyle name="Normal 2 5 2 3 7 7" xfId="16117"/>
    <cellStyle name="Normal 2 5 2 3 7 7 2" xfId="41670"/>
    <cellStyle name="Normal 2 5 2 3 7 8" xfId="26957"/>
    <cellStyle name="Normal 2 5 2 3 8" xfId="2647"/>
    <cellStyle name="Normal 2 5 2 3 8 2" xfId="5595"/>
    <cellStyle name="Normal 2 5 2 3 8 2 2" xfId="14422"/>
    <cellStyle name="Normal 2 5 2 3 8 2 2 2" xfId="39977"/>
    <cellStyle name="Normal 2 5 2 3 8 2 3" xfId="24673"/>
    <cellStyle name="Normal 2 5 2 3 8 2 3 2" xfId="50226"/>
    <cellStyle name="Normal 2 5 2 3 8 2 4" xfId="31156"/>
    <cellStyle name="Normal 2 5 2 3 8 3" xfId="7039"/>
    <cellStyle name="Normal 2 5 2 3 8 3 2" xfId="22008"/>
    <cellStyle name="Normal 2 5 2 3 8 3 2 2" xfId="47561"/>
    <cellStyle name="Normal 2 5 2 3 8 3 3" xfId="32596"/>
    <cellStyle name="Normal 2 5 2 3 8 4" xfId="17001"/>
    <cellStyle name="Normal 2 5 2 3 8 4 2" xfId="42554"/>
    <cellStyle name="Normal 2 5 2 3 8 5" xfId="28491"/>
    <cellStyle name="Normal 2 5 2 3 9" xfId="4137"/>
    <cellStyle name="Normal 2 5 2 3 9 2" xfId="12975"/>
    <cellStyle name="Normal 2 5 2 3 9 2 2" xfId="23226"/>
    <cellStyle name="Normal 2 5 2 3 9 2 2 2" xfId="48779"/>
    <cellStyle name="Normal 2 5 2 3 9 2 3" xfId="38530"/>
    <cellStyle name="Normal 2 5 2 3 9 3" xfId="9396"/>
    <cellStyle name="Normal 2 5 2 3 9 3 2" xfId="34953"/>
    <cellStyle name="Normal 2 5 2 3 9 4" xfId="18219"/>
    <cellStyle name="Normal 2 5 2 3 9 4 2" xfId="43772"/>
    <cellStyle name="Normal 2 5 2 3 9 5" xfId="29709"/>
    <cellStyle name="Normal 2 5 2 3_Degree data" xfId="3820"/>
    <cellStyle name="Normal 2 5 2 4" xfId="183"/>
    <cellStyle name="Normal 2 5 2 4 10" xfId="7131"/>
    <cellStyle name="Normal 2 5 2 4 10 2" xfId="19640"/>
    <cellStyle name="Normal 2 5 2 4 10 2 2" xfId="45193"/>
    <cellStyle name="Normal 2 5 2 4 10 3" xfId="32688"/>
    <cellStyle name="Normal 2 5 2 4 11" xfId="15877"/>
    <cellStyle name="Normal 2 5 2 4 11 2" xfId="41430"/>
    <cellStyle name="Normal 2 5 2 4 12" xfId="26123"/>
    <cellStyle name="Normal 2 5 2 4 2" xfId="511"/>
    <cellStyle name="Normal 2 5 2 4 2 10" xfId="26440"/>
    <cellStyle name="Normal 2 5 2 4 2 2" xfId="744"/>
    <cellStyle name="Normal 2 5 2 4 2 2 2" xfId="3230"/>
    <cellStyle name="Normal 2 5 2 4 2 2 2 2" xfId="12372"/>
    <cellStyle name="Normal 2 5 2 4 2 2 2 2 2" xfId="22591"/>
    <cellStyle name="Normal 2 5 2 4 2 2 2 2 2 2" xfId="48144"/>
    <cellStyle name="Normal 2 5 2 4 2 2 2 2 3" xfId="37927"/>
    <cellStyle name="Normal 2 5 2 4 2 2 2 3" xfId="8794"/>
    <cellStyle name="Normal 2 5 2 4 2 2 2 3 2" xfId="34351"/>
    <cellStyle name="Normal 2 5 2 4 2 2 2 4" xfId="17584"/>
    <cellStyle name="Normal 2 5 2 4 2 2 2 4 2" xfId="43137"/>
    <cellStyle name="Normal 2 5 2 4 2 2 2 5" xfId="29074"/>
    <cellStyle name="Normal 2 5 2 4 2 2 3" xfId="4559"/>
    <cellStyle name="Normal 2 5 2 4 2 2 3 2" xfId="13397"/>
    <cellStyle name="Normal 2 5 2 4 2 2 3 2 2" xfId="23648"/>
    <cellStyle name="Normal 2 5 2 4 2 2 3 2 2 2" xfId="49201"/>
    <cellStyle name="Normal 2 5 2 4 2 2 3 2 3" xfId="38952"/>
    <cellStyle name="Normal 2 5 2 4 2 2 3 3" xfId="9818"/>
    <cellStyle name="Normal 2 5 2 4 2 2 3 3 2" xfId="35375"/>
    <cellStyle name="Normal 2 5 2 4 2 2 3 4" xfId="18641"/>
    <cellStyle name="Normal 2 5 2 4 2 2 3 4 2" xfId="44194"/>
    <cellStyle name="Normal 2 5 2 4 2 2 3 5" xfId="30131"/>
    <cellStyle name="Normal 2 5 2 4 2 2 4" xfId="2339"/>
    <cellStyle name="Normal 2 5 2 4 2 2 4 2" xfId="11704"/>
    <cellStyle name="Normal 2 5 2 4 2 2 4 2 2" xfId="37259"/>
    <cellStyle name="Normal 2 5 2 4 2 2 4 3" xfId="21708"/>
    <cellStyle name="Normal 2 5 2 4 2 2 4 3 2" xfId="47261"/>
    <cellStyle name="Normal 2 5 2 4 2 2 4 4" xfId="28191"/>
    <cellStyle name="Normal 2 5 2 4 2 2 5" xfId="6015"/>
    <cellStyle name="Normal 2 5 2 4 2 2 5 2" xfId="14842"/>
    <cellStyle name="Normal 2 5 2 4 2 2 5 2 2" xfId="40397"/>
    <cellStyle name="Normal 2 5 2 4 2 2 5 3" xfId="25093"/>
    <cellStyle name="Normal 2 5 2 4 2 2 5 3 2" xfId="50646"/>
    <cellStyle name="Normal 2 5 2 4 2 2 5 4" xfId="31576"/>
    <cellStyle name="Normal 2 5 2 4 2 2 6" xfId="7459"/>
    <cellStyle name="Normal 2 5 2 4 2 2 6 2" xfId="20190"/>
    <cellStyle name="Normal 2 5 2 4 2 2 6 2 2" xfId="45743"/>
    <cellStyle name="Normal 2 5 2 4 2 2 6 3" xfId="33016"/>
    <cellStyle name="Normal 2 5 2 4 2 2 7" xfId="16701"/>
    <cellStyle name="Normal 2 5 2 4 2 2 7 2" xfId="42254"/>
    <cellStyle name="Normal 2 5 2 4 2 2 8" xfId="26673"/>
    <cellStyle name="Normal 2 5 2 4 2 3" xfId="1283"/>
    <cellStyle name="Normal 2 5 2 4 2 3 2" xfId="3712"/>
    <cellStyle name="Normal 2 5 2 4 2 3 2 2" xfId="12848"/>
    <cellStyle name="Normal 2 5 2 4 2 3 2 2 2" xfId="23067"/>
    <cellStyle name="Normal 2 5 2 4 2 3 2 2 2 2" xfId="48620"/>
    <cellStyle name="Normal 2 5 2 4 2 3 2 2 3" xfId="38403"/>
    <cellStyle name="Normal 2 5 2 4 2 3 2 3" xfId="9269"/>
    <cellStyle name="Normal 2 5 2 4 2 3 2 3 2" xfId="34826"/>
    <cellStyle name="Normal 2 5 2 4 2 3 2 4" xfId="18060"/>
    <cellStyle name="Normal 2 5 2 4 2 3 2 4 2" xfId="43613"/>
    <cellStyle name="Normal 2 5 2 4 2 3 2 5" xfId="29550"/>
    <cellStyle name="Normal 2 5 2 4 2 3 3" xfId="4908"/>
    <cellStyle name="Normal 2 5 2 4 2 3 3 2" xfId="13745"/>
    <cellStyle name="Normal 2 5 2 4 2 3 3 2 2" xfId="23996"/>
    <cellStyle name="Normal 2 5 2 4 2 3 3 2 2 2" xfId="49549"/>
    <cellStyle name="Normal 2 5 2 4 2 3 3 2 3" xfId="39300"/>
    <cellStyle name="Normal 2 5 2 4 2 3 3 3" xfId="10166"/>
    <cellStyle name="Normal 2 5 2 4 2 3 3 3 2" xfId="35723"/>
    <cellStyle name="Normal 2 5 2 4 2 3 3 4" xfId="18989"/>
    <cellStyle name="Normal 2 5 2 4 2 3 3 4 2" xfId="44542"/>
    <cellStyle name="Normal 2 5 2 4 2 3 3 5" xfId="30479"/>
    <cellStyle name="Normal 2 5 2 4 2 3 4" xfId="2106"/>
    <cellStyle name="Normal 2 5 2 4 2 3 4 2" xfId="11471"/>
    <cellStyle name="Normal 2 5 2 4 2 3 4 2 2" xfId="37026"/>
    <cellStyle name="Normal 2 5 2 4 2 3 4 3" xfId="21475"/>
    <cellStyle name="Normal 2 5 2 4 2 3 4 3 2" xfId="47028"/>
    <cellStyle name="Normal 2 5 2 4 2 3 4 4" xfId="27958"/>
    <cellStyle name="Normal 2 5 2 4 2 3 5" xfId="6363"/>
    <cellStyle name="Normal 2 5 2 4 2 3 5 2" xfId="15190"/>
    <cellStyle name="Normal 2 5 2 4 2 3 5 2 2" xfId="40745"/>
    <cellStyle name="Normal 2 5 2 4 2 3 5 3" xfId="25441"/>
    <cellStyle name="Normal 2 5 2 4 2 3 5 3 2" xfId="50994"/>
    <cellStyle name="Normal 2 5 2 4 2 3 5 4" xfId="31924"/>
    <cellStyle name="Normal 2 5 2 4 2 3 6" xfId="7809"/>
    <cellStyle name="Normal 2 5 2 4 2 3 6 2" xfId="20666"/>
    <cellStyle name="Normal 2 5 2 4 2 3 6 2 2" xfId="46219"/>
    <cellStyle name="Normal 2 5 2 4 2 3 6 3" xfId="33366"/>
    <cellStyle name="Normal 2 5 2 4 2 3 7" xfId="16468"/>
    <cellStyle name="Normal 2 5 2 4 2 3 7 2" xfId="42021"/>
    <cellStyle name="Normal 2 5 2 4 2 3 8" xfId="27149"/>
    <cellStyle name="Normal 2 5 2 4 2 4" xfId="2997"/>
    <cellStyle name="Normal 2 5 2 4 2 4 2" xfId="5375"/>
    <cellStyle name="Normal 2 5 2 4 2 4 2 2" xfId="14212"/>
    <cellStyle name="Normal 2 5 2 4 2 4 2 2 2" xfId="24463"/>
    <cellStyle name="Normal 2 5 2 4 2 4 2 2 2 2" xfId="50016"/>
    <cellStyle name="Normal 2 5 2 4 2 4 2 2 3" xfId="39767"/>
    <cellStyle name="Normal 2 5 2 4 2 4 2 3" xfId="10633"/>
    <cellStyle name="Normal 2 5 2 4 2 4 2 3 2" xfId="36190"/>
    <cellStyle name="Normal 2 5 2 4 2 4 2 4" xfId="19456"/>
    <cellStyle name="Normal 2 5 2 4 2 4 2 4 2" xfId="45009"/>
    <cellStyle name="Normal 2 5 2 4 2 4 2 5" xfId="30946"/>
    <cellStyle name="Normal 2 5 2 4 2 4 3" xfId="6830"/>
    <cellStyle name="Normal 2 5 2 4 2 4 3 2" xfId="15657"/>
    <cellStyle name="Normal 2 5 2 4 2 4 3 2 2" xfId="41212"/>
    <cellStyle name="Normal 2 5 2 4 2 4 3 3" xfId="25908"/>
    <cellStyle name="Normal 2 5 2 4 2 4 3 3 2" xfId="51461"/>
    <cellStyle name="Normal 2 5 2 4 2 4 3 4" xfId="32391"/>
    <cellStyle name="Normal 2 5 2 4 2 4 4" xfId="8276"/>
    <cellStyle name="Normal 2 5 2 4 2 4 4 2" xfId="22358"/>
    <cellStyle name="Normal 2 5 2 4 2 4 4 2 2" xfId="47911"/>
    <cellStyle name="Normal 2 5 2 4 2 4 4 3" xfId="33833"/>
    <cellStyle name="Normal 2 5 2 4 2 4 5" xfId="17351"/>
    <cellStyle name="Normal 2 5 2 4 2 4 5 2" xfId="42904"/>
    <cellStyle name="Normal 2 5 2 4 2 4 6" xfId="28841"/>
    <cellStyle name="Normal 2 5 2 4 2 5" xfId="4331"/>
    <cellStyle name="Normal 2 5 2 4 2 5 2" xfId="13169"/>
    <cellStyle name="Normal 2 5 2 4 2 5 2 2" xfId="23420"/>
    <cellStyle name="Normal 2 5 2 4 2 5 2 2 2" xfId="48973"/>
    <cellStyle name="Normal 2 5 2 4 2 5 2 3" xfId="38724"/>
    <cellStyle name="Normal 2 5 2 4 2 5 3" xfId="9590"/>
    <cellStyle name="Normal 2 5 2 4 2 5 3 2" xfId="35147"/>
    <cellStyle name="Normal 2 5 2 4 2 5 4" xfId="18413"/>
    <cellStyle name="Normal 2 5 2 4 2 5 4 2" xfId="43966"/>
    <cellStyle name="Normal 2 5 2 4 2 5 5" xfId="29903"/>
    <cellStyle name="Normal 2 5 2 4 2 6" xfId="1603"/>
    <cellStyle name="Normal 2 5 2 4 2 6 2" xfId="10980"/>
    <cellStyle name="Normal 2 5 2 4 2 6 2 2" xfId="36535"/>
    <cellStyle name="Normal 2 5 2 4 2 6 3" xfId="20984"/>
    <cellStyle name="Normal 2 5 2 4 2 6 3 2" xfId="46537"/>
    <cellStyle name="Normal 2 5 2 4 2 6 4" xfId="27467"/>
    <cellStyle name="Normal 2 5 2 4 2 7" xfId="5787"/>
    <cellStyle name="Normal 2 5 2 4 2 7 2" xfId="14614"/>
    <cellStyle name="Normal 2 5 2 4 2 7 2 2" xfId="40169"/>
    <cellStyle name="Normal 2 5 2 4 2 7 3" xfId="24865"/>
    <cellStyle name="Normal 2 5 2 4 2 7 3 2" xfId="50418"/>
    <cellStyle name="Normal 2 5 2 4 2 7 4" xfId="31348"/>
    <cellStyle name="Normal 2 5 2 4 2 8" xfId="7231"/>
    <cellStyle name="Normal 2 5 2 4 2 8 2" xfId="19957"/>
    <cellStyle name="Normal 2 5 2 4 2 8 2 2" xfId="45510"/>
    <cellStyle name="Normal 2 5 2 4 2 8 3" xfId="32788"/>
    <cellStyle name="Normal 2 5 2 4 2 9" xfId="15977"/>
    <cellStyle name="Normal 2 5 2 4 2 9 2" xfId="41530"/>
    <cellStyle name="Normal 2 5 2 4 2_Degree data" xfId="3875"/>
    <cellStyle name="Normal 2 5 2 4 3" xfId="411"/>
    <cellStyle name="Normal 2 5 2 4 3 2" xfId="2897"/>
    <cellStyle name="Normal 2 5 2 4 3 2 2" xfId="12185"/>
    <cellStyle name="Normal 2 5 2 4 3 2 2 2" xfId="22258"/>
    <cellStyle name="Normal 2 5 2 4 3 2 2 2 2" xfId="47811"/>
    <cellStyle name="Normal 2 5 2 4 3 2 2 3" xfId="37740"/>
    <cellStyle name="Normal 2 5 2 4 3 2 3" xfId="8642"/>
    <cellStyle name="Normal 2 5 2 4 3 2 3 2" xfId="34199"/>
    <cellStyle name="Normal 2 5 2 4 3 2 4" xfId="17251"/>
    <cellStyle name="Normal 2 5 2 4 3 2 4 2" xfId="42804"/>
    <cellStyle name="Normal 2 5 2 4 3 2 5" xfId="28741"/>
    <cellStyle name="Normal 2 5 2 4 3 3" xfId="4558"/>
    <cellStyle name="Normal 2 5 2 4 3 3 2" xfId="13396"/>
    <cellStyle name="Normal 2 5 2 4 3 3 2 2" xfId="23647"/>
    <cellStyle name="Normal 2 5 2 4 3 3 2 2 2" xfId="49200"/>
    <cellStyle name="Normal 2 5 2 4 3 3 2 3" xfId="38951"/>
    <cellStyle name="Normal 2 5 2 4 3 3 3" xfId="9817"/>
    <cellStyle name="Normal 2 5 2 4 3 3 3 2" xfId="35374"/>
    <cellStyle name="Normal 2 5 2 4 3 3 4" xfId="18640"/>
    <cellStyle name="Normal 2 5 2 4 3 3 4 2" xfId="44193"/>
    <cellStyle name="Normal 2 5 2 4 3 3 5" xfId="30130"/>
    <cellStyle name="Normal 2 5 2 4 3 4" xfId="2006"/>
    <cellStyle name="Normal 2 5 2 4 3 4 2" xfId="11371"/>
    <cellStyle name="Normal 2 5 2 4 3 4 2 2" xfId="36926"/>
    <cellStyle name="Normal 2 5 2 4 3 4 3" xfId="21375"/>
    <cellStyle name="Normal 2 5 2 4 3 4 3 2" xfId="46928"/>
    <cellStyle name="Normal 2 5 2 4 3 4 4" xfId="27858"/>
    <cellStyle name="Normal 2 5 2 4 3 5" xfId="6014"/>
    <cellStyle name="Normal 2 5 2 4 3 5 2" xfId="14841"/>
    <cellStyle name="Normal 2 5 2 4 3 5 2 2" xfId="40396"/>
    <cellStyle name="Normal 2 5 2 4 3 5 3" xfId="25092"/>
    <cellStyle name="Normal 2 5 2 4 3 5 3 2" xfId="50645"/>
    <cellStyle name="Normal 2 5 2 4 3 5 4" xfId="31575"/>
    <cellStyle name="Normal 2 5 2 4 3 6" xfId="7458"/>
    <cellStyle name="Normal 2 5 2 4 3 6 2" xfId="19857"/>
    <cellStyle name="Normal 2 5 2 4 3 6 2 2" xfId="45410"/>
    <cellStyle name="Normal 2 5 2 4 3 6 3" xfId="33015"/>
    <cellStyle name="Normal 2 5 2 4 3 7" xfId="16368"/>
    <cellStyle name="Normal 2 5 2 4 3 7 2" xfId="41921"/>
    <cellStyle name="Normal 2 5 2 4 3 8" xfId="26340"/>
    <cellStyle name="Normal 2 5 2 4 4" xfId="743"/>
    <cellStyle name="Normal 2 5 2 4 4 2" xfId="3229"/>
    <cellStyle name="Normal 2 5 2 4 4 2 2" xfId="12371"/>
    <cellStyle name="Normal 2 5 2 4 4 2 2 2" xfId="22590"/>
    <cellStyle name="Normal 2 5 2 4 4 2 2 2 2" xfId="48143"/>
    <cellStyle name="Normal 2 5 2 4 4 2 2 3" xfId="37926"/>
    <cellStyle name="Normal 2 5 2 4 4 2 3" xfId="8793"/>
    <cellStyle name="Normal 2 5 2 4 4 2 3 2" xfId="34350"/>
    <cellStyle name="Normal 2 5 2 4 4 2 4" xfId="17583"/>
    <cellStyle name="Normal 2 5 2 4 4 2 4 2" xfId="43136"/>
    <cellStyle name="Normal 2 5 2 4 4 2 5" xfId="29073"/>
    <cellStyle name="Normal 2 5 2 4 4 3" xfId="4907"/>
    <cellStyle name="Normal 2 5 2 4 4 3 2" xfId="13744"/>
    <cellStyle name="Normal 2 5 2 4 4 3 2 2" xfId="23995"/>
    <cellStyle name="Normal 2 5 2 4 4 3 2 2 2" xfId="49548"/>
    <cellStyle name="Normal 2 5 2 4 4 3 2 3" xfId="39299"/>
    <cellStyle name="Normal 2 5 2 4 4 3 3" xfId="10165"/>
    <cellStyle name="Normal 2 5 2 4 4 3 3 2" xfId="35722"/>
    <cellStyle name="Normal 2 5 2 4 4 3 4" xfId="18988"/>
    <cellStyle name="Normal 2 5 2 4 4 3 4 2" xfId="44541"/>
    <cellStyle name="Normal 2 5 2 4 4 3 5" xfId="30478"/>
    <cellStyle name="Normal 2 5 2 4 4 4" xfId="2338"/>
    <cellStyle name="Normal 2 5 2 4 4 4 2" xfId="11703"/>
    <cellStyle name="Normal 2 5 2 4 4 4 2 2" xfId="37258"/>
    <cellStyle name="Normal 2 5 2 4 4 4 3" xfId="21707"/>
    <cellStyle name="Normal 2 5 2 4 4 4 3 2" xfId="47260"/>
    <cellStyle name="Normal 2 5 2 4 4 4 4" xfId="28190"/>
    <cellStyle name="Normal 2 5 2 4 4 5" xfId="6362"/>
    <cellStyle name="Normal 2 5 2 4 4 5 2" xfId="15189"/>
    <cellStyle name="Normal 2 5 2 4 4 5 2 2" xfId="40744"/>
    <cellStyle name="Normal 2 5 2 4 4 5 3" xfId="25440"/>
    <cellStyle name="Normal 2 5 2 4 4 5 3 2" xfId="50993"/>
    <cellStyle name="Normal 2 5 2 4 4 5 4" xfId="31923"/>
    <cellStyle name="Normal 2 5 2 4 4 6" xfId="7808"/>
    <cellStyle name="Normal 2 5 2 4 4 6 2" xfId="20189"/>
    <cellStyle name="Normal 2 5 2 4 4 6 2 2" xfId="45742"/>
    <cellStyle name="Normal 2 5 2 4 4 6 3" xfId="33365"/>
    <cellStyle name="Normal 2 5 2 4 4 7" xfId="16700"/>
    <cellStyle name="Normal 2 5 2 4 4 7 2" xfId="42253"/>
    <cellStyle name="Normal 2 5 2 4 4 8" xfId="26672"/>
    <cellStyle name="Normal 2 5 2 4 5" xfId="1183"/>
    <cellStyle name="Normal 2 5 2 4 5 2" xfId="3612"/>
    <cellStyle name="Normal 2 5 2 4 5 2 2" xfId="12748"/>
    <cellStyle name="Normal 2 5 2 4 5 2 2 2" xfId="22967"/>
    <cellStyle name="Normal 2 5 2 4 5 2 2 2 2" xfId="48520"/>
    <cellStyle name="Normal 2 5 2 4 5 2 2 3" xfId="38303"/>
    <cellStyle name="Normal 2 5 2 4 5 2 3" xfId="9169"/>
    <cellStyle name="Normal 2 5 2 4 5 2 3 2" xfId="34726"/>
    <cellStyle name="Normal 2 5 2 4 5 2 4" xfId="17960"/>
    <cellStyle name="Normal 2 5 2 4 5 2 4 2" xfId="43513"/>
    <cellStyle name="Normal 2 5 2 4 5 2 5" xfId="29450"/>
    <cellStyle name="Normal 2 5 2 4 5 3" xfId="5275"/>
    <cellStyle name="Normal 2 5 2 4 5 3 2" xfId="14112"/>
    <cellStyle name="Normal 2 5 2 4 5 3 2 2" xfId="24363"/>
    <cellStyle name="Normal 2 5 2 4 5 3 2 2 2" xfId="49916"/>
    <cellStyle name="Normal 2 5 2 4 5 3 2 3" xfId="39667"/>
    <cellStyle name="Normal 2 5 2 4 5 3 3" xfId="10533"/>
    <cellStyle name="Normal 2 5 2 4 5 3 3 2" xfId="36090"/>
    <cellStyle name="Normal 2 5 2 4 5 3 4" xfId="19356"/>
    <cellStyle name="Normal 2 5 2 4 5 3 4 2" xfId="44909"/>
    <cellStyle name="Normal 2 5 2 4 5 3 5" xfId="30846"/>
    <cellStyle name="Normal 2 5 2 4 5 4" xfId="1785"/>
    <cellStyle name="Normal 2 5 2 4 5 4 2" xfId="11154"/>
    <cellStyle name="Normal 2 5 2 4 5 4 2 2" xfId="36709"/>
    <cellStyle name="Normal 2 5 2 4 5 4 3" xfId="21158"/>
    <cellStyle name="Normal 2 5 2 4 5 4 3 2" xfId="46711"/>
    <cellStyle name="Normal 2 5 2 4 5 4 4" xfId="27641"/>
    <cellStyle name="Normal 2 5 2 4 5 5" xfId="6730"/>
    <cellStyle name="Normal 2 5 2 4 5 5 2" xfId="15557"/>
    <cellStyle name="Normal 2 5 2 4 5 5 2 2" xfId="41112"/>
    <cellStyle name="Normal 2 5 2 4 5 5 3" xfId="25808"/>
    <cellStyle name="Normal 2 5 2 4 5 5 3 2" xfId="51361"/>
    <cellStyle name="Normal 2 5 2 4 5 5 4" xfId="32291"/>
    <cellStyle name="Normal 2 5 2 4 5 6" xfId="8176"/>
    <cellStyle name="Normal 2 5 2 4 5 6 2" xfId="20566"/>
    <cellStyle name="Normal 2 5 2 4 5 6 2 2" xfId="46119"/>
    <cellStyle name="Normal 2 5 2 4 5 6 3" xfId="33733"/>
    <cellStyle name="Normal 2 5 2 4 5 7" xfId="16151"/>
    <cellStyle name="Normal 2 5 2 4 5 7 2" xfId="41704"/>
    <cellStyle name="Normal 2 5 2 4 5 8" xfId="27049"/>
    <cellStyle name="Normal 2 5 2 4 6" xfId="2680"/>
    <cellStyle name="Normal 2 5 2 4 6 2" xfId="11997"/>
    <cellStyle name="Normal 2 5 2 4 6 2 2" xfId="22041"/>
    <cellStyle name="Normal 2 5 2 4 6 2 2 2" xfId="47594"/>
    <cellStyle name="Normal 2 5 2 4 6 2 3" xfId="37552"/>
    <cellStyle name="Normal 2 5 2 4 6 3" xfId="8619"/>
    <cellStyle name="Normal 2 5 2 4 6 3 2" xfId="34176"/>
    <cellStyle name="Normal 2 5 2 4 6 4" xfId="17034"/>
    <cellStyle name="Normal 2 5 2 4 6 4 2" xfId="42587"/>
    <cellStyle name="Normal 2 5 2 4 6 5" xfId="28524"/>
    <cellStyle name="Normal 2 5 2 4 7" xfId="4231"/>
    <cellStyle name="Normal 2 5 2 4 7 2" xfId="13069"/>
    <cellStyle name="Normal 2 5 2 4 7 2 2" xfId="23320"/>
    <cellStyle name="Normal 2 5 2 4 7 2 2 2" xfId="48873"/>
    <cellStyle name="Normal 2 5 2 4 7 2 3" xfId="38624"/>
    <cellStyle name="Normal 2 5 2 4 7 3" xfId="9490"/>
    <cellStyle name="Normal 2 5 2 4 7 3 2" xfId="35047"/>
    <cellStyle name="Normal 2 5 2 4 7 4" xfId="18313"/>
    <cellStyle name="Normal 2 5 2 4 7 4 2" xfId="43866"/>
    <cellStyle name="Normal 2 5 2 4 7 5" xfId="29803"/>
    <cellStyle name="Normal 2 5 2 4 8" xfId="1503"/>
    <cellStyle name="Normal 2 5 2 4 8 2" xfId="10880"/>
    <cellStyle name="Normal 2 5 2 4 8 2 2" xfId="36435"/>
    <cellStyle name="Normal 2 5 2 4 8 3" xfId="20884"/>
    <cellStyle name="Normal 2 5 2 4 8 3 2" xfId="46437"/>
    <cellStyle name="Normal 2 5 2 4 8 4" xfId="27367"/>
    <cellStyle name="Normal 2 5 2 4 9" xfId="5687"/>
    <cellStyle name="Normal 2 5 2 4 9 2" xfId="14514"/>
    <cellStyle name="Normal 2 5 2 4 9 2 2" xfId="40069"/>
    <cellStyle name="Normal 2 5 2 4 9 3" xfId="24765"/>
    <cellStyle name="Normal 2 5 2 4 9 3 2" xfId="50318"/>
    <cellStyle name="Normal 2 5 2 4 9 4" xfId="31248"/>
    <cellStyle name="Normal 2 5 2 4_Degree data" xfId="3841"/>
    <cellStyle name="Normal 2 5 2 5" xfId="242"/>
    <cellStyle name="Normal 2 5 2 5 10" xfId="7080"/>
    <cellStyle name="Normal 2 5 2 5 10 2" xfId="19694"/>
    <cellStyle name="Normal 2 5 2 5 10 2 2" xfId="45247"/>
    <cellStyle name="Normal 2 5 2 5 10 3" xfId="32637"/>
    <cellStyle name="Normal 2 5 2 5 11" xfId="15826"/>
    <cellStyle name="Normal 2 5 2 5 11 2" xfId="41379"/>
    <cellStyle name="Normal 2 5 2 5 12" xfId="26177"/>
    <cellStyle name="Normal 2 5 2 5 2" xfId="565"/>
    <cellStyle name="Normal 2 5 2 5 2 10" xfId="26494"/>
    <cellStyle name="Normal 2 5 2 5 2 2" xfId="746"/>
    <cellStyle name="Normal 2 5 2 5 2 2 2" xfId="3232"/>
    <cellStyle name="Normal 2 5 2 5 2 2 2 2" xfId="12374"/>
    <cellStyle name="Normal 2 5 2 5 2 2 2 2 2" xfId="22593"/>
    <cellStyle name="Normal 2 5 2 5 2 2 2 2 2 2" xfId="48146"/>
    <cellStyle name="Normal 2 5 2 5 2 2 2 2 3" xfId="37929"/>
    <cellStyle name="Normal 2 5 2 5 2 2 2 3" xfId="8796"/>
    <cellStyle name="Normal 2 5 2 5 2 2 2 3 2" xfId="34353"/>
    <cellStyle name="Normal 2 5 2 5 2 2 2 4" xfId="17586"/>
    <cellStyle name="Normal 2 5 2 5 2 2 2 4 2" xfId="43139"/>
    <cellStyle name="Normal 2 5 2 5 2 2 2 5" xfId="29076"/>
    <cellStyle name="Normal 2 5 2 5 2 2 3" xfId="4561"/>
    <cellStyle name="Normal 2 5 2 5 2 2 3 2" xfId="13399"/>
    <cellStyle name="Normal 2 5 2 5 2 2 3 2 2" xfId="23650"/>
    <cellStyle name="Normal 2 5 2 5 2 2 3 2 2 2" xfId="49203"/>
    <cellStyle name="Normal 2 5 2 5 2 2 3 2 3" xfId="38954"/>
    <cellStyle name="Normal 2 5 2 5 2 2 3 3" xfId="9820"/>
    <cellStyle name="Normal 2 5 2 5 2 2 3 3 2" xfId="35377"/>
    <cellStyle name="Normal 2 5 2 5 2 2 3 4" xfId="18643"/>
    <cellStyle name="Normal 2 5 2 5 2 2 3 4 2" xfId="44196"/>
    <cellStyle name="Normal 2 5 2 5 2 2 3 5" xfId="30133"/>
    <cellStyle name="Normal 2 5 2 5 2 2 4" xfId="2341"/>
    <cellStyle name="Normal 2 5 2 5 2 2 4 2" xfId="11706"/>
    <cellStyle name="Normal 2 5 2 5 2 2 4 2 2" xfId="37261"/>
    <cellStyle name="Normal 2 5 2 5 2 2 4 3" xfId="21710"/>
    <cellStyle name="Normal 2 5 2 5 2 2 4 3 2" xfId="47263"/>
    <cellStyle name="Normal 2 5 2 5 2 2 4 4" xfId="28193"/>
    <cellStyle name="Normal 2 5 2 5 2 2 5" xfId="6017"/>
    <cellStyle name="Normal 2 5 2 5 2 2 5 2" xfId="14844"/>
    <cellStyle name="Normal 2 5 2 5 2 2 5 2 2" xfId="40399"/>
    <cellStyle name="Normal 2 5 2 5 2 2 5 3" xfId="25095"/>
    <cellStyle name="Normal 2 5 2 5 2 2 5 3 2" xfId="50648"/>
    <cellStyle name="Normal 2 5 2 5 2 2 5 4" xfId="31578"/>
    <cellStyle name="Normal 2 5 2 5 2 2 6" xfId="7461"/>
    <cellStyle name="Normal 2 5 2 5 2 2 6 2" xfId="20192"/>
    <cellStyle name="Normal 2 5 2 5 2 2 6 2 2" xfId="45745"/>
    <cellStyle name="Normal 2 5 2 5 2 2 6 3" xfId="33018"/>
    <cellStyle name="Normal 2 5 2 5 2 2 7" xfId="16703"/>
    <cellStyle name="Normal 2 5 2 5 2 2 7 2" xfId="42256"/>
    <cellStyle name="Normal 2 5 2 5 2 2 8" xfId="26675"/>
    <cellStyle name="Normal 2 5 2 5 2 3" xfId="1337"/>
    <cellStyle name="Normal 2 5 2 5 2 3 2" xfId="3766"/>
    <cellStyle name="Normal 2 5 2 5 2 3 2 2" xfId="12902"/>
    <cellStyle name="Normal 2 5 2 5 2 3 2 2 2" xfId="23121"/>
    <cellStyle name="Normal 2 5 2 5 2 3 2 2 2 2" xfId="48674"/>
    <cellStyle name="Normal 2 5 2 5 2 3 2 2 3" xfId="38457"/>
    <cellStyle name="Normal 2 5 2 5 2 3 2 3" xfId="9323"/>
    <cellStyle name="Normal 2 5 2 5 2 3 2 3 2" xfId="34880"/>
    <cellStyle name="Normal 2 5 2 5 2 3 2 4" xfId="18114"/>
    <cellStyle name="Normal 2 5 2 5 2 3 2 4 2" xfId="43667"/>
    <cellStyle name="Normal 2 5 2 5 2 3 2 5" xfId="29604"/>
    <cellStyle name="Normal 2 5 2 5 2 3 3" xfId="4910"/>
    <cellStyle name="Normal 2 5 2 5 2 3 3 2" xfId="13747"/>
    <cellStyle name="Normal 2 5 2 5 2 3 3 2 2" xfId="23998"/>
    <cellStyle name="Normal 2 5 2 5 2 3 3 2 2 2" xfId="49551"/>
    <cellStyle name="Normal 2 5 2 5 2 3 3 2 3" xfId="39302"/>
    <cellStyle name="Normal 2 5 2 5 2 3 3 3" xfId="10168"/>
    <cellStyle name="Normal 2 5 2 5 2 3 3 3 2" xfId="35725"/>
    <cellStyle name="Normal 2 5 2 5 2 3 3 4" xfId="18991"/>
    <cellStyle name="Normal 2 5 2 5 2 3 3 4 2" xfId="44544"/>
    <cellStyle name="Normal 2 5 2 5 2 3 3 5" xfId="30481"/>
    <cellStyle name="Normal 2 5 2 5 2 3 4" xfId="2160"/>
    <cellStyle name="Normal 2 5 2 5 2 3 4 2" xfId="11525"/>
    <cellStyle name="Normal 2 5 2 5 2 3 4 2 2" xfId="37080"/>
    <cellStyle name="Normal 2 5 2 5 2 3 4 3" xfId="21529"/>
    <cellStyle name="Normal 2 5 2 5 2 3 4 3 2" xfId="47082"/>
    <cellStyle name="Normal 2 5 2 5 2 3 4 4" xfId="28012"/>
    <cellStyle name="Normal 2 5 2 5 2 3 5" xfId="6365"/>
    <cellStyle name="Normal 2 5 2 5 2 3 5 2" xfId="15192"/>
    <cellStyle name="Normal 2 5 2 5 2 3 5 2 2" xfId="40747"/>
    <cellStyle name="Normal 2 5 2 5 2 3 5 3" xfId="25443"/>
    <cellStyle name="Normal 2 5 2 5 2 3 5 3 2" xfId="50996"/>
    <cellStyle name="Normal 2 5 2 5 2 3 5 4" xfId="31926"/>
    <cellStyle name="Normal 2 5 2 5 2 3 6" xfId="7811"/>
    <cellStyle name="Normal 2 5 2 5 2 3 6 2" xfId="20720"/>
    <cellStyle name="Normal 2 5 2 5 2 3 6 2 2" xfId="46273"/>
    <cellStyle name="Normal 2 5 2 5 2 3 6 3" xfId="33368"/>
    <cellStyle name="Normal 2 5 2 5 2 3 7" xfId="16522"/>
    <cellStyle name="Normal 2 5 2 5 2 3 7 2" xfId="42075"/>
    <cellStyle name="Normal 2 5 2 5 2 3 8" xfId="27203"/>
    <cellStyle name="Normal 2 5 2 5 2 4" xfId="3051"/>
    <cellStyle name="Normal 2 5 2 5 2 4 2" xfId="5429"/>
    <cellStyle name="Normal 2 5 2 5 2 4 2 2" xfId="14266"/>
    <cellStyle name="Normal 2 5 2 5 2 4 2 2 2" xfId="24517"/>
    <cellStyle name="Normal 2 5 2 5 2 4 2 2 2 2" xfId="50070"/>
    <cellStyle name="Normal 2 5 2 5 2 4 2 2 3" xfId="39821"/>
    <cellStyle name="Normal 2 5 2 5 2 4 2 3" xfId="10687"/>
    <cellStyle name="Normal 2 5 2 5 2 4 2 3 2" xfId="36244"/>
    <cellStyle name="Normal 2 5 2 5 2 4 2 4" xfId="19510"/>
    <cellStyle name="Normal 2 5 2 5 2 4 2 4 2" xfId="45063"/>
    <cellStyle name="Normal 2 5 2 5 2 4 2 5" xfId="31000"/>
    <cellStyle name="Normal 2 5 2 5 2 4 3" xfId="6884"/>
    <cellStyle name="Normal 2 5 2 5 2 4 3 2" xfId="15711"/>
    <cellStyle name="Normal 2 5 2 5 2 4 3 2 2" xfId="41266"/>
    <cellStyle name="Normal 2 5 2 5 2 4 3 3" xfId="25962"/>
    <cellStyle name="Normal 2 5 2 5 2 4 3 3 2" xfId="51515"/>
    <cellStyle name="Normal 2 5 2 5 2 4 3 4" xfId="32445"/>
    <cellStyle name="Normal 2 5 2 5 2 4 4" xfId="8330"/>
    <cellStyle name="Normal 2 5 2 5 2 4 4 2" xfId="22412"/>
    <cellStyle name="Normal 2 5 2 5 2 4 4 2 2" xfId="47965"/>
    <cellStyle name="Normal 2 5 2 5 2 4 4 3" xfId="33887"/>
    <cellStyle name="Normal 2 5 2 5 2 4 5" xfId="17405"/>
    <cellStyle name="Normal 2 5 2 5 2 4 5 2" xfId="42958"/>
    <cellStyle name="Normal 2 5 2 5 2 4 6" xfId="28895"/>
    <cellStyle name="Normal 2 5 2 5 2 5" xfId="4385"/>
    <cellStyle name="Normal 2 5 2 5 2 5 2" xfId="13223"/>
    <cellStyle name="Normal 2 5 2 5 2 5 2 2" xfId="23474"/>
    <cellStyle name="Normal 2 5 2 5 2 5 2 2 2" xfId="49027"/>
    <cellStyle name="Normal 2 5 2 5 2 5 2 3" xfId="38778"/>
    <cellStyle name="Normal 2 5 2 5 2 5 3" xfId="9644"/>
    <cellStyle name="Normal 2 5 2 5 2 5 3 2" xfId="35201"/>
    <cellStyle name="Normal 2 5 2 5 2 5 4" xfId="18467"/>
    <cellStyle name="Normal 2 5 2 5 2 5 4 2" xfId="44020"/>
    <cellStyle name="Normal 2 5 2 5 2 5 5" xfId="29957"/>
    <cellStyle name="Normal 2 5 2 5 2 6" xfId="1657"/>
    <cellStyle name="Normal 2 5 2 5 2 6 2" xfId="11034"/>
    <cellStyle name="Normal 2 5 2 5 2 6 2 2" xfId="36589"/>
    <cellStyle name="Normal 2 5 2 5 2 6 3" xfId="21038"/>
    <cellStyle name="Normal 2 5 2 5 2 6 3 2" xfId="46591"/>
    <cellStyle name="Normal 2 5 2 5 2 6 4" xfId="27521"/>
    <cellStyle name="Normal 2 5 2 5 2 7" xfId="5841"/>
    <cellStyle name="Normal 2 5 2 5 2 7 2" xfId="14668"/>
    <cellStyle name="Normal 2 5 2 5 2 7 2 2" xfId="40223"/>
    <cellStyle name="Normal 2 5 2 5 2 7 3" xfId="24919"/>
    <cellStyle name="Normal 2 5 2 5 2 7 3 2" xfId="50472"/>
    <cellStyle name="Normal 2 5 2 5 2 7 4" xfId="31402"/>
    <cellStyle name="Normal 2 5 2 5 2 8" xfId="7285"/>
    <cellStyle name="Normal 2 5 2 5 2 8 2" xfId="20011"/>
    <cellStyle name="Normal 2 5 2 5 2 8 2 2" xfId="45564"/>
    <cellStyle name="Normal 2 5 2 5 2 8 3" xfId="32842"/>
    <cellStyle name="Normal 2 5 2 5 2 9" xfId="16031"/>
    <cellStyle name="Normal 2 5 2 5 2 9 2" xfId="41584"/>
    <cellStyle name="Normal 2 5 2 5 2_Degree data" xfId="3816"/>
    <cellStyle name="Normal 2 5 2 5 3" xfId="360"/>
    <cellStyle name="Normal 2 5 2 5 3 2" xfId="2846"/>
    <cellStyle name="Normal 2 5 2 5 3 2 2" xfId="12134"/>
    <cellStyle name="Normal 2 5 2 5 3 2 2 2" xfId="22207"/>
    <cellStyle name="Normal 2 5 2 5 3 2 2 2 2" xfId="47760"/>
    <cellStyle name="Normal 2 5 2 5 3 2 2 3" xfId="37689"/>
    <cellStyle name="Normal 2 5 2 5 3 2 3" xfId="8384"/>
    <cellStyle name="Normal 2 5 2 5 3 2 3 2" xfId="33941"/>
    <cellStyle name="Normal 2 5 2 5 3 2 4" xfId="17200"/>
    <cellStyle name="Normal 2 5 2 5 3 2 4 2" xfId="42753"/>
    <cellStyle name="Normal 2 5 2 5 3 2 5" xfId="28690"/>
    <cellStyle name="Normal 2 5 2 5 3 3" xfId="4560"/>
    <cellStyle name="Normal 2 5 2 5 3 3 2" xfId="13398"/>
    <cellStyle name="Normal 2 5 2 5 3 3 2 2" xfId="23649"/>
    <cellStyle name="Normal 2 5 2 5 3 3 2 2 2" xfId="49202"/>
    <cellStyle name="Normal 2 5 2 5 3 3 2 3" xfId="38953"/>
    <cellStyle name="Normal 2 5 2 5 3 3 3" xfId="9819"/>
    <cellStyle name="Normal 2 5 2 5 3 3 3 2" xfId="35376"/>
    <cellStyle name="Normal 2 5 2 5 3 3 4" xfId="18642"/>
    <cellStyle name="Normal 2 5 2 5 3 3 4 2" xfId="44195"/>
    <cellStyle name="Normal 2 5 2 5 3 3 5" xfId="30132"/>
    <cellStyle name="Normal 2 5 2 5 3 4" xfId="1955"/>
    <cellStyle name="Normal 2 5 2 5 3 4 2" xfId="11320"/>
    <cellStyle name="Normal 2 5 2 5 3 4 2 2" xfId="36875"/>
    <cellStyle name="Normal 2 5 2 5 3 4 3" xfId="21324"/>
    <cellStyle name="Normal 2 5 2 5 3 4 3 2" xfId="46877"/>
    <cellStyle name="Normal 2 5 2 5 3 4 4" xfId="27807"/>
    <cellStyle name="Normal 2 5 2 5 3 5" xfId="6016"/>
    <cellStyle name="Normal 2 5 2 5 3 5 2" xfId="14843"/>
    <cellStyle name="Normal 2 5 2 5 3 5 2 2" xfId="40398"/>
    <cellStyle name="Normal 2 5 2 5 3 5 3" xfId="25094"/>
    <cellStyle name="Normal 2 5 2 5 3 5 3 2" xfId="50647"/>
    <cellStyle name="Normal 2 5 2 5 3 5 4" xfId="31577"/>
    <cellStyle name="Normal 2 5 2 5 3 6" xfId="7460"/>
    <cellStyle name="Normal 2 5 2 5 3 6 2" xfId="19806"/>
    <cellStyle name="Normal 2 5 2 5 3 6 2 2" xfId="45359"/>
    <cellStyle name="Normal 2 5 2 5 3 6 3" xfId="33017"/>
    <cellStyle name="Normal 2 5 2 5 3 7" xfId="16317"/>
    <cellStyle name="Normal 2 5 2 5 3 7 2" xfId="41870"/>
    <cellStyle name="Normal 2 5 2 5 3 8" xfId="26289"/>
    <cellStyle name="Normal 2 5 2 5 4" xfId="745"/>
    <cellStyle name="Normal 2 5 2 5 4 2" xfId="3231"/>
    <cellStyle name="Normal 2 5 2 5 4 2 2" xfId="12373"/>
    <cellStyle name="Normal 2 5 2 5 4 2 2 2" xfId="22592"/>
    <cellStyle name="Normal 2 5 2 5 4 2 2 2 2" xfId="48145"/>
    <cellStyle name="Normal 2 5 2 5 4 2 2 3" xfId="37928"/>
    <cellStyle name="Normal 2 5 2 5 4 2 3" xfId="8795"/>
    <cellStyle name="Normal 2 5 2 5 4 2 3 2" xfId="34352"/>
    <cellStyle name="Normal 2 5 2 5 4 2 4" xfId="17585"/>
    <cellStyle name="Normal 2 5 2 5 4 2 4 2" xfId="43138"/>
    <cellStyle name="Normal 2 5 2 5 4 2 5" xfId="29075"/>
    <cellStyle name="Normal 2 5 2 5 4 3" xfId="4909"/>
    <cellStyle name="Normal 2 5 2 5 4 3 2" xfId="13746"/>
    <cellStyle name="Normal 2 5 2 5 4 3 2 2" xfId="23997"/>
    <cellStyle name="Normal 2 5 2 5 4 3 2 2 2" xfId="49550"/>
    <cellStyle name="Normal 2 5 2 5 4 3 2 3" xfId="39301"/>
    <cellStyle name="Normal 2 5 2 5 4 3 3" xfId="10167"/>
    <cellStyle name="Normal 2 5 2 5 4 3 3 2" xfId="35724"/>
    <cellStyle name="Normal 2 5 2 5 4 3 4" xfId="18990"/>
    <cellStyle name="Normal 2 5 2 5 4 3 4 2" xfId="44543"/>
    <cellStyle name="Normal 2 5 2 5 4 3 5" xfId="30480"/>
    <cellStyle name="Normal 2 5 2 5 4 4" xfId="2340"/>
    <cellStyle name="Normal 2 5 2 5 4 4 2" xfId="11705"/>
    <cellStyle name="Normal 2 5 2 5 4 4 2 2" xfId="37260"/>
    <cellStyle name="Normal 2 5 2 5 4 4 3" xfId="21709"/>
    <cellStyle name="Normal 2 5 2 5 4 4 3 2" xfId="47262"/>
    <cellStyle name="Normal 2 5 2 5 4 4 4" xfId="28192"/>
    <cellStyle name="Normal 2 5 2 5 4 5" xfId="6364"/>
    <cellStyle name="Normal 2 5 2 5 4 5 2" xfId="15191"/>
    <cellStyle name="Normal 2 5 2 5 4 5 2 2" xfId="40746"/>
    <cellStyle name="Normal 2 5 2 5 4 5 3" xfId="25442"/>
    <cellStyle name="Normal 2 5 2 5 4 5 3 2" xfId="50995"/>
    <cellStyle name="Normal 2 5 2 5 4 5 4" xfId="31925"/>
    <cellStyle name="Normal 2 5 2 5 4 6" xfId="7810"/>
    <cellStyle name="Normal 2 5 2 5 4 6 2" xfId="20191"/>
    <cellStyle name="Normal 2 5 2 5 4 6 2 2" xfId="45744"/>
    <cellStyle name="Normal 2 5 2 5 4 6 3" xfId="33367"/>
    <cellStyle name="Normal 2 5 2 5 4 7" xfId="16702"/>
    <cellStyle name="Normal 2 5 2 5 4 7 2" xfId="42255"/>
    <cellStyle name="Normal 2 5 2 5 4 8" xfId="26674"/>
    <cellStyle name="Normal 2 5 2 5 5" xfId="1132"/>
    <cellStyle name="Normal 2 5 2 5 5 2" xfId="3561"/>
    <cellStyle name="Normal 2 5 2 5 5 2 2" xfId="12697"/>
    <cellStyle name="Normal 2 5 2 5 5 2 2 2" xfId="22916"/>
    <cellStyle name="Normal 2 5 2 5 5 2 2 2 2" xfId="48469"/>
    <cellStyle name="Normal 2 5 2 5 5 2 2 3" xfId="38252"/>
    <cellStyle name="Normal 2 5 2 5 5 2 3" xfId="9118"/>
    <cellStyle name="Normal 2 5 2 5 5 2 3 2" xfId="34675"/>
    <cellStyle name="Normal 2 5 2 5 5 2 4" xfId="17909"/>
    <cellStyle name="Normal 2 5 2 5 5 2 4 2" xfId="43462"/>
    <cellStyle name="Normal 2 5 2 5 5 2 5" xfId="29399"/>
    <cellStyle name="Normal 2 5 2 5 5 3" xfId="5224"/>
    <cellStyle name="Normal 2 5 2 5 5 3 2" xfId="14061"/>
    <cellStyle name="Normal 2 5 2 5 5 3 2 2" xfId="24312"/>
    <cellStyle name="Normal 2 5 2 5 5 3 2 2 2" xfId="49865"/>
    <cellStyle name="Normal 2 5 2 5 5 3 2 3" xfId="39616"/>
    <cellStyle name="Normal 2 5 2 5 5 3 3" xfId="10482"/>
    <cellStyle name="Normal 2 5 2 5 5 3 3 2" xfId="36039"/>
    <cellStyle name="Normal 2 5 2 5 5 3 4" xfId="19305"/>
    <cellStyle name="Normal 2 5 2 5 5 3 4 2" xfId="44858"/>
    <cellStyle name="Normal 2 5 2 5 5 3 5" xfId="30795"/>
    <cellStyle name="Normal 2 5 2 5 5 4" xfId="1840"/>
    <cellStyle name="Normal 2 5 2 5 5 4 2" xfId="11208"/>
    <cellStyle name="Normal 2 5 2 5 5 4 2 2" xfId="36763"/>
    <cellStyle name="Normal 2 5 2 5 5 4 3" xfId="21212"/>
    <cellStyle name="Normal 2 5 2 5 5 4 3 2" xfId="46765"/>
    <cellStyle name="Normal 2 5 2 5 5 4 4" xfId="27695"/>
    <cellStyle name="Normal 2 5 2 5 5 5" xfId="6679"/>
    <cellStyle name="Normal 2 5 2 5 5 5 2" xfId="15506"/>
    <cellStyle name="Normal 2 5 2 5 5 5 2 2" xfId="41061"/>
    <cellStyle name="Normal 2 5 2 5 5 5 3" xfId="25757"/>
    <cellStyle name="Normal 2 5 2 5 5 5 3 2" xfId="51310"/>
    <cellStyle name="Normal 2 5 2 5 5 5 4" xfId="32240"/>
    <cellStyle name="Normal 2 5 2 5 5 6" xfId="8125"/>
    <cellStyle name="Normal 2 5 2 5 5 6 2" xfId="20515"/>
    <cellStyle name="Normal 2 5 2 5 5 6 2 2" xfId="46068"/>
    <cellStyle name="Normal 2 5 2 5 5 6 3" xfId="33682"/>
    <cellStyle name="Normal 2 5 2 5 5 7" xfId="16205"/>
    <cellStyle name="Normal 2 5 2 5 5 7 2" xfId="41758"/>
    <cellStyle name="Normal 2 5 2 5 5 8" xfId="26998"/>
    <cellStyle name="Normal 2 5 2 5 6" xfId="2734"/>
    <cellStyle name="Normal 2 5 2 5 6 2" xfId="12051"/>
    <cellStyle name="Normal 2 5 2 5 6 2 2" xfId="22095"/>
    <cellStyle name="Normal 2 5 2 5 6 2 2 2" xfId="47648"/>
    <cellStyle name="Normal 2 5 2 5 6 2 3" xfId="37606"/>
    <cellStyle name="Normal 2 5 2 5 6 3" xfId="8426"/>
    <cellStyle name="Normal 2 5 2 5 6 3 2" xfId="33983"/>
    <cellStyle name="Normal 2 5 2 5 6 4" xfId="17088"/>
    <cellStyle name="Normal 2 5 2 5 6 4 2" xfId="42641"/>
    <cellStyle name="Normal 2 5 2 5 6 5" xfId="28578"/>
    <cellStyle name="Normal 2 5 2 5 7" xfId="4180"/>
    <cellStyle name="Normal 2 5 2 5 7 2" xfId="13018"/>
    <cellStyle name="Normal 2 5 2 5 7 2 2" xfId="23269"/>
    <cellStyle name="Normal 2 5 2 5 7 2 2 2" xfId="48822"/>
    <cellStyle name="Normal 2 5 2 5 7 2 3" xfId="38573"/>
    <cellStyle name="Normal 2 5 2 5 7 3" xfId="9439"/>
    <cellStyle name="Normal 2 5 2 5 7 3 2" xfId="34996"/>
    <cellStyle name="Normal 2 5 2 5 7 4" xfId="18262"/>
    <cellStyle name="Normal 2 5 2 5 7 4 2" xfId="43815"/>
    <cellStyle name="Normal 2 5 2 5 7 5" xfId="29752"/>
    <cellStyle name="Normal 2 5 2 5 8" xfId="1452"/>
    <cellStyle name="Normal 2 5 2 5 8 2" xfId="10829"/>
    <cellStyle name="Normal 2 5 2 5 8 2 2" xfId="36384"/>
    <cellStyle name="Normal 2 5 2 5 8 3" xfId="20833"/>
    <cellStyle name="Normal 2 5 2 5 8 3 2" xfId="46386"/>
    <cellStyle name="Normal 2 5 2 5 8 4" xfId="27316"/>
    <cellStyle name="Normal 2 5 2 5 9" xfId="5636"/>
    <cellStyle name="Normal 2 5 2 5 9 2" xfId="14463"/>
    <cellStyle name="Normal 2 5 2 5 9 2 2" xfId="40018"/>
    <cellStyle name="Normal 2 5 2 5 9 3" xfId="24714"/>
    <cellStyle name="Normal 2 5 2 5 9 3 2" xfId="50267"/>
    <cellStyle name="Normal 2 5 2 5 9 4" xfId="31197"/>
    <cellStyle name="Normal 2 5 2 5_Degree data" xfId="3907"/>
    <cellStyle name="Normal 2 5 2 6" xfId="460"/>
    <cellStyle name="Normal 2 5 2 6 10" xfId="26389"/>
    <cellStyle name="Normal 2 5 2 6 2" xfId="747"/>
    <cellStyle name="Normal 2 5 2 6 2 2" xfId="3233"/>
    <cellStyle name="Normal 2 5 2 6 2 2 2" xfId="12375"/>
    <cellStyle name="Normal 2 5 2 6 2 2 2 2" xfId="22594"/>
    <cellStyle name="Normal 2 5 2 6 2 2 2 2 2" xfId="48147"/>
    <cellStyle name="Normal 2 5 2 6 2 2 2 3" xfId="37930"/>
    <cellStyle name="Normal 2 5 2 6 2 2 3" xfId="8797"/>
    <cellStyle name="Normal 2 5 2 6 2 2 3 2" xfId="34354"/>
    <cellStyle name="Normal 2 5 2 6 2 2 4" xfId="17587"/>
    <cellStyle name="Normal 2 5 2 6 2 2 4 2" xfId="43140"/>
    <cellStyle name="Normal 2 5 2 6 2 2 5" xfId="29077"/>
    <cellStyle name="Normal 2 5 2 6 2 3" xfId="4562"/>
    <cellStyle name="Normal 2 5 2 6 2 3 2" xfId="13400"/>
    <cellStyle name="Normal 2 5 2 6 2 3 2 2" xfId="23651"/>
    <cellStyle name="Normal 2 5 2 6 2 3 2 2 2" xfId="49204"/>
    <cellStyle name="Normal 2 5 2 6 2 3 2 3" xfId="38955"/>
    <cellStyle name="Normal 2 5 2 6 2 3 3" xfId="9821"/>
    <cellStyle name="Normal 2 5 2 6 2 3 3 2" xfId="35378"/>
    <cellStyle name="Normal 2 5 2 6 2 3 4" xfId="18644"/>
    <cellStyle name="Normal 2 5 2 6 2 3 4 2" xfId="44197"/>
    <cellStyle name="Normal 2 5 2 6 2 3 5" xfId="30134"/>
    <cellStyle name="Normal 2 5 2 6 2 4" xfId="2342"/>
    <cellStyle name="Normal 2 5 2 6 2 4 2" xfId="11707"/>
    <cellStyle name="Normal 2 5 2 6 2 4 2 2" xfId="37262"/>
    <cellStyle name="Normal 2 5 2 6 2 4 3" xfId="21711"/>
    <cellStyle name="Normal 2 5 2 6 2 4 3 2" xfId="47264"/>
    <cellStyle name="Normal 2 5 2 6 2 4 4" xfId="28194"/>
    <cellStyle name="Normal 2 5 2 6 2 5" xfId="6018"/>
    <cellStyle name="Normal 2 5 2 6 2 5 2" xfId="14845"/>
    <cellStyle name="Normal 2 5 2 6 2 5 2 2" xfId="40400"/>
    <cellStyle name="Normal 2 5 2 6 2 5 3" xfId="25096"/>
    <cellStyle name="Normal 2 5 2 6 2 5 3 2" xfId="50649"/>
    <cellStyle name="Normal 2 5 2 6 2 5 4" xfId="31579"/>
    <cellStyle name="Normal 2 5 2 6 2 6" xfId="7462"/>
    <cellStyle name="Normal 2 5 2 6 2 6 2" xfId="20193"/>
    <cellStyle name="Normal 2 5 2 6 2 6 2 2" xfId="45746"/>
    <cellStyle name="Normal 2 5 2 6 2 6 3" xfId="33019"/>
    <cellStyle name="Normal 2 5 2 6 2 7" xfId="16704"/>
    <cellStyle name="Normal 2 5 2 6 2 7 2" xfId="42257"/>
    <cellStyle name="Normal 2 5 2 6 2 8" xfId="26676"/>
    <cellStyle name="Normal 2 5 2 6 3" xfId="1232"/>
    <cellStyle name="Normal 2 5 2 6 3 2" xfId="3661"/>
    <cellStyle name="Normal 2 5 2 6 3 2 2" xfId="12797"/>
    <cellStyle name="Normal 2 5 2 6 3 2 2 2" xfId="23016"/>
    <cellStyle name="Normal 2 5 2 6 3 2 2 2 2" xfId="48569"/>
    <cellStyle name="Normal 2 5 2 6 3 2 2 3" xfId="38352"/>
    <cellStyle name="Normal 2 5 2 6 3 2 3" xfId="9218"/>
    <cellStyle name="Normal 2 5 2 6 3 2 3 2" xfId="34775"/>
    <cellStyle name="Normal 2 5 2 6 3 2 4" xfId="18009"/>
    <cellStyle name="Normal 2 5 2 6 3 2 4 2" xfId="43562"/>
    <cellStyle name="Normal 2 5 2 6 3 2 5" xfId="29499"/>
    <cellStyle name="Normal 2 5 2 6 3 3" xfId="4911"/>
    <cellStyle name="Normal 2 5 2 6 3 3 2" xfId="13748"/>
    <cellStyle name="Normal 2 5 2 6 3 3 2 2" xfId="23999"/>
    <cellStyle name="Normal 2 5 2 6 3 3 2 2 2" xfId="49552"/>
    <cellStyle name="Normal 2 5 2 6 3 3 2 3" xfId="39303"/>
    <cellStyle name="Normal 2 5 2 6 3 3 3" xfId="10169"/>
    <cellStyle name="Normal 2 5 2 6 3 3 3 2" xfId="35726"/>
    <cellStyle name="Normal 2 5 2 6 3 3 4" xfId="18992"/>
    <cellStyle name="Normal 2 5 2 6 3 3 4 2" xfId="44545"/>
    <cellStyle name="Normal 2 5 2 6 3 3 5" xfId="30482"/>
    <cellStyle name="Normal 2 5 2 6 3 4" xfId="2055"/>
    <cellStyle name="Normal 2 5 2 6 3 4 2" xfId="11420"/>
    <cellStyle name="Normal 2 5 2 6 3 4 2 2" xfId="36975"/>
    <cellStyle name="Normal 2 5 2 6 3 4 3" xfId="21424"/>
    <cellStyle name="Normal 2 5 2 6 3 4 3 2" xfId="46977"/>
    <cellStyle name="Normal 2 5 2 6 3 4 4" xfId="27907"/>
    <cellStyle name="Normal 2 5 2 6 3 5" xfId="6366"/>
    <cellStyle name="Normal 2 5 2 6 3 5 2" xfId="15193"/>
    <cellStyle name="Normal 2 5 2 6 3 5 2 2" xfId="40748"/>
    <cellStyle name="Normal 2 5 2 6 3 5 3" xfId="25444"/>
    <cellStyle name="Normal 2 5 2 6 3 5 3 2" xfId="50997"/>
    <cellStyle name="Normal 2 5 2 6 3 5 4" xfId="31927"/>
    <cellStyle name="Normal 2 5 2 6 3 6" xfId="7812"/>
    <cellStyle name="Normal 2 5 2 6 3 6 2" xfId="20615"/>
    <cellStyle name="Normal 2 5 2 6 3 6 2 2" xfId="46168"/>
    <cellStyle name="Normal 2 5 2 6 3 6 3" xfId="33369"/>
    <cellStyle name="Normal 2 5 2 6 3 7" xfId="16417"/>
    <cellStyle name="Normal 2 5 2 6 3 7 2" xfId="41970"/>
    <cellStyle name="Normal 2 5 2 6 3 8" xfId="27098"/>
    <cellStyle name="Normal 2 5 2 6 4" xfId="2946"/>
    <cellStyle name="Normal 2 5 2 6 4 2" xfId="5324"/>
    <cellStyle name="Normal 2 5 2 6 4 2 2" xfId="14161"/>
    <cellStyle name="Normal 2 5 2 6 4 2 2 2" xfId="24412"/>
    <cellStyle name="Normal 2 5 2 6 4 2 2 2 2" xfId="49965"/>
    <cellStyle name="Normal 2 5 2 6 4 2 2 3" xfId="39716"/>
    <cellStyle name="Normal 2 5 2 6 4 2 3" xfId="10582"/>
    <cellStyle name="Normal 2 5 2 6 4 2 3 2" xfId="36139"/>
    <cellStyle name="Normal 2 5 2 6 4 2 4" xfId="19405"/>
    <cellStyle name="Normal 2 5 2 6 4 2 4 2" xfId="44958"/>
    <cellStyle name="Normal 2 5 2 6 4 2 5" xfId="30895"/>
    <cellStyle name="Normal 2 5 2 6 4 3" xfId="6779"/>
    <cellStyle name="Normal 2 5 2 6 4 3 2" xfId="15606"/>
    <cellStyle name="Normal 2 5 2 6 4 3 2 2" xfId="41161"/>
    <cellStyle name="Normal 2 5 2 6 4 3 3" xfId="25857"/>
    <cellStyle name="Normal 2 5 2 6 4 3 3 2" xfId="51410"/>
    <cellStyle name="Normal 2 5 2 6 4 3 4" xfId="32340"/>
    <cellStyle name="Normal 2 5 2 6 4 4" xfId="8225"/>
    <cellStyle name="Normal 2 5 2 6 4 4 2" xfId="22307"/>
    <cellStyle name="Normal 2 5 2 6 4 4 2 2" xfId="47860"/>
    <cellStyle name="Normal 2 5 2 6 4 4 3" xfId="33782"/>
    <cellStyle name="Normal 2 5 2 6 4 5" xfId="17300"/>
    <cellStyle name="Normal 2 5 2 6 4 5 2" xfId="42853"/>
    <cellStyle name="Normal 2 5 2 6 4 6" xfId="28790"/>
    <cellStyle name="Normal 2 5 2 6 5" xfId="4280"/>
    <cellStyle name="Normal 2 5 2 6 5 2" xfId="13118"/>
    <cellStyle name="Normal 2 5 2 6 5 2 2" xfId="23369"/>
    <cellStyle name="Normal 2 5 2 6 5 2 2 2" xfId="48922"/>
    <cellStyle name="Normal 2 5 2 6 5 2 3" xfId="38673"/>
    <cellStyle name="Normal 2 5 2 6 5 3" xfId="9539"/>
    <cellStyle name="Normal 2 5 2 6 5 3 2" xfId="35096"/>
    <cellStyle name="Normal 2 5 2 6 5 4" xfId="18362"/>
    <cellStyle name="Normal 2 5 2 6 5 4 2" xfId="43915"/>
    <cellStyle name="Normal 2 5 2 6 5 5" xfId="29852"/>
    <cellStyle name="Normal 2 5 2 6 6" xfId="1552"/>
    <cellStyle name="Normal 2 5 2 6 6 2" xfId="10929"/>
    <cellStyle name="Normal 2 5 2 6 6 2 2" xfId="36484"/>
    <cellStyle name="Normal 2 5 2 6 6 3" xfId="20933"/>
    <cellStyle name="Normal 2 5 2 6 6 3 2" xfId="46486"/>
    <cellStyle name="Normal 2 5 2 6 6 4" xfId="27416"/>
    <cellStyle name="Normal 2 5 2 6 7" xfId="5736"/>
    <cellStyle name="Normal 2 5 2 6 7 2" xfId="14563"/>
    <cellStyle name="Normal 2 5 2 6 7 2 2" xfId="40118"/>
    <cellStyle name="Normal 2 5 2 6 7 3" xfId="24814"/>
    <cellStyle name="Normal 2 5 2 6 7 3 2" xfId="50367"/>
    <cellStyle name="Normal 2 5 2 6 7 4" xfId="31297"/>
    <cellStyle name="Normal 2 5 2 6 8" xfId="7180"/>
    <cellStyle name="Normal 2 5 2 6 8 2" xfId="19906"/>
    <cellStyle name="Normal 2 5 2 6 8 2 2" xfId="45459"/>
    <cellStyle name="Normal 2 5 2 6 8 3" xfId="32737"/>
    <cellStyle name="Normal 2 5 2 6 9" xfId="15926"/>
    <cellStyle name="Normal 2 5 2 6 9 2" xfId="41479"/>
    <cellStyle name="Normal 2 5 2 6_Degree data" xfId="3885"/>
    <cellStyle name="Normal 2 5 2 7" xfId="308"/>
    <cellStyle name="Normal 2 5 2 7 10" xfId="26237"/>
    <cellStyle name="Normal 2 5 2 7 2" xfId="748"/>
    <cellStyle name="Normal 2 5 2 7 2 2" xfId="3234"/>
    <cellStyle name="Normal 2 5 2 7 2 2 2" xfId="12376"/>
    <cellStyle name="Normal 2 5 2 7 2 2 2 2" xfId="22595"/>
    <cellStyle name="Normal 2 5 2 7 2 2 2 2 2" xfId="48148"/>
    <cellStyle name="Normal 2 5 2 7 2 2 2 3" xfId="37931"/>
    <cellStyle name="Normal 2 5 2 7 2 2 3" xfId="8798"/>
    <cellStyle name="Normal 2 5 2 7 2 2 3 2" xfId="34355"/>
    <cellStyle name="Normal 2 5 2 7 2 2 4" xfId="17588"/>
    <cellStyle name="Normal 2 5 2 7 2 2 4 2" xfId="43141"/>
    <cellStyle name="Normal 2 5 2 7 2 2 5" xfId="29078"/>
    <cellStyle name="Normal 2 5 2 7 2 3" xfId="4563"/>
    <cellStyle name="Normal 2 5 2 7 2 3 2" xfId="13401"/>
    <cellStyle name="Normal 2 5 2 7 2 3 2 2" xfId="23652"/>
    <cellStyle name="Normal 2 5 2 7 2 3 2 2 2" xfId="49205"/>
    <cellStyle name="Normal 2 5 2 7 2 3 2 3" xfId="38956"/>
    <cellStyle name="Normal 2 5 2 7 2 3 3" xfId="9822"/>
    <cellStyle name="Normal 2 5 2 7 2 3 3 2" xfId="35379"/>
    <cellStyle name="Normal 2 5 2 7 2 3 4" xfId="18645"/>
    <cellStyle name="Normal 2 5 2 7 2 3 4 2" xfId="44198"/>
    <cellStyle name="Normal 2 5 2 7 2 3 5" xfId="30135"/>
    <cellStyle name="Normal 2 5 2 7 2 4" xfId="2343"/>
    <cellStyle name="Normal 2 5 2 7 2 4 2" xfId="11708"/>
    <cellStyle name="Normal 2 5 2 7 2 4 2 2" xfId="37263"/>
    <cellStyle name="Normal 2 5 2 7 2 4 3" xfId="21712"/>
    <cellStyle name="Normal 2 5 2 7 2 4 3 2" xfId="47265"/>
    <cellStyle name="Normal 2 5 2 7 2 4 4" xfId="28195"/>
    <cellStyle name="Normal 2 5 2 7 2 5" xfId="6019"/>
    <cellStyle name="Normal 2 5 2 7 2 5 2" xfId="14846"/>
    <cellStyle name="Normal 2 5 2 7 2 5 2 2" xfId="40401"/>
    <cellStyle name="Normal 2 5 2 7 2 5 3" xfId="25097"/>
    <cellStyle name="Normal 2 5 2 7 2 5 3 2" xfId="50650"/>
    <cellStyle name="Normal 2 5 2 7 2 5 4" xfId="31580"/>
    <cellStyle name="Normal 2 5 2 7 2 6" xfId="7463"/>
    <cellStyle name="Normal 2 5 2 7 2 6 2" xfId="20194"/>
    <cellStyle name="Normal 2 5 2 7 2 6 2 2" xfId="45747"/>
    <cellStyle name="Normal 2 5 2 7 2 6 3" xfId="33020"/>
    <cellStyle name="Normal 2 5 2 7 2 7" xfId="16705"/>
    <cellStyle name="Normal 2 5 2 7 2 7 2" xfId="42258"/>
    <cellStyle name="Normal 2 5 2 7 2 8" xfId="26677"/>
    <cellStyle name="Normal 2 5 2 7 3" xfId="1080"/>
    <cellStyle name="Normal 2 5 2 7 3 2" xfId="3509"/>
    <cellStyle name="Normal 2 5 2 7 3 2 2" xfId="12645"/>
    <cellStyle name="Normal 2 5 2 7 3 2 2 2" xfId="22864"/>
    <cellStyle name="Normal 2 5 2 7 3 2 2 2 2" xfId="48417"/>
    <cellStyle name="Normal 2 5 2 7 3 2 2 3" xfId="38200"/>
    <cellStyle name="Normal 2 5 2 7 3 2 3" xfId="9067"/>
    <cellStyle name="Normal 2 5 2 7 3 2 3 2" xfId="34624"/>
    <cellStyle name="Normal 2 5 2 7 3 2 4" xfId="17857"/>
    <cellStyle name="Normal 2 5 2 7 3 2 4 2" xfId="43410"/>
    <cellStyle name="Normal 2 5 2 7 3 2 5" xfId="29347"/>
    <cellStyle name="Normal 2 5 2 7 3 3" xfId="4912"/>
    <cellStyle name="Normal 2 5 2 7 3 3 2" xfId="13749"/>
    <cellStyle name="Normal 2 5 2 7 3 3 2 2" xfId="24000"/>
    <cellStyle name="Normal 2 5 2 7 3 3 2 2 2" xfId="49553"/>
    <cellStyle name="Normal 2 5 2 7 3 3 2 3" xfId="39304"/>
    <cellStyle name="Normal 2 5 2 7 3 3 3" xfId="10170"/>
    <cellStyle name="Normal 2 5 2 7 3 3 3 2" xfId="35727"/>
    <cellStyle name="Normal 2 5 2 7 3 3 4" xfId="18993"/>
    <cellStyle name="Normal 2 5 2 7 3 3 4 2" xfId="44546"/>
    <cellStyle name="Normal 2 5 2 7 3 3 5" xfId="30483"/>
    <cellStyle name="Normal 2 5 2 7 3 4" xfId="1755"/>
    <cellStyle name="Normal 2 5 2 7 3 4 2" xfId="11126"/>
    <cellStyle name="Normal 2 5 2 7 3 4 2 2" xfId="36681"/>
    <cellStyle name="Normal 2 5 2 7 3 4 3" xfId="21130"/>
    <cellStyle name="Normal 2 5 2 7 3 4 3 2" xfId="46683"/>
    <cellStyle name="Normal 2 5 2 7 3 4 4" xfId="27613"/>
    <cellStyle name="Normal 2 5 2 7 3 5" xfId="6367"/>
    <cellStyle name="Normal 2 5 2 7 3 5 2" xfId="15194"/>
    <cellStyle name="Normal 2 5 2 7 3 5 2 2" xfId="40749"/>
    <cellStyle name="Normal 2 5 2 7 3 5 3" xfId="25445"/>
    <cellStyle name="Normal 2 5 2 7 3 5 3 2" xfId="50998"/>
    <cellStyle name="Normal 2 5 2 7 3 5 4" xfId="31928"/>
    <cellStyle name="Normal 2 5 2 7 3 6" xfId="7813"/>
    <cellStyle name="Normal 2 5 2 7 3 6 2" xfId="20463"/>
    <cellStyle name="Normal 2 5 2 7 3 6 2 2" xfId="46016"/>
    <cellStyle name="Normal 2 5 2 7 3 6 3" xfId="33370"/>
    <cellStyle name="Normal 2 5 2 7 3 7" xfId="16123"/>
    <cellStyle name="Normal 2 5 2 7 3 7 2" xfId="41676"/>
    <cellStyle name="Normal 2 5 2 7 3 8" xfId="26946"/>
    <cellStyle name="Normal 2 5 2 7 4" xfId="2794"/>
    <cellStyle name="Normal 2 5 2 7 4 2" xfId="5172"/>
    <cellStyle name="Normal 2 5 2 7 4 2 2" xfId="14009"/>
    <cellStyle name="Normal 2 5 2 7 4 2 2 2" xfId="24260"/>
    <cellStyle name="Normal 2 5 2 7 4 2 2 2 2" xfId="49813"/>
    <cellStyle name="Normal 2 5 2 7 4 2 2 3" xfId="39564"/>
    <cellStyle name="Normal 2 5 2 7 4 2 3" xfId="10430"/>
    <cellStyle name="Normal 2 5 2 7 4 2 3 2" xfId="35987"/>
    <cellStyle name="Normal 2 5 2 7 4 2 4" xfId="19253"/>
    <cellStyle name="Normal 2 5 2 7 4 2 4 2" xfId="44806"/>
    <cellStyle name="Normal 2 5 2 7 4 2 5" xfId="30743"/>
    <cellStyle name="Normal 2 5 2 7 4 3" xfId="6627"/>
    <cellStyle name="Normal 2 5 2 7 4 3 2" xfId="15454"/>
    <cellStyle name="Normal 2 5 2 7 4 3 2 2" xfId="41009"/>
    <cellStyle name="Normal 2 5 2 7 4 3 3" xfId="25705"/>
    <cellStyle name="Normal 2 5 2 7 4 3 3 2" xfId="51258"/>
    <cellStyle name="Normal 2 5 2 7 4 3 4" xfId="32188"/>
    <cellStyle name="Normal 2 5 2 7 4 4" xfId="8073"/>
    <cellStyle name="Normal 2 5 2 7 4 4 2" xfId="22155"/>
    <cellStyle name="Normal 2 5 2 7 4 4 2 2" xfId="47708"/>
    <cellStyle name="Normal 2 5 2 7 4 4 3" xfId="33630"/>
    <cellStyle name="Normal 2 5 2 7 4 5" xfId="17148"/>
    <cellStyle name="Normal 2 5 2 7 4 5 2" xfId="42701"/>
    <cellStyle name="Normal 2 5 2 7 4 6" xfId="28638"/>
    <cellStyle name="Normal 2 5 2 7 5" xfId="4126"/>
    <cellStyle name="Normal 2 5 2 7 5 2" xfId="12964"/>
    <cellStyle name="Normal 2 5 2 7 5 2 2" xfId="23215"/>
    <cellStyle name="Normal 2 5 2 7 5 2 2 2" xfId="48768"/>
    <cellStyle name="Normal 2 5 2 7 5 2 3" xfId="38519"/>
    <cellStyle name="Normal 2 5 2 7 5 3" xfId="9385"/>
    <cellStyle name="Normal 2 5 2 7 5 3 2" xfId="34942"/>
    <cellStyle name="Normal 2 5 2 7 5 4" xfId="18208"/>
    <cellStyle name="Normal 2 5 2 7 5 4 2" xfId="43761"/>
    <cellStyle name="Normal 2 5 2 7 5 5" xfId="29698"/>
    <cellStyle name="Normal 2 5 2 7 6" xfId="1903"/>
    <cellStyle name="Normal 2 5 2 7 6 2" xfId="11268"/>
    <cellStyle name="Normal 2 5 2 7 6 2 2" xfId="36823"/>
    <cellStyle name="Normal 2 5 2 7 6 3" xfId="21272"/>
    <cellStyle name="Normal 2 5 2 7 6 3 2" xfId="46825"/>
    <cellStyle name="Normal 2 5 2 7 6 4" xfId="27755"/>
    <cellStyle name="Normal 2 5 2 7 7" xfId="5584"/>
    <cellStyle name="Normal 2 5 2 7 7 2" xfId="14411"/>
    <cellStyle name="Normal 2 5 2 7 7 2 2" xfId="39966"/>
    <cellStyle name="Normal 2 5 2 7 7 3" xfId="24662"/>
    <cellStyle name="Normal 2 5 2 7 7 3 2" xfId="50215"/>
    <cellStyle name="Normal 2 5 2 7 7 4" xfId="31145"/>
    <cellStyle name="Normal 2 5 2 7 8" xfId="7028"/>
    <cellStyle name="Normal 2 5 2 7 8 2" xfId="19754"/>
    <cellStyle name="Normal 2 5 2 7 8 2 2" xfId="45307"/>
    <cellStyle name="Normal 2 5 2 7 8 3" xfId="32585"/>
    <cellStyle name="Normal 2 5 2 7 9" xfId="16265"/>
    <cellStyle name="Normal 2 5 2 7 9 2" xfId="41818"/>
    <cellStyle name="Normal 2 5 2 7_Degree data" xfId="3925"/>
    <cellStyle name="Normal 2 5 2 8" xfId="729"/>
    <cellStyle name="Normal 2 5 2 8 2" xfId="3215"/>
    <cellStyle name="Normal 2 5 2 8 2 2" xfId="12357"/>
    <cellStyle name="Normal 2 5 2 8 2 2 2" xfId="22576"/>
    <cellStyle name="Normal 2 5 2 8 2 2 2 2" xfId="48129"/>
    <cellStyle name="Normal 2 5 2 8 2 2 3" xfId="37912"/>
    <cellStyle name="Normal 2 5 2 8 2 3" xfId="8779"/>
    <cellStyle name="Normal 2 5 2 8 2 3 2" xfId="34336"/>
    <cellStyle name="Normal 2 5 2 8 2 4" xfId="17569"/>
    <cellStyle name="Normal 2 5 2 8 2 4 2" xfId="43122"/>
    <cellStyle name="Normal 2 5 2 8 2 5" xfId="29059"/>
    <cellStyle name="Normal 2 5 2 8 3" xfId="4544"/>
    <cellStyle name="Normal 2 5 2 8 3 2" xfId="13382"/>
    <cellStyle name="Normal 2 5 2 8 3 2 2" xfId="23633"/>
    <cellStyle name="Normal 2 5 2 8 3 2 2 2" xfId="49186"/>
    <cellStyle name="Normal 2 5 2 8 3 2 3" xfId="38937"/>
    <cellStyle name="Normal 2 5 2 8 3 3" xfId="9803"/>
    <cellStyle name="Normal 2 5 2 8 3 3 2" xfId="35360"/>
    <cellStyle name="Normal 2 5 2 8 3 4" xfId="18626"/>
    <cellStyle name="Normal 2 5 2 8 3 4 2" xfId="44179"/>
    <cellStyle name="Normal 2 5 2 8 3 5" xfId="30116"/>
    <cellStyle name="Normal 2 5 2 8 4" xfId="2324"/>
    <cellStyle name="Normal 2 5 2 8 4 2" xfId="11689"/>
    <cellStyle name="Normal 2 5 2 8 4 2 2" xfId="37244"/>
    <cellStyle name="Normal 2 5 2 8 4 3" xfId="21693"/>
    <cellStyle name="Normal 2 5 2 8 4 3 2" xfId="47246"/>
    <cellStyle name="Normal 2 5 2 8 4 4" xfId="28176"/>
    <cellStyle name="Normal 2 5 2 8 5" xfId="6000"/>
    <cellStyle name="Normal 2 5 2 8 5 2" xfId="14827"/>
    <cellStyle name="Normal 2 5 2 8 5 2 2" xfId="40382"/>
    <cellStyle name="Normal 2 5 2 8 5 3" xfId="25078"/>
    <cellStyle name="Normal 2 5 2 8 5 3 2" xfId="50631"/>
    <cellStyle name="Normal 2 5 2 8 5 4" xfId="31561"/>
    <cellStyle name="Normal 2 5 2 8 6" xfId="7444"/>
    <cellStyle name="Normal 2 5 2 8 6 2" xfId="20175"/>
    <cellStyle name="Normal 2 5 2 8 6 2 2" xfId="45728"/>
    <cellStyle name="Normal 2 5 2 8 6 3" xfId="33001"/>
    <cellStyle name="Normal 2 5 2 8 7" xfId="16686"/>
    <cellStyle name="Normal 2 5 2 8 7 2" xfId="42239"/>
    <cellStyle name="Normal 2 5 2 8 8" xfId="26658"/>
    <cellStyle name="Normal 2 5 2 9" xfId="1048"/>
    <cellStyle name="Normal 2 5 2 9 2" xfId="3477"/>
    <cellStyle name="Normal 2 5 2 9 2 2" xfId="12613"/>
    <cellStyle name="Normal 2 5 2 9 2 2 2" xfId="22832"/>
    <cellStyle name="Normal 2 5 2 9 2 2 2 2" xfId="48385"/>
    <cellStyle name="Normal 2 5 2 9 2 2 3" xfId="38168"/>
    <cellStyle name="Normal 2 5 2 9 2 3" xfId="9035"/>
    <cellStyle name="Normal 2 5 2 9 2 3 2" xfId="34592"/>
    <cellStyle name="Normal 2 5 2 9 2 4" xfId="17825"/>
    <cellStyle name="Normal 2 5 2 9 2 4 2" xfId="43378"/>
    <cellStyle name="Normal 2 5 2 9 2 5" xfId="29315"/>
    <cellStyle name="Normal 2 5 2 9 3" xfId="4893"/>
    <cellStyle name="Normal 2 5 2 9 3 2" xfId="13730"/>
    <cellStyle name="Normal 2 5 2 9 3 2 2" xfId="23981"/>
    <cellStyle name="Normal 2 5 2 9 3 2 2 2" xfId="49534"/>
    <cellStyle name="Normal 2 5 2 9 3 2 3" xfId="39285"/>
    <cellStyle name="Normal 2 5 2 9 3 3" xfId="10151"/>
    <cellStyle name="Normal 2 5 2 9 3 3 2" xfId="35708"/>
    <cellStyle name="Normal 2 5 2 9 3 4" xfId="18974"/>
    <cellStyle name="Normal 2 5 2 9 3 4 2" xfId="44527"/>
    <cellStyle name="Normal 2 5 2 9 3 5" xfId="30464"/>
    <cellStyle name="Normal 2 5 2 9 4" xfId="1728"/>
    <cellStyle name="Normal 2 5 2 9 4 2" xfId="11102"/>
    <cellStyle name="Normal 2 5 2 9 4 2 2" xfId="36657"/>
    <cellStyle name="Normal 2 5 2 9 4 3" xfId="21106"/>
    <cellStyle name="Normal 2 5 2 9 4 3 2" xfId="46659"/>
    <cellStyle name="Normal 2 5 2 9 4 4" xfId="27589"/>
    <cellStyle name="Normal 2 5 2 9 5" xfId="6348"/>
    <cellStyle name="Normal 2 5 2 9 5 2" xfId="15175"/>
    <cellStyle name="Normal 2 5 2 9 5 2 2" xfId="40730"/>
    <cellStyle name="Normal 2 5 2 9 5 3" xfId="25426"/>
    <cellStyle name="Normal 2 5 2 9 5 3 2" xfId="50979"/>
    <cellStyle name="Normal 2 5 2 9 5 4" xfId="31909"/>
    <cellStyle name="Normal 2 5 2 9 6" xfId="7794"/>
    <cellStyle name="Normal 2 5 2 9 6 2" xfId="20431"/>
    <cellStyle name="Normal 2 5 2 9 6 2 2" xfId="45984"/>
    <cellStyle name="Normal 2 5 2 9 6 3" xfId="33351"/>
    <cellStyle name="Normal 2 5 2 9 7" xfId="16099"/>
    <cellStyle name="Normal 2 5 2 9 7 2" xfId="41652"/>
    <cellStyle name="Normal 2 5 2 9 8" xfId="26914"/>
    <cellStyle name="Normal 2 5 2_Degree data" xfId="3921"/>
    <cellStyle name="Normal 2 5 3" xfId="106"/>
    <cellStyle name="Normal 2 5 3 10" xfId="4098"/>
    <cellStyle name="Normal 2 5 3 10 2" xfId="5556"/>
    <cellStyle name="Normal 2 5 3 10 2 2" xfId="14383"/>
    <cellStyle name="Normal 2 5 3 10 2 2 2" xfId="39938"/>
    <cellStyle name="Normal 2 5 3 10 2 3" xfId="24634"/>
    <cellStyle name="Normal 2 5 3 10 2 3 2" xfId="50187"/>
    <cellStyle name="Normal 2 5 3 10 2 4" xfId="31117"/>
    <cellStyle name="Normal 2 5 3 10 3" xfId="7000"/>
    <cellStyle name="Normal 2 5 3 10 3 2" xfId="23187"/>
    <cellStyle name="Normal 2 5 3 10 3 2 2" xfId="48740"/>
    <cellStyle name="Normal 2 5 3 10 3 3" xfId="32557"/>
    <cellStyle name="Normal 2 5 3 10 4" xfId="18180"/>
    <cellStyle name="Normal 2 5 3 10 4 2" xfId="43733"/>
    <cellStyle name="Normal 2 5 3 10 5" xfId="29670"/>
    <cellStyle name="Normal 2 5 3 11" xfId="1415"/>
    <cellStyle name="Normal 2 5 3 11 2" xfId="10792"/>
    <cellStyle name="Normal 2 5 3 11 2 2" xfId="36347"/>
    <cellStyle name="Normal 2 5 3 11 3" xfId="20796"/>
    <cellStyle name="Normal 2 5 3 11 3 2" xfId="46349"/>
    <cellStyle name="Normal 2 5 3 11 4" xfId="27279"/>
    <cellStyle name="Normal 2 5 3 12" xfId="5526"/>
    <cellStyle name="Normal 2 5 3 12 2" xfId="14353"/>
    <cellStyle name="Normal 2 5 3 12 2 2" xfId="39908"/>
    <cellStyle name="Normal 2 5 3 12 3" xfId="24604"/>
    <cellStyle name="Normal 2 5 3 12 3 2" xfId="50157"/>
    <cellStyle name="Normal 2 5 3 12 4" xfId="31087"/>
    <cellStyle name="Normal 2 5 3 13" xfId="6967"/>
    <cellStyle name="Normal 2 5 3 13 2" xfId="19581"/>
    <cellStyle name="Normal 2 5 3 13 2 2" xfId="45134"/>
    <cellStyle name="Normal 2 5 3 13 3" xfId="32525"/>
    <cellStyle name="Normal 2 5 3 14" xfId="15789"/>
    <cellStyle name="Normal 2 5 3 14 2" xfId="41342"/>
    <cellStyle name="Normal 2 5 3 15" xfId="26064"/>
    <cellStyle name="Normal 2 5 3 2" xfId="147"/>
    <cellStyle name="Normal 2 5 3 2 10" xfId="5658"/>
    <cellStyle name="Normal 2 5 3 2 10 2" xfId="14485"/>
    <cellStyle name="Normal 2 5 3 2 10 2 2" xfId="40040"/>
    <cellStyle name="Normal 2 5 3 2 10 3" xfId="24736"/>
    <cellStyle name="Normal 2 5 3 2 10 3 2" xfId="50289"/>
    <cellStyle name="Normal 2 5 3 2 10 4" xfId="31219"/>
    <cellStyle name="Normal 2 5 3 2 11" xfId="7102"/>
    <cellStyle name="Normal 2 5 3 2 11 2" xfId="19611"/>
    <cellStyle name="Normal 2 5 3 2 11 2 2" xfId="45164"/>
    <cellStyle name="Normal 2 5 3 2 11 3" xfId="32659"/>
    <cellStyle name="Normal 2 5 3 2 12" xfId="15848"/>
    <cellStyle name="Normal 2 5 3 2 12 2" xfId="41401"/>
    <cellStyle name="Normal 2 5 3 2 13" xfId="26094"/>
    <cellStyle name="Normal 2 5 3 2 2" xfId="263"/>
    <cellStyle name="Normal 2 5 3 2 2 10" xfId="16052"/>
    <cellStyle name="Normal 2 5 3 2 2 10 2" xfId="41605"/>
    <cellStyle name="Normal 2 5 3 2 2 11" xfId="26198"/>
    <cellStyle name="Normal 2 5 3 2 2 2" xfId="586"/>
    <cellStyle name="Normal 2 5 3 2 2 2 2" xfId="3072"/>
    <cellStyle name="Normal 2 5 3 2 2 2 2 2" xfId="12223"/>
    <cellStyle name="Normal 2 5 3 2 2 2 2 2 2" xfId="22433"/>
    <cellStyle name="Normal 2 5 3 2 2 2 2 2 2 2" xfId="47986"/>
    <cellStyle name="Normal 2 5 3 2 2 2 2 2 3" xfId="37778"/>
    <cellStyle name="Normal 2 5 3 2 2 2 2 3" xfId="8645"/>
    <cellStyle name="Normal 2 5 3 2 2 2 2 3 2" xfId="34202"/>
    <cellStyle name="Normal 2 5 3 2 2 2 2 4" xfId="17426"/>
    <cellStyle name="Normal 2 5 3 2 2 2 2 4 2" xfId="42979"/>
    <cellStyle name="Normal 2 5 3 2 2 2 2 5" xfId="28916"/>
    <cellStyle name="Normal 2 5 3 2 2 2 3" xfId="4566"/>
    <cellStyle name="Normal 2 5 3 2 2 2 3 2" xfId="13404"/>
    <cellStyle name="Normal 2 5 3 2 2 2 3 2 2" xfId="23655"/>
    <cellStyle name="Normal 2 5 3 2 2 2 3 2 2 2" xfId="49208"/>
    <cellStyle name="Normal 2 5 3 2 2 2 3 2 3" xfId="38959"/>
    <cellStyle name="Normal 2 5 3 2 2 2 3 3" xfId="9825"/>
    <cellStyle name="Normal 2 5 3 2 2 2 3 3 2" xfId="35382"/>
    <cellStyle name="Normal 2 5 3 2 2 2 3 4" xfId="18648"/>
    <cellStyle name="Normal 2 5 3 2 2 2 3 4 2" xfId="44201"/>
    <cellStyle name="Normal 2 5 3 2 2 2 3 5" xfId="30138"/>
    <cellStyle name="Normal 2 5 3 2 2 2 4" xfId="2181"/>
    <cellStyle name="Normal 2 5 3 2 2 2 4 2" xfId="11546"/>
    <cellStyle name="Normal 2 5 3 2 2 2 4 2 2" xfId="37101"/>
    <cellStyle name="Normal 2 5 3 2 2 2 4 3" xfId="21550"/>
    <cellStyle name="Normal 2 5 3 2 2 2 4 3 2" xfId="47103"/>
    <cellStyle name="Normal 2 5 3 2 2 2 4 4" xfId="28033"/>
    <cellStyle name="Normal 2 5 3 2 2 2 5" xfId="6022"/>
    <cellStyle name="Normal 2 5 3 2 2 2 5 2" xfId="14849"/>
    <cellStyle name="Normal 2 5 3 2 2 2 5 2 2" xfId="40404"/>
    <cellStyle name="Normal 2 5 3 2 2 2 5 3" xfId="25100"/>
    <cellStyle name="Normal 2 5 3 2 2 2 5 3 2" xfId="50653"/>
    <cellStyle name="Normal 2 5 3 2 2 2 5 4" xfId="31583"/>
    <cellStyle name="Normal 2 5 3 2 2 2 6" xfId="7466"/>
    <cellStyle name="Normal 2 5 3 2 2 2 6 2" xfId="20032"/>
    <cellStyle name="Normal 2 5 3 2 2 2 6 2 2" xfId="45585"/>
    <cellStyle name="Normal 2 5 3 2 2 2 6 3" xfId="33023"/>
    <cellStyle name="Normal 2 5 3 2 2 2 7" xfId="16543"/>
    <cellStyle name="Normal 2 5 3 2 2 2 7 2" xfId="42096"/>
    <cellStyle name="Normal 2 5 3 2 2 2 8" xfId="26515"/>
    <cellStyle name="Normal 2 5 3 2 2 3" xfId="751"/>
    <cellStyle name="Normal 2 5 3 2 2 3 2" xfId="3237"/>
    <cellStyle name="Normal 2 5 3 2 2 3 2 2" xfId="12379"/>
    <cellStyle name="Normal 2 5 3 2 2 3 2 2 2" xfId="22598"/>
    <cellStyle name="Normal 2 5 3 2 2 3 2 2 2 2" xfId="48151"/>
    <cellStyle name="Normal 2 5 3 2 2 3 2 2 3" xfId="37934"/>
    <cellStyle name="Normal 2 5 3 2 2 3 2 3" xfId="8801"/>
    <cellStyle name="Normal 2 5 3 2 2 3 2 3 2" xfId="34358"/>
    <cellStyle name="Normal 2 5 3 2 2 3 2 4" xfId="17591"/>
    <cellStyle name="Normal 2 5 3 2 2 3 2 4 2" xfId="43144"/>
    <cellStyle name="Normal 2 5 3 2 2 3 2 5" xfId="29081"/>
    <cellStyle name="Normal 2 5 3 2 2 3 3" xfId="4915"/>
    <cellStyle name="Normal 2 5 3 2 2 3 3 2" xfId="13752"/>
    <cellStyle name="Normal 2 5 3 2 2 3 3 2 2" xfId="24003"/>
    <cellStyle name="Normal 2 5 3 2 2 3 3 2 2 2" xfId="49556"/>
    <cellStyle name="Normal 2 5 3 2 2 3 3 2 3" xfId="39307"/>
    <cellStyle name="Normal 2 5 3 2 2 3 3 3" xfId="10173"/>
    <cellStyle name="Normal 2 5 3 2 2 3 3 3 2" xfId="35730"/>
    <cellStyle name="Normal 2 5 3 2 2 3 3 4" xfId="18996"/>
    <cellStyle name="Normal 2 5 3 2 2 3 3 4 2" xfId="44549"/>
    <cellStyle name="Normal 2 5 3 2 2 3 3 5" xfId="30486"/>
    <cellStyle name="Normal 2 5 3 2 2 3 4" xfId="2346"/>
    <cellStyle name="Normal 2 5 3 2 2 3 4 2" xfId="11711"/>
    <cellStyle name="Normal 2 5 3 2 2 3 4 2 2" xfId="37266"/>
    <cellStyle name="Normal 2 5 3 2 2 3 4 3" xfId="21715"/>
    <cellStyle name="Normal 2 5 3 2 2 3 4 3 2" xfId="47268"/>
    <cellStyle name="Normal 2 5 3 2 2 3 4 4" xfId="28198"/>
    <cellStyle name="Normal 2 5 3 2 2 3 5" xfId="6370"/>
    <cellStyle name="Normal 2 5 3 2 2 3 5 2" xfId="15197"/>
    <cellStyle name="Normal 2 5 3 2 2 3 5 2 2" xfId="40752"/>
    <cellStyle name="Normal 2 5 3 2 2 3 5 3" xfId="25448"/>
    <cellStyle name="Normal 2 5 3 2 2 3 5 3 2" xfId="51001"/>
    <cellStyle name="Normal 2 5 3 2 2 3 5 4" xfId="31931"/>
    <cellStyle name="Normal 2 5 3 2 2 3 6" xfId="7816"/>
    <cellStyle name="Normal 2 5 3 2 2 3 6 2" xfId="20197"/>
    <cellStyle name="Normal 2 5 3 2 2 3 6 2 2" xfId="45750"/>
    <cellStyle name="Normal 2 5 3 2 2 3 6 3" xfId="33373"/>
    <cellStyle name="Normal 2 5 3 2 2 3 7" xfId="16708"/>
    <cellStyle name="Normal 2 5 3 2 2 3 7 2" xfId="42261"/>
    <cellStyle name="Normal 2 5 3 2 2 3 8" xfId="26680"/>
    <cellStyle name="Normal 2 5 3 2 2 4" xfId="1358"/>
    <cellStyle name="Normal 2 5 3 2 2 4 2" xfId="3787"/>
    <cellStyle name="Normal 2 5 3 2 2 4 2 2" xfId="12923"/>
    <cellStyle name="Normal 2 5 3 2 2 4 2 2 2" xfId="23142"/>
    <cellStyle name="Normal 2 5 3 2 2 4 2 2 2 2" xfId="48695"/>
    <cellStyle name="Normal 2 5 3 2 2 4 2 2 3" xfId="38478"/>
    <cellStyle name="Normal 2 5 3 2 2 4 2 3" xfId="9344"/>
    <cellStyle name="Normal 2 5 3 2 2 4 2 3 2" xfId="34901"/>
    <cellStyle name="Normal 2 5 3 2 2 4 2 4" xfId="18135"/>
    <cellStyle name="Normal 2 5 3 2 2 4 2 4 2" xfId="43688"/>
    <cellStyle name="Normal 2 5 3 2 2 4 2 5" xfId="29625"/>
    <cellStyle name="Normal 2 5 3 2 2 4 3" xfId="5450"/>
    <cellStyle name="Normal 2 5 3 2 2 4 3 2" xfId="14287"/>
    <cellStyle name="Normal 2 5 3 2 2 4 3 2 2" xfId="24538"/>
    <cellStyle name="Normal 2 5 3 2 2 4 3 2 2 2" xfId="50091"/>
    <cellStyle name="Normal 2 5 3 2 2 4 3 2 3" xfId="39842"/>
    <cellStyle name="Normal 2 5 3 2 2 4 3 3" xfId="10708"/>
    <cellStyle name="Normal 2 5 3 2 2 4 3 3 2" xfId="36265"/>
    <cellStyle name="Normal 2 5 3 2 2 4 3 4" xfId="19531"/>
    <cellStyle name="Normal 2 5 3 2 2 4 3 4 2" xfId="45084"/>
    <cellStyle name="Normal 2 5 3 2 2 4 3 5" xfId="31021"/>
    <cellStyle name="Normal 2 5 3 2 2 4 4" xfId="1861"/>
    <cellStyle name="Normal 2 5 3 2 2 4 4 2" xfId="11229"/>
    <cellStyle name="Normal 2 5 3 2 2 4 4 2 2" xfId="36784"/>
    <cellStyle name="Normal 2 5 3 2 2 4 4 3" xfId="21233"/>
    <cellStyle name="Normal 2 5 3 2 2 4 4 3 2" xfId="46786"/>
    <cellStyle name="Normal 2 5 3 2 2 4 4 4" xfId="27716"/>
    <cellStyle name="Normal 2 5 3 2 2 4 5" xfId="6905"/>
    <cellStyle name="Normal 2 5 3 2 2 4 5 2" xfId="15732"/>
    <cellStyle name="Normal 2 5 3 2 2 4 5 2 2" xfId="41287"/>
    <cellStyle name="Normal 2 5 3 2 2 4 5 3" xfId="25983"/>
    <cellStyle name="Normal 2 5 3 2 2 4 5 3 2" xfId="51536"/>
    <cellStyle name="Normal 2 5 3 2 2 4 5 4" xfId="32466"/>
    <cellStyle name="Normal 2 5 3 2 2 4 6" xfId="8351"/>
    <cellStyle name="Normal 2 5 3 2 2 4 6 2" xfId="20741"/>
    <cellStyle name="Normal 2 5 3 2 2 4 6 2 2" xfId="46294"/>
    <cellStyle name="Normal 2 5 3 2 2 4 6 3" xfId="33908"/>
    <cellStyle name="Normal 2 5 3 2 2 4 7" xfId="16226"/>
    <cellStyle name="Normal 2 5 3 2 2 4 7 2" xfId="41779"/>
    <cellStyle name="Normal 2 5 3 2 2 4 8" xfId="27224"/>
    <cellStyle name="Normal 2 5 3 2 2 5" xfId="2755"/>
    <cellStyle name="Normal 2 5 3 2 2 5 2" xfId="12072"/>
    <cellStyle name="Normal 2 5 3 2 2 5 2 2" xfId="22116"/>
    <cellStyle name="Normal 2 5 3 2 2 5 2 2 2" xfId="47669"/>
    <cellStyle name="Normal 2 5 3 2 2 5 2 3" xfId="37627"/>
    <cellStyle name="Normal 2 5 3 2 2 5 3" xfId="8389"/>
    <cellStyle name="Normal 2 5 3 2 2 5 3 2" xfId="33946"/>
    <cellStyle name="Normal 2 5 3 2 2 5 4" xfId="17109"/>
    <cellStyle name="Normal 2 5 3 2 2 5 4 2" xfId="42662"/>
    <cellStyle name="Normal 2 5 3 2 2 5 5" xfId="28599"/>
    <cellStyle name="Normal 2 5 3 2 2 6" xfId="4406"/>
    <cellStyle name="Normal 2 5 3 2 2 6 2" xfId="13244"/>
    <cellStyle name="Normal 2 5 3 2 2 6 2 2" xfId="23495"/>
    <cellStyle name="Normal 2 5 3 2 2 6 2 2 2" xfId="49048"/>
    <cellStyle name="Normal 2 5 3 2 2 6 2 3" xfId="38799"/>
    <cellStyle name="Normal 2 5 3 2 2 6 3" xfId="9665"/>
    <cellStyle name="Normal 2 5 3 2 2 6 3 2" xfId="35222"/>
    <cellStyle name="Normal 2 5 3 2 2 6 4" xfId="18488"/>
    <cellStyle name="Normal 2 5 3 2 2 6 4 2" xfId="44041"/>
    <cellStyle name="Normal 2 5 3 2 2 6 5" xfId="29978"/>
    <cellStyle name="Normal 2 5 3 2 2 7" xfId="1678"/>
    <cellStyle name="Normal 2 5 3 2 2 7 2" xfId="11055"/>
    <cellStyle name="Normal 2 5 3 2 2 7 2 2" xfId="36610"/>
    <cellStyle name="Normal 2 5 3 2 2 7 3" xfId="21059"/>
    <cellStyle name="Normal 2 5 3 2 2 7 3 2" xfId="46612"/>
    <cellStyle name="Normal 2 5 3 2 2 7 4" xfId="27542"/>
    <cellStyle name="Normal 2 5 3 2 2 8" xfId="5862"/>
    <cellStyle name="Normal 2 5 3 2 2 8 2" xfId="14689"/>
    <cellStyle name="Normal 2 5 3 2 2 8 2 2" xfId="40244"/>
    <cellStyle name="Normal 2 5 3 2 2 8 3" xfId="24940"/>
    <cellStyle name="Normal 2 5 3 2 2 8 3 2" xfId="50493"/>
    <cellStyle name="Normal 2 5 3 2 2 8 4" xfId="31423"/>
    <cellStyle name="Normal 2 5 3 2 2 9" xfId="7306"/>
    <cellStyle name="Normal 2 5 3 2 2 9 2" xfId="19715"/>
    <cellStyle name="Normal 2 5 3 2 2 9 2 2" xfId="45268"/>
    <cellStyle name="Normal 2 5 3 2 2 9 3" xfId="32863"/>
    <cellStyle name="Normal 2 5 3 2 2_Degree data" xfId="3913"/>
    <cellStyle name="Normal 2 5 3 2 3" xfId="482"/>
    <cellStyle name="Normal 2 5 3 2 3 10" xfId="26411"/>
    <cellStyle name="Normal 2 5 3 2 3 2" xfId="752"/>
    <cellStyle name="Normal 2 5 3 2 3 2 2" xfId="3238"/>
    <cellStyle name="Normal 2 5 3 2 3 2 2 2" xfId="12380"/>
    <cellStyle name="Normal 2 5 3 2 3 2 2 2 2" xfId="22599"/>
    <cellStyle name="Normal 2 5 3 2 3 2 2 2 2 2" xfId="48152"/>
    <cellStyle name="Normal 2 5 3 2 3 2 2 2 3" xfId="37935"/>
    <cellStyle name="Normal 2 5 3 2 3 2 2 3" xfId="8802"/>
    <cellStyle name="Normal 2 5 3 2 3 2 2 3 2" xfId="34359"/>
    <cellStyle name="Normal 2 5 3 2 3 2 2 4" xfId="17592"/>
    <cellStyle name="Normal 2 5 3 2 3 2 2 4 2" xfId="43145"/>
    <cellStyle name="Normal 2 5 3 2 3 2 2 5" xfId="29082"/>
    <cellStyle name="Normal 2 5 3 2 3 2 3" xfId="4567"/>
    <cellStyle name="Normal 2 5 3 2 3 2 3 2" xfId="13405"/>
    <cellStyle name="Normal 2 5 3 2 3 2 3 2 2" xfId="23656"/>
    <cellStyle name="Normal 2 5 3 2 3 2 3 2 2 2" xfId="49209"/>
    <cellStyle name="Normal 2 5 3 2 3 2 3 2 3" xfId="38960"/>
    <cellStyle name="Normal 2 5 3 2 3 2 3 3" xfId="9826"/>
    <cellStyle name="Normal 2 5 3 2 3 2 3 3 2" xfId="35383"/>
    <cellStyle name="Normal 2 5 3 2 3 2 3 4" xfId="18649"/>
    <cellStyle name="Normal 2 5 3 2 3 2 3 4 2" xfId="44202"/>
    <cellStyle name="Normal 2 5 3 2 3 2 3 5" xfId="30139"/>
    <cellStyle name="Normal 2 5 3 2 3 2 4" xfId="2347"/>
    <cellStyle name="Normal 2 5 3 2 3 2 4 2" xfId="11712"/>
    <cellStyle name="Normal 2 5 3 2 3 2 4 2 2" xfId="37267"/>
    <cellStyle name="Normal 2 5 3 2 3 2 4 3" xfId="21716"/>
    <cellStyle name="Normal 2 5 3 2 3 2 4 3 2" xfId="47269"/>
    <cellStyle name="Normal 2 5 3 2 3 2 4 4" xfId="28199"/>
    <cellStyle name="Normal 2 5 3 2 3 2 5" xfId="6023"/>
    <cellStyle name="Normal 2 5 3 2 3 2 5 2" xfId="14850"/>
    <cellStyle name="Normal 2 5 3 2 3 2 5 2 2" xfId="40405"/>
    <cellStyle name="Normal 2 5 3 2 3 2 5 3" xfId="25101"/>
    <cellStyle name="Normal 2 5 3 2 3 2 5 3 2" xfId="50654"/>
    <cellStyle name="Normal 2 5 3 2 3 2 5 4" xfId="31584"/>
    <cellStyle name="Normal 2 5 3 2 3 2 6" xfId="7467"/>
    <cellStyle name="Normal 2 5 3 2 3 2 6 2" xfId="20198"/>
    <cellStyle name="Normal 2 5 3 2 3 2 6 2 2" xfId="45751"/>
    <cellStyle name="Normal 2 5 3 2 3 2 6 3" xfId="33024"/>
    <cellStyle name="Normal 2 5 3 2 3 2 7" xfId="16709"/>
    <cellStyle name="Normal 2 5 3 2 3 2 7 2" xfId="42262"/>
    <cellStyle name="Normal 2 5 3 2 3 2 8" xfId="26681"/>
    <cellStyle name="Normal 2 5 3 2 3 3" xfId="1254"/>
    <cellStyle name="Normal 2 5 3 2 3 3 2" xfId="3683"/>
    <cellStyle name="Normal 2 5 3 2 3 3 2 2" xfId="12819"/>
    <cellStyle name="Normal 2 5 3 2 3 3 2 2 2" xfId="23038"/>
    <cellStyle name="Normal 2 5 3 2 3 3 2 2 2 2" xfId="48591"/>
    <cellStyle name="Normal 2 5 3 2 3 3 2 2 3" xfId="38374"/>
    <cellStyle name="Normal 2 5 3 2 3 3 2 3" xfId="9240"/>
    <cellStyle name="Normal 2 5 3 2 3 3 2 3 2" xfId="34797"/>
    <cellStyle name="Normal 2 5 3 2 3 3 2 4" xfId="18031"/>
    <cellStyle name="Normal 2 5 3 2 3 3 2 4 2" xfId="43584"/>
    <cellStyle name="Normal 2 5 3 2 3 3 2 5" xfId="29521"/>
    <cellStyle name="Normal 2 5 3 2 3 3 3" xfId="4916"/>
    <cellStyle name="Normal 2 5 3 2 3 3 3 2" xfId="13753"/>
    <cellStyle name="Normal 2 5 3 2 3 3 3 2 2" xfId="24004"/>
    <cellStyle name="Normal 2 5 3 2 3 3 3 2 2 2" xfId="49557"/>
    <cellStyle name="Normal 2 5 3 2 3 3 3 2 3" xfId="39308"/>
    <cellStyle name="Normal 2 5 3 2 3 3 3 3" xfId="10174"/>
    <cellStyle name="Normal 2 5 3 2 3 3 3 3 2" xfId="35731"/>
    <cellStyle name="Normal 2 5 3 2 3 3 3 4" xfId="18997"/>
    <cellStyle name="Normal 2 5 3 2 3 3 3 4 2" xfId="44550"/>
    <cellStyle name="Normal 2 5 3 2 3 3 3 5" xfId="30487"/>
    <cellStyle name="Normal 2 5 3 2 3 3 4" xfId="2077"/>
    <cellStyle name="Normal 2 5 3 2 3 3 4 2" xfId="11442"/>
    <cellStyle name="Normal 2 5 3 2 3 3 4 2 2" xfId="36997"/>
    <cellStyle name="Normal 2 5 3 2 3 3 4 3" xfId="21446"/>
    <cellStyle name="Normal 2 5 3 2 3 3 4 3 2" xfId="46999"/>
    <cellStyle name="Normal 2 5 3 2 3 3 4 4" xfId="27929"/>
    <cellStyle name="Normal 2 5 3 2 3 3 5" xfId="6371"/>
    <cellStyle name="Normal 2 5 3 2 3 3 5 2" xfId="15198"/>
    <cellStyle name="Normal 2 5 3 2 3 3 5 2 2" xfId="40753"/>
    <cellStyle name="Normal 2 5 3 2 3 3 5 3" xfId="25449"/>
    <cellStyle name="Normal 2 5 3 2 3 3 5 3 2" xfId="51002"/>
    <cellStyle name="Normal 2 5 3 2 3 3 5 4" xfId="31932"/>
    <cellStyle name="Normal 2 5 3 2 3 3 6" xfId="7817"/>
    <cellStyle name="Normal 2 5 3 2 3 3 6 2" xfId="20637"/>
    <cellStyle name="Normal 2 5 3 2 3 3 6 2 2" xfId="46190"/>
    <cellStyle name="Normal 2 5 3 2 3 3 6 3" xfId="33374"/>
    <cellStyle name="Normal 2 5 3 2 3 3 7" xfId="16439"/>
    <cellStyle name="Normal 2 5 3 2 3 3 7 2" xfId="41992"/>
    <cellStyle name="Normal 2 5 3 2 3 3 8" xfId="27120"/>
    <cellStyle name="Normal 2 5 3 2 3 4" xfId="2968"/>
    <cellStyle name="Normal 2 5 3 2 3 4 2" xfId="5346"/>
    <cellStyle name="Normal 2 5 3 2 3 4 2 2" xfId="14183"/>
    <cellStyle name="Normal 2 5 3 2 3 4 2 2 2" xfId="24434"/>
    <cellStyle name="Normal 2 5 3 2 3 4 2 2 2 2" xfId="49987"/>
    <cellStyle name="Normal 2 5 3 2 3 4 2 2 3" xfId="39738"/>
    <cellStyle name="Normal 2 5 3 2 3 4 2 3" xfId="10604"/>
    <cellStyle name="Normal 2 5 3 2 3 4 2 3 2" xfId="36161"/>
    <cellStyle name="Normal 2 5 3 2 3 4 2 4" xfId="19427"/>
    <cellStyle name="Normal 2 5 3 2 3 4 2 4 2" xfId="44980"/>
    <cellStyle name="Normal 2 5 3 2 3 4 2 5" xfId="30917"/>
    <cellStyle name="Normal 2 5 3 2 3 4 3" xfId="6801"/>
    <cellStyle name="Normal 2 5 3 2 3 4 3 2" xfId="15628"/>
    <cellStyle name="Normal 2 5 3 2 3 4 3 2 2" xfId="41183"/>
    <cellStyle name="Normal 2 5 3 2 3 4 3 3" xfId="25879"/>
    <cellStyle name="Normal 2 5 3 2 3 4 3 3 2" xfId="51432"/>
    <cellStyle name="Normal 2 5 3 2 3 4 3 4" xfId="32362"/>
    <cellStyle name="Normal 2 5 3 2 3 4 4" xfId="8247"/>
    <cellStyle name="Normal 2 5 3 2 3 4 4 2" xfId="22329"/>
    <cellStyle name="Normal 2 5 3 2 3 4 4 2 2" xfId="47882"/>
    <cellStyle name="Normal 2 5 3 2 3 4 4 3" xfId="33804"/>
    <cellStyle name="Normal 2 5 3 2 3 4 5" xfId="17322"/>
    <cellStyle name="Normal 2 5 3 2 3 4 5 2" xfId="42875"/>
    <cellStyle name="Normal 2 5 3 2 3 4 6" xfId="28812"/>
    <cellStyle name="Normal 2 5 3 2 3 5" xfId="4302"/>
    <cellStyle name="Normal 2 5 3 2 3 5 2" xfId="13140"/>
    <cellStyle name="Normal 2 5 3 2 3 5 2 2" xfId="23391"/>
    <cellStyle name="Normal 2 5 3 2 3 5 2 2 2" xfId="48944"/>
    <cellStyle name="Normal 2 5 3 2 3 5 2 3" xfId="38695"/>
    <cellStyle name="Normal 2 5 3 2 3 5 3" xfId="9561"/>
    <cellStyle name="Normal 2 5 3 2 3 5 3 2" xfId="35118"/>
    <cellStyle name="Normal 2 5 3 2 3 5 4" xfId="18384"/>
    <cellStyle name="Normal 2 5 3 2 3 5 4 2" xfId="43937"/>
    <cellStyle name="Normal 2 5 3 2 3 5 5" xfId="29874"/>
    <cellStyle name="Normal 2 5 3 2 3 6" xfId="1574"/>
    <cellStyle name="Normal 2 5 3 2 3 6 2" xfId="10951"/>
    <cellStyle name="Normal 2 5 3 2 3 6 2 2" xfId="36506"/>
    <cellStyle name="Normal 2 5 3 2 3 6 3" xfId="20955"/>
    <cellStyle name="Normal 2 5 3 2 3 6 3 2" xfId="46508"/>
    <cellStyle name="Normal 2 5 3 2 3 6 4" xfId="27438"/>
    <cellStyle name="Normal 2 5 3 2 3 7" xfId="5758"/>
    <cellStyle name="Normal 2 5 3 2 3 7 2" xfId="14585"/>
    <cellStyle name="Normal 2 5 3 2 3 7 2 2" xfId="40140"/>
    <cellStyle name="Normal 2 5 3 2 3 7 3" xfId="24836"/>
    <cellStyle name="Normal 2 5 3 2 3 7 3 2" xfId="50389"/>
    <cellStyle name="Normal 2 5 3 2 3 7 4" xfId="31319"/>
    <cellStyle name="Normal 2 5 3 2 3 8" xfId="7202"/>
    <cellStyle name="Normal 2 5 3 2 3 8 2" xfId="19928"/>
    <cellStyle name="Normal 2 5 3 2 3 8 2 2" xfId="45481"/>
    <cellStyle name="Normal 2 5 3 2 3 8 3" xfId="32759"/>
    <cellStyle name="Normal 2 5 3 2 3 9" xfId="15948"/>
    <cellStyle name="Normal 2 5 3 2 3 9 2" xfId="41501"/>
    <cellStyle name="Normal 2 5 3 2 3_Degree data" xfId="3854"/>
    <cellStyle name="Normal 2 5 3 2 4" xfId="382"/>
    <cellStyle name="Normal 2 5 3 2 4 2" xfId="2868"/>
    <cellStyle name="Normal 2 5 3 2 4 2 2" xfId="12156"/>
    <cellStyle name="Normal 2 5 3 2 4 2 2 2" xfId="22229"/>
    <cellStyle name="Normal 2 5 3 2 4 2 2 2 2" xfId="47782"/>
    <cellStyle name="Normal 2 5 3 2 4 2 2 3" xfId="37711"/>
    <cellStyle name="Normal 2 5 3 2 4 2 3" xfId="8522"/>
    <cellStyle name="Normal 2 5 3 2 4 2 3 2" xfId="34079"/>
    <cellStyle name="Normal 2 5 3 2 4 2 4" xfId="17222"/>
    <cellStyle name="Normal 2 5 3 2 4 2 4 2" xfId="42775"/>
    <cellStyle name="Normal 2 5 3 2 4 2 5" xfId="28712"/>
    <cellStyle name="Normal 2 5 3 2 4 3" xfId="4565"/>
    <cellStyle name="Normal 2 5 3 2 4 3 2" xfId="13403"/>
    <cellStyle name="Normal 2 5 3 2 4 3 2 2" xfId="23654"/>
    <cellStyle name="Normal 2 5 3 2 4 3 2 2 2" xfId="49207"/>
    <cellStyle name="Normal 2 5 3 2 4 3 2 3" xfId="38958"/>
    <cellStyle name="Normal 2 5 3 2 4 3 3" xfId="9824"/>
    <cellStyle name="Normal 2 5 3 2 4 3 3 2" xfId="35381"/>
    <cellStyle name="Normal 2 5 3 2 4 3 4" xfId="18647"/>
    <cellStyle name="Normal 2 5 3 2 4 3 4 2" xfId="44200"/>
    <cellStyle name="Normal 2 5 3 2 4 3 5" xfId="30137"/>
    <cellStyle name="Normal 2 5 3 2 4 4" xfId="1977"/>
    <cellStyle name="Normal 2 5 3 2 4 4 2" xfId="11342"/>
    <cellStyle name="Normal 2 5 3 2 4 4 2 2" xfId="36897"/>
    <cellStyle name="Normal 2 5 3 2 4 4 3" xfId="21346"/>
    <cellStyle name="Normal 2 5 3 2 4 4 3 2" xfId="46899"/>
    <cellStyle name="Normal 2 5 3 2 4 4 4" xfId="27829"/>
    <cellStyle name="Normal 2 5 3 2 4 5" xfId="6021"/>
    <cellStyle name="Normal 2 5 3 2 4 5 2" xfId="14848"/>
    <cellStyle name="Normal 2 5 3 2 4 5 2 2" xfId="40403"/>
    <cellStyle name="Normal 2 5 3 2 4 5 3" xfId="25099"/>
    <cellStyle name="Normal 2 5 3 2 4 5 3 2" xfId="50652"/>
    <cellStyle name="Normal 2 5 3 2 4 5 4" xfId="31582"/>
    <cellStyle name="Normal 2 5 3 2 4 6" xfId="7465"/>
    <cellStyle name="Normal 2 5 3 2 4 6 2" xfId="19828"/>
    <cellStyle name="Normal 2 5 3 2 4 6 2 2" xfId="45381"/>
    <cellStyle name="Normal 2 5 3 2 4 6 3" xfId="33022"/>
    <cellStyle name="Normal 2 5 3 2 4 7" xfId="16339"/>
    <cellStyle name="Normal 2 5 3 2 4 7 2" xfId="41892"/>
    <cellStyle name="Normal 2 5 3 2 4 8" xfId="26311"/>
    <cellStyle name="Normal 2 5 3 2 5" xfId="750"/>
    <cellStyle name="Normal 2 5 3 2 5 2" xfId="3236"/>
    <cellStyle name="Normal 2 5 3 2 5 2 2" xfId="12378"/>
    <cellStyle name="Normal 2 5 3 2 5 2 2 2" xfId="22597"/>
    <cellStyle name="Normal 2 5 3 2 5 2 2 2 2" xfId="48150"/>
    <cellStyle name="Normal 2 5 3 2 5 2 2 3" xfId="37933"/>
    <cellStyle name="Normal 2 5 3 2 5 2 3" xfId="8800"/>
    <cellStyle name="Normal 2 5 3 2 5 2 3 2" xfId="34357"/>
    <cellStyle name="Normal 2 5 3 2 5 2 4" xfId="17590"/>
    <cellStyle name="Normal 2 5 3 2 5 2 4 2" xfId="43143"/>
    <cellStyle name="Normal 2 5 3 2 5 2 5" xfId="29080"/>
    <cellStyle name="Normal 2 5 3 2 5 3" xfId="4914"/>
    <cellStyle name="Normal 2 5 3 2 5 3 2" xfId="13751"/>
    <cellStyle name="Normal 2 5 3 2 5 3 2 2" xfId="24002"/>
    <cellStyle name="Normal 2 5 3 2 5 3 2 2 2" xfId="49555"/>
    <cellStyle name="Normal 2 5 3 2 5 3 2 3" xfId="39306"/>
    <cellStyle name="Normal 2 5 3 2 5 3 3" xfId="10172"/>
    <cellStyle name="Normal 2 5 3 2 5 3 3 2" xfId="35729"/>
    <cellStyle name="Normal 2 5 3 2 5 3 4" xfId="18995"/>
    <cellStyle name="Normal 2 5 3 2 5 3 4 2" xfId="44548"/>
    <cellStyle name="Normal 2 5 3 2 5 3 5" xfId="30485"/>
    <cellStyle name="Normal 2 5 3 2 5 4" xfId="2345"/>
    <cellStyle name="Normal 2 5 3 2 5 4 2" xfId="11710"/>
    <cellStyle name="Normal 2 5 3 2 5 4 2 2" xfId="37265"/>
    <cellStyle name="Normal 2 5 3 2 5 4 3" xfId="21714"/>
    <cellStyle name="Normal 2 5 3 2 5 4 3 2" xfId="47267"/>
    <cellStyle name="Normal 2 5 3 2 5 4 4" xfId="28197"/>
    <cellStyle name="Normal 2 5 3 2 5 5" xfId="6369"/>
    <cellStyle name="Normal 2 5 3 2 5 5 2" xfId="15196"/>
    <cellStyle name="Normal 2 5 3 2 5 5 2 2" xfId="40751"/>
    <cellStyle name="Normal 2 5 3 2 5 5 3" xfId="25447"/>
    <cellStyle name="Normal 2 5 3 2 5 5 3 2" xfId="51000"/>
    <cellStyle name="Normal 2 5 3 2 5 5 4" xfId="31930"/>
    <cellStyle name="Normal 2 5 3 2 5 6" xfId="7815"/>
    <cellStyle name="Normal 2 5 3 2 5 6 2" xfId="20196"/>
    <cellStyle name="Normal 2 5 3 2 5 6 2 2" xfId="45749"/>
    <cellStyle name="Normal 2 5 3 2 5 6 3" xfId="33372"/>
    <cellStyle name="Normal 2 5 3 2 5 7" xfId="16707"/>
    <cellStyle name="Normal 2 5 3 2 5 7 2" xfId="42260"/>
    <cellStyle name="Normal 2 5 3 2 5 8" xfId="26679"/>
    <cellStyle name="Normal 2 5 3 2 6" xfId="1154"/>
    <cellStyle name="Normal 2 5 3 2 6 2" xfId="3583"/>
    <cellStyle name="Normal 2 5 3 2 6 2 2" xfId="12719"/>
    <cellStyle name="Normal 2 5 3 2 6 2 2 2" xfId="22938"/>
    <cellStyle name="Normal 2 5 3 2 6 2 2 2 2" xfId="48491"/>
    <cellStyle name="Normal 2 5 3 2 6 2 2 3" xfId="38274"/>
    <cellStyle name="Normal 2 5 3 2 6 2 3" xfId="9140"/>
    <cellStyle name="Normal 2 5 3 2 6 2 3 2" xfId="34697"/>
    <cellStyle name="Normal 2 5 3 2 6 2 4" xfId="17931"/>
    <cellStyle name="Normal 2 5 3 2 6 2 4 2" xfId="43484"/>
    <cellStyle name="Normal 2 5 3 2 6 2 5" xfId="29421"/>
    <cellStyle name="Normal 2 5 3 2 6 3" xfId="5246"/>
    <cellStyle name="Normal 2 5 3 2 6 3 2" xfId="14083"/>
    <cellStyle name="Normal 2 5 3 2 6 3 2 2" xfId="24334"/>
    <cellStyle name="Normal 2 5 3 2 6 3 2 2 2" xfId="49887"/>
    <cellStyle name="Normal 2 5 3 2 6 3 2 3" xfId="39638"/>
    <cellStyle name="Normal 2 5 3 2 6 3 3" xfId="10504"/>
    <cellStyle name="Normal 2 5 3 2 6 3 3 2" xfId="36061"/>
    <cellStyle name="Normal 2 5 3 2 6 3 4" xfId="19327"/>
    <cellStyle name="Normal 2 5 3 2 6 3 4 2" xfId="44880"/>
    <cellStyle name="Normal 2 5 3 2 6 3 5" xfId="30817"/>
    <cellStyle name="Normal 2 5 3 2 6 4" xfId="1753"/>
    <cellStyle name="Normal 2 5 3 2 6 4 2" xfId="11124"/>
    <cellStyle name="Normal 2 5 3 2 6 4 2 2" xfId="36679"/>
    <cellStyle name="Normal 2 5 3 2 6 4 3" xfId="21128"/>
    <cellStyle name="Normal 2 5 3 2 6 4 3 2" xfId="46681"/>
    <cellStyle name="Normal 2 5 3 2 6 4 4" xfId="27611"/>
    <cellStyle name="Normal 2 5 3 2 6 5" xfId="6701"/>
    <cellStyle name="Normal 2 5 3 2 6 5 2" xfId="15528"/>
    <cellStyle name="Normal 2 5 3 2 6 5 2 2" xfId="41083"/>
    <cellStyle name="Normal 2 5 3 2 6 5 3" xfId="25779"/>
    <cellStyle name="Normal 2 5 3 2 6 5 3 2" xfId="51332"/>
    <cellStyle name="Normal 2 5 3 2 6 5 4" xfId="32262"/>
    <cellStyle name="Normal 2 5 3 2 6 6" xfId="8147"/>
    <cellStyle name="Normal 2 5 3 2 6 6 2" xfId="20537"/>
    <cellStyle name="Normal 2 5 3 2 6 6 2 2" xfId="46090"/>
    <cellStyle name="Normal 2 5 3 2 6 6 3" xfId="33704"/>
    <cellStyle name="Normal 2 5 3 2 6 7" xfId="16121"/>
    <cellStyle name="Normal 2 5 3 2 6 7 2" xfId="41674"/>
    <cellStyle name="Normal 2 5 3 2 6 8" xfId="27020"/>
    <cellStyle name="Normal 2 5 3 2 7" xfId="2651"/>
    <cellStyle name="Normal 2 5 3 2 7 2" xfId="11973"/>
    <cellStyle name="Normal 2 5 3 2 7 2 2" xfId="22012"/>
    <cellStyle name="Normal 2 5 3 2 7 2 2 2" xfId="47565"/>
    <cellStyle name="Normal 2 5 3 2 7 2 3" xfId="37528"/>
    <cellStyle name="Normal 2 5 3 2 7 3" xfId="8563"/>
    <cellStyle name="Normal 2 5 3 2 7 3 2" xfId="34120"/>
    <cellStyle name="Normal 2 5 3 2 7 4" xfId="17005"/>
    <cellStyle name="Normal 2 5 3 2 7 4 2" xfId="42558"/>
    <cellStyle name="Normal 2 5 3 2 7 5" xfId="28495"/>
    <cellStyle name="Normal 2 5 3 2 8" xfId="4202"/>
    <cellStyle name="Normal 2 5 3 2 8 2" xfId="13040"/>
    <cellStyle name="Normal 2 5 3 2 8 2 2" xfId="23291"/>
    <cellStyle name="Normal 2 5 3 2 8 2 2 2" xfId="48844"/>
    <cellStyle name="Normal 2 5 3 2 8 2 3" xfId="38595"/>
    <cellStyle name="Normal 2 5 3 2 8 3" xfId="9461"/>
    <cellStyle name="Normal 2 5 3 2 8 3 2" xfId="35018"/>
    <cellStyle name="Normal 2 5 3 2 8 4" xfId="18284"/>
    <cellStyle name="Normal 2 5 3 2 8 4 2" xfId="43837"/>
    <cellStyle name="Normal 2 5 3 2 8 5" xfId="29774"/>
    <cellStyle name="Normal 2 5 3 2 9" xfId="1474"/>
    <cellStyle name="Normal 2 5 3 2 9 2" xfId="10851"/>
    <cellStyle name="Normal 2 5 3 2 9 2 2" xfId="36406"/>
    <cellStyle name="Normal 2 5 3 2 9 3" xfId="20855"/>
    <cellStyle name="Normal 2 5 3 2 9 3 2" xfId="46408"/>
    <cellStyle name="Normal 2 5 3 2 9 4" xfId="27338"/>
    <cellStyle name="Normal 2 5 3 2_Degree data" xfId="3889"/>
    <cellStyle name="Normal 2 5 3 3" xfId="197"/>
    <cellStyle name="Normal 2 5 3 3 10" xfId="7145"/>
    <cellStyle name="Normal 2 5 3 3 10 2" xfId="19654"/>
    <cellStyle name="Normal 2 5 3 3 10 2 2" xfId="45207"/>
    <cellStyle name="Normal 2 5 3 3 10 3" xfId="32702"/>
    <cellStyle name="Normal 2 5 3 3 11" xfId="15891"/>
    <cellStyle name="Normal 2 5 3 3 11 2" xfId="41444"/>
    <cellStyle name="Normal 2 5 3 3 12" xfId="26137"/>
    <cellStyle name="Normal 2 5 3 3 2" xfId="525"/>
    <cellStyle name="Normal 2 5 3 3 2 10" xfId="26454"/>
    <cellStyle name="Normal 2 5 3 3 2 2" xfId="754"/>
    <cellStyle name="Normal 2 5 3 3 2 2 2" xfId="3240"/>
    <cellStyle name="Normal 2 5 3 3 2 2 2 2" xfId="12382"/>
    <cellStyle name="Normal 2 5 3 3 2 2 2 2 2" xfId="22601"/>
    <cellStyle name="Normal 2 5 3 3 2 2 2 2 2 2" xfId="48154"/>
    <cellStyle name="Normal 2 5 3 3 2 2 2 2 3" xfId="37937"/>
    <cellStyle name="Normal 2 5 3 3 2 2 2 3" xfId="8804"/>
    <cellStyle name="Normal 2 5 3 3 2 2 2 3 2" xfId="34361"/>
    <cellStyle name="Normal 2 5 3 3 2 2 2 4" xfId="17594"/>
    <cellStyle name="Normal 2 5 3 3 2 2 2 4 2" xfId="43147"/>
    <cellStyle name="Normal 2 5 3 3 2 2 2 5" xfId="29084"/>
    <cellStyle name="Normal 2 5 3 3 2 2 3" xfId="4569"/>
    <cellStyle name="Normal 2 5 3 3 2 2 3 2" xfId="13407"/>
    <cellStyle name="Normal 2 5 3 3 2 2 3 2 2" xfId="23658"/>
    <cellStyle name="Normal 2 5 3 3 2 2 3 2 2 2" xfId="49211"/>
    <cellStyle name="Normal 2 5 3 3 2 2 3 2 3" xfId="38962"/>
    <cellStyle name="Normal 2 5 3 3 2 2 3 3" xfId="9828"/>
    <cellStyle name="Normal 2 5 3 3 2 2 3 3 2" xfId="35385"/>
    <cellStyle name="Normal 2 5 3 3 2 2 3 4" xfId="18651"/>
    <cellStyle name="Normal 2 5 3 3 2 2 3 4 2" xfId="44204"/>
    <cellStyle name="Normal 2 5 3 3 2 2 3 5" xfId="30141"/>
    <cellStyle name="Normal 2 5 3 3 2 2 4" xfId="2349"/>
    <cellStyle name="Normal 2 5 3 3 2 2 4 2" xfId="11714"/>
    <cellStyle name="Normal 2 5 3 3 2 2 4 2 2" xfId="37269"/>
    <cellStyle name="Normal 2 5 3 3 2 2 4 3" xfId="21718"/>
    <cellStyle name="Normal 2 5 3 3 2 2 4 3 2" xfId="47271"/>
    <cellStyle name="Normal 2 5 3 3 2 2 4 4" xfId="28201"/>
    <cellStyle name="Normal 2 5 3 3 2 2 5" xfId="6025"/>
    <cellStyle name="Normal 2 5 3 3 2 2 5 2" xfId="14852"/>
    <cellStyle name="Normal 2 5 3 3 2 2 5 2 2" xfId="40407"/>
    <cellStyle name="Normal 2 5 3 3 2 2 5 3" xfId="25103"/>
    <cellStyle name="Normal 2 5 3 3 2 2 5 3 2" xfId="50656"/>
    <cellStyle name="Normal 2 5 3 3 2 2 5 4" xfId="31586"/>
    <cellStyle name="Normal 2 5 3 3 2 2 6" xfId="7469"/>
    <cellStyle name="Normal 2 5 3 3 2 2 6 2" xfId="20200"/>
    <cellStyle name="Normal 2 5 3 3 2 2 6 2 2" xfId="45753"/>
    <cellStyle name="Normal 2 5 3 3 2 2 6 3" xfId="33026"/>
    <cellStyle name="Normal 2 5 3 3 2 2 7" xfId="16711"/>
    <cellStyle name="Normal 2 5 3 3 2 2 7 2" xfId="42264"/>
    <cellStyle name="Normal 2 5 3 3 2 2 8" xfId="26683"/>
    <cellStyle name="Normal 2 5 3 3 2 3" xfId="1297"/>
    <cellStyle name="Normal 2 5 3 3 2 3 2" xfId="3726"/>
    <cellStyle name="Normal 2 5 3 3 2 3 2 2" xfId="12862"/>
    <cellStyle name="Normal 2 5 3 3 2 3 2 2 2" xfId="23081"/>
    <cellStyle name="Normal 2 5 3 3 2 3 2 2 2 2" xfId="48634"/>
    <cellStyle name="Normal 2 5 3 3 2 3 2 2 3" xfId="38417"/>
    <cellStyle name="Normal 2 5 3 3 2 3 2 3" xfId="9283"/>
    <cellStyle name="Normal 2 5 3 3 2 3 2 3 2" xfId="34840"/>
    <cellStyle name="Normal 2 5 3 3 2 3 2 4" xfId="18074"/>
    <cellStyle name="Normal 2 5 3 3 2 3 2 4 2" xfId="43627"/>
    <cellStyle name="Normal 2 5 3 3 2 3 2 5" xfId="29564"/>
    <cellStyle name="Normal 2 5 3 3 2 3 3" xfId="4918"/>
    <cellStyle name="Normal 2 5 3 3 2 3 3 2" xfId="13755"/>
    <cellStyle name="Normal 2 5 3 3 2 3 3 2 2" xfId="24006"/>
    <cellStyle name="Normal 2 5 3 3 2 3 3 2 2 2" xfId="49559"/>
    <cellStyle name="Normal 2 5 3 3 2 3 3 2 3" xfId="39310"/>
    <cellStyle name="Normal 2 5 3 3 2 3 3 3" xfId="10176"/>
    <cellStyle name="Normal 2 5 3 3 2 3 3 3 2" xfId="35733"/>
    <cellStyle name="Normal 2 5 3 3 2 3 3 4" xfId="18999"/>
    <cellStyle name="Normal 2 5 3 3 2 3 3 4 2" xfId="44552"/>
    <cellStyle name="Normal 2 5 3 3 2 3 3 5" xfId="30489"/>
    <cellStyle name="Normal 2 5 3 3 2 3 4" xfId="2120"/>
    <cellStyle name="Normal 2 5 3 3 2 3 4 2" xfId="11485"/>
    <cellStyle name="Normal 2 5 3 3 2 3 4 2 2" xfId="37040"/>
    <cellStyle name="Normal 2 5 3 3 2 3 4 3" xfId="21489"/>
    <cellStyle name="Normal 2 5 3 3 2 3 4 3 2" xfId="47042"/>
    <cellStyle name="Normal 2 5 3 3 2 3 4 4" xfId="27972"/>
    <cellStyle name="Normal 2 5 3 3 2 3 5" xfId="6373"/>
    <cellStyle name="Normal 2 5 3 3 2 3 5 2" xfId="15200"/>
    <cellStyle name="Normal 2 5 3 3 2 3 5 2 2" xfId="40755"/>
    <cellStyle name="Normal 2 5 3 3 2 3 5 3" xfId="25451"/>
    <cellStyle name="Normal 2 5 3 3 2 3 5 3 2" xfId="51004"/>
    <cellStyle name="Normal 2 5 3 3 2 3 5 4" xfId="31934"/>
    <cellStyle name="Normal 2 5 3 3 2 3 6" xfId="7819"/>
    <cellStyle name="Normal 2 5 3 3 2 3 6 2" xfId="20680"/>
    <cellStyle name="Normal 2 5 3 3 2 3 6 2 2" xfId="46233"/>
    <cellStyle name="Normal 2 5 3 3 2 3 6 3" xfId="33376"/>
    <cellStyle name="Normal 2 5 3 3 2 3 7" xfId="16482"/>
    <cellStyle name="Normal 2 5 3 3 2 3 7 2" xfId="42035"/>
    <cellStyle name="Normal 2 5 3 3 2 3 8" xfId="27163"/>
    <cellStyle name="Normal 2 5 3 3 2 4" xfId="3011"/>
    <cellStyle name="Normal 2 5 3 3 2 4 2" xfId="5389"/>
    <cellStyle name="Normal 2 5 3 3 2 4 2 2" xfId="14226"/>
    <cellStyle name="Normal 2 5 3 3 2 4 2 2 2" xfId="24477"/>
    <cellStyle name="Normal 2 5 3 3 2 4 2 2 2 2" xfId="50030"/>
    <cellStyle name="Normal 2 5 3 3 2 4 2 2 3" xfId="39781"/>
    <cellStyle name="Normal 2 5 3 3 2 4 2 3" xfId="10647"/>
    <cellStyle name="Normal 2 5 3 3 2 4 2 3 2" xfId="36204"/>
    <cellStyle name="Normal 2 5 3 3 2 4 2 4" xfId="19470"/>
    <cellStyle name="Normal 2 5 3 3 2 4 2 4 2" xfId="45023"/>
    <cellStyle name="Normal 2 5 3 3 2 4 2 5" xfId="30960"/>
    <cellStyle name="Normal 2 5 3 3 2 4 3" xfId="6844"/>
    <cellStyle name="Normal 2 5 3 3 2 4 3 2" xfId="15671"/>
    <cellStyle name="Normal 2 5 3 3 2 4 3 2 2" xfId="41226"/>
    <cellStyle name="Normal 2 5 3 3 2 4 3 3" xfId="25922"/>
    <cellStyle name="Normal 2 5 3 3 2 4 3 3 2" xfId="51475"/>
    <cellStyle name="Normal 2 5 3 3 2 4 3 4" xfId="32405"/>
    <cellStyle name="Normal 2 5 3 3 2 4 4" xfId="8290"/>
    <cellStyle name="Normal 2 5 3 3 2 4 4 2" xfId="22372"/>
    <cellStyle name="Normal 2 5 3 3 2 4 4 2 2" xfId="47925"/>
    <cellStyle name="Normal 2 5 3 3 2 4 4 3" xfId="33847"/>
    <cellStyle name="Normal 2 5 3 3 2 4 5" xfId="17365"/>
    <cellStyle name="Normal 2 5 3 3 2 4 5 2" xfId="42918"/>
    <cellStyle name="Normal 2 5 3 3 2 4 6" xfId="28855"/>
    <cellStyle name="Normal 2 5 3 3 2 5" xfId="4345"/>
    <cellStyle name="Normal 2 5 3 3 2 5 2" xfId="13183"/>
    <cellStyle name="Normal 2 5 3 3 2 5 2 2" xfId="23434"/>
    <cellStyle name="Normal 2 5 3 3 2 5 2 2 2" xfId="48987"/>
    <cellStyle name="Normal 2 5 3 3 2 5 2 3" xfId="38738"/>
    <cellStyle name="Normal 2 5 3 3 2 5 3" xfId="9604"/>
    <cellStyle name="Normal 2 5 3 3 2 5 3 2" xfId="35161"/>
    <cellStyle name="Normal 2 5 3 3 2 5 4" xfId="18427"/>
    <cellStyle name="Normal 2 5 3 3 2 5 4 2" xfId="43980"/>
    <cellStyle name="Normal 2 5 3 3 2 5 5" xfId="29917"/>
    <cellStyle name="Normal 2 5 3 3 2 6" xfId="1617"/>
    <cellStyle name="Normal 2 5 3 3 2 6 2" xfId="10994"/>
    <cellStyle name="Normal 2 5 3 3 2 6 2 2" xfId="36549"/>
    <cellStyle name="Normal 2 5 3 3 2 6 3" xfId="20998"/>
    <cellStyle name="Normal 2 5 3 3 2 6 3 2" xfId="46551"/>
    <cellStyle name="Normal 2 5 3 3 2 6 4" xfId="27481"/>
    <cellStyle name="Normal 2 5 3 3 2 7" xfId="5801"/>
    <cellStyle name="Normal 2 5 3 3 2 7 2" xfId="14628"/>
    <cellStyle name="Normal 2 5 3 3 2 7 2 2" xfId="40183"/>
    <cellStyle name="Normal 2 5 3 3 2 7 3" xfId="24879"/>
    <cellStyle name="Normal 2 5 3 3 2 7 3 2" xfId="50432"/>
    <cellStyle name="Normal 2 5 3 3 2 7 4" xfId="31362"/>
    <cellStyle name="Normal 2 5 3 3 2 8" xfId="7245"/>
    <cellStyle name="Normal 2 5 3 3 2 8 2" xfId="19971"/>
    <cellStyle name="Normal 2 5 3 3 2 8 2 2" xfId="45524"/>
    <cellStyle name="Normal 2 5 3 3 2 8 3" xfId="32802"/>
    <cellStyle name="Normal 2 5 3 3 2 9" xfId="15991"/>
    <cellStyle name="Normal 2 5 3 3 2 9 2" xfId="41544"/>
    <cellStyle name="Normal 2 5 3 3 2_Degree data" xfId="3895"/>
    <cellStyle name="Normal 2 5 3 3 3" xfId="425"/>
    <cellStyle name="Normal 2 5 3 3 3 2" xfId="2911"/>
    <cellStyle name="Normal 2 5 3 3 3 2 2" xfId="12199"/>
    <cellStyle name="Normal 2 5 3 3 3 2 2 2" xfId="22272"/>
    <cellStyle name="Normal 2 5 3 3 3 2 2 2 2" xfId="47825"/>
    <cellStyle name="Normal 2 5 3 3 3 2 2 3" xfId="37754"/>
    <cellStyle name="Normal 2 5 3 3 3 2 3" xfId="8449"/>
    <cellStyle name="Normal 2 5 3 3 3 2 3 2" xfId="34006"/>
    <cellStyle name="Normal 2 5 3 3 3 2 4" xfId="17265"/>
    <cellStyle name="Normal 2 5 3 3 3 2 4 2" xfId="42818"/>
    <cellStyle name="Normal 2 5 3 3 3 2 5" xfId="28755"/>
    <cellStyle name="Normal 2 5 3 3 3 3" xfId="4568"/>
    <cellStyle name="Normal 2 5 3 3 3 3 2" xfId="13406"/>
    <cellStyle name="Normal 2 5 3 3 3 3 2 2" xfId="23657"/>
    <cellStyle name="Normal 2 5 3 3 3 3 2 2 2" xfId="49210"/>
    <cellStyle name="Normal 2 5 3 3 3 3 2 3" xfId="38961"/>
    <cellStyle name="Normal 2 5 3 3 3 3 3" xfId="9827"/>
    <cellStyle name="Normal 2 5 3 3 3 3 3 2" xfId="35384"/>
    <cellStyle name="Normal 2 5 3 3 3 3 4" xfId="18650"/>
    <cellStyle name="Normal 2 5 3 3 3 3 4 2" xfId="44203"/>
    <cellStyle name="Normal 2 5 3 3 3 3 5" xfId="30140"/>
    <cellStyle name="Normal 2 5 3 3 3 4" xfId="2020"/>
    <cellStyle name="Normal 2 5 3 3 3 4 2" xfId="11385"/>
    <cellStyle name="Normal 2 5 3 3 3 4 2 2" xfId="36940"/>
    <cellStyle name="Normal 2 5 3 3 3 4 3" xfId="21389"/>
    <cellStyle name="Normal 2 5 3 3 3 4 3 2" xfId="46942"/>
    <cellStyle name="Normal 2 5 3 3 3 4 4" xfId="27872"/>
    <cellStyle name="Normal 2 5 3 3 3 5" xfId="6024"/>
    <cellStyle name="Normal 2 5 3 3 3 5 2" xfId="14851"/>
    <cellStyle name="Normal 2 5 3 3 3 5 2 2" xfId="40406"/>
    <cellStyle name="Normal 2 5 3 3 3 5 3" xfId="25102"/>
    <cellStyle name="Normal 2 5 3 3 3 5 3 2" xfId="50655"/>
    <cellStyle name="Normal 2 5 3 3 3 5 4" xfId="31585"/>
    <cellStyle name="Normal 2 5 3 3 3 6" xfId="7468"/>
    <cellStyle name="Normal 2 5 3 3 3 6 2" xfId="19871"/>
    <cellStyle name="Normal 2 5 3 3 3 6 2 2" xfId="45424"/>
    <cellStyle name="Normal 2 5 3 3 3 6 3" xfId="33025"/>
    <cellStyle name="Normal 2 5 3 3 3 7" xfId="16382"/>
    <cellStyle name="Normal 2 5 3 3 3 7 2" xfId="41935"/>
    <cellStyle name="Normal 2 5 3 3 3 8" xfId="26354"/>
    <cellStyle name="Normal 2 5 3 3 4" xfId="753"/>
    <cellStyle name="Normal 2 5 3 3 4 2" xfId="3239"/>
    <cellStyle name="Normal 2 5 3 3 4 2 2" xfId="12381"/>
    <cellStyle name="Normal 2 5 3 3 4 2 2 2" xfId="22600"/>
    <cellStyle name="Normal 2 5 3 3 4 2 2 2 2" xfId="48153"/>
    <cellStyle name="Normal 2 5 3 3 4 2 2 3" xfId="37936"/>
    <cellStyle name="Normal 2 5 3 3 4 2 3" xfId="8803"/>
    <cellStyle name="Normal 2 5 3 3 4 2 3 2" xfId="34360"/>
    <cellStyle name="Normal 2 5 3 3 4 2 4" xfId="17593"/>
    <cellStyle name="Normal 2 5 3 3 4 2 4 2" xfId="43146"/>
    <cellStyle name="Normal 2 5 3 3 4 2 5" xfId="29083"/>
    <cellStyle name="Normal 2 5 3 3 4 3" xfId="4917"/>
    <cellStyle name="Normal 2 5 3 3 4 3 2" xfId="13754"/>
    <cellStyle name="Normal 2 5 3 3 4 3 2 2" xfId="24005"/>
    <cellStyle name="Normal 2 5 3 3 4 3 2 2 2" xfId="49558"/>
    <cellStyle name="Normal 2 5 3 3 4 3 2 3" xfId="39309"/>
    <cellStyle name="Normal 2 5 3 3 4 3 3" xfId="10175"/>
    <cellStyle name="Normal 2 5 3 3 4 3 3 2" xfId="35732"/>
    <cellStyle name="Normal 2 5 3 3 4 3 4" xfId="18998"/>
    <cellStyle name="Normal 2 5 3 3 4 3 4 2" xfId="44551"/>
    <cellStyle name="Normal 2 5 3 3 4 3 5" xfId="30488"/>
    <cellStyle name="Normal 2 5 3 3 4 4" xfId="2348"/>
    <cellStyle name="Normal 2 5 3 3 4 4 2" xfId="11713"/>
    <cellStyle name="Normal 2 5 3 3 4 4 2 2" xfId="37268"/>
    <cellStyle name="Normal 2 5 3 3 4 4 3" xfId="21717"/>
    <cellStyle name="Normal 2 5 3 3 4 4 3 2" xfId="47270"/>
    <cellStyle name="Normal 2 5 3 3 4 4 4" xfId="28200"/>
    <cellStyle name="Normal 2 5 3 3 4 5" xfId="6372"/>
    <cellStyle name="Normal 2 5 3 3 4 5 2" xfId="15199"/>
    <cellStyle name="Normal 2 5 3 3 4 5 2 2" xfId="40754"/>
    <cellStyle name="Normal 2 5 3 3 4 5 3" xfId="25450"/>
    <cellStyle name="Normal 2 5 3 3 4 5 3 2" xfId="51003"/>
    <cellStyle name="Normal 2 5 3 3 4 5 4" xfId="31933"/>
    <cellStyle name="Normal 2 5 3 3 4 6" xfId="7818"/>
    <cellStyle name="Normal 2 5 3 3 4 6 2" xfId="20199"/>
    <cellStyle name="Normal 2 5 3 3 4 6 2 2" xfId="45752"/>
    <cellStyle name="Normal 2 5 3 3 4 6 3" xfId="33375"/>
    <cellStyle name="Normal 2 5 3 3 4 7" xfId="16710"/>
    <cellStyle name="Normal 2 5 3 3 4 7 2" xfId="42263"/>
    <cellStyle name="Normal 2 5 3 3 4 8" xfId="26682"/>
    <cellStyle name="Normal 2 5 3 3 5" xfId="1197"/>
    <cellStyle name="Normal 2 5 3 3 5 2" xfId="3626"/>
    <cellStyle name="Normal 2 5 3 3 5 2 2" xfId="12762"/>
    <cellStyle name="Normal 2 5 3 3 5 2 2 2" xfId="22981"/>
    <cellStyle name="Normal 2 5 3 3 5 2 2 2 2" xfId="48534"/>
    <cellStyle name="Normal 2 5 3 3 5 2 2 3" xfId="38317"/>
    <cellStyle name="Normal 2 5 3 3 5 2 3" xfId="9183"/>
    <cellStyle name="Normal 2 5 3 3 5 2 3 2" xfId="34740"/>
    <cellStyle name="Normal 2 5 3 3 5 2 4" xfId="17974"/>
    <cellStyle name="Normal 2 5 3 3 5 2 4 2" xfId="43527"/>
    <cellStyle name="Normal 2 5 3 3 5 2 5" xfId="29464"/>
    <cellStyle name="Normal 2 5 3 3 5 3" xfId="5289"/>
    <cellStyle name="Normal 2 5 3 3 5 3 2" xfId="14126"/>
    <cellStyle name="Normal 2 5 3 3 5 3 2 2" xfId="24377"/>
    <cellStyle name="Normal 2 5 3 3 5 3 2 2 2" xfId="49930"/>
    <cellStyle name="Normal 2 5 3 3 5 3 2 3" xfId="39681"/>
    <cellStyle name="Normal 2 5 3 3 5 3 3" xfId="10547"/>
    <cellStyle name="Normal 2 5 3 3 5 3 3 2" xfId="36104"/>
    <cellStyle name="Normal 2 5 3 3 5 3 4" xfId="19370"/>
    <cellStyle name="Normal 2 5 3 3 5 3 4 2" xfId="44923"/>
    <cellStyle name="Normal 2 5 3 3 5 3 5" xfId="30860"/>
    <cellStyle name="Normal 2 5 3 3 5 4" xfId="1799"/>
    <cellStyle name="Normal 2 5 3 3 5 4 2" xfId="11168"/>
    <cellStyle name="Normal 2 5 3 3 5 4 2 2" xfId="36723"/>
    <cellStyle name="Normal 2 5 3 3 5 4 3" xfId="21172"/>
    <cellStyle name="Normal 2 5 3 3 5 4 3 2" xfId="46725"/>
    <cellStyle name="Normal 2 5 3 3 5 4 4" xfId="27655"/>
    <cellStyle name="Normal 2 5 3 3 5 5" xfId="6744"/>
    <cellStyle name="Normal 2 5 3 3 5 5 2" xfId="15571"/>
    <cellStyle name="Normal 2 5 3 3 5 5 2 2" xfId="41126"/>
    <cellStyle name="Normal 2 5 3 3 5 5 3" xfId="25822"/>
    <cellStyle name="Normal 2 5 3 3 5 5 3 2" xfId="51375"/>
    <cellStyle name="Normal 2 5 3 3 5 5 4" xfId="32305"/>
    <cellStyle name="Normal 2 5 3 3 5 6" xfId="8190"/>
    <cellStyle name="Normal 2 5 3 3 5 6 2" xfId="20580"/>
    <cellStyle name="Normal 2 5 3 3 5 6 2 2" xfId="46133"/>
    <cellStyle name="Normal 2 5 3 3 5 6 3" xfId="33747"/>
    <cellStyle name="Normal 2 5 3 3 5 7" xfId="16165"/>
    <cellStyle name="Normal 2 5 3 3 5 7 2" xfId="41718"/>
    <cellStyle name="Normal 2 5 3 3 5 8" xfId="27063"/>
    <cellStyle name="Normal 2 5 3 3 6" xfId="2694"/>
    <cellStyle name="Normal 2 5 3 3 6 2" xfId="12011"/>
    <cellStyle name="Normal 2 5 3 3 6 2 2" xfId="22055"/>
    <cellStyle name="Normal 2 5 3 3 6 2 2 2" xfId="47608"/>
    <cellStyle name="Normal 2 5 3 3 6 2 3" xfId="37566"/>
    <cellStyle name="Normal 2 5 3 3 6 3" xfId="8574"/>
    <cellStyle name="Normal 2 5 3 3 6 3 2" xfId="34131"/>
    <cellStyle name="Normal 2 5 3 3 6 4" xfId="17048"/>
    <cellStyle name="Normal 2 5 3 3 6 4 2" xfId="42601"/>
    <cellStyle name="Normal 2 5 3 3 6 5" xfId="28538"/>
    <cellStyle name="Normal 2 5 3 3 7" xfId="4245"/>
    <cellStyle name="Normal 2 5 3 3 7 2" xfId="13083"/>
    <cellStyle name="Normal 2 5 3 3 7 2 2" xfId="23334"/>
    <cellStyle name="Normal 2 5 3 3 7 2 2 2" xfId="48887"/>
    <cellStyle name="Normal 2 5 3 3 7 2 3" xfId="38638"/>
    <cellStyle name="Normal 2 5 3 3 7 3" xfId="9504"/>
    <cellStyle name="Normal 2 5 3 3 7 3 2" xfId="35061"/>
    <cellStyle name="Normal 2 5 3 3 7 4" xfId="18327"/>
    <cellStyle name="Normal 2 5 3 3 7 4 2" xfId="43880"/>
    <cellStyle name="Normal 2 5 3 3 7 5" xfId="29817"/>
    <cellStyle name="Normal 2 5 3 3 8" xfId="1517"/>
    <cellStyle name="Normal 2 5 3 3 8 2" xfId="10894"/>
    <cellStyle name="Normal 2 5 3 3 8 2 2" xfId="36449"/>
    <cellStyle name="Normal 2 5 3 3 8 3" xfId="20898"/>
    <cellStyle name="Normal 2 5 3 3 8 3 2" xfId="46451"/>
    <cellStyle name="Normal 2 5 3 3 8 4" xfId="27381"/>
    <cellStyle name="Normal 2 5 3 3 9" xfId="5701"/>
    <cellStyle name="Normal 2 5 3 3 9 2" xfId="14528"/>
    <cellStyle name="Normal 2 5 3 3 9 2 2" xfId="40083"/>
    <cellStyle name="Normal 2 5 3 3 9 3" xfId="24779"/>
    <cellStyle name="Normal 2 5 3 3 9 3 2" xfId="50332"/>
    <cellStyle name="Normal 2 5 3 3 9 4" xfId="31262"/>
    <cellStyle name="Normal 2 5 3 3_Degree data" xfId="3858"/>
    <cellStyle name="Normal 2 5 3 4" xfId="234"/>
    <cellStyle name="Normal 2 5 3 4 10" xfId="7072"/>
    <cellStyle name="Normal 2 5 3 4 10 2" xfId="19686"/>
    <cellStyle name="Normal 2 5 3 4 10 2 2" xfId="45239"/>
    <cellStyle name="Normal 2 5 3 4 10 3" xfId="32629"/>
    <cellStyle name="Normal 2 5 3 4 11" xfId="15818"/>
    <cellStyle name="Normal 2 5 3 4 11 2" xfId="41371"/>
    <cellStyle name="Normal 2 5 3 4 12" xfId="26169"/>
    <cellStyle name="Normal 2 5 3 4 2" xfId="557"/>
    <cellStyle name="Normal 2 5 3 4 2 10" xfId="26486"/>
    <cellStyle name="Normal 2 5 3 4 2 2" xfId="756"/>
    <cellStyle name="Normal 2 5 3 4 2 2 2" xfId="3242"/>
    <cellStyle name="Normal 2 5 3 4 2 2 2 2" xfId="12384"/>
    <cellStyle name="Normal 2 5 3 4 2 2 2 2 2" xfId="22603"/>
    <cellStyle name="Normal 2 5 3 4 2 2 2 2 2 2" xfId="48156"/>
    <cellStyle name="Normal 2 5 3 4 2 2 2 2 3" xfId="37939"/>
    <cellStyle name="Normal 2 5 3 4 2 2 2 3" xfId="8806"/>
    <cellStyle name="Normal 2 5 3 4 2 2 2 3 2" xfId="34363"/>
    <cellStyle name="Normal 2 5 3 4 2 2 2 4" xfId="17596"/>
    <cellStyle name="Normal 2 5 3 4 2 2 2 4 2" xfId="43149"/>
    <cellStyle name="Normal 2 5 3 4 2 2 2 5" xfId="29086"/>
    <cellStyle name="Normal 2 5 3 4 2 2 3" xfId="4571"/>
    <cellStyle name="Normal 2 5 3 4 2 2 3 2" xfId="13409"/>
    <cellStyle name="Normal 2 5 3 4 2 2 3 2 2" xfId="23660"/>
    <cellStyle name="Normal 2 5 3 4 2 2 3 2 2 2" xfId="49213"/>
    <cellStyle name="Normal 2 5 3 4 2 2 3 2 3" xfId="38964"/>
    <cellStyle name="Normal 2 5 3 4 2 2 3 3" xfId="9830"/>
    <cellStyle name="Normal 2 5 3 4 2 2 3 3 2" xfId="35387"/>
    <cellStyle name="Normal 2 5 3 4 2 2 3 4" xfId="18653"/>
    <cellStyle name="Normal 2 5 3 4 2 2 3 4 2" xfId="44206"/>
    <cellStyle name="Normal 2 5 3 4 2 2 3 5" xfId="30143"/>
    <cellStyle name="Normal 2 5 3 4 2 2 4" xfId="2351"/>
    <cellStyle name="Normal 2 5 3 4 2 2 4 2" xfId="11716"/>
    <cellStyle name="Normal 2 5 3 4 2 2 4 2 2" xfId="37271"/>
    <cellStyle name="Normal 2 5 3 4 2 2 4 3" xfId="21720"/>
    <cellStyle name="Normal 2 5 3 4 2 2 4 3 2" xfId="47273"/>
    <cellStyle name="Normal 2 5 3 4 2 2 4 4" xfId="28203"/>
    <cellStyle name="Normal 2 5 3 4 2 2 5" xfId="6027"/>
    <cellStyle name="Normal 2 5 3 4 2 2 5 2" xfId="14854"/>
    <cellStyle name="Normal 2 5 3 4 2 2 5 2 2" xfId="40409"/>
    <cellStyle name="Normal 2 5 3 4 2 2 5 3" xfId="25105"/>
    <cellStyle name="Normal 2 5 3 4 2 2 5 3 2" xfId="50658"/>
    <cellStyle name="Normal 2 5 3 4 2 2 5 4" xfId="31588"/>
    <cellStyle name="Normal 2 5 3 4 2 2 6" xfId="7471"/>
    <cellStyle name="Normal 2 5 3 4 2 2 6 2" xfId="20202"/>
    <cellStyle name="Normal 2 5 3 4 2 2 6 2 2" xfId="45755"/>
    <cellStyle name="Normal 2 5 3 4 2 2 6 3" xfId="33028"/>
    <cellStyle name="Normal 2 5 3 4 2 2 7" xfId="16713"/>
    <cellStyle name="Normal 2 5 3 4 2 2 7 2" xfId="42266"/>
    <cellStyle name="Normal 2 5 3 4 2 2 8" xfId="26685"/>
    <cellStyle name="Normal 2 5 3 4 2 3" xfId="1329"/>
    <cellStyle name="Normal 2 5 3 4 2 3 2" xfId="3758"/>
    <cellStyle name="Normal 2 5 3 4 2 3 2 2" xfId="12894"/>
    <cellStyle name="Normal 2 5 3 4 2 3 2 2 2" xfId="23113"/>
    <cellStyle name="Normal 2 5 3 4 2 3 2 2 2 2" xfId="48666"/>
    <cellStyle name="Normal 2 5 3 4 2 3 2 2 3" xfId="38449"/>
    <cellStyle name="Normal 2 5 3 4 2 3 2 3" xfId="9315"/>
    <cellStyle name="Normal 2 5 3 4 2 3 2 3 2" xfId="34872"/>
    <cellStyle name="Normal 2 5 3 4 2 3 2 4" xfId="18106"/>
    <cellStyle name="Normal 2 5 3 4 2 3 2 4 2" xfId="43659"/>
    <cellStyle name="Normal 2 5 3 4 2 3 2 5" xfId="29596"/>
    <cellStyle name="Normal 2 5 3 4 2 3 3" xfId="4920"/>
    <cellStyle name="Normal 2 5 3 4 2 3 3 2" xfId="13757"/>
    <cellStyle name="Normal 2 5 3 4 2 3 3 2 2" xfId="24008"/>
    <cellStyle name="Normal 2 5 3 4 2 3 3 2 2 2" xfId="49561"/>
    <cellStyle name="Normal 2 5 3 4 2 3 3 2 3" xfId="39312"/>
    <cellStyle name="Normal 2 5 3 4 2 3 3 3" xfId="10178"/>
    <cellStyle name="Normal 2 5 3 4 2 3 3 3 2" xfId="35735"/>
    <cellStyle name="Normal 2 5 3 4 2 3 3 4" xfId="19001"/>
    <cellStyle name="Normal 2 5 3 4 2 3 3 4 2" xfId="44554"/>
    <cellStyle name="Normal 2 5 3 4 2 3 3 5" xfId="30491"/>
    <cellStyle name="Normal 2 5 3 4 2 3 4" xfId="2152"/>
    <cellStyle name="Normal 2 5 3 4 2 3 4 2" xfId="11517"/>
    <cellStyle name="Normal 2 5 3 4 2 3 4 2 2" xfId="37072"/>
    <cellStyle name="Normal 2 5 3 4 2 3 4 3" xfId="21521"/>
    <cellStyle name="Normal 2 5 3 4 2 3 4 3 2" xfId="47074"/>
    <cellStyle name="Normal 2 5 3 4 2 3 4 4" xfId="28004"/>
    <cellStyle name="Normal 2 5 3 4 2 3 5" xfId="6375"/>
    <cellStyle name="Normal 2 5 3 4 2 3 5 2" xfId="15202"/>
    <cellStyle name="Normal 2 5 3 4 2 3 5 2 2" xfId="40757"/>
    <cellStyle name="Normal 2 5 3 4 2 3 5 3" xfId="25453"/>
    <cellStyle name="Normal 2 5 3 4 2 3 5 3 2" xfId="51006"/>
    <cellStyle name="Normal 2 5 3 4 2 3 5 4" xfId="31936"/>
    <cellStyle name="Normal 2 5 3 4 2 3 6" xfId="7821"/>
    <cellStyle name="Normal 2 5 3 4 2 3 6 2" xfId="20712"/>
    <cellStyle name="Normal 2 5 3 4 2 3 6 2 2" xfId="46265"/>
    <cellStyle name="Normal 2 5 3 4 2 3 6 3" xfId="33378"/>
    <cellStyle name="Normal 2 5 3 4 2 3 7" xfId="16514"/>
    <cellStyle name="Normal 2 5 3 4 2 3 7 2" xfId="42067"/>
    <cellStyle name="Normal 2 5 3 4 2 3 8" xfId="27195"/>
    <cellStyle name="Normal 2 5 3 4 2 4" xfId="3043"/>
    <cellStyle name="Normal 2 5 3 4 2 4 2" xfId="5421"/>
    <cellStyle name="Normal 2 5 3 4 2 4 2 2" xfId="14258"/>
    <cellStyle name="Normal 2 5 3 4 2 4 2 2 2" xfId="24509"/>
    <cellStyle name="Normal 2 5 3 4 2 4 2 2 2 2" xfId="50062"/>
    <cellStyle name="Normal 2 5 3 4 2 4 2 2 3" xfId="39813"/>
    <cellStyle name="Normal 2 5 3 4 2 4 2 3" xfId="10679"/>
    <cellStyle name="Normal 2 5 3 4 2 4 2 3 2" xfId="36236"/>
    <cellStyle name="Normal 2 5 3 4 2 4 2 4" xfId="19502"/>
    <cellStyle name="Normal 2 5 3 4 2 4 2 4 2" xfId="45055"/>
    <cellStyle name="Normal 2 5 3 4 2 4 2 5" xfId="30992"/>
    <cellStyle name="Normal 2 5 3 4 2 4 3" xfId="6876"/>
    <cellStyle name="Normal 2 5 3 4 2 4 3 2" xfId="15703"/>
    <cellStyle name="Normal 2 5 3 4 2 4 3 2 2" xfId="41258"/>
    <cellStyle name="Normal 2 5 3 4 2 4 3 3" xfId="25954"/>
    <cellStyle name="Normal 2 5 3 4 2 4 3 3 2" xfId="51507"/>
    <cellStyle name="Normal 2 5 3 4 2 4 3 4" xfId="32437"/>
    <cellStyle name="Normal 2 5 3 4 2 4 4" xfId="8322"/>
    <cellStyle name="Normal 2 5 3 4 2 4 4 2" xfId="22404"/>
    <cellStyle name="Normal 2 5 3 4 2 4 4 2 2" xfId="47957"/>
    <cellStyle name="Normal 2 5 3 4 2 4 4 3" xfId="33879"/>
    <cellStyle name="Normal 2 5 3 4 2 4 5" xfId="17397"/>
    <cellStyle name="Normal 2 5 3 4 2 4 5 2" xfId="42950"/>
    <cellStyle name="Normal 2 5 3 4 2 4 6" xfId="28887"/>
    <cellStyle name="Normal 2 5 3 4 2 5" xfId="4377"/>
    <cellStyle name="Normal 2 5 3 4 2 5 2" xfId="13215"/>
    <cellStyle name="Normal 2 5 3 4 2 5 2 2" xfId="23466"/>
    <cellStyle name="Normal 2 5 3 4 2 5 2 2 2" xfId="49019"/>
    <cellStyle name="Normal 2 5 3 4 2 5 2 3" xfId="38770"/>
    <cellStyle name="Normal 2 5 3 4 2 5 3" xfId="9636"/>
    <cellStyle name="Normal 2 5 3 4 2 5 3 2" xfId="35193"/>
    <cellStyle name="Normal 2 5 3 4 2 5 4" xfId="18459"/>
    <cellStyle name="Normal 2 5 3 4 2 5 4 2" xfId="44012"/>
    <cellStyle name="Normal 2 5 3 4 2 5 5" xfId="29949"/>
    <cellStyle name="Normal 2 5 3 4 2 6" xfId="1649"/>
    <cellStyle name="Normal 2 5 3 4 2 6 2" xfId="11026"/>
    <cellStyle name="Normal 2 5 3 4 2 6 2 2" xfId="36581"/>
    <cellStyle name="Normal 2 5 3 4 2 6 3" xfId="21030"/>
    <cellStyle name="Normal 2 5 3 4 2 6 3 2" xfId="46583"/>
    <cellStyle name="Normal 2 5 3 4 2 6 4" xfId="27513"/>
    <cellStyle name="Normal 2 5 3 4 2 7" xfId="5833"/>
    <cellStyle name="Normal 2 5 3 4 2 7 2" xfId="14660"/>
    <cellStyle name="Normal 2 5 3 4 2 7 2 2" xfId="40215"/>
    <cellStyle name="Normal 2 5 3 4 2 7 3" xfId="24911"/>
    <cellStyle name="Normal 2 5 3 4 2 7 3 2" xfId="50464"/>
    <cellStyle name="Normal 2 5 3 4 2 7 4" xfId="31394"/>
    <cellStyle name="Normal 2 5 3 4 2 8" xfId="7277"/>
    <cellStyle name="Normal 2 5 3 4 2 8 2" xfId="20003"/>
    <cellStyle name="Normal 2 5 3 4 2 8 2 2" xfId="45556"/>
    <cellStyle name="Normal 2 5 3 4 2 8 3" xfId="32834"/>
    <cellStyle name="Normal 2 5 3 4 2 9" xfId="16023"/>
    <cellStyle name="Normal 2 5 3 4 2 9 2" xfId="41576"/>
    <cellStyle name="Normal 2 5 3 4 2_Degree data" xfId="3912"/>
    <cellStyle name="Normal 2 5 3 4 3" xfId="352"/>
    <cellStyle name="Normal 2 5 3 4 3 2" xfId="2838"/>
    <cellStyle name="Normal 2 5 3 4 3 2 2" xfId="12126"/>
    <cellStyle name="Normal 2 5 3 4 3 2 2 2" xfId="22199"/>
    <cellStyle name="Normal 2 5 3 4 3 2 2 2 2" xfId="47752"/>
    <cellStyle name="Normal 2 5 3 4 3 2 2 3" xfId="37681"/>
    <cellStyle name="Normal 2 5 3 4 3 2 3" xfId="8530"/>
    <cellStyle name="Normal 2 5 3 4 3 2 3 2" xfId="34087"/>
    <cellStyle name="Normal 2 5 3 4 3 2 4" xfId="17192"/>
    <cellStyle name="Normal 2 5 3 4 3 2 4 2" xfId="42745"/>
    <cellStyle name="Normal 2 5 3 4 3 2 5" xfId="28682"/>
    <cellStyle name="Normal 2 5 3 4 3 3" xfId="4570"/>
    <cellStyle name="Normal 2 5 3 4 3 3 2" xfId="13408"/>
    <cellStyle name="Normal 2 5 3 4 3 3 2 2" xfId="23659"/>
    <cellStyle name="Normal 2 5 3 4 3 3 2 2 2" xfId="49212"/>
    <cellStyle name="Normal 2 5 3 4 3 3 2 3" xfId="38963"/>
    <cellStyle name="Normal 2 5 3 4 3 3 3" xfId="9829"/>
    <cellStyle name="Normal 2 5 3 4 3 3 3 2" xfId="35386"/>
    <cellStyle name="Normal 2 5 3 4 3 3 4" xfId="18652"/>
    <cellStyle name="Normal 2 5 3 4 3 3 4 2" xfId="44205"/>
    <cellStyle name="Normal 2 5 3 4 3 3 5" xfId="30142"/>
    <cellStyle name="Normal 2 5 3 4 3 4" xfId="1947"/>
    <cellStyle name="Normal 2 5 3 4 3 4 2" xfId="11312"/>
    <cellStyle name="Normal 2 5 3 4 3 4 2 2" xfId="36867"/>
    <cellStyle name="Normal 2 5 3 4 3 4 3" xfId="21316"/>
    <cellStyle name="Normal 2 5 3 4 3 4 3 2" xfId="46869"/>
    <cellStyle name="Normal 2 5 3 4 3 4 4" xfId="27799"/>
    <cellStyle name="Normal 2 5 3 4 3 5" xfId="6026"/>
    <cellStyle name="Normal 2 5 3 4 3 5 2" xfId="14853"/>
    <cellStyle name="Normal 2 5 3 4 3 5 2 2" xfId="40408"/>
    <cellStyle name="Normal 2 5 3 4 3 5 3" xfId="25104"/>
    <cellStyle name="Normal 2 5 3 4 3 5 3 2" xfId="50657"/>
    <cellStyle name="Normal 2 5 3 4 3 5 4" xfId="31587"/>
    <cellStyle name="Normal 2 5 3 4 3 6" xfId="7470"/>
    <cellStyle name="Normal 2 5 3 4 3 6 2" xfId="19798"/>
    <cellStyle name="Normal 2 5 3 4 3 6 2 2" xfId="45351"/>
    <cellStyle name="Normal 2 5 3 4 3 6 3" xfId="33027"/>
    <cellStyle name="Normal 2 5 3 4 3 7" xfId="16309"/>
    <cellStyle name="Normal 2 5 3 4 3 7 2" xfId="41862"/>
    <cellStyle name="Normal 2 5 3 4 3 8" xfId="26281"/>
    <cellStyle name="Normal 2 5 3 4 4" xfId="755"/>
    <cellStyle name="Normal 2 5 3 4 4 2" xfId="3241"/>
    <cellStyle name="Normal 2 5 3 4 4 2 2" xfId="12383"/>
    <cellStyle name="Normal 2 5 3 4 4 2 2 2" xfId="22602"/>
    <cellStyle name="Normal 2 5 3 4 4 2 2 2 2" xfId="48155"/>
    <cellStyle name="Normal 2 5 3 4 4 2 2 3" xfId="37938"/>
    <cellStyle name="Normal 2 5 3 4 4 2 3" xfId="8805"/>
    <cellStyle name="Normal 2 5 3 4 4 2 3 2" xfId="34362"/>
    <cellStyle name="Normal 2 5 3 4 4 2 4" xfId="17595"/>
    <cellStyle name="Normal 2 5 3 4 4 2 4 2" xfId="43148"/>
    <cellStyle name="Normal 2 5 3 4 4 2 5" xfId="29085"/>
    <cellStyle name="Normal 2 5 3 4 4 3" xfId="4919"/>
    <cellStyle name="Normal 2 5 3 4 4 3 2" xfId="13756"/>
    <cellStyle name="Normal 2 5 3 4 4 3 2 2" xfId="24007"/>
    <cellStyle name="Normal 2 5 3 4 4 3 2 2 2" xfId="49560"/>
    <cellStyle name="Normal 2 5 3 4 4 3 2 3" xfId="39311"/>
    <cellStyle name="Normal 2 5 3 4 4 3 3" xfId="10177"/>
    <cellStyle name="Normal 2 5 3 4 4 3 3 2" xfId="35734"/>
    <cellStyle name="Normal 2 5 3 4 4 3 4" xfId="19000"/>
    <cellStyle name="Normal 2 5 3 4 4 3 4 2" xfId="44553"/>
    <cellStyle name="Normal 2 5 3 4 4 3 5" xfId="30490"/>
    <cellStyle name="Normal 2 5 3 4 4 4" xfId="2350"/>
    <cellStyle name="Normal 2 5 3 4 4 4 2" xfId="11715"/>
    <cellStyle name="Normal 2 5 3 4 4 4 2 2" xfId="37270"/>
    <cellStyle name="Normal 2 5 3 4 4 4 3" xfId="21719"/>
    <cellStyle name="Normal 2 5 3 4 4 4 3 2" xfId="47272"/>
    <cellStyle name="Normal 2 5 3 4 4 4 4" xfId="28202"/>
    <cellStyle name="Normal 2 5 3 4 4 5" xfId="6374"/>
    <cellStyle name="Normal 2 5 3 4 4 5 2" xfId="15201"/>
    <cellStyle name="Normal 2 5 3 4 4 5 2 2" xfId="40756"/>
    <cellStyle name="Normal 2 5 3 4 4 5 3" xfId="25452"/>
    <cellStyle name="Normal 2 5 3 4 4 5 3 2" xfId="51005"/>
    <cellStyle name="Normal 2 5 3 4 4 5 4" xfId="31935"/>
    <cellStyle name="Normal 2 5 3 4 4 6" xfId="7820"/>
    <cellStyle name="Normal 2 5 3 4 4 6 2" xfId="20201"/>
    <cellStyle name="Normal 2 5 3 4 4 6 2 2" xfId="45754"/>
    <cellStyle name="Normal 2 5 3 4 4 6 3" xfId="33377"/>
    <cellStyle name="Normal 2 5 3 4 4 7" xfId="16712"/>
    <cellStyle name="Normal 2 5 3 4 4 7 2" xfId="42265"/>
    <cellStyle name="Normal 2 5 3 4 4 8" xfId="26684"/>
    <cellStyle name="Normal 2 5 3 4 5" xfId="1124"/>
    <cellStyle name="Normal 2 5 3 4 5 2" xfId="3553"/>
    <cellStyle name="Normal 2 5 3 4 5 2 2" xfId="12689"/>
    <cellStyle name="Normal 2 5 3 4 5 2 2 2" xfId="22908"/>
    <cellStyle name="Normal 2 5 3 4 5 2 2 2 2" xfId="48461"/>
    <cellStyle name="Normal 2 5 3 4 5 2 2 3" xfId="38244"/>
    <cellStyle name="Normal 2 5 3 4 5 2 3" xfId="9110"/>
    <cellStyle name="Normal 2 5 3 4 5 2 3 2" xfId="34667"/>
    <cellStyle name="Normal 2 5 3 4 5 2 4" xfId="17901"/>
    <cellStyle name="Normal 2 5 3 4 5 2 4 2" xfId="43454"/>
    <cellStyle name="Normal 2 5 3 4 5 2 5" xfId="29391"/>
    <cellStyle name="Normal 2 5 3 4 5 3" xfId="5216"/>
    <cellStyle name="Normal 2 5 3 4 5 3 2" xfId="14053"/>
    <cellStyle name="Normal 2 5 3 4 5 3 2 2" xfId="24304"/>
    <cellStyle name="Normal 2 5 3 4 5 3 2 2 2" xfId="49857"/>
    <cellStyle name="Normal 2 5 3 4 5 3 2 3" xfId="39608"/>
    <cellStyle name="Normal 2 5 3 4 5 3 3" xfId="10474"/>
    <cellStyle name="Normal 2 5 3 4 5 3 3 2" xfId="36031"/>
    <cellStyle name="Normal 2 5 3 4 5 3 4" xfId="19297"/>
    <cellStyle name="Normal 2 5 3 4 5 3 4 2" xfId="44850"/>
    <cellStyle name="Normal 2 5 3 4 5 3 5" xfId="30787"/>
    <cellStyle name="Normal 2 5 3 4 5 4" xfId="1832"/>
    <cellStyle name="Normal 2 5 3 4 5 4 2" xfId="11200"/>
    <cellStyle name="Normal 2 5 3 4 5 4 2 2" xfId="36755"/>
    <cellStyle name="Normal 2 5 3 4 5 4 3" xfId="21204"/>
    <cellStyle name="Normal 2 5 3 4 5 4 3 2" xfId="46757"/>
    <cellStyle name="Normal 2 5 3 4 5 4 4" xfId="27687"/>
    <cellStyle name="Normal 2 5 3 4 5 5" xfId="6671"/>
    <cellStyle name="Normal 2 5 3 4 5 5 2" xfId="15498"/>
    <cellStyle name="Normal 2 5 3 4 5 5 2 2" xfId="41053"/>
    <cellStyle name="Normal 2 5 3 4 5 5 3" xfId="25749"/>
    <cellStyle name="Normal 2 5 3 4 5 5 3 2" xfId="51302"/>
    <cellStyle name="Normal 2 5 3 4 5 5 4" xfId="32232"/>
    <cellStyle name="Normal 2 5 3 4 5 6" xfId="8117"/>
    <cellStyle name="Normal 2 5 3 4 5 6 2" xfId="20507"/>
    <cellStyle name="Normal 2 5 3 4 5 6 2 2" xfId="46060"/>
    <cellStyle name="Normal 2 5 3 4 5 6 3" xfId="33674"/>
    <cellStyle name="Normal 2 5 3 4 5 7" xfId="16197"/>
    <cellStyle name="Normal 2 5 3 4 5 7 2" xfId="41750"/>
    <cellStyle name="Normal 2 5 3 4 5 8" xfId="26990"/>
    <cellStyle name="Normal 2 5 3 4 6" xfId="2726"/>
    <cellStyle name="Normal 2 5 3 4 6 2" xfId="12043"/>
    <cellStyle name="Normal 2 5 3 4 6 2 2" xfId="22087"/>
    <cellStyle name="Normal 2 5 3 4 6 2 2 2" xfId="47640"/>
    <cellStyle name="Normal 2 5 3 4 6 2 3" xfId="37598"/>
    <cellStyle name="Normal 2 5 3 4 6 3" xfId="8435"/>
    <cellStyle name="Normal 2 5 3 4 6 3 2" xfId="33992"/>
    <cellStyle name="Normal 2 5 3 4 6 4" xfId="17080"/>
    <cellStyle name="Normal 2 5 3 4 6 4 2" xfId="42633"/>
    <cellStyle name="Normal 2 5 3 4 6 5" xfId="28570"/>
    <cellStyle name="Normal 2 5 3 4 7" xfId="4172"/>
    <cellStyle name="Normal 2 5 3 4 7 2" xfId="13010"/>
    <cellStyle name="Normal 2 5 3 4 7 2 2" xfId="23261"/>
    <cellStyle name="Normal 2 5 3 4 7 2 2 2" xfId="48814"/>
    <cellStyle name="Normal 2 5 3 4 7 2 3" xfId="38565"/>
    <cellStyle name="Normal 2 5 3 4 7 3" xfId="9431"/>
    <cellStyle name="Normal 2 5 3 4 7 3 2" xfId="34988"/>
    <cellStyle name="Normal 2 5 3 4 7 4" xfId="18254"/>
    <cellStyle name="Normal 2 5 3 4 7 4 2" xfId="43807"/>
    <cellStyle name="Normal 2 5 3 4 7 5" xfId="29744"/>
    <cellStyle name="Normal 2 5 3 4 8" xfId="1444"/>
    <cellStyle name="Normal 2 5 3 4 8 2" xfId="10821"/>
    <cellStyle name="Normal 2 5 3 4 8 2 2" xfId="36376"/>
    <cellStyle name="Normal 2 5 3 4 8 3" xfId="20825"/>
    <cellStyle name="Normal 2 5 3 4 8 3 2" xfId="46378"/>
    <cellStyle name="Normal 2 5 3 4 8 4" xfId="27308"/>
    <cellStyle name="Normal 2 5 3 4 9" xfId="5628"/>
    <cellStyle name="Normal 2 5 3 4 9 2" xfId="14455"/>
    <cellStyle name="Normal 2 5 3 4 9 2 2" xfId="40010"/>
    <cellStyle name="Normal 2 5 3 4 9 3" xfId="24706"/>
    <cellStyle name="Normal 2 5 3 4 9 3 2" xfId="50259"/>
    <cellStyle name="Normal 2 5 3 4 9 4" xfId="31189"/>
    <cellStyle name="Normal 2 5 3 4_Degree data" xfId="2613"/>
    <cellStyle name="Normal 2 5 3 5" xfId="452"/>
    <cellStyle name="Normal 2 5 3 5 10" xfId="26381"/>
    <cellStyle name="Normal 2 5 3 5 2" xfId="757"/>
    <cellStyle name="Normal 2 5 3 5 2 2" xfId="3243"/>
    <cellStyle name="Normal 2 5 3 5 2 2 2" xfId="12385"/>
    <cellStyle name="Normal 2 5 3 5 2 2 2 2" xfId="22604"/>
    <cellStyle name="Normal 2 5 3 5 2 2 2 2 2" xfId="48157"/>
    <cellStyle name="Normal 2 5 3 5 2 2 2 3" xfId="37940"/>
    <cellStyle name="Normal 2 5 3 5 2 2 3" xfId="8807"/>
    <cellStyle name="Normal 2 5 3 5 2 2 3 2" xfId="34364"/>
    <cellStyle name="Normal 2 5 3 5 2 2 4" xfId="17597"/>
    <cellStyle name="Normal 2 5 3 5 2 2 4 2" xfId="43150"/>
    <cellStyle name="Normal 2 5 3 5 2 2 5" xfId="29087"/>
    <cellStyle name="Normal 2 5 3 5 2 3" xfId="4572"/>
    <cellStyle name="Normal 2 5 3 5 2 3 2" xfId="13410"/>
    <cellStyle name="Normal 2 5 3 5 2 3 2 2" xfId="23661"/>
    <cellStyle name="Normal 2 5 3 5 2 3 2 2 2" xfId="49214"/>
    <cellStyle name="Normal 2 5 3 5 2 3 2 3" xfId="38965"/>
    <cellStyle name="Normal 2 5 3 5 2 3 3" xfId="9831"/>
    <cellStyle name="Normal 2 5 3 5 2 3 3 2" xfId="35388"/>
    <cellStyle name="Normal 2 5 3 5 2 3 4" xfId="18654"/>
    <cellStyle name="Normal 2 5 3 5 2 3 4 2" xfId="44207"/>
    <cellStyle name="Normal 2 5 3 5 2 3 5" xfId="30144"/>
    <cellStyle name="Normal 2 5 3 5 2 4" xfId="2352"/>
    <cellStyle name="Normal 2 5 3 5 2 4 2" xfId="11717"/>
    <cellStyle name="Normal 2 5 3 5 2 4 2 2" xfId="37272"/>
    <cellStyle name="Normal 2 5 3 5 2 4 3" xfId="21721"/>
    <cellStyle name="Normal 2 5 3 5 2 4 3 2" xfId="47274"/>
    <cellStyle name="Normal 2 5 3 5 2 4 4" xfId="28204"/>
    <cellStyle name="Normal 2 5 3 5 2 5" xfId="6028"/>
    <cellStyle name="Normal 2 5 3 5 2 5 2" xfId="14855"/>
    <cellStyle name="Normal 2 5 3 5 2 5 2 2" xfId="40410"/>
    <cellStyle name="Normal 2 5 3 5 2 5 3" xfId="25106"/>
    <cellStyle name="Normal 2 5 3 5 2 5 3 2" xfId="50659"/>
    <cellStyle name="Normal 2 5 3 5 2 5 4" xfId="31589"/>
    <cellStyle name="Normal 2 5 3 5 2 6" xfId="7472"/>
    <cellStyle name="Normal 2 5 3 5 2 6 2" xfId="20203"/>
    <cellStyle name="Normal 2 5 3 5 2 6 2 2" xfId="45756"/>
    <cellStyle name="Normal 2 5 3 5 2 6 3" xfId="33029"/>
    <cellStyle name="Normal 2 5 3 5 2 7" xfId="16714"/>
    <cellStyle name="Normal 2 5 3 5 2 7 2" xfId="42267"/>
    <cellStyle name="Normal 2 5 3 5 2 8" xfId="26686"/>
    <cellStyle name="Normal 2 5 3 5 3" xfId="1224"/>
    <cellStyle name="Normal 2 5 3 5 3 2" xfId="3653"/>
    <cellStyle name="Normal 2 5 3 5 3 2 2" xfId="12789"/>
    <cellStyle name="Normal 2 5 3 5 3 2 2 2" xfId="23008"/>
    <cellStyle name="Normal 2 5 3 5 3 2 2 2 2" xfId="48561"/>
    <cellStyle name="Normal 2 5 3 5 3 2 2 3" xfId="38344"/>
    <cellStyle name="Normal 2 5 3 5 3 2 3" xfId="9210"/>
    <cellStyle name="Normal 2 5 3 5 3 2 3 2" xfId="34767"/>
    <cellStyle name="Normal 2 5 3 5 3 2 4" xfId="18001"/>
    <cellStyle name="Normal 2 5 3 5 3 2 4 2" xfId="43554"/>
    <cellStyle name="Normal 2 5 3 5 3 2 5" xfId="29491"/>
    <cellStyle name="Normal 2 5 3 5 3 3" xfId="4921"/>
    <cellStyle name="Normal 2 5 3 5 3 3 2" xfId="13758"/>
    <cellStyle name="Normal 2 5 3 5 3 3 2 2" xfId="24009"/>
    <cellStyle name="Normal 2 5 3 5 3 3 2 2 2" xfId="49562"/>
    <cellStyle name="Normal 2 5 3 5 3 3 2 3" xfId="39313"/>
    <cellStyle name="Normal 2 5 3 5 3 3 3" xfId="10179"/>
    <cellStyle name="Normal 2 5 3 5 3 3 3 2" xfId="35736"/>
    <cellStyle name="Normal 2 5 3 5 3 3 4" xfId="19002"/>
    <cellStyle name="Normal 2 5 3 5 3 3 4 2" xfId="44555"/>
    <cellStyle name="Normal 2 5 3 5 3 3 5" xfId="30492"/>
    <cellStyle name="Normal 2 5 3 5 3 4" xfId="2047"/>
    <cellStyle name="Normal 2 5 3 5 3 4 2" xfId="11412"/>
    <cellStyle name="Normal 2 5 3 5 3 4 2 2" xfId="36967"/>
    <cellStyle name="Normal 2 5 3 5 3 4 3" xfId="21416"/>
    <cellStyle name="Normal 2 5 3 5 3 4 3 2" xfId="46969"/>
    <cellStyle name="Normal 2 5 3 5 3 4 4" xfId="27899"/>
    <cellStyle name="Normal 2 5 3 5 3 5" xfId="6376"/>
    <cellStyle name="Normal 2 5 3 5 3 5 2" xfId="15203"/>
    <cellStyle name="Normal 2 5 3 5 3 5 2 2" xfId="40758"/>
    <cellStyle name="Normal 2 5 3 5 3 5 3" xfId="25454"/>
    <cellStyle name="Normal 2 5 3 5 3 5 3 2" xfId="51007"/>
    <cellStyle name="Normal 2 5 3 5 3 5 4" xfId="31937"/>
    <cellStyle name="Normal 2 5 3 5 3 6" xfId="7822"/>
    <cellStyle name="Normal 2 5 3 5 3 6 2" xfId="20607"/>
    <cellStyle name="Normal 2 5 3 5 3 6 2 2" xfId="46160"/>
    <cellStyle name="Normal 2 5 3 5 3 6 3" xfId="33379"/>
    <cellStyle name="Normal 2 5 3 5 3 7" xfId="16409"/>
    <cellStyle name="Normal 2 5 3 5 3 7 2" xfId="41962"/>
    <cellStyle name="Normal 2 5 3 5 3 8" xfId="27090"/>
    <cellStyle name="Normal 2 5 3 5 4" xfId="2938"/>
    <cellStyle name="Normal 2 5 3 5 4 2" xfId="5316"/>
    <cellStyle name="Normal 2 5 3 5 4 2 2" xfId="14153"/>
    <cellStyle name="Normal 2 5 3 5 4 2 2 2" xfId="24404"/>
    <cellStyle name="Normal 2 5 3 5 4 2 2 2 2" xfId="49957"/>
    <cellStyle name="Normal 2 5 3 5 4 2 2 3" xfId="39708"/>
    <cellStyle name="Normal 2 5 3 5 4 2 3" xfId="10574"/>
    <cellStyle name="Normal 2 5 3 5 4 2 3 2" xfId="36131"/>
    <cellStyle name="Normal 2 5 3 5 4 2 4" xfId="19397"/>
    <cellStyle name="Normal 2 5 3 5 4 2 4 2" xfId="44950"/>
    <cellStyle name="Normal 2 5 3 5 4 2 5" xfId="30887"/>
    <cellStyle name="Normal 2 5 3 5 4 3" xfId="6771"/>
    <cellStyle name="Normal 2 5 3 5 4 3 2" xfId="15598"/>
    <cellStyle name="Normal 2 5 3 5 4 3 2 2" xfId="41153"/>
    <cellStyle name="Normal 2 5 3 5 4 3 3" xfId="25849"/>
    <cellStyle name="Normal 2 5 3 5 4 3 3 2" xfId="51402"/>
    <cellStyle name="Normal 2 5 3 5 4 3 4" xfId="32332"/>
    <cellStyle name="Normal 2 5 3 5 4 4" xfId="8217"/>
    <cellStyle name="Normal 2 5 3 5 4 4 2" xfId="22299"/>
    <cellStyle name="Normal 2 5 3 5 4 4 2 2" xfId="47852"/>
    <cellStyle name="Normal 2 5 3 5 4 4 3" xfId="33774"/>
    <cellStyle name="Normal 2 5 3 5 4 5" xfId="17292"/>
    <cellStyle name="Normal 2 5 3 5 4 5 2" xfId="42845"/>
    <cellStyle name="Normal 2 5 3 5 4 6" xfId="28782"/>
    <cellStyle name="Normal 2 5 3 5 5" xfId="4272"/>
    <cellStyle name="Normal 2 5 3 5 5 2" xfId="13110"/>
    <cellStyle name="Normal 2 5 3 5 5 2 2" xfId="23361"/>
    <cellStyle name="Normal 2 5 3 5 5 2 2 2" xfId="48914"/>
    <cellStyle name="Normal 2 5 3 5 5 2 3" xfId="38665"/>
    <cellStyle name="Normal 2 5 3 5 5 3" xfId="9531"/>
    <cellStyle name="Normal 2 5 3 5 5 3 2" xfId="35088"/>
    <cellStyle name="Normal 2 5 3 5 5 4" xfId="18354"/>
    <cellStyle name="Normal 2 5 3 5 5 4 2" xfId="43907"/>
    <cellStyle name="Normal 2 5 3 5 5 5" xfId="29844"/>
    <cellStyle name="Normal 2 5 3 5 6" xfId="1544"/>
    <cellStyle name="Normal 2 5 3 5 6 2" xfId="10921"/>
    <cellStyle name="Normal 2 5 3 5 6 2 2" xfId="36476"/>
    <cellStyle name="Normal 2 5 3 5 6 3" xfId="20925"/>
    <cellStyle name="Normal 2 5 3 5 6 3 2" xfId="46478"/>
    <cellStyle name="Normal 2 5 3 5 6 4" xfId="27408"/>
    <cellStyle name="Normal 2 5 3 5 7" xfId="5728"/>
    <cellStyle name="Normal 2 5 3 5 7 2" xfId="14555"/>
    <cellStyle name="Normal 2 5 3 5 7 2 2" xfId="40110"/>
    <cellStyle name="Normal 2 5 3 5 7 3" xfId="24806"/>
    <cellStyle name="Normal 2 5 3 5 7 3 2" xfId="50359"/>
    <cellStyle name="Normal 2 5 3 5 7 4" xfId="31289"/>
    <cellStyle name="Normal 2 5 3 5 8" xfId="7172"/>
    <cellStyle name="Normal 2 5 3 5 8 2" xfId="19898"/>
    <cellStyle name="Normal 2 5 3 5 8 2 2" xfId="45451"/>
    <cellStyle name="Normal 2 5 3 5 8 3" xfId="32729"/>
    <cellStyle name="Normal 2 5 3 5 9" xfId="15918"/>
    <cellStyle name="Normal 2 5 3 5 9 2" xfId="41471"/>
    <cellStyle name="Normal 2 5 3 5_Degree data" xfId="3843"/>
    <cellStyle name="Normal 2 5 3 6" xfId="323"/>
    <cellStyle name="Normal 2 5 3 6 10" xfId="26252"/>
    <cellStyle name="Normal 2 5 3 6 2" xfId="758"/>
    <cellStyle name="Normal 2 5 3 6 2 2" xfId="3244"/>
    <cellStyle name="Normal 2 5 3 6 2 2 2" xfId="12386"/>
    <cellStyle name="Normal 2 5 3 6 2 2 2 2" xfId="22605"/>
    <cellStyle name="Normal 2 5 3 6 2 2 2 2 2" xfId="48158"/>
    <cellStyle name="Normal 2 5 3 6 2 2 2 3" xfId="37941"/>
    <cellStyle name="Normal 2 5 3 6 2 2 3" xfId="8808"/>
    <cellStyle name="Normal 2 5 3 6 2 2 3 2" xfId="34365"/>
    <cellStyle name="Normal 2 5 3 6 2 2 4" xfId="17598"/>
    <cellStyle name="Normal 2 5 3 6 2 2 4 2" xfId="43151"/>
    <cellStyle name="Normal 2 5 3 6 2 2 5" xfId="29088"/>
    <cellStyle name="Normal 2 5 3 6 2 3" xfId="4573"/>
    <cellStyle name="Normal 2 5 3 6 2 3 2" xfId="13411"/>
    <cellStyle name="Normal 2 5 3 6 2 3 2 2" xfId="23662"/>
    <cellStyle name="Normal 2 5 3 6 2 3 2 2 2" xfId="49215"/>
    <cellStyle name="Normal 2 5 3 6 2 3 2 3" xfId="38966"/>
    <cellStyle name="Normal 2 5 3 6 2 3 3" xfId="9832"/>
    <cellStyle name="Normal 2 5 3 6 2 3 3 2" xfId="35389"/>
    <cellStyle name="Normal 2 5 3 6 2 3 4" xfId="18655"/>
    <cellStyle name="Normal 2 5 3 6 2 3 4 2" xfId="44208"/>
    <cellStyle name="Normal 2 5 3 6 2 3 5" xfId="30145"/>
    <cellStyle name="Normal 2 5 3 6 2 4" xfId="2353"/>
    <cellStyle name="Normal 2 5 3 6 2 4 2" xfId="11718"/>
    <cellStyle name="Normal 2 5 3 6 2 4 2 2" xfId="37273"/>
    <cellStyle name="Normal 2 5 3 6 2 4 3" xfId="21722"/>
    <cellStyle name="Normal 2 5 3 6 2 4 3 2" xfId="47275"/>
    <cellStyle name="Normal 2 5 3 6 2 4 4" xfId="28205"/>
    <cellStyle name="Normal 2 5 3 6 2 5" xfId="6029"/>
    <cellStyle name="Normal 2 5 3 6 2 5 2" xfId="14856"/>
    <cellStyle name="Normal 2 5 3 6 2 5 2 2" xfId="40411"/>
    <cellStyle name="Normal 2 5 3 6 2 5 3" xfId="25107"/>
    <cellStyle name="Normal 2 5 3 6 2 5 3 2" xfId="50660"/>
    <cellStyle name="Normal 2 5 3 6 2 5 4" xfId="31590"/>
    <cellStyle name="Normal 2 5 3 6 2 6" xfId="7473"/>
    <cellStyle name="Normal 2 5 3 6 2 6 2" xfId="20204"/>
    <cellStyle name="Normal 2 5 3 6 2 6 2 2" xfId="45757"/>
    <cellStyle name="Normal 2 5 3 6 2 6 3" xfId="33030"/>
    <cellStyle name="Normal 2 5 3 6 2 7" xfId="16715"/>
    <cellStyle name="Normal 2 5 3 6 2 7 2" xfId="42268"/>
    <cellStyle name="Normal 2 5 3 6 2 8" xfId="26687"/>
    <cellStyle name="Normal 2 5 3 6 3" xfId="1095"/>
    <cellStyle name="Normal 2 5 3 6 3 2" xfId="3524"/>
    <cellStyle name="Normal 2 5 3 6 3 2 2" xfId="12660"/>
    <cellStyle name="Normal 2 5 3 6 3 2 2 2" xfId="22879"/>
    <cellStyle name="Normal 2 5 3 6 3 2 2 2 2" xfId="48432"/>
    <cellStyle name="Normal 2 5 3 6 3 2 2 3" xfId="38215"/>
    <cellStyle name="Normal 2 5 3 6 3 2 3" xfId="9082"/>
    <cellStyle name="Normal 2 5 3 6 3 2 3 2" xfId="34639"/>
    <cellStyle name="Normal 2 5 3 6 3 2 4" xfId="17872"/>
    <cellStyle name="Normal 2 5 3 6 3 2 4 2" xfId="43425"/>
    <cellStyle name="Normal 2 5 3 6 3 2 5" xfId="29362"/>
    <cellStyle name="Normal 2 5 3 6 3 3" xfId="4922"/>
    <cellStyle name="Normal 2 5 3 6 3 3 2" xfId="13759"/>
    <cellStyle name="Normal 2 5 3 6 3 3 2 2" xfId="24010"/>
    <cellStyle name="Normal 2 5 3 6 3 3 2 2 2" xfId="49563"/>
    <cellStyle name="Normal 2 5 3 6 3 3 2 3" xfId="39314"/>
    <cellStyle name="Normal 2 5 3 6 3 3 3" xfId="10180"/>
    <cellStyle name="Normal 2 5 3 6 3 3 3 2" xfId="35737"/>
    <cellStyle name="Normal 2 5 3 6 3 3 4" xfId="19003"/>
    <cellStyle name="Normal 2 5 3 6 3 3 4 2" xfId="44556"/>
    <cellStyle name="Normal 2 5 3 6 3 3 5" xfId="30493"/>
    <cellStyle name="Normal 2 5 3 6 3 4" xfId="2588"/>
    <cellStyle name="Normal 2 5 3 6 3 4 2" xfId="11952"/>
    <cellStyle name="Normal 2 5 3 6 3 4 2 2" xfId="37507"/>
    <cellStyle name="Normal 2 5 3 6 3 4 3" xfId="21956"/>
    <cellStyle name="Normal 2 5 3 6 3 4 3 2" xfId="47509"/>
    <cellStyle name="Normal 2 5 3 6 3 4 4" xfId="28439"/>
    <cellStyle name="Normal 2 5 3 6 3 5" xfId="6377"/>
    <cellStyle name="Normal 2 5 3 6 3 5 2" xfId="15204"/>
    <cellStyle name="Normal 2 5 3 6 3 5 2 2" xfId="40759"/>
    <cellStyle name="Normal 2 5 3 6 3 5 3" xfId="25455"/>
    <cellStyle name="Normal 2 5 3 6 3 5 3 2" xfId="51008"/>
    <cellStyle name="Normal 2 5 3 6 3 5 4" xfId="31938"/>
    <cellStyle name="Normal 2 5 3 6 3 6" xfId="7823"/>
    <cellStyle name="Normal 2 5 3 6 3 6 2" xfId="20478"/>
    <cellStyle name="Normal 2 5 3 6 3 6 2 2" xfId="46031"/>
    <cellStyle name="Normal 2 5 3 6 3 6 3" xfId="33380"/>
    <cellStyle name="Normal 2 5 3 6 3 7" xfId="16949"/>
    <cellStyle name="Normal 2 5 3 6 3 7 2" xfId="42502"/>
    <cellStyle name="Normal 2 5 3 6 3 8" xfId="26961"/>
    <cellStyle name="Normal 2 5 3 6 4" xfId="2809"/>
    <cellStyle name="Normal 2 5 3 6 4 2" xfId="5187"/>
    <cellStyle name="Normal 2 5 3 6 4 2 2" xfId="14024"/>
    <cellStyle name="Normal 2 5 3 6 4 2 2 2" xfId="24275"/>
    <cellStyle name="Normal 2 5 3 6 4 2 2 2 2" xfId="49828"/>
    <cellStyle name="Normal 2 5 3 6 4 2 2 3" xfId="39579"/>
    <cellStyle name="Normal 2 5 3 6 4 2 3" xfId="10445"/>
    <cellStyle name="Normal 2 5 3 6 4 2 3 2" xfId="36002"/>
    <cellStyle name="Normal 2 5 3 6 4 2 4" xfId="19268"/>
    <cellStyle name="Normal 2 5 3 6 4 2 4 2" xfId="44821"/>
    <cellStyle name="Normal 2 5 3 6 4 2 5" xfId="30758"/>
    <cellStyle name="Normal 2 5 3 6 4 3" xfId="6642"/>
    <cellStyle name="Normal 2 5 3 6 4 3 2" xfId="15469"/>
    <cellStyle name="Normal 2 5 3 6 4 3 2 2" xfId="41024"/>
    <cellStyle name="Normal 2 5 3 6 4 3 3" xfId="25720"/>
    <cellStyle name="Normal 2 5 3 6 4 3 3 2" xfId="51273"/>
    <cellStyle name="Normal 2 5 3 6 4 3 4" xfId="32203"/>
    <cellStyle name="Normal 2 5 3 6 4 4" xfId="8088"/>
    <cellStyle name="Normal 2 5 3 6 4 4 2" xfId="22170"/>
    <cellStyle name="Normal 2 5 3 6 4 4 2 2" xfId="47723"/>
    <cellStyle name="Normal 2 5 3 6 4 4 3" xfId="33645"/>
    <cellStyle name="Normal 2 5 3 6 4 5" xfId="17163"/>
    <cellStyle name="Normal 2 5 3 6 4 5 2" xfId="42716"/>
    <cellStyle name="Normal 2 5 3 6 4 6" xfId="28653"/>
    <cellStyle name="Normal 2 5 3 6 5" xfId="4141"/>
    <cellStyle name="Normal 2 5 3 6 5 2" xfId="12979"/>
    <cellStyle name="Normal 2 5 3 6 5 2 2" xfId="23230"/>
    <cellStyle name="Normal 2 5 3 6 5 2 2 2" xfId="48783"/>
    <cellStyle name="Normal 2 5 3 6 5 2 3" xfId="38534"/>
    <cellStyle name="Normal 2 5 3 6 5 3" xfId="9400"/>
    <cellStyle name="Normal 2 5 3 6 5 3 2" xfId="34957"/>
    <cellStyle name="Normal 2 5 3 6 5 4" xfId="18223"/>
    <cellStyle name="Normal 2 5 3 6 5 4 2" xfId="43776"/>
    <cellStyle name="Normal 2 5 3 6 5 5" xfId="29713"/>
    <cellStyle name="Normal 2 5 3 6 6" xfId="1918"/>
    <cellStyle name="Normal 2 5 3 6 6 2" xfId="11283"/>
    <cellStyle name="Normal 2 5 3 6 6 2 2" xfId="36838"/>
    <cellStyle name="Normal 2 5 3 6 6 3" xfId="21287"/>
    <cellStyle name="Normal 2 5 3 6 6 3 2" xfId="46840"/>
    <cellStyle name="Normal 2 5 3 6 6 4" xfId="27770"/>
    <cellStyle name="Normal 2 5 3 6 7" xfId="5599"/>
    <cellStyle name="Normal 2 5 3 6 7 2" xfId="14426"/>
    <cellStyle name="Normal 2 5 3 6 7 2 2" xfId="39981"/>
    <cellStyle name="Normal 2 5 3 6 7 3" xfId="24677"/>
    <cellStyle name="Normal 2 5 3 6 7 3 2" xfId="50230"/>
    <cellStyle name="Normal 2 5 3 6 7 4" xfId="31160"/>
    <cellStyle name="Normal 2 5 3 6 8" xfId="7043"/>
    <cellStyle name="Normal 2 5 3 6 8 2" xfId="19769"/>
    <cellStyle name="Normal 2 5 3 6 8 2 2" xfId="45322"/>
    <cellStyle name="Normal 2 5 3 6 8 3" xfId="32600"/>
    <cellStyle name="Normal 2 5 3 6 9" xfId="16280"/>
    <cellStyle name="Normal 2 5 3 6 9 2" xfId="41833"/>
    <cellStyle name="Normal 2 5 3 6_Degree data" xfId="3870"/>
    <cellStyle name="Normal 2 5 3 7" xfId="749"/>
    <cellStyle name="Normal 2 5 3 7 2" xfId="3235"/>
    <cellStyle name="Normal 2 5 3 7 2 2" xfId="12377"/>
    <cellStyle name="Normal 2 5 3 7 2 2 2" xfId="22596"/>
    <cellStyle name="Normal 2 5 3 7 2 2 2 2" xfId="48149"/>
    <cellStyle name="Normal 2 5 3 7 2 2 3" xfId="37932"/>
    <cellStyle name="Normal 2 5 3 7 2 3" xfId="8799"/>
    <cellStyle name="Normal 2 5 3 7 2 3 2" xfId="34356"/>
    <cellStyle name="Normal 2 5 3 7 2 4" xfId="17589"/>
    <cellStyle name="Normal 2 5 3 7 2 4 2" xfId="43142"/>
    <cellStyle name="Normal 2 5 3 7 2 5" xfId="29079"/>
    <cellStyle name="Normal 2 5 3 7 3" xfId="4564"/>
    <cellStyle name="Normal 2 5 3 7 3 2" xfId="13402"/>
    <cellStyle name="Normal 2 5 3 7 3 2 2" xfId="23653"/>
    <cellStyle name="Normal 2 5 3 7 3 2 2 2" xfId="49206"/>
    <cellStyle name="Normal 2 5 3 7 3 2 3" xfId="38957"/>
    <cellStyle name="Normal 2 5 3 7 3 3" xfId="9823"/>
    <cellStyle name="Normal 2 5 3 7 3 3 2" xfId="35380"/>
    <cellStyle name="Normal 2 5 3 7 3 4" xfId="18646"/>
    <cellStyle name="Normal 2 5 3 7 3 4 2" xfId="44199"/>
    <cellStyle name="Normal 2 5 3 7 3 5" xfId="30136"/>
    <cellStyle name="Normal 2 5 3 7 4" xfId="2344"/>
    <cellStyle name="Normal 2 5 3 7 4 2" xfId="11709"/>
    <cellStyle name="Normal 2 5 3 7 4 2 2" xfId="37264"/>
    <cellStyle name="Normal 2 5 3 7 4 3" xfId="21713"/>
    <cellStyle name="Normal 2 5 3 7 4 3 2" xfId="47266"/>
    <cellStyle name="Normal 2 5 3 7 4 4" xfId="28196"/>
    <cellStyle name="Normal 2 5 3 7 5" xfId="6020"/>
    <cellStyle name="Normal 2 5 3 7 5 2" xfId="14847"/>
    <cellStyle name="Normal 2 5 3 7 5 2 2" xfId="40402"/>
    <cellStyle name="Normal 2 5 3 7 5 3" xfId="25098"/>
    <cellStyle name="Normal 2 5 3 7 5 3 2" xfId="50651"/>
    <cellStyle name="Normal 2 5 3 7 5 4" xfId="31581"/>
    <cellStyle name="Normal 2 5 3 7 6" xfId="7464"/>
    <cellStyle name="Normal 2 5 3 7 6 2" xfId="20195"/>
    <cellStyle name="Normal 2 5 3 7 6 2 2" xfId="45748"/>
    <cellStyle name="Normal 2 5 3 7 6 3" xfId="33021"/>
    <cellStyle name="Normal 2 5 3 7 7" xfId="16706"/>
    <cellStyle name="Normal 2 5 3 7 7 2" xfId="42259"/>
    <cellStyle name="Normal 2 5 3 7 8" xfId="26678"/>
    <cellStyle name="Normal 2 5 3 8" xfId="1052"/>
    <cellStyle name="Normal 2 5 3 8 2" xfId="3481"/>
    <cellStyle name="Normal 2 5 3 8 2 2" xfId="12617"/>
    <cellStyle name="Normal 2 5 3 8 2 2 2" xfId="22836"/>
    <cellStyle name="Normal 2 5 3 8 2 2 2 2" xfId="48389"/>
    <cellStyle name="Normal 2 5 3 8 2 2 3" xfId="38172"/>
    <cellStyle name="Normal 2 5 3 8 2 3" xfId="9039"/>
    <cellStyle name="Normal 2 5 3 8 2 3 2" xfId="34596"/>
    <cellStyle name="Normal 2 5 3 8 2 4" xfId="17829"/>
    <cellStyle name="Normal 2 5 3 8 2 4 2" xfId="43382"/>
    <cellStyle name="Normal 2 5 3 8 2 5" xfId="29319"/>
    <cellStyle name="Normal 2 5 3 8 3" xfId="4913"/>
    <cellStyle name="Normal 2 5 3 8 3 2" xfId="13750"/>
    <cellStyle name="Normal 2 5 3 8 3 2 2" xfId="24001"/>
    <cellStyle name="Normal 2 5 3 8 3 2 2 2" xfId="49554"/>
    <cellStyle name="Normal 2 5 3 8 3 2 3" xfId="39305"/>
    <cellStyle name="Normal 2 5 3 8 3 3" xfId="10171"/>
    <cellStyle name="Normal 2 5 3 8 3 3 2" xfId="35728"/>
    <cellStyle name="Normal 2 5 3 8 3 4" xfId="18994"/>
    <cellStyle name="Normal 2 5 3 8 3 4 2" xfId="44547"/>
    <cellStyle name="Normal 2 5 3 8 3 5" xfId="30484"/>
    <cellStyle name="Normal 2 5 3 8 4" xfId="1720"/>
    <cellStyle name="Normal 2 5 3 8 4 2" xfId="11094"/>
    <cellStyle name="Normal 2 5 3 8 4 2 2" xfId="36649"/>
    <cellStyle name="Normal 2 5 3 8 4 3" xfId="21098"/>
    <cellStyle name="Normal 2 5 3 8 4 3 2" xfId="46651"/>
    <cellStyle name="Normal 2 5 3 8 4 4" xfId="27581"/>
    <cellStyle name="Normal 2 5 3 8 5" xfId="6368"/>
    <cellStyle name="Normal 2 5 3 8 5 2" xfId="15195"/>
    <cellStyle name="Normal 2 5 3 8 5 2 2" xfId="40750"/>
    <cellStyle name="Normal 2 5 3 8 5 3" xfId="25446"/>
    <cellStyle name="Normal 2 5 3 8 5 3 2" xfId="50999"/>
    <cellStyle name="Normal 2 5 3 8 5 4" xfId="31929"/>
    <cellStyle name="Normal 2 5 3 8 6" xfId="7814"/>
    <cellStyle name="Normal 2 5 3 8 6 2" xfId="20435"/>
    <cellStyle name="Normal 2 5 3 8 6 2 2" xfId="45988"/>
    <cellStyle name="Normal 2 5 3 8 6 3" xfId="33371"/>
    <cellStyle name="Normal 2 5 3 8 7" xfId="16091"/>
    <cellStyle name="Normal 2 5 3 8 7 2" xfId="41644"/>
    <cellStyle name="Normal 2 5 3 8 8" xfId="26918"/>
    <cellStyle name="Normal 2 5 3 9" xfId="2618"/>
    <cellStyle name="Normal 2 5 3 9 2" xfId="5144"/>
    <cellStyle name="Normal 2 5 3 9 2 2" xfId="13981"/>
    <cellStyle name="Normal 2 5 3 9 2 2 2" xfId="24232"/>
    <cellStyle name="Normal 2 5 3 9 2 2 2 2" xfId="49785"/>
    <cellStyle name="Normal 2 5 3 9 2 2 3" xfId="39536"/>
    <cellStyle name="Normal 2 5 3 9 2 3" xfId="10402"/>
    <cellStyle name="Normal 2 5 3 9 2 3 2" xfId="35959"/>
    <cellStyle name="Normal 2 5 3 9 2 4" xfId="19225"/>
    <cellStyle name="Normal 2 5 3 9 2 4 2" xfId="44778"/>
    <cellStyle name="Normal 2 5 3 9 2 5" xfId="30715"/>
    <cellStyle name="Normal 2 5 3 9 3" xfId="6599"/>
    <cellStyle name="Normal 2 5 3 9 3 2" xfId="15426"/>
    <cellStyle name="Normal 2 5 3 9 3 2 2" xfId="40981"/>
    <cellStyle name="Normal 2 5 3 9 3 3" xfId="25677"/>
    <cellStyle name="Normal 2 5 3 9 3 3 2" xfId="51230"/>
    <cellStyle name="Normal 2 5 3 9 3 4" xfId="32160"/>
    <cellStyle name="Normal 2 5 3 9 4" xfId="8045"/>
    <cellStyle name="Normal 2 5 3 9 4 2" xfId="21981"/>
    <cellStyle name="Normal 2 5 3 9 4 2 2" xfId="47534"/>
    <cellStyle name="Normal 2 5 3 9 4 3" xfId="33602"/>
    <cellStyle name="Normal 2 5 3 9 5" xfId="16974"/>
    <cellStyle name="Normal 2 5 3 9 5 2" xfId="42527"/>
    <cellStyle name="Normal 2 5 3 9 6" xfId="28464"/>
    <cellStyle name="Normal 2 5 3_Degree data" xfId="3928"/>
    <cellStyle name="Normal 2 5 4" xfId="127"/>
    <cellStyle name="Normal 2 5 4 10" xfId="4114"/>
    <cellStyle name="Normal 2 5 4 10 2" xfId="5572"/>
    <cellStyle name="Normal 2 5 4 10 2 2" xfId="14399"/>
    <cellStyle name="Normal 2 5 4 10 2 2 2" xfId="39954"/>
    <cellStyle name="Normal 2 5 4 10 2 3" xfId="24650"/>
    <cellStyle name="Normal 2 5 4 10 2 3 2" xfId="50203"/>
    <cellStyle name="Normal 2 5 4 10 2 4" xfId="31133"/>
    <cellStyle name="Normal 2 5 4 10 3" xfId="7016"/>
    <cellStyle name="Normal 2 5 4 10 3 2" xfId="23203"/>
    <cellStyle name="Normal 2 5 4 10 3 2 2" xfId="48756"/>
    <cellStyle name="Normal 2 5 4 10 3 3" xfId="32573"/>
    <cellStyle name="Normal 2 5 4 10 4" xfId="18196"/>
    <cellStyle name="Normal 2 5 4 10 4 2" xfId="43749"/>
    <cellStyle name="Normal 2 5 4 10 5" xfId="29686"/>
    <cellStyle name="Normal 2 5 4 11" xfId="1433"/>
    <cellStyle name="Normal 2 5 4 11 2" xfId="10810"/>
    <cellStyle name="Normal 2 5 4 11 2 2" xfId="36365"/>
    <cellStyle name="Normal 2 5 4 11 3" xfId="20814"/>
    <cellStyle name="Normal 2 5 4 11 3 2" xfId="46367"/>
    <cellStyle name="Normal 2 5 4 11 4" xfId="27297"/>
    <cellStyle name="Normal 2 5 4 12" xfId="5542"/>
    <cellStyle name="Normal 2 5 4 12 2" xfId="14369"/>
    <cellStyle name="Normal 2 5 4 12 2 2" xfId="39924"/>
    <cellStyle name="Normal 2 5 4 12 3" xfId="24620"/>
    <cellStyle name="Normal 2 5 4 12 3 2" xfId="50173"/>
    <cellStyle name="Normal 2 5 4 12 4" xfId="31103"/>
    <cellStyle name="Normal 2 5 4 13" xfId="6986"/>
    <cellStyle name="Normal 2 5 4 13 2" xfId="19594"/>
    <cellStyle name="Normal 2 5 4 13 2 2" xfId="45147"/>
    <cellStyle name="Normal 2 5 4 13 3" xfId="32543"/>
    <cellStyle name="Normal 2 5 4 14" xfId="15807"/>
    <cellStyle name="Normal 2 5 4 14 2" xfId="41360"/>
    <cellStyle name="Normal 2 5 4 15" xfId="26077"/>
    <cellStyle name="Normal 2 5 4 2" xfId="168"/>
    <cellStyle name="Normal 2 5 4 2 10" xfId="5674"/>
    <cellStyle name="Normal 2 5 4 2 10 2" xfId="14501"/>
    <cellStyle name="Normal 2 5 4 2 10 2 2" xfId="40056"/>
    <cellStyle name="Normal 2 5 4 2 10 3" xfId="24752"/>
    <cellStyle name="Normal 2 5 4 2 10 3 2" xfId="50305"/>
    <cellStyle name="Normal 2 5 4 2 10 4" xfId="31235"/>
    <cellStyle name="Normal 2 5 4 2 11" xfId="7118"/>
    <cellStyle name="Normal 2 5 4 2 11 2" xfId="19627"/>
    <cellStyle name="Normal 2 5 4 2 11 2 2" xfId="45180"/>
    <cellStyle name="Normal 2 5 4 2 11 3" xfId="32675"/>
    <cellStyle name="Normal 2 5 4 2 12" xfId="15864"/>
    <cellStyle name="Normal 2 5 4 2 12 2" xfId="41417"/>
    <cellStyle name="Normal 2 5 4 2 13" xfId="26110"/>
    <cellStyle name="Normal 2 5 4 2 2" xfId="280"/>
    <cellStyle name="Normal 2 5 4 2 2 10" xfId="16068"/>
    <cellStyle name="Normal 2 5 4 2 2 10 2" xfId="41621"/>
    <cellStyle name="Normal 2 5 4 2 2 11" xfId="26214"/>
    <cellStyle name="Normal 2 5 4 2 2 2" xfId="602"/>
    <cellStyle name="Normal 2 5 4 2 2 2 2" xfId="3088"/>
    <cellStyle name="Normal 2 5 4 2 2 2 2 2" xfId="12231"/>
    <cellStyle name="Normal 2 5 4 2 2 2 2 2 2" xfId="22449"/>
    <cellStyle name="Normal 2 5 4 2 2 2 2 2 2 2" xfId="48002"/>
    <cellStyle name="Normal 2 5 4 2 2 2 2 2 3" xfId="37786"/>
    <cellStyle name="Normal 2 5 4 2 2 2 2 3" xfId="8653"/>
    <cellStyle name="Normal 2 5 4 2 2 2 2 3 2" xfId="34210"/>
    <cellStyle name="Normal 2 5 4 2 2 2 2 4" xfId="17442"/>
    <cellStyle name="Normal 2 5 4 2 2 2 2 4 2" xfId="42995"/>
    <cellStyle name="Normal 2 5 4 2 2 2 2 5" xfId="28932"/>
    <cellStyle name="Normal 2 5 4 2 2 2 3" xfId="4576"/>
    <cellStyle name="Normal 2 5 4 2 2 2 3 2" xfId="13414"/>
    <cellStyle name="Normal 2 5 4 2 2 2 3 2 2" xfId="23665"/>
    <cellStyle name="Normal 2 5 4 2 2 2 3 2 2 2" xfId="49218"/>
    <cellStyle name="Normal 2 5 4 2 2 2 3 2 3" xfId="38969"/>
    <cellStyle name="Normal 2 5 4 2 2 2 3 3" xfId="9835"/>
    <cellStyle name="Normal 2 5 4 2 2 2 3 3 2" xfId="35392"/>
    <cellStyle name="Normal 2 5 4 2 2 2 3 4" xfId="18658"/>
    <cellStyle name="Normal 2 5 4 2 2 2 3 4 2" xfId="44211"/>
    <cellStyle name="Normal 2 5 4 2 2 2 3 5" xfId="30148"/>
    <cellStyle name="Normal 2 5 4 2 2 2 4" xfId="2197"/>
    <cellStyle name="Normal 2 5 4 2 2 2 4 2" xfId="11562"/>
    <cellStyle name="Normal 2 5 4 2 2 2 4 2 2" xfId="37117"/>
    <cellStyle name="Normal 2 5 4 2 2 2 4 3" xfId="21566"/>
    <cellStyle name="Normal 2 5 4 2 2 2 4 3 2" xfId="47119"/>
    <cellStyle name="Normal 2 5 4 2 2 2 4 4" xfId="28049"/>
    <cellStyle name="Normal 2 5 4 2 2 2 5" xfId="6032"/>
    <cellStyle name="Normal 2 5 4 2 2 2 5 2" xfId="14859"/>
    <cellStyle name="Normal 2 5 4 2 2 2 5 2 2" xfId="40414"/>
    <cellStyle name="Normal 2 5 4 2 2 2 5 3" xfId="25110"/>
    <cellStyle name="Normal 2 5 4 2 2 2 5 3 2" xfId="50663"/>
    <cellStyle name="Normal 2 5 4 2 2 2 5 4" xfId="31593"/>
    <cellStyle name="Normal 2 5 4 2 2 2 6" xfId="7476"/>
    <cellStyle name="Normal 2 5 4 2 2 2 6 2" xfId="20048"/>
    <cellStyle name="Normal 2 5 4 2 2 2 6 2 2" xfId="45601"/>
    <cellStyle name="Normal 2 5 4 2 2 2 6 3" xfId="33033"/>
    <cellStyle name="Normal 2 5 4 2 2 2 7" xfId="16559"/>
    <cellStyle name="Normal 2 5 4 2 2 2 7 2" xfId="42112"/>
    <cellStyle name="Normal 2 5 4 2 2 2 8" xfId="26531"/>
    <cellStyle name="Normal 2 5 4 2 2 3" xfId="761"/>
    <cellStyle name="Normal 2 5 4 2 2 3 2" xfId="3247"/>
    <cellStyle name="Normal 2 5 4 2 2 3 2 2" xfId="12389"/>
    <cellStyle name="Normal 2 5 4 2 2 3 2 2 2" xfId="22608"/>
    <cellStyle name="Normal 2 5 4 2 2 3 2 2 2 2" xfId="48161"/>
    <cellStyle name="Normal 2 5 4 2 2 3 2 2 3" xfId="37944"/>
    <cellStyle name="Normal 2 5 4 2 2 3 2 3" xfId="8811"/>
    <cellStyle name="Normal 2 5 4 2 2 3 2 3 2" xfId="34368"/>
    <cellStyle name="Normal 2 5 4 2 2 3 2 4" xfId="17601"/>
    <cellStyle name="Normal 2 5 4 2 2 3 2 4 2" xfId="43154"/>
    <cellStyle name="Normal 2 5 4 2 2 3 2 5" xfId="29091"/>
    <cellStyle name="Normal 2 5 4 2 2 3 3" xfId="4925"/>
    <cellStyle name="Normal 2 5 4 2 2 3 3 2" xfId="13762"/>
    <cellStyle name="Normal 2 5 4 2 2 3 3 2 2" xfId="24013"/>
    <cellStyle name="Normal 2 5 4 2 2 3 3 2 2 2" xfId="49566"/>
    <cellStyle name="Normal 2 5 4 2 2 3 3 2 3" xfId="39317"/>
    <cellStyle name="Normal 2 5 4 2 2 3 3 3" xfId="10183"/>
    <cellStyle name="Normal 2 5 4 2 2 3 3 3 2" xfId="35740"/>
    <cellStyle name="Normal 2 5 4 2 2 3 3 4" xfId="19006"/>
    <cellStyle name="Normal 2 5 4 2 2 3 3 4 2" xfId="44559"/>
    <cellStyle name="Normal 2 5 4 2 2 3 3 5" xfId="30496"/>
    <cellStyle name="Normal 2 5 4 2 2 3 4" xfId="2356"/>
    <cellStyle name="Normal 2 5 4 2 2 3 4 2" xfId="11721"/>
    <cellStyle name="Normal 2 5 4 2 2 3 4 2 2" xfId="37276"/>
    <cellStyle name="Normal 2 5 4 2 2 3 4 3" xfId="21725"/>
    <cellStyle name="Normal 2 5 4 2 2 3 4 3 2" xfId="47278"/>
    <cellStyle name="Normal 2 5 4 2 2 3 4 4" xfId="28208"/>
    <cellStyle name="Normal 2 5 4 2 2 3 5" xfId="6380"/>
    <cellStyle name="Normal 2 5 4 2 2 3 5 2" xfId="15207"/>
    <cellStyle name="Normal 2 5 4 2 2 3 5 2 2" xfId="40762"/>
    <cellStyle name="Normal 2 5 4 2 2 3 5 3" xfId="25458"/>
    <cellStyle name="Normal 2 5 4 2 2 3 5 3 2" xfId="51011"/>
    <cellStyle name="Normal 2 5 4 2 2 3 5 4" xfId="31941"/>
    <cellStyle name="Normal 2 5 4 2 2 3 6" xfId="7826"/>
    <cellStyle name="Normal 2 5 4 2 2 3 6 2" xfId="20207"/>
    <cellStyle name="Normal 2 5 4 2 2 3 6 2 2" xfId="45760"/>
    <cellStyle name="Normal 2 5 4 2 2 3 6 3" xfId="33383"/>
    <cellStyle name="Normal 2 5 4 2 2 3 7" xfId="16718"/>
    <cellStyle name="Normal 2 5 4 2 2 3 7 2" xfId="42271"/>
    <cellStyle name="Normal 2 5 4 2 2 3 8" xfId="26690"/>
    <cellStyle name="Normal 2 5 4 2 2 4" xfId="1374"/>
    <cellStyle name="Normal 2 5 4 2 2 4 2" xfId="3803"/>
    <cellStyle name="Normal 2 5 4 2 2 4 2 2" xfId="12939"/>
    <cellStyle name="Normal 2 5 4 2 2 4 2 2 2" xfId="23158"/>
    <cellStyle name="Normal 2 5 4 2 2 4 2 2 2 2" xfId="48711"/>
    <cellStyle name="Normal 2 5 4 2 2 4 2 2 3" xfId="38494"/>
    <cellStyle name="Normal 2 5 4 2 2 4 2 3" xfId="9360"/>
    <cellStyle name="Normal 2 5 4 2 2 4 2 3 2" xfId="34917"/>
    <cellStyle name="Normal 2 5 4 2 2 4 2 4" xfId="18151"/>
    <cellStyle name="Normal 2 5 4 2 2 4 2 4 2" xfId="43704"/>
    <cellStyle name="Normal 2 5 4 2 2 4 2 5" xfId="29641"/>
    <cellStyle name="Normal 2 5 4 2 2 4 3" xfId="5466"/>
    <cellStyle name="Normal 2 5 4 2 2 4 3 2" xfId="14303"/>
    <cellStyle name="Normal 2 5 4 2 2 4 3 2 2" xfId="24554"/>
    <cellStyle name="Normal 2 5 4 2 2 4 3 2 2 2" xfId="50107"/>
    <cellStyle name="Normal 2 5 4 2 2 4 3 2 3" xfId="39858"/>
    <cellStyle name="Normal 2 5 4 2 2 4 3 3" xfId="10724"/>
    <cellStyle name="Normal 2 5 4 2 2 4 3 3 2" xfId="36281"/>
    <cellStyle name="Normal 2 5 4 2 2 4 3 4" xfId="19547"/>
    <cellStyle name="Normal 2 5 4 2 2 4 3 4 2" xfId="45100"/>
    <cellStyle name="Normal 2 5 4 2 2 4 3 5" xfId="31037"/>
    <cellStyle name="Normal 2 5 4 2 2 4 4" xfId="1877"/>
    <cellStyle name="Normal 2 5 4 2 2 4 4 2" xfId="11245"/>
    <cellStyle name="Normal 2 5 4 2 2 4 4 2 2" xfId="36800"/>
    <cellStyle name="Normal 2 5 4 2 2 4 4 3" xfId="21249"/>
    <cellStyle name="Normal 2 5 4 2 2 4 4 3 2" xfId="46802"/>
    <cellStyle name="Normal 2 5 4 2 2 4 4 4" xfId="27732"/>
    <cellStyle name="Normal 2 5 4 2 2 4 5" xfId="6921"/>
    <cellStyle name="Normal 2 5 4 2 2 4 5 2" xfId="15748"/>
    <cellStyle name="Normal 2 5 4 2 2 4 5 2 2" xfId="41303"/>
    <cellStyle name="Normal 2 5 4 2 2 4 5 3" xfId="25999"/>
    <cellStyle name="Normal 2 5 4 2 2 4 5 3 2" xfId="51552"/>
    <cellStyle name="Normal 2 5 4 2 2 4 5 4" xfId="32482"/>
    <cellStyle name="Normal 2 5 4 2 2 4 6" xfId="8367"/>
    <cellStyle name="Normal 2 5 4 2 2 4 6 2" xfId="20757"/>
    <cellStyle name="Normal 2 5 4 2 2 4 6 2 2" xfId="46310"/>
    <cellStyle name="Normal 2 5 4 2 2 4 6 3" xfId="33924"/>
    <cellStyle name="Normal 2 5 4 2 2 4 7" xfId="16242"/>
    <cellStyle name="Normal 2 5 4 2 2 4 7 2" xfId="41795"/>
    <cellStyle name="Normal 2 5 4 2 2 4 8" xfId="27240"/>
    <cellStyle name="Normal 2 5 4 2 2 5" xfId="2771"/>
    <cellStyle name="Normal 2 5 4 2 2 5 2" xfId="12088"/>
    <cellStyle name="Normal 2 5 4 2 2 5 2 2" xfId="22132"/>
    <cellStyle name="Normal 2 5 4 2 2 5 2 2 2" xfId="47685"/>
    <cellStyle name="Normal 2 5 4 2 2 5 2 3" xfId="37643"/>
    <cellStyle name="Normal 2 5 4 2 2 5 3" xfId="8478"/>
    <cellStyle name="Normal 2 5 4 2 2 5 3 2" xfId="34035"/>
    <cellStyle name="Normal 2 5 4 2 2 5 4" xfId="17125"/>
    <cellStyle name="Normal 2 5 4 2 2 5 4 2" xfId="42678"/>
    <cellStyle name="Normal 2 5 4 2 2 5 5" xfId="28615"/>
    <cellStyle name="Normal 2 5 4 2 2 6" xfId="4422"/>
    <cellStyle name="Normal 2 5 4 2 2 6 2" xfId="13260"/>
    <cellStyle name="Normal 2 5 4 2 2 6 2 2" xfId="23511"/>
    <cellStyle name="Normal 2 5 4 2 2 6 2 2 2" xfId="49064"/>
    <cellStyle name="Normal 2 5 4 2 2 6 2 3" xfId="38815"/>
    <cellStyle name="Normal 2 5 4 2 2 6 3" xfId="9681"/>
    <cellStyle name="Normal 2 5 4 2 2 6 3 2" xfId="35238"/>
    <cellStyle name="Normal 2 5 4 2 2 6 4" xfId="18504"/>
    <cellStyle name="Normal 2 5 4 2 2 6 4 2" xfId="44057"/>
    <cellStyle name="Normal 2 5 4 2 2 6 5" xfId="29994"/>
    <cellStyle name="Normal 2 5 4 2 2 7" xfId="1694"/>
    <cellStyle name="Normal 2 5 4 2 2 7 2" xfId="11071"/>
    <cellStyle name="Normal 2 5 4 2 2 7 2 2" xfId="36626"/>
    <cellStyle name="Normal 2 5 4 2 2 7 3" xfId="21075"/>
    <cellStyle name="Normal 2 5 4 2 2 7 3 2" xfId="46628"/>
    <cellStyle name="Normal 2 5 4 2 2 7 4" xfId="27558"/>
    <cellStyle name="Normal 2 5 4 2 2 8" xfId="5878"/>
    <cellStyle name="Normal 2 5 4 2 2 8 2" xfId="14705"/>
    <cellStyle name="Normal 2 5 4 2 2 8 2 2" xfId="40260"/>
    <cellStyle name="Normal 2 5 4 2 2 8 3" xfId="24956"/>
    <cellStyle name="Normal 2 5 4 2 2 8 3 2" xfId="50509"/>
    <cellStyle name="Normal 2 5 4 2 2 8 4" xfId="31439"/>
    <cellStyle name="Normal 2 5 4 2 2 9" xfId="7322"/>
    <cellStyle name="Normal 2 5 4 2 2 9 2" xfId="19731"/>
    <cellStyle name="Normal 2 5 4 2 2 9 2 2" xfId="45284"/>
    <cellStyle name="Normal 2 5 4 2 2 9 3" xfId="32879"/>
    <cellStyle name="Normal 2 5 4 2 2_Degree data" xfId="3836"/>
    <cellStyle name="Normal 2 5 4 2 3" xfId="498"/>
    <cellStyle name="Normal 2 5 4 2 3 10" xfId="26427"/>
    <cellStyle name="Normal 2 5 4 2 3 2" xfId="762"/>
    <cellStyle name="Normal 2 5 4 2 3 2 2" xfId="3248"/>
    <cellStyle name="Normal 2 5 4 2 3 2 2 2" xfId="12390"/>
    <cellStyle name="Normal 2 5 4 2 3 2 2 2 2" xfId="22609"/>
    <cellStyle name="Normal 2 5 4 2 3 2 2 2 2 2" xfId="48162"/>
    <cellStyle name="Normal 2 5 4 2 3 2 2 2 3" xfId="37945"/>
    <cellStyle name="Normal 2 5 4 2 3 2 2 3" xfId="8812"/>
    <cellStyle name="Normal 2 5 4 2 3 2 2 3 2" xfId="34369"/>
    <cellStyle name="Normal 2 5 4 2 3 2 2 4" xfId="17602"/>
    <cellStyle name="Normal 2 5 4 2 3 2 2 4 2" xfId="43155"/>
    <cellStyle name="Normal 2 5 4 2 3 2 2 5" xfId="29092"/>
    <cellStyle name="Normal 2 5 4 2 3 2 3" xfId="4577"/>
    <cellStyle name="Normal 2 5 4 2 3 2 3 2" xfId="13415"/>
    <cellStyle name="Normal 2 5 4 2 3 2 3 2 2" xfId="23666"/>
    <cellStyle name="Normal 2 5 4 2 3 2 3 2 2 2" xfId="49219"/>
    <cellStyle name="Normal 2 5 4 2 3 2 3 2 3" xfId="38970"/>
    <cellStyle name="Normal 2 5 4 2 3 2 3 3" xfId="9836"/>
    <cellStyle name="Normal 2 5 4 2 3 2 3 3 2" xfId="35393"/>
    <cellStyle name="Normal 2 5 4 2 3 2 3 4" xfId="18659"/>
    <cellStyle name="Normal 2 5 4 2 3 2 3 4 2" xfId="44212"/>
    <cellStyle name="Normal 2 5 4 2 3 2 3 5" xfId="30149"/>
    <cellStyle name="Normal 2 5 4 2 3 2 4" xfId="2357"/>
    <cellStyle name="Normal 2 5 4 2 3 2 4 2" xfId="11722"/>
    <cellStyle name="Normal 2 5 4 2 3 2 4 2 2" xfId="37277"/>
    <cellStyle name="Normal 2 5 4 2 3 2 4 3" xfId="21726"/>
    <cellStyle name="Normal 2 5 4 2 3 2 4 3 2" xfId="47279"/>
    <cellStyle name="Normal 2 5 4 2 3 2 4 4" xfId="28209"/>
    <cellStyle name="Normal 2 5 4 2 3 2 5" xfId="6033"/>
    <cellStyle name="Normal 2 5 4 2 3 2 5 2" xfId="14860"/>
    <cellStyle name="Normal 2 5 4 2 3 2 5 2 2" xfId="40415"/>
    <cellStyle name="Normal 2 5 4 2 3 2 5 3" xfId="25111"/>
    <cellStyle name="Normal 2 5 4 2 3 2 5 3 2" xfId="50664"/>
    <cellStyle name="Normal 2 5 4 2 3 2 5 4" xfId="31594"/>
    <cellStyle name="Normal 2 5 4 2 3 2 6" xfId="7477"/>
    <cellStyle name="Normal 2 5 4 2 3 2 6 2" xfId="20208"/>
    <cellStyle name="Normal 2 5 4 2 3 2 6 2 2" xfId="45761"/>
    <cellStyle name="Normal 2 5 4 2 3 2 6 3" xfId="33034"/>
    <cellStyle name="Normal 2 5 4 2 3 2 7" xfId="16719"/>
    <cellStyle name="Normal 2 5 4 2 3 2 7 2" xfId="42272"/>
    <cellStyle name="Normal 2 5 4 2 3 2 8" xfId="26691"/>
    <cellStyle name="Normal 2 5 4 2 3 3" xfId="1270"/>
    <cellStyle name="Normal 2 5 4 2 3 3 2" xfId="3699"/>
    <cellStyle name="Normal 2 5 4 2 3 3 2 2" xfId="12835"/>
    <cellStyle name="Normal 2 5 4 2 3 3 2 2 2" xfId="23054"/>
    <cellStyle name="Normal 2 5 4 2 3 3 2 2 2 2" xfId="48607"/>
    <cellStyle name="Normal 2 5 4 2 3 3 2 2 3" xfId="38390"/>
    <cellStyle name="Normal 2 5 4 2 3 3 2 3" xfId="9256"/>
    <cellStyle name="Normal 2 5 4 2 3 3 2 3 2" xfId="34813"/>
    <cellStyle name="Normal 2 5 4 2 3 3 2 4" xfId="18047"/>
    <cellStyle name="Normal 2 5 4 2 3 3 2 4 2" xfId="43600"/>
    <cellStyle name="Normal 2 5 4 2 3 3 2 5" xfId="29537"/>
    <cellStyle name="Normal 2 5 4 2 3 3 3" xfId="4926"/>
    <cellStyle name="Normal 2 5 4 2 3 3 3 2" xfId="13763"/>
    <cellStyle name="Normal 2 5 4 2 3 3 3 2 2" xfId="24014"/>
    <cellStyle name="Normal 2 5 4 2 3 3 3 2 2 2" xfId="49567"/>
    <cellStyle name="Normal 2 5 4 2 3 3 3 2 3" xfId="39318"/>
    <cellStyle name="Normal 2 5 4 2 3 3 3 3" xfId="10184"/>
    <cellStyle name="Normal 2 5 4 2 3 3 3 3 2" xfId="35741"/>
    <cellStyle name="Normal 2 5 4 2 3 3 3 4" xfId="19007"/>
    <cellStyle name="Normal 2 5 4 2 3 3 3 4 2" xfId="44560"/>
    <cellStyle name="Normal 2 5 4 2 3 3 3 5" xfId="30497"/>
    <cellStyle name="Normal 2 5 4 2 3 3 4" xfId="2093"/>
    <cellStyle name="Normal 2 5 4 2 3 3 4 2" xfId="11458"/>
    <cellStyle name="Normal 2 5 4 2 3 3 4 2 2" xfId="37013"/>
    <cellStyle name="Normal 2 5 4 2 3 3 4 3" xfId="21462"/>
    <cellStyle name="Normal 2 5 4 2 3 3 4 3 2" xfId="47015"/>
    <cellStyle name="Normal 2 5 4 2 3 3 4 4" xfId="27945"/>
    <cellStyle name="Normal 2 5 4 2 3 3 5" xfId="6381"/>
    <cellStyle name="Normal 2 5 4 2 3 3 5 2" xfId="15208"/>
    <cellStyle name="Normal 2 5 4 2 3 3 5 2 2" xfId="40763"/>
    <cellStyle name="Normal 2 5 4 2 3 3 5 3" xfId="25459"/>
    <cellStyle name="Normal 2 5 4 2 3 3 5 3 2" xfId="51012"/>
    <cellStyle name="Normal 2 5 4 2 3 3 5 4" xfId="31942"/>
    <cellStyle name="Normal 2 5 4 2 3 3 6" xfId="7827"/>
    <cellStyle name="Normal 2 5 4 2 3 3 6 2" xfId="20653"/>
    <cellStyle name="Normal 2 5 4 2 3 3 6 2 2" xfId="46206"/>
    <cellStyle name="Normal 2 5 4 2 3 3 6 3" xfId="33384"/>
    <cellStyle name="Normal 2 5 4 2 3 3 7" xfId="16455"/>
    <cellStyle name="Normal 2 5 4 2 3 3 7 2" xfId="42008"/>
    <cellStyle name="Normal 2 5 4 2 3 3 8" xfId="27136"/>
    <cellStyle name="Normal 2 5 4 2 3 4" xfId="2984"/>
    <cellStyle name="Normal 2 5 4 2 3 4 2" xfId="5362"/>
    <cellStyle name="Normal 2 5 4 2 3 4 2 2" xfId="14199"/>
    <cellStyle name="Normal 2 5 4 2 3 4 2 2 2" xfId="24450"/>
    <cellStyle name="Normal 2 5 4 2 3 4 2 2 2 2" xfId="50003"/>
    <cellStyle name="Normal 2 5 4 2 3 4 2 2 3" xfId="39754"/>
    <cellStyle name="Normal 2 5 4 2 3 4 2 3" xfId="10620"/>
    <cellStyle name="Normal 2 5 4 2 3 4 2 3 2" xfId="36177"/>
    <cellStyle name="Normal 2 5 4 2 3 4 2 4" xfId="19443"/>
    <cellStyle name="Normal 2 5 4 2 3 4 2 4 2" xfId="44996"/>
    <cellStyle name="Normal 2 5 4 2 3 4 2 5" xfId="30933"/>
    <cellStyle name="Normal 2 5 4 2 3 4 3" xfId="6817"/>
    <cellStyle name="Normal 2 5 4 2 3 4 3 2" xfId="15644"/>
    <cellStyle name="Normal 2 5 4 2 3 4 3 2 2" xfId="41199"/>
    <cellStyle name="Normal 2 5 4 2 3 4 3 3" xfId="25895"/>
    <cellStyle name="Normal 2 5 4 2 3 4 3 3 2" xfId="51448"/>
    <cellStyle name="Normal 2 5 4 2 3 4 3 4" xfId="32378"/>
    <cellStyle name="Normal 2 5 4 2 3 4 4" xfId="8263"/>
    <cellStyle name="Normal 2 5 4 2 3 4 4 2" xfId="22345"/>
    <cellStyle name="Normal 2 5 4 2 3 4 4 2 2" xfId="47898"/>
    <cellStyle name="Normal 2 5 4 2 3 4 4 3" xfId="33820"/>
    <cellStyle name="Normal 2 5 4 2 3 4 5" xfId="17338"/>
    <cellStyle name="Normal 2 5 4 2 3 4 5 2" xfId="42891"/>
    <cellStyle name="Normal 2 5 4 2 3 4 6" xfId="28828"/>
    <cellStyle name="Normal 2 5 4 2 3 5" xfId="4318"/>
    <cellStyle name="Normal 2 5 4 2 3 5 2" xfId="13156"/>
    <cellStyle name="Normal 2 5 4 2 3 5 2 2" xfId="23407"/>
    <cellStyle name="Normal 2 5 4 2 3 5 2 2 2" xfId="48960"/>
    <cellStyle name="Normal 2 5 4 2 3 5 2 3" xfId="38711"/>
    <cellStyle name="Normal 2 5 4 2 3 5 3" xfId="9577"/>
    <cellStyle name="Normal 2 5 4 2 3 5 3 2" xfId="35134"/>
    <cellStyle name="Normal 2 5 4 2 3 5 4" xfId="18400"/>
    <cellStyle name="Normal 2 5 4 2 3 5 4 2" xfId="43953"/>
    <cellStyle name="Normal 2 5 4 2 3 5 5" xfId="29890"/>
    <cellStyle name="Normal 2 5 4 2 3 6" xfId="1590"/>
    <cellStyle name="Normal 2 5 4 2 3 6 2" xfId="10967"/>
    <cellStyle name="Normal 2 5 4 2 3 6 2 2" xfId="36522"/>
    <cellStyle name="Normal 2 5 4 2 3 6 3" xfId="20971"/>
    <cellStyle name="Normal 2 5 4 2 3 6 3 2" xfId="46524"/>
    <cellStyle name="Normal 2 5 4 2 3 6 4" xfId="27454"/>
    <cellStyle name="Normal 2 5 4 2 3 7" xfId="5774"/>
    <cellStyle name="Normal 2 5 4 2 3 7 2" xfId="14601"/>
    <cellStyle name="Normal 2 5 4 2 3 7 2 2" xfId="40156"/>
    <cellStyle name="Normal 2 5 4 2 3 7 3" xfId="24852"/>
    <cellStyle name="Normal 2 5 4 2 3 7 3 2" xfId="50405"/>
    <cellStyle name="Normal 2 5 4 2 3 7 4" xfId="31335"/>
    <cellStyle name="Normal 2 5 4 2 3 8" xfId="7218"/>
    <cellStyle name="Normal 2 5 4 2 3 8 2" xfId="19944"/>
    <cellStyle name="Normal 2 5 4 2 3 8 2 2" xfId="45497"/>
    <cellStyle name="Normal 2 5 4 2 3 8 3" xfId="32775"/>
    <cellStyle name="Normal 2 5 4 2 3 9" xfId="15964"/>
    <cellStyle name="Normal 2 5 4 2 3 9 2" xfId="41517"/>
    <cellStyle name="Normal 2 5 4 2 3_Degree data" xfId="2605"/>
    <cellStyle name="Normal 2 5 4 2 4" xfId="398"/>
    <cellStyle name="Normal 2 5 4 2 4 2" xfId="2884"/>
    <cellStyle name="Normal 2 5 4 2 4 2 2" xfId="12172"/>
    <cellStyle name="Normal 2 5 4 2 4 2 2 2" xfId="22245"/>
    <cellStyle name="Normal 2 5 4 2 4 2 2 2 2" xfId="47798"/>
    <cellStyle name="Normal 2 5 4 2 4 2 2 3" xfId="37727"/>
    <cellStyle name="Normal 2 5 4 2 4 2 3" xfId="8458"/>
    <cellStyle name="Normal 2 5 4 2 4 2 3 2" xfId="34015"/>
    <cellStyle name="Normal 2 5 4 2 4 2 4" xfId="17238"/>
    <cellStyle name="Normal 2 5 4 2 4 2 4 2" xfId="42791"/>
    <cellStyle name="Normal 2 5 4 2 4 2 5" xfId="28728"/>
    <cellStyle name="Normal 2 5 4 2 4 3" xfId="4575"/>
    <cellStyle name="Normal 2 5 4 2 4 3 2" xfId="13413"/>
    <cellStyle name="Normal 2 5 4 2 4 3 2 2" xfId="23664"/>
    <cellStyle name="Normal 2 5 4 2 4 3 2 2 2" xfId="49217"/>
    <cellStyle name="Normal 2 5 4 2 4 3 2 3" xfId="38968"/>
    <cellStyle name="Normal 2 5 4 2 4 3 3" xfId="9834"/>
    <cellStyle name="Normal 2 5 4 2 4 3 3 2" xfId="35391"/>
    <cellStyle name="Normal 2 5 4 2 4 3 4" xfId="18657"/>
    <cellStyle name="Normal 2 5 4 2 4 3 4 2" xfId="44210"/>
    <cellStyle name="Normal 2 5 4 2 4 3 5" xfId="30147"/>
    <cellStyle name="Normal 2 5 4 2 4 4" xfId="1993"/>
    <cellStyle name="Normal 2 5 4 2 4 4 2" xfId="11358"/>
    <cellStyle name="Normal 2 5 4 2 4 4 2 2" xfId="36913"/>
    <cellStyle name="Normal 2 5 4 2 4 4 3" xfId="21362"/>
    <cellStyle name="Normal 2 5 4 2 4 4 3 2" xfId="46915"/>
    <cellStyle name="Normal 2 5 4 2 4 4 4" xfId="27845"/>
    <cellStyle name="Normal 2 5 4 2 4 5" xfId="6031"/>
    <cellStyle name="Normal 2 5 4 2 4 5 2" xfId="14858"/>
    <cellStyle name="Normal 2 5 4 2 4 5 2 2" xfId="40413"/>
    <cellStyle name="Normal 2 5 4 2 4 5 3" xfId="25109"/>
    <cellStyle name="Normal 2 5 4 2 4 5 3 2" xfId="50662"/>
    <cellStyle name="Normal 2 5 4 2 4 5 4" xfId="31592"/>
    <cellStyle name="Normal 2 5 4 2 4 6" xfId="7475"/>
    <cellStyle name="Normal 2 5 4 2 4 6 2" xfId="19844"/>
    <cellStyle name="Normal 2 5 4 2 4 6 2 2" xfId="45397"/>
    <cellStyle name="Normal 2 5 4 2 4 6 3" xfId="33032"/>
    <cellStyle name="Normal 2 5 4 2 4 7" xfId="16355"/>
    <cellStyle name="Normal 2 5 4 2 4 7 2" xfId="41908"/>
    <cellStyle name="Normal 2 5 4 2 4 8" xfId="26327"/>
    <cellStyle name="Normal 2 5 4 2 5" xfId="760"/>
    <cellStyle name="Normal 2 5 4 2 5 2" xfId="3246"/>
    <cellStyle name="Normal 2 5 4 2 5 2 2" xfId="12388"/>
    <cellStyle name="Normal 2 5 4 2 5 2 2 2" xfId="22607"/>
    <cellStyle name="Normal 2 5 4 2 5 2 2 2 2" xfId="48160"/>
    <cellStyle name="Normal 2 5 4 2 5 2 2 3" xfId="37943"/>
    <cellStyle name="Normal 2 5 4 2 5 2 3" xfId="8810"/>
    <cellStyle name="Normal 2 5 4 2 5 2 3 2" xfId="34367"/>
    <cellStyle name="Normal 2 5 4 2 5 2 4" xfId="17600"/>
    <cellStyle name="Normal 2 5 4 2 5 2 4 2" xfId="43153"/>
    <cellStyle name="Normal 2 5 4 2 5 2 5" xfId="29090"/>
    <cellStyle name="Normal 2 5 4 2 5 3" xfId="4924"/>
    <cellStyle name="Normal 2 5 4 2 5 3 2" xfId="13761"/>
    <cellStyle name="Normal 2 5 4 2 5 3 2 2" xfId="24012"/>
    <cellStyle name="Normal 2 5 4 2 5 3 2 2 2" xfId="49565"/>
    <cellStyle name="Normal 2 5 4 2 5 3 2 3" xfId="39316"/>
    <cellStyle name="Normal 2 5 4 2 5 3 3" xfId="10182"/>
    <cellStyle name="Normal 2 5 4 2 5 3 3 2" xfId="35739"/>
    <cellStyle name="Normal 2 5 4 2 5 3 4" xfId="19005"/>
    <cellStyle name="Normal 2 5 4 2 5 3 4 2" xfId="44558"/>
    <cellStyle name="Normal 2 5 4 2 5 3 5" xfId="30495"/>
    <cellStyle name="Normal 2 5 4 2 5 4" xfId="2355"/>
    <cellStyle name="Normal 2 5 4 2 5 4 2" xfId="11720"/>
    <cellStyle name="Normal 2 5 4 2 5 4 2 2" xfId="37275"/>
    <cellStyle name="Normal 2 5 4 2 5 4 3" xfId="21724"/>
    <cellStyle name="Normal 2 5 4 2 5 4 3 2" xfId="47277"/>
    <cellStyle name="Normal 2 5 4 2 5 4 4" xfId="28207"/>
    <cellStyle name="Normal 2 5 4 2 5 5" xfId="6379"/>
    <cellStyle name="Normal 2 5 4 2 5 5 2" xfId="15206"/>
    <cellStyle name="Normal 2 5 4 2 5 5 2 2" xfId="40761"/>
    <cellStyle name="Normal 2 5 4 2 5 5 3" xfId="25457"/>
    <cellStyle name="Normal 2 5 4 2 5 5 3 2" xfId="51010"/>
    <cellStyle name="Normal 2 5 4 2 5 5 4" xfId="31940"/>
    <cellStyle name="Normal 2 5 4 2 5 6" xfId="7825"/>
    <cellStyle name="Normal 2 5 4 2 5 6 2" xfId="20206"/>
    <cellStyle name="Normal 2 5 4 2 5 6 2 2" xfId="45759"/>
    <cellStyle name="Normal 2 5 4 2 5 6 3" xfId="33382"/>
    <cellStyle name="Normal 2 5 4 2 5 7" xfId="16717"/>
    <cellStyle name="Normal 2 5 4 2 5 7 2" xfId="42270"/>
    <cellStyle name="Normal 2 5 4 2 5 8" xfId="26689"/>
    <cellStyle name="Normal 2 5 4 2 6" xfId="1170"/>
    <cellStyle name="Normal 2 5 4 2 6 2" xfId="3599"/>
    <cellStyle name="Normal 2 5 4 2 6 2 2" xfId="12735"/>
    <cellStyle name="Normal 2 5 4 2 6 2 2 2" xfId="22954"/>
    <cellStyle name="Normal 2 5 4 2 6 2 2 2 2" xfId="48507"/>
    <cellStyle name="Normal 2 5 4 2 6 2 2 3" xfId="38290"/>
    <cellStyle name="Normal 2 5 4 2 6 2 3" xfId="9156"/>
    <cellStyle name="Normal 2 5 4 2 6 2 3 2" xfId="34713"/>
    <cellStyle name="Normal 2 5 4 2 6 2 4" xfId="17947"/>
    <cellStyle name="Normal 2 5 4 2 6 2 4 2" xfId="43500"/>
    <cellStyle name="Normal 2 5 4 2 6 2 5" xfId="29437"/>
    <cellStyle name="Normal 2 5 4 2 6 3" xfId="5262"/>
    <cellStyle name="Normal 2 5 4 2 6 3 2" xfId="14099"/>
    <cellStyle name="Normal 2 5 4 2 6 3 2 2" xfId="24350"/>
    <cellStyle name="Normal 2 5 4 2 6 3 2 2 2" xfId="49903"/>
    <cellStyle name="Normal 2 5 4 2 6 3 2 3" xfId="39654"/>
    <cellStyle name="Normal 2 5 4 2 6 3 3" xfId="10520"/>
    <cellStyle name="Normal 2 5 4 2 6 3 3 2" xfId="36077"/>
    <cellStyle name="Normal 2 5 4 2 6 3 4" xfId="19343"/>
    <cellStyle name="Normal 2 5 4 2 6 3 4 2" xfId="44896"/>
    <cellStyle name="Normal 2 5 4 2 6 3 5" xfId="30833"/>
    <cellStyle name="Normal 2 5 4 2 6 4" xfId="1770"/>
    <cellStyle name="Normal 2 5 4 2 6 4 2" xfId="11141"/>
    <cellStyle name="Normal 2 5 4 2 6 4 2 2" xfId="36696"/>
    <cellStyle name="Normal 2 5 4 2 6 4 3" xfId="21145"/>
    <cellStyle name="Normal 2 5 4 2 6 4 3 2" xfId="46698"/>
    <cellStyle name="Normal 2 5 4 2 6 4 4" xfId="27628"/>
    <cellStyle name="Normal 2 5 4 2 6 5" xfId="6717"/>
    <cellStyle name="Normal 2 5 4 2 6 5 2" xfId="15544"/>
    <cellStyle name="Normal 2 5 4 2 6 5 2 2" xfId="41099"/>
    <cellStyle name="Normal 2 5 4 2 6 5 3" xfId="25795"/>
    <cellStyle name="Normal 2 5 4 2 6 5 3 2" xfId="51348"/>
    <cellStyle name="Normal 2 5 4 2 6 5 4" xfId="32278"/>
    <cellStyle name="Normal 2 5 4 2 6 6" xfId="8163"/>
    <cellStyle name="Normal 2 5 4 2 6 6 2" xfId="20553"/>
    <cellStyle name="Normal 2 5 4 2 6 6 2 2" xfId="46106"/>
    <cellStyle name="Normal 2 5 4 2 6 6 3" xfId="33720"/>
    <cellStyle name="Normal 2 5 4 2 6 7" xfId="16138"/>
    <cellStyle name="Normal 2 5 4 2 6 7 2" xfId="41691"/>
    <cellStyle name="Normal 2 5 4 2 6 8" xfId="27036"/>
    <cellStyle name="Normal 2 5 4 2 7" xfId="2667"/>
    <cellStyle name="Normal 2 5 4 2 7 2" xfId="11984"/>
    <cellStyle name="Normal 2 5 4 2 7 2 2" xfId="22028"/>
    <cellStyle name="Normal 2 5 4 2 7 2 2 2" xfId="47581"/>
    <cellStyle name="Normal 2 5 4 2 7 2 3" xfId="37539"/>
    <cellStyle name="Normal 2 5 4 2 7 3" xfId="8499"/>
    <cellStyle name="Normal 2 5 4 2 7 3 2" xfId="34056"/>
    <cellStyle name="Normal 2 5 4 2 7 4" xfId="17021"/>
    <cellStyle name="Normal 2 5 4 2 7 4 2" xfId="42574"/>
    <cellStyle name="Normal 2 5 4 2 7 5" xfId="28511"/>
    <cellStyle name="Normal 2 5 4 2 8" xfId="4218"/>
    <cellStyle name="Normal 2 5 4 2 8 2" xfId="13056"/>
    <cellStyle name="Normal 2 5 4 2 8 2 2" xfId="23307"/>
    <cellStyle name="Normal 2 5 4 2 8 2 2 2" xfId="48860"/>
    <cellStyle name="Normal 2 5 4 2 8 2 3" xfId="38611"/>
    <cellStyle name="Normal 2 5 4 2 8 3" xfId="9477"/>
    <cellStyle name="Normal 2 5 4 2 8 3 2" xfId="35034"/>
    <cellStyle name="Normal 2 5 4 2 8 4" xfId="18300"/>
    <cellStyle name="Normal 2 5 4 2 8 4 2" xfId="43853"/>
    <cellStyle name="Normal 2 5 4 2 8 5" xfId="29790"/>
    <cellStyle name="Normal 2 5 4 2 9" xfId="1490"/>
    <cellStyle name="Normal 2 5 4 2 9 2" xfId="10867"/>
    <cellStyle name="Normal 2 5 4 2 9 2 2" xfId="36422"/>
    <cellStyle name="Normal 2 5 4 2 9 3" xfId="20871"/>
    <cellStyle name="Normal 2 5 4 2 9 3 2" xfId="46424"/>
    <cellStyle name="Normal 2 5 4 2 9 4" xfId="27354"/>
    <cellStyle name="Normal 2 5 4 2_Degree data" xfId="3830"/>
    <cellStyle name="Normal 2 5 4 3" xfId="215"/>
    <cellStyle name="Normal 2 5 4 3 10" xfId="7161"/>
    <cellStyle name="Normal 2 5 4 3 10 2" xfId="19670"/>
    <cellStyle name="Normal 2 5 4 3 10 2 2" xfId="45223"/>
    <cellStyle name="Normal 2 5 4 3 10 3" xfId="32718"/>
    <cellStyle name="Normal 2 5 4 3 11" xfId="15907"/>
    <cellStyle name="Normal 2 5 4 3 11 2" xfId="41460"/>
    <cellStyle name="Normal 2 5 4 3 12" xfId="26153"/>
    <cellStyle name="Normal 2 5 4 3 2" xfId="541"/>
    <cellStyle name="Normal 2 5 4 3 2 10" xfId="26470"/>
    <cellStyle name="Normal 2 5 4 3 2 2" xfId="764"/>
    <cellStyle name="Normal 2 5 4 3 2 2 2" xfId="3250"/>
    <cellStyle name="Normal 2 5 4 3 2 2 2 2" xfId="12392"/>
    <cellStyle name="Normal 2 5 4 3 2 2 2 2 2" xfId="22611"/>
    <cellStyle name="Normal 2 5 4 3 2 2 2 2 2 2" xfId="48164"/>
    <cellStyle name="Normal 2 5 4 3 2 2 2 2 3" xfId="37947"/>
    <cellStyle name="Normal 2 5 4 3 2 2 2 3" xfId="8814"/>
    <cellStyle name="Normal 2 5 4 3 2 2 2 3 2" xfId="34371"/>
    <cellStyle name="Normal 2 5 4 3 2 2 2 4" xfId="17604"/>
    <cellStyle name="Normal 2 5 4 3 2 2 2 4 2" xfId="43157"/>
    <cellStyle name="Normal 2 5 4 3 2 2 2 5" xfId="29094"/>
    <cellStyle name="Normal 2 5 4 3 2 2 3" xfId="4579"/>
    <cellStyle name="Normal 2 5 4 3 2 2 3 2" xfId="13417"/>
    <cellStyle name="Normal 2 5 4 3 2 2 3 2 2" xfId="23668"/>
    <cellStyle name="Normal 2 5 4 3 2 2 3 2 2 2" xfId="49221"/>
    <cellStyle name="Normal 2 5 4 3 2 2 3 2 3" xfId="38972"/>
    <cellStyle name="Normal 2 5 4 3 2 2 3 3" xfId="9838"/>
    <cellStyle name="Normal 2 5 4 3 2 2 3 3 2" xfId="35395"/>
    <cellStyle name="Normal 2 5 4 3 2 2 3 4" xfId="18661"/>
    <cellStyle name="Normal 2 5 4 3 2 2 3 4 2" xfId="44214"/>
    <cellStyle name="Normal 2 5 4 3 2 2 3 5" xfId="30151"/>
    <cellStyle name="Normal 2 5 4 3 2 2 4" xfId="2359"/>
    <cellStyle name="Normal 2 5 4 3 2 2 4 2" xfId="11724"/>
    <cellStyle name="Normal 2 5 4 3 2 2 4 2 2" xfId="37279"/>
    <cellStyle name="Normal 2 5 4 3 2 2 4 3" xfId="21728"/>
    <cellStyle name="Normal 2 5 4 3 2 2 4 3 2" xfId="47281"/>
    <cellStyle name="Normal 2 5 4 3 2 2 4 4" xfId="28211"/>
    <cellStyle name="Normal 2 5 4 3 2 2 5" xfId="6035"/>
    <cellStyle name="Normal 2 5 4 3 2 2 5 2" xfId="14862"/>
    <cellStyle name="Normal 2 5 4 3 2 2 5 2 2" xfId="40417"/>
    <cellStyle name="Normal 2 5 4 3 2 2 5 3" xfId="25113"/>
    <cellStyle name="Normal 2 5 4 3 2 2 5 3 2" xfId="50666"/>
    <cellStyle name="Normal 2 5 4 3 2 2 5 4" xfId="31596"/>
    <cellStyle name="Normal 2 5 4 3 2 2 6" xfId="7479"/>
    <cellStyle name="Normal 2 5 4 3 2 2 6 2" xfId="20210"/>
    <cellStyle name="Normal 2 5 4 3 2 2 6 2 2" xfId="45763"/>
    <cellStyle name="Normal 2 5 4 3 2 2 6 3" xfId="33036"/>
    <cellStyle name="Normal 2 5 4 3 2 2 7" xfId="16721"/>
    <cellStyle name="Normal 2 5 4 3 2 2 7 2" xfId="42274"/>
    <cellStyle name="Normal 2 5 4 3 2 2 8" xfId="26693"/>
    <cellStyle name="Normal 2 5 4 3 2 3" xfId="1313"/>
    <cellStyle name="Normal 2 5 4 3 2 3 2" xfId="3742"/>
    <cellStyle name="Normal 2 5 4 3 2 3 2 2" xfId="12878"/>
    <cellStyle name="Normal 2 5 4 3 2 3 2 2 2" xfId="23097"/>
    <cellStyle name="Normal 2 5 4 3 2 3 2 2 2 2" xfId="48650"/>
    <cellStyle name="Normal 2 5 4 3 2 3 2 2 3" xfId="38433"/>
    <cellStyle name="Normal 2 5 4 3 2 3 2 3" xfId="9299"/>
    <cellStyle name="Normal 2 5 4 3 2 3 2 3 2" xfId="34856"/>
    <cellStyle name="Normal 2 5 4 3 2 3 2 4" xfId="18090"/>
    <cellStyle name="Normal 2 5 4 3 2 3 2 4 2" xfId="43643"/>
    <cellStyle name="Normal 2 5 4 3 2 3 2 5" xfId="29580"/>
    <cellStyle name="Normal 2 5 4 3 2 3 3" xfId="4928"/>
    <cellStyle name="Normal 2 5 4 3 2 3 3 2" xfId="13765"/>
    <cellStyle name="Normal 2 5 4 3 2 3 3 2 2" xfId="24016"/>
    <cellStyle name="Normal 2 5 4 3 2 3 3 2 2 2" xfId="49569"/>
    <cellStyle name="Normal 2 5 4 3 2 3 3 2 3" xfId="39320"/>
    <cellStyle name="Normal 2 5 4 3 2 3 3 3" xfId="10186"/>
    <cellStyle name="Normal 2 5 4 3 2 3 3 3 2" xfId="35743"/>
    <cellStyle name="Normal 2 5 4 3 2 3 3 4" xfId="19009"/>
    <cellStyle name="Normal 2 5 4 3 2 3 3 4 2" xfId="44562"/>
    <cellStyle name="Normal 2 5 4 3 2 3 3 5" xfId="30499"/>
    <cellStyle name="Normal 2 5 4 3 2 3 4" xfId="2136"/>
    <cellStyle name="Normal 2 5 4 3 2 3 4 2" xfId="11501"/>
    <cellStyle name="Normal 2 5 4 3 2 3 4 2 2" xfId="37056"/>
    <cellStyle name="Normal 2 5 4 3 2 3 4 3" xfId="21505"/>
    <cellStyle name="Normal 2 5 4 3 2 3 4 3 2" xfId="47058"/>
    <cellStyle name="Normal 2 5 4 3 2 3 4 4" xfId="27988"/>
    <cellStyle name="Normal 2 5 4 3 2 3 5" xfId="6383"/>
    <cellStyle name="Normal 2 5 4 3 2 3 5 2" xfId="15210"/>
    <cellStyle name="Normal 2 5 4 3 2 3 5 2 2" xfId="40765"/>
    <cellStyle name="Normal 2 5 4 3 2 3 5 3" xfId="25461"/>
    <cellStyle name="Normal 2 5 4 3 2 3 5 3 2" xfId="51014"/>
    <cellStyle name="Normal 2 5 4 3 2 3 5 4" xfId="31944"/>
    <cellStyle name="Normal 2 5 4 3 2 3 6" xfId="7829"/>
    <cellStyle name="Normal 2 5 4 3 2 3 6 2" xfId="20696"/>
    <cellStyle name="Normal 2 5 4 3 2 3 6 2 2" xfId="46249"/>
    <cellStyle name="Normal 2 5 4 3 2 3 6 3" xfId="33386"/>
    <cellStyle name="Normal 2 5 4 3 2 3 7" xfId="16498"/>
    <cellStyle name="Normal 2 5 4 3 2 3 7 2" xfId="42051"/>
    <cellStyle name="Normal 2 5 4 3 2 3 8" xfId="27179"/>
    <cellStyle name="Normal 2 5 4 3 2 4" xfId="3027"/>
    <cellStyle name="Normal 2 5 4 3 2 4 2" xfId="5405"/>
    <cellStyle name="Normal 2 5 4 3 2 4 2 2" xfId="14242"/>
    <cellStyle name="Normal 2 5 4 3 2 4 2 2 2" xfId="24493"/>
    <cellStyle name="Normal 2 5 4 3 2 4 2 2 2 2" xfId="50046"/>
    <cellStyle name="Normal 2 5 4 3 2 4 2 2 3" xfId="39797"/>
    <cellStyle name="Normal 2 5 4 3 2 4 2 3" xfId="10663"/>
    <cellStyle name="Normal 2 5 4 3 2 4 2 3 2" xfId="36220"/>
    <cellStyle name="Normal 2 5 4 3 2 4 2 4" xfId="19486"/>
    <cellStyle name="Normal 2 5 4 3 2 4 2 4 2" xfId="45039"/>
    <cellStyle name="Normal 2 5 4 3 2 4 2 5" xfId="30976"/>
    <cellStyle name="Normal 2 5 4 3 2 4 3" xfId="6860"/>
    <cellStyle name="Normal 2 5 4 3 2 4 3 2" xfId="15687"/>
    <cellStyle name="Normal 2 5 4 3 2 4 3 2 2" xfId="41242"/>
    <cellStyle name="Normal 2 5 4 3 2 4 3 3" xfId="25938"/>
    <cellStyle name="Normal 2 5 4 3 2 4 3 3 2" xfId="51491"/>
    <cellStyle name="Normal 2 5 4 3 2 4 3 4" xfId="32421"/>
    <cellStyle name="Normal 2 5 4 3 2 4 4" xfId="8306"/>
    <cellStyle name="Normal 2 5 4 3 2 4 4 2" xfId="22388"/>
    <cellStyle name="Normal 2 5 4 3 2 4 4 2 2" xfId="47941"/>
    <cellStyle name="Normal 2 5 4 3 2 4 4 3" xfId="33863"/>
    <cellStyle name="Normal 2 5 4 3 2 4 5" xfId="17381"/>
    <cellStyle name="Normal 2 5 4 3 2 4 5 2" xfId="42934"/>
    <cellStyle name="Normal 2 5 4 3 2 4 6" xfId="28871"/>
    <cellStyle name="Normal 2 5 4 3 2 5" xfId="4361"/>
    <cellStyle name="Normal 2 5 4 3 2 5 2" xfId="13199"/>
    <cellStyle name="Normal 2 5 4 3 2 5 2 2" xfId="23450"/>
    <cellStyle name="Normal 2 5 4 3 2 5 2 2 2" xfId="49003"/>
    <cellStyle name="Normal 2 5 4 3 2 5 2 3" xfId="38754"/>
    <cellStyle name="Normal 2 5 4 3 2 5 3" xfId="9620"/>
    <cellStyle name="Normal 2 5 4 3 2 5 3 2" xfId="35177"/>
    <cellStyle name="Normal 2 5 4 3 2 5 4" xfId="18443"/>
    <cellStyle name="Normal 2 5 4 3 2 5 4 2" xfId="43996"/>
    <cellStyle name="Normal 2 5 4 3 2 5 5" xfId="29933"/>
    <cellStyle name="Normal 2 5 4 3 2 6" xfId="1633"/>
    <cellStyle name="Normal 2 5 4 3 2 6 2" xfId="11010"/>
    <cellStyle name="Normal 2 5 4 3 2 6 2 2" xfId="36565"/>
    <cellStyle name="Normal 2 5 4 3 2 6 3" xfId="21014"/>
    <cellStyle name="Normal 2 5 4 3 2 6 3 2" xfId="46567"/>
    <cellStyle name="Normal 2 5 4 3 2 6 4" xfId="27497"/>
    <cellStyle name="Normal 2 5 4 3 2 7" xfId="5817"/>
    <cellStyle name="Normal 2 5 4 3 2 7 2" xfId="14644"/>
    <cellStyle name="Normal 2 5 4 3 2 7 2 2" xfId="40199"/>
    <cellStyle name="Normal 2 5 4 3 2 7 3" xfId="24895"/>
    <cellStyle name="Normal 2 5 4 3 2 7 3 2" xfId="50448"/>
    <cellStyle name="Normal 2 5 4 3 2 7 4" xfId="31378"/>
    <cellStyle name="Normal 2 5 4 3 2 8" xfId="7261"/>
    <cellStyle name="Normal 2 5 4 3 2 8 2" xfId="19987"/>
    <cellStyle name="Normal 2 5 4 3 2 8 2 2" xfId="45540"/>
    <cellStyle name="Normal 2 5 4 3 2 8 3" xfId="32818"/>
    <cellStyle name="Normal 2 5 4 3 2 9" xfId="16007"/>
    <cellStyle name="Normal 2 5 4 3 2 9 2" xfId="41560"/>
    <cellStyle name="Normal 2 5 4 3 2_Degree data" xfId="3848"/>
    <cellStyle name="Normal 2 5 4 3 3" xfId="441"/>
    <cellStyle name="Normal 2 5 4 3 3 2" xfId="2927"/>
    <cellStyle name="Normal 2 5 4 3 3 2 2" xfId="12215"/>
    <cellStyle name="Normal 2 5 4 3 3 2 2 2" xfId="22288"/>
    <cellStyle name="Normal 2 5 4 3 3 2 2 2 2" xfId="47841"/>
    <cellStyle name="Normal 2 5 4 3 3 2 2 3" xfId="37770"/>
    <cellStyle name="Normal 2 5 4 3 3 2 3" xfId="8447"/>
    <cellStyle name="Normal 2 5 4 3 3 2 3 2" xfId="34004"/>
    <cellStyle name="Normal 2 5 4 3 3 2 4" xfId="17281"/>
    <cellStyle name="Normal 2 5 4 3 3 2 4 2" xfId="42834"/>
    <cellStyle name="Normal 2 5 4 3 3 2 5" xfId="28771"/>
    <cellStyle name="Normal 2 5 4 3 3 3" xfId="4578"/>
    <cellStyle name="Normal 2 5 4 3 3 3 2" xfId="13416"/>
    <cellStyle name="Normal 2 5 4 3 3 3 2 2" xfId="23667"/>
    <cellStyle name="Normal 2 5 4 3 3 3 2 2 2" xfId="49220"/>
    <cellStyle name="Normal 2 5 4 3 3 3 2 3" xfId="38971"/>
    <cellStyle name="Normal 2 5 4 3 3 3 3" xfId="9837"/>
    <cellStyle name="Normal 2 5 4 3 3 3 3 2" xfId="35394"/>
    <cellStyle name="Normal 2 5 4 3 3 3 4" xfId="18660"/>
    <cellStyle name="Normal 2 5 4 3 3 3 4 2" xfId="44213"/>
    <cellStyle name="Normal 2 5 4 3 3 3 5" xfId="30150"/>
    <cellStyle name="Normal 2 5 4 3 3 4" xfId="2036"/>
    <cellStyle name="Normal 2 5 4 3 3 4 2" xfId="11401"/>
    <cellStyle name="Normal 2 5 4 3 3 4 2 2" xfId="36956"/>
    <cellStyle name="Normal 2 5 4 3 3 4 3" xfId="21405"/>
    <cellStyle name="Normal 2 5 4 3 3 4 3 2" xfId="46958"/>
    <cellStyle name="Normal 2 5 4 3 3 4 4" xfId="27888"/>
    <cellStyle name="Normal 2 5 4 3 3 5" xfId="6034"/>
    <cellStyle name="Normal 2 5 4 3 3 5 2" xfId="14861"/>
    <cellStyle name="Normal 2 5 4 3 3 5 2 2" xfId="40416"/>
    <cellStyle name="Normal 2 5 4 3 3 5 3" xfId="25112"/>
    <cellStyle name="Normal 2 5 4 3 3 5 3 2" xfId="50665"/>
    <cellStyle name="Normal 2 5 4 3 3 5 4" xfId="31595"/>
    <cellStyle name="Normal 2 5 4 3 3 6" xfId="7478"/>
    <cellStyle name="Normal 2 5 4 3 3 6 2" xfId="19887"/>
    <cellStyle name="Normal 2 5 4 3 3 6 2 2" xfId="45440"/>
    <cellStyle name="Normal 2 5 4 3 3 6 3" xfId="33035"/>
    <cellStyle name="Normal 2 5 4 3 3 7" xfId="16398"/>
    <cellStyle name="Normal 2 5 4 3 3 7 2" xfId="41951"/>
    <cellStyle name="Normal 2 5 4 3 3 8" xfId="26370"/>
    <cellStyle name="Normal 2 5 4 3 4" xfId="763"/>
    <cellStyle name="Normal 2 5 4 3 4 2" xfId="3249"/>
    <cellStyle name="Normal 2 5 4 3 4 2 2" xfId="12391"/>
    <cellStyle name="Normal 2 5 4 3 4 2 2 2" xfId="22610"/>
    <cellStyle name="Normal 2 5 4 3 4 2 2 2 2" xfId="48163"/>
    <cellStyle name="Normal 2 5 4 3 4 2 2 3" xfId="37946"/>
    <cellStyle name="Normal 2 5 4 3 4 2 3" xfId="8813"/>
    <cellStyle name="Normal 2 5 4 3 4 2 3 2" xfId="34370"/>
    <cellStyle name="Normal 2 5 4 3 4 2 4" xfId="17603"/>
    <cellStyle name="Normal 2 5 4 3 4 2 4 2" xfId="43156"/>
    <cellStyle name="Normal 2 5 4 3 4 2 5" xfId="29093"/>
    <cellStyle name="Normal 2 5 4 3 4 3" xfId="4927"/>
    <cellStyle name="Normal 2 5 4 3 4 3 2" xfId="13764"/>
    <cellStyle name="Normal 2 5 4 3 4 3 2 2" xfId="24015"/>
    <cellStyle name="Normal 2 5 4 3 4 3 2 2 2" xfId="49568"/>
    <cellStyle name="Normal 2 5 4 3 4 3 2 3" xfId="39319"/>
    <cellStyle name="Normal 2 5 4 3 4 3 3" xfId="10185"/>
    <cellStyle name="Normal 2 5 4 3 4 3 3 2" xfId="35742"/>
    <cellStyle name="Normal 2 5 4 3 4 3 4" xfId="19008"/>
    <cellStyle name="Normal 2 5 4 3 4 3 4 2" xfId="44561"/>
    <cellStyle name="Normal 2 5 4 3 4 3 5" xfId="30498"/>
    <cellStyle name="Normal 2 5 4 3 4 4" xfId="2358"/>
    <cellStyle name="Normal 2 5 4 3 4 4 2" xfId="11723"/>
    <cellStyle name="Normal 2 5 4 3 4 4 2 2" xfId="37278"/>
    <cellStyle name="Normal 2 5 4 3 4 4 3" xfId="21727"/>
    <cellStyle name="Normal 2 5 4 3 4 4 3 2" xfId="47280"/>
    <cellStyle name="Normal 2 5 4 3 4 4 4" xfId="28210"/>
    <cellStyle name="Normal 2 5 4 3 4 5" xfId="6382"/>
    <cellStyle name="Normal 2 5 4 3 4 5 2" xfId="15209"/>
    <cellStyle name="Normal 2 5 4 3 4 5 2 2" xfId="40764"/>
    <cellStyle name="Normal 2 5 4 3 4 5 3" xfId="25460"/>
    <cellStyle name="Normal 2 5 4 3 4 5 3 2" xfId="51013"/>
    <cellStyle name="Normal 2 5 4 3 4 5 4" xfId="31943"/>
    <cellStyle name="Normal 2 5 4 3 4 6" xfId="7828"/>
    <cellStyle name="Normal 2 5 4 3 4 6 2" xfId="20209"/>
    <cellStyle name="Normal 2 5 4 3 4 6 2 2" xfId="45762"/>
    <cellStyle name="Normal 2 5 4 3 4 6 3" xfId="33385"/>
    <cellStyle name="Normal 2 5 4 3 4 7" xfId="16720"/>
    <cellStyle name="Normal 2 5 4 3 4 7 2" xfId="42273"/>
    <cellStyle name="Normal 2 5 4 3 4 8" xfId="26692"/>
    <cellStyle name="Normal 2 5 4 3 5" xfId="1213"/>
    <cellStyle name="Normal 2 5 4 3 5 2" xfId="3642"/>
    <cellStyle name="Normal 2 5 4 3 5 2 2" xfId="12778"/>
    <cellStyle name="Normal 2 5 4 3 5 2 2 2" xfId="22997"/>
    <cellStyle name="Normal 2 5 4 3 5 2 2 2 2" xfId="48550"/>
    <cellStyle name="Normal 2 5 4 3 5 2 2 3" xfId="38333"/>
    <cellStyle name="Normal 2 5 4 3 5 2 3" xfId="9199"/>
    <cellStyle name="Normal 2 5 4 3 5 2 3 2" xfId="34756"/>
    <cellStyle name="Normal 2 5 4 3 5 2 4" xfId="17990"/>
    <cellStyle name="Normal 2 5 4 3 5 2 4 2" xfId="43543"/>
    <cellStyle name="Normal 2 5 4 3 5 2 5" xfId="29480"/>
    <cellStyle name="Normal 2 5 4 3 5 3" xfId="5305"/>
    <cellStyle name="Normal 2 5 4 3 5 3 2" xfId="14142"/>
    <cellStyle name="Normal 2 5 4 3 5 3 2 2" xfId="24393"/>
    <cellStyle name="Normal 2 5 4 3 5 3 2 2 2" xfId="49946"/>
    <cellStyle name="Normal 2 5 4 3 5 3 2 3" xfId="39697"/>
    <cellStyle name="Normal 2 5 4 3 5 3 3" xfId="10563"/>
    <cellStyle name="Normal 2 5 4 3 5 3 3 2" xfId="36120"/>
    <cellStyle name="Normal 2 5 4 3 5 3 4" xfId="19386"/>
    <cellStyle name="Normal 2 5 4 3 5 3 4 2" xfId="44939"/>
    <cellStyle name="Normal 2 5 4 3 5 3 5" xfId="30876"/>
    <cellStyle name="Normal 2 5 4 3 5 4" xfId="1816"/>
    <cellStyle name="Normal 2 5 4 3 5 4 2" xfId="11184"/>
    <cellStyle name="Normal 2 5 4 3 5 4 2 2" xfId="36739"/>
    <cellStyle name="Normal 2 5 4 3 5 4 3" xfId="21188"/>
    <cellStyle name="Normal 2 5 4 3 5 4 3 2" xfId="46741"/>
    <cellStyle name="Normal 2 5 4 3 5 4 4" xfId="27671"/>
    <cellStyle name="Normal 2 5 4 3 5 5" xfId="6760"/>
    <cellStyle name="Normal 2 5 4 3 5 5 2" xfId="15587"/>
    <cellStyle name="Normal 2 5 4 3 5 5 2 2" xfId="41142"/>
    <cellStyle name="Normal 2 5 4 3 5 5 3" xfId="25838"/>
    <cellStyle name="Normal 2 5 4 3 5 5 3 2" xfId="51391"/>
    <cellStyle name="Normal 2 5 4 3 5 5 4" xfId="32321"/>
    <cellStyle name="Normal 2 5 4 3 5 6" xfId="8206"/>
    <cellStyle name="Normal 2 5 4 3 5 6 2" xfId="20596"/>
    <cellStyle name="Normal 2 5 4 3 5 6 2 2" xfId="46149"/>
    <cellStyle name="Normal 2 5 4 3 5 6 3" xfId="33763"/>
    <cellStyle name="Normal 2 5 4 3 5 7" xfId="16181"/>
    <cellStyle name="Normal 2 5 4 3 5 7 2" xfId="41734"/>
    <cellStyle name="Normal 2 5 4 3 5 8" xfId="27079"/>
    <cellStyle name="Normal 2 5 4 3 6" xfId="2710"/>
    <cellStyle name="Normal 2 5 4 3 6 2" xfId="12027"/>
    <cellStyle name="Normal 2 5 4 3 6 2 2" xfId="22071"/>
    <cellStyle name="Normal 2 5 4 3 6 2 2 2" xfId="47624"/>
    <cellStyle name="Normal 2 5 4 3 6 2 3" xfId="37582"/>
    <cellStyle name="Normal 2 5 4 3 6 3" xfId="8542"/>
    <cellStyle name="Normal 2 5 4 3 6 3 2" xfId="34099"/>
    <cellStyle name="Normal 2 5 4 3 6 4" xfId="17064"/>
    <cellStyle name="Normal 2 5 4 3 6 4 2" xfId="42617"/>
    <cellStyle name="Normal 2 5 4 3 6 5" xfId="28554"/>
    <cellStyle name="Normal 2 5 4 3 7" xfId="4261"/>
    <cellStyle name="Normal 2 5 4 3 7 2" xfId="13099"/>
    <cellStyle name="Normal 2 5 4 3 7 2 2" xfId="23350"/>
    <cellStyle name="Normal 2 5 4 3 7 2 2 2" xfId="48903"/>
    <cellStyle name="Normal 2 5 4 3 7 2 3" xfId="38654"/>
    <cellStyle name="Normal 2 5 4 3 7 3" xfId="9520"/>
    <cellStyle name="Normal 2 5 4 3 7 3 2" xfId="35077"/>
    <cellStyle name="Normal 2 5 4 3 7 4" xfId="18343"/>
    <cellStyle name="Normal 2 5 4 3 7 4 2" xfId="43896"/>
    <cellStyle name="Normal 2 5 4 3 7 5" xfId="29833"/>
    <cellStyle name="Normal 2 5 4 3 8" xfId="1533"/>
    <cellStyle name="Normal 2 5 4 3 8 2" xfId="10910"/>
    <cellStyle name="Normal 2 5 4 3 8 2 2" xfId="36465"/>
    <cellStyle name="Normal 2 5 4 3 8 3" xfId="20914"/>
    <cellStyle name="Normal 2 5 4 3 8 3 2" xfId="46467"/>
    <cellStyle name="Normal 2 5 4 3 8 4" xfId="27397"/>
    <cellStyle name="Normal 2 5 4 3 9" xfId="5717"/>
    <cellStyle name="Normal 2 5 4 3 9 2" xfId="14544"/>
    <cellStyle name="Normal 2 5 4 3 9 2 2" xfId="40099"/>
    <cellStyle name="Normal 2 5 4 3 9 3" xfId="24795"/>
    <cellStyle name="Normal 2 5 4 3 9 3 2" xfId="50348"/>
    <cellStyle name="Normal 2 5 4 3 9 4" xfId="31278"/>
    <cellStyle name="Normal 2 5 4 3_Degree data" xfId="3931"/>
    <cellStyle name="Normal 2 5 4 4" xfId="247"/>
    <cellStyle name="Normal 2 5 4 4 10" xfId="7085"/>
    <cellStyle name="Normal 2 5 4 4 10 2" xfId="19699"/>
    <cellStyle name="Normal 2 5 4 4 10 2 2" xfId="45252"/>
    <cellStyle name="Normal 2 5 4 4 10 3" xfId="32642"/>
    <cellStyle name="Normal 2 5 4 4 11" xfId="15831"/>
    <cellStyle name="Normal 2 5 4 4 11 2" xfId="41384"/>
    <cellStyle name="Normal 2 5 4 4 12" xfId="26182"/>
    <cellStyle name="Normal 2 5 4 4 2" xfId="570"/>
    <cellStyle name="Normal 2 5 4 4 2 10" xfId="26499"/>
    <cellStyle name="Normal 2 5 4 4 2 2" xfId="766"/>
    <cellStyle name="Normal 2 5 4 4 2 2 2" xfId="3252"/>
    <cellStyle name="Normal 2 5 4 4 2 2 2 2" xfId="12394"/>
    <cellStyle name="Normal 2 5 4 4 2 2 2 2 2" xfId="22613"/>
    <cellStyle name="Normal 2 5 4 4 2 2 2 2 2 2" xfId="48166"/>
    <cellStyle name="Normal 2 5 4 4 2 2 2 2 3" xfId="37949"/>
    <cellStyle name="Normal 2 5 4 4 2 2 2 3" xfId="8816"/>
    <cellStyle name="Normal 2 5 4 4 2 2 2 3 2" xfId="34373"/>
    <cellStyle name="Normal 2 5 4 4 2 2 2 4" xfId="17606"/>
    <cellStyle name="Normal 2 5 4 4 2 2 2 4 2" xfId="43159"/>
    <cellStyle name="Normal 2 5 4 4 2 2 2 5" xfId="29096"/>
    <cellStyle name="Normal 2 5 4 4 2 2 3" xfId="4581"/>
    <cellStyle name="Normal 2 5 4 4 2 2 3 2" xfId="13419"/>
    <cellStyle name="Normal 2 5 4 4 2 2 3 2 2" xfId="23670"/>
    <cellStyle name="Normal 2 5 4 4 2 2 3 2 2 2" xfId="49223"/>
    <cellStyle name="Normal 2 5 4 4 2 2 3 2 3" xfId="38974"/>
    <cellStyle name="Normal 2 5 4 4 2 2 3 3" xfId="9840"/>
    <cellStyle name="Normal 2 5 4 4 2 2 3 3 2" xfId="35397"/>
    <cellStyle name="Normal 2 5 4 4 2 2 3 4" xfId="18663"/>
    <cellStyle name="Normal 2 5 4 4 2 2 3 4 2" xfId="44216"/>
    <cellStyle name="Normal 2 5 4 4 2 2 3 5" xfId="30153"/>
    <cellStyle name="Normal 2 5 4 4 2 2 4" xfId="2361"/>
    <cellStyle name="Normal 2 5 4 4 2 2 4 2" xfId="11726"/>
    <cellStyle name="Normal 2 5 4 4 2 2 4 2 2" xfId="37281"/>
    <cellStyle name="Normal 2 5 4 4 2 2 4 3" xfId="21730"/>
    <cellStyle name="Normal 2 5 4 4 2 2 4 3 2" xfId="47283"/>
    <cellStyle name="Normal 2 5 4 4 2 2 4 4" xfId="28213"/>
    <cellStyle name="Normal 2 5 4 4 2 2 5" xfId="6037"/>
    <cellStyle name="Normal 2 5 4 4 2 2 5 2" xfId="14864"/>
    <cellStyle name="Normal 2 5 4 4 2 2 5 2 2" xfId="40419"/>
    <cellStyle name="Normal 2 5 4 4 2 2 5 3" xfId="25115"/>
    <cellStyle name="Normal 2 5 4 4 2 2 5 3 2" xfId="50668"/>
    <cellStyle name="Normal 2 5 4 4 2 2 5 4" xfId="31598"/>
    <cellStyle name="Normal 2 5 4 4 2 2 6" xfId="7481"/>
    <cellStyle name="Normal 2 5 4 4 2 2 6 2" xfId="20212"/>
    <cellStyle name="Normal 2 5 4 4 2 2 6 2 2" xfId="45765"/>
    <cellStyle name="Normal 2 5 4 4 2 2 6 3" xfId="33038"/>
    <cellStyle name="Normal 2 5 4 4 2 2 7" xfId="16723"/>
    <cellStyle name="Normal 2 5 4 4 2 2 7 2" xfId="42276"/>
    <cellStyle name="Normal 2 5 4 4 2 2 8" xfId="26695"/>
    <cellStyle name="Normal 2 5 4 4 2 3" xfId="1342"/>
    <cellStyle name="Normal 2 5 4 4 2 3 2" xfId="3771"/>
    <cellStyle name="Normal 2 5 4 4 2 3 2 2" xfId="12907"/>
    <cellStyle name="Normal 2 5 4 4 2 3 2 2 2" xfId="23126"/>
    <cellStyle name="Normal 2 5 4 4 2 3 2 2 2 2" xfId="48679"/>
    <cellStyle name="Normal 2 5 4 4 2 3 2 2 3" xfId="38462"/>
    <cellStyle name="Normal 2 5 4 4 2 3 2 3" xfId="9328"/>
    <cellStyle name="Normal 2 5 4 4 2 3 2 3 2" xfId="34885"/>
    <cellStyle name="Normal 2 5 4 4 2 3 2 4" xfId="18119"/>
    <cellStyle name="Normal 2 5 4 4 2 3 2 4 2" xfId="43672"/>
    <cellStyle name="Normal 2 5 4 4 2 3 2 5" xfId="29609"/>
    <cellStyle name="Normal 2 5 4 4 2 3 3" xfId="4930"/>
    <cellStyle name="Normal 2 5 4 4 2 3 3 2" xfId="13767"/>
    <cellStyle name="Normal 2 5 4 4 2 3 3 2 2" xfId="24018"/>
    <cellStyle name="Normal 2 5 4 4 2 3 3 2 2 2" xfId="49571"/>
    <cellStyle name="Normal 2 5 4 4 2 3 3 2 3" xfId="39322"/>
    <cellStyle name="Normal 2 5 4 4 2 3 3 3" xfId="10188"/>
    <cellStyle name="Normal 2 5 4 4 2 3 3 3 2" xfId="35745"/>
    <cellStyle name="Normal 2 5 4 4 2 3 3 4" xfId="19011"/>
    <cellStyle name="Normal 2 5 4 4 2 3 3 4 2" xfId="44564"/>
    <cellStyle name="Normal 2 5 4 4 2 3 3 5" xfId="30501"/>
    <cellStyle name="Normal 2 5 4 4 2 3 4" xfId="2165"/>
    <cellStyle name="Normal 2 5 4 4 2 3 4 2" xfId="11530"/>
    <cellStyle name="Normal 2 5 4 4 2 3 4 2 2" xfId="37085"/>
    <cellStyle name="Normal 2 5 4 4 2 3 4 3" xfId="21534"/>
    <cellStyle name="Normal 2 5 4 4 2 3 4 3 2" xfId="47087"/>
    <cellStyle name="Normal 2 5 4 4 2 3 4 4" xfId="28017"/>
    <cellStyle name="Normal 2 5 4 4 2 3 5" xfId="6385"/>
    <cellStyle name="Normal 2 5 4 4 2 3 5 2" xfId="15212"/>
    <cellStyle name="Normal 2 5 4 4 2 3 5 2 2" xfId="40767"/>
    <cellStyle name="Normal 2 5 4 4 2 3 5 3" xfId="25463"/>
    <cellStyle name="Normal 2 5 4 4 2 3 5 3 2" xfId="51016"/>
    <cellStyle name="Normal 2 5 4 4 2 3 5 4" xfId="31946"/>
    <cellStyle name="Normal 2 5 4 4 2 3 6" xfId="7831"/>
    <cellStyle name="Normal 2 5 4 4 2 3 6 2" xfId="20725"/>
    <cellStyle name="Normal 2 5 4 4 2 3 6 2 2" xfId="46278"/>
    <cellStyle name="Normal 2 5 4 4 2 3 6 3" xfId="33388"/>
    <cellStyle name="Normal 2 5 4 4 2 3 7" xfId="16527"/>
    <cellStyle name="Normal 2 5 4 4 2 3 7 2" xfId="42080"/>
    <cellStyle name="Normal 2 5 4 4 2 3 8" xfId="27208"/>
    <cellStyle name="Normal 2 5 4 4 2 4" xfId="3056"/>
    <cellStyle name="Normal 2 5 4 4 2 4 2" xfId="5434"/>
    <cellStyle name="Normal 2 5 4 4 2 4 2 2" xfId="14271"/>
    <cellStyle name="Normal 2 5 4 4 2 4 2 2 2" xfId="24522"/>
    <cellStyle name="Normal 2 5 4 4 2 4 2 2 2 2" xfId="50075"/>
    <cellStyle name="Normal 2 5 4 4 2 4 2 2 3" xfId="39826"/>
    <cellStyle name="Normal 2 5 4 4 2 4 2 3" xfId="10692"/>
    <cellStyle name="Normal 2 5 4 4 2 4 2 3 2" xfId="36249"/>
    <cellStyle name="Normal 2 5 4 4 2 4 2 4" xfId="19515"/>
    <cellStyle name="Normal 2 5 4 4 2 4 2 4 2" xfId="45068"/>
    <cellStyle name="Normal 2 5 4 4 2 4 2 5" xfId="31005"/>
    <cellStyle name="Normal 2 5 4 4 2 4 3" xfId="6889"/>
    <cellStyle name="Normal 2 5 4 4 2 4 3 2" xfId="15716"/>
    <cellStyle name="Normal 2 5 4 4 2 4 3 2 2" xfId="41271"/>
    <cellStyle name="Normal 2 5 4 4 2 4 3 3" xfId="25967"/>
    <cellStyle name="Normal 2 5 4 4 2 4 3 3 2" xfId="51520"/>
    <cellStyle name="Normal 2 5 4 4 2 4 3 4" xfId="32450"/>
    <cellStyle name="Normal 2 5 4 4 2 4 4" xfId="8335"/>
    <cellStyle name="Normal 2 5 4 4 2 4 4 2" xfId="22417"/>
    <cellStyle name="Normal 2 5 4 4 2 4 4 2 2" xfId="47970"/>
    <cellStyle name="Normal 2 5 4 4 2 4 4 3" xfId="33892"/>
    <cellStyle name="Normal 2 5 4 4 2 4 5" xfId="17410"/>
    <cellStyle name="Normal 2 5 4 4 2 4 5 2" xfId="42963"/>
    <cellStyle name="Normal 2 5 4 4 2 4 6" xfId="28900"/>
    <cellStyle name="Normal 2 5 4 4 2 5" xfId="4390"/>
    <cellStyle name="Normal 2 5 4 4 2 5 2" xfId="13228"/>
    <cellStyle name="Normal 2 5 4 4 2 5 2 2" xfId="23479"/>
    <cellStyle name="Normal 2 5 4 4 2 5 2 2 2" xfId="49032"/>
    <cellStyle name="Normal 2 5 4 4 2 5 2 3" xfId="38783"/>
    <cellStyle name="Normal 2 5 4 4 2 5 3" xfId="9649"/>
    <cellStyle name="Normal 2 5 4 4 2 5 3 2" xfId="35206"/>
    <cellStyle name="Normal 2 5 4 4 2 5 4" xfId="18472"/>
    <cellStyle name="Normal 2 5 4 4 2 5 4 2" xfId="44025"/>
    <cellStyle name="Normal 2 5 4 4 2 5 5" xfId="29962"/>
    <cellStyle name="Normal 2 5 4 4 2 6" xfId="1662"/>
    <cellStyle name="Normal 2 5 4 4 2 6 2" xfId="11039"/>
    <cellStyle name="Normal 2 5 4 4 2 6 2 2" xfId="36594"/>
    <cellStyle name="Normal 2 5 4 4 2 6 3" xfId="21043"/>
    <cellStyle name="Normal 2 5 4 4 2 6 3 2" xfId="46596"/>
    <cellStyle name="Normal 2 5 4 4 2 6 4" xfId="27526"/>
    <cellStyle name="Normal 2 5 4 4 2 7" xfId="5846"/>
    <cellStyle name="Normal 2 5 4 4 2 7 2" xfId="14673"/>
    <cellStyle name="Normal 2 5 4 4 2 7 2 2" xfId="40228"/>
    <cellStyle name="Normal 2 5 4 4 2 7 3" xfId="24924"/>
    <cellStyle name="Normal 2 5 4 4 2 7 3 2" xfId="50477"/>
    <cellStyle name="Normal 2 5 4 4 2 7 4" xfId="31407"/>
    <cellStyle name="Normal 2 5 4 4 2 8" xfId="7290"/>
    <cellStyle name="Normal 2 5 4 4 2 8 2" xfId="20016"/>
    <cellStyle name="Normal 2 5 4 4 2 8 2 2" xfId="45569"/>
    <cellStyle name="Normal 2 5 4 4 2 8 3" xfId="32847"/>
    <cellStyle name="Normal 2 5 4 4 2 9" xfId="16036"/>
    <cellStyle name="Normal 2 5 4 4 2 9 2" xfId="41589"/>
    <cellStyle name="Normal 2 5 4 4 2_Degree data" xfId="3828"/>
    <cellStyle name="Normal 2 5 4 4 3" xfId="365"/>
    <cellStyle name="Normal 2 5 4 4 3 2" xfId="2851"/>
    <cellStyle name="Normal 2 5 4 4 3 2 2" xfId="12139"/>
    <cellStyle name="Normal 2 5 4 4 3 2 2 2" xfId="22212"/>
    <cellStyle name="Normal 2 5 4 4 3 2 2 2 2" xfId="47765"/>
    <cellStyle name="Normal 2 5 4 4 3 2 2 3" xfId="37694"/>
    <cellStyle name="Normal 2 5 4 4 3 2 3" xfId="8586"/>
    <cellStyle name="Normal 2 5 4 4 3 2 3 2" xfId="34143"/>
    <cellStyle name="Normal 2 5 4 4 3 2 4" xfId="17205"/>
    <cellStyle name="Normal 2 5 4 4 3 2 4 2" xfId="42758"/>
    <cellStyle name="Normal 2 5 4 4 3 2 5" xfId="28695"/>
    <cellStyle name="Normal 2 5 4 4 3 3" xfId="4580"/>
    <cellStyle name="Normal 2 5 4 4 3 3 2" xfId="13418"/>
    <cellStyle name="Normal 2 5 4 4 3 3 2 2" xfId="23669"/>
    <cellStyle name="Normal 2 5 4 4 3 3 2 2 2" xfId="49222"/>
    <cellStyle name="Normal 2 5 4 4 3 3 2 3" xfId="38973"/>
    <cellStyle name="Normal 2 5 4 4 3 3 3" xfId="9839"/>
    <cellStyle name="Normal 2 5 4 4 3 3 3 2" xfId="35396"/>
    <cellStyle name="Normal 2 5 4 4 3 3 4" xfId="18662"/>
    <cellStyle name="Normal 2 5 4 4 3 3 4 2" xfId="44215"/>
    <cellStyle name="Normal 2 5 4 4 3 3 5" xfId="30152"/>
    <cellStyle name="Normal 2 5 4 4 3 4" xfId="1960"/>
    <cellStyle name="Normal 2 5 4 4 3 4 2" xfId="11325"/>
    <cellStyle name="Normal 2 5 4 4 3 4 2 2" xfId="36880"/>
    <cellStyle name="Normal 2 5 4 4 3 4 3" xfId="21329"/>
    <cellStyle name="Normal 2 5 4 4 3 4 3 2" xfId="46882"/>
    <cellStyle name="Normal 2 5 4 4 3 4 4" xfId="27812"/>
    <cellStyle name="Normal 2 5 4 4 3 5" xfId="6036"/>
    <cellStyle name="Normal 2 5 4 4 3 5 2" xfId="14863"/>
    <cellStyle name="Normal 2 5 4 4 3 5 2 2" xfId="40418"/>
    <cellStyle name="Normal 2 5 4 4 3 5 3" xfId="25114"/>
    <cellStyle name="Normal 2 5 4 4 3 5 3 2" xfId="50667"/>
    <cellStyle name="Normal 2 5 4 4 3 5 4" xfId="31597"/>
    <cellStyle name="Normal 2 5 4 4 3 6" xfId="7480"/>
    <cellStyle name="Normal 2 5 4 4 3 6 2" xfId="19811"/>
    <cellStyle name="Normal 2 5 4 4 3 6 2 2" xfId="45364"/>
    <cellStyle name="Normal 2 5 4 4 3 6 3" xfId="33037"/>
    <cellStyle name="Normal 2 5 4 4 3 7" xfId="16322"/>
    <cellStyle name="Normal 2 5 4 4 3 7 2" xfId="41875"/>
    <cellStyle name="Normal 2 5 4 4 3 8" xfId="26294"/>
    <cellStyle name="Normal 2 5 4 4 4" xfId="765"/>
    <cellStyle name="Normal 2 5 4 4 4 2" xfId="3251"/>
    <cellStyle name="Normal 2 5 4 4 4 2 2" xfId="12393"/>
    <cellStyle name="Normal 2 5 4 4 4 2 2 2" xfId="22612"/>
    <cellStyle name="Normal 2 5 4 4 4 2 2 2 2" xfId="48165"/>
    <cellStyle name="Normal 2 5 4 4 4 2 2 3" xfId="37948"/>
    <cellStyle name="Normal 2 5 4 4 4 2 3" xfId="8815"/>
    <cellStyle name="Normal 2 5 4 4 4 2 3 2" xfId="34372"/>
    <cellStyle name="Normal 2 5 4 4 4 2 4" xfId="17605"/>
    <cellStyle name="Normal 2 5 4 4 4 2 4 2" xfId="43158"/>
    <cellStyle name="Normal 2 5 4 4 4 2 5" xfId="29095"/>
    <cellStyle name="Normal 2 5 4 4 4 3" xfId="4929"/>
    <cellStyle name="Normal 2 5 4 4 4 3 2" xfId="13766"/>
    <cellStyle name="Normal 2 5 4 4 4 3 2 2" xfId="24017"/>
    <cellStyle name="Normal 2 5 4 4 4 3 2 2 2" xfId="49570"/>
    <cellStyle name="Normal 2 5 4 4 4 3 2 3" xfId="39321"/>
    <cellStyle name="Normal 2 5 4 4 4 3 3" xfId="10187"/>
    <cellStyle name="Normal 2 5 4 4 4 3 3 2" xfId="35744"/>
    <cellStyle name="Normal 2 5 4 4 4 3 4" xfId="19010"/>
    <cellStyle name="Normal 2 5 4 4 4 3 4 2" xfId="44563"/>
    <cellStyle name="Normal 2 5 4 4 4 3 5" xfId="30500"/>
    <cellStyle name="Normal 2 5 4 4 4 4" xfId="2360"/>
    <cellStyle name="Normal 2 5 4 4 4 4 2" xfId="11725"/>
    <cellStyle name="Normal 2 5 4 4 4 4 2 2" xfId="37280"/>
    <cellStyle name="Normal 2 5 4 4 4 4 3" xfId="21729"/>
    <cellStyle name="Normal 2 5 4 4 4 4 3 2" xfId="47282"/>
    <cellStyle name="Normal 2 5 4 4 4 4 4" xfId="28212"/>
    <cellStyle name="Normal 2 5 4 4 4 5" xfId="6384"/>
    <cellStyle name="Normal 2 5 4 4 4 5 2" xfId="15211"/>
    <cellStyle name="Normal 2 5 4 4 4 5 2 2" xfId="40766"/>
    <cellStyle name="Normal 2 5 4 4 4 5 3" xfId="25462"/>
    <cellStyle name="Normal 2 5 4 4 4 5 3 2" xfId="51015"/>
    <cellStyle name="Normal 2 5 4 4 4 5 4" xfId="31945"/>
    <cellStyle name="Normal 2 5 4 4 4 6" xfId="7830"/>
    <cellStyle name="Normal 2 5 4 4 4 6 2" xfId="20211"/>
    <cellStyle name="Normal 2 5 4 4 4 6 2 2" xfId="45764"/>
    <cellStyle name="Normal 2 5 4 4 4 6 3" xfId="33387"/>
    <cellStyle name="Normal 2 5 4 4 4 7" xfId="16722"/>
    <cellStyle name="Normal 2 5 4 4 4 7 2" xfId="42275"/>
    <cellStyle name="Normal 2 5 4 4 4 8" xfId="26694"/>
    <cellStyle name="Normal 2 5 4 4 5" xfId="1137"/>
    <cellStyle name="Normal 2 5 4 4 5 2" xfId="3566"/>
    <cellStyle name="Normal 2 5 4 4 5 2 2" xfId="12702"/>
    <cellStyle name="Normal 2 5 4 4 5 2 2 2" xfId="22921"/>
    <cellStyle name="Normal 2 5 4 4 5 2 2 2 2" xfId="48474"/>
    <cellStyle name="Normal 2 5 4 4 5 2 2 3" xfId="38257"/>
    <cellStyle name="Normal 2 5 4 4 5 2 3" xfId="9123"/>
    <cellStyle name="Normal 2 5 4 4 5 2 3 2" xfId="34680"/>
    <cellStyle name="Normal 2 5 4 4 5 2 4" xfId="17914"/>
    <cellStyle name="Normal 2 5 4 4 5 2 4 2" xfId="43467"/>
    <cellStyle name="Normal 2 5 4 4 5 2 5" xfId="29404"/>
    <cellStyle name="Normal 2 5 4 4 5 3" xfId="5229"/>
    <cellStyle name="Normal 2 5 4 4 5 3 2" xfId="14066"/>
    <cellStyle name="Normal 2 5 4 4 5 3 2 2" xfId="24317"/>
    <cellStyle name="Normal 2 5 4 4 5 3 2 2 2" xfId="49870"/>
    <cellStyle name="Normal 2 5 4 4 5 3 2 3" xfId="39621"/>
    <cellStyle name="Normal 2 5 4 4 5 3 3" xfId="10487"/>
    <cellStyle name="Normal 2 5 4 4 5 3 3 2" xfId="36044"/>
    <cellStyle name="Normal 2 5 4 4 5 3 4" xfId="19310"/>
    <cellStyle name="Normal 2 5 4 4 5 3 4 2" xfId="44863"/>
    <cellStyle name="Normal 2 5 4 4 5 3 5" xfId="30800"/>
    <cellStyle name="Normal 2 5 4 4 5 4" xfId="1845"/>
    <cellStyle name="Normal 2 5 4 4 5 4 2" xfId="11213"/>
    <cellStyle name="Normal 2 5 4 4 5 4 2 2" xfId="36768"/>
    <cellStyle name="Normal 2 5 4 4 5 4 3" xfId="21217"/>
    <cellStyle name="Normal 2 5 4 4 5 4 3 2" xfId="46770"/>
    <cellStyle name="Normal 2 5 4 4 5 4 4" xfId="27700"/>
    <cellStyle name="Normal 2 5 4 4 5 5" xfId="6684"/>
    <cellStyle name="Normal 2 5 4 4 5 5 2" xfId="15511"/>
    <cellStyle name="Normal 2 5 4 4 5 5 2 2" xfId="41066"/>
    <cellStyle name="Normal 2 5 4 4 5 5 3" xfId="25762"/>
    <cellStyle name="Normal 2 5 4 4 5 5 3 2" xfId="51315"/>
    <cellStyle name="Normal 2 5 4 4 5 5 4" xfId="32245"/>
    <cellStyle name="Normal 2 5 4 4 5 6" xfId="8130"/>
    <cellStyle name="Normal 2 5 4 4 5 6 2" xfId="20520"/>
    <cellStyle name="Normal 2 5 4 4 5 6 2 2" xfId="46073"/>
    <cellStyle name="Normal 2 5 4 4 5 6 3" xfId="33687"/>
    <cellStyle name="Normal 2 5 4 4 5 7" xfId="16210"/>
    <cellStyle name="Normal 2 5 4 4 5 7 2" xfId="41763"/>
    <cellStyle name="Normal 2 5 4 4 5 8" xfId="27003"/>
    <cellStyle name="Normal 2 5 4 4 6" xfId="2739"/>
    <cellStyle name="Normal 2 5 4 4 6 2" xfId="12056"/>
    <cellStyle name="Normal 2 5 4 4 6 2 2" xfId="22100"/>
    <cellStyle name="Normal 2 5 4 4 6 2 2 2" xfId="47653"/>
    <cellStyle name="Normal 2 5 4 4 6 2 3" xfId="37611"/>
    <cellStyle name="Normal 2 5 4 4 6 3" xfId="8617"/>
    <cellStyle name="Normal 2 5 4 4 6 3 2" xfId="34174"/>
    <cellStyle name="Normal 2 5 4 4 6 4" xfId="17093"/>
    <cellStyle name="Normal 2 5 4 4 6 4 2" xfId="42646"/>
    <cellStyle name="Normal 2 5 4 4 6 5" xfId="28583"/>
    <cellStyle name="Normal 2 5 4 4 7" xfId="4185"/>
    <cellStyle name="Normal 2 5 4 4 7 2" xfId="13023"/>
    <cellStyle name="Normal 2 5 4 4 7 2 2" xfId="23274"/>
    <cellStyle name="Normal 2 5 4 4 7 2 2 2" xfId="48827"/>
    <cellStyle name="Normal 2 5 4 4 7 2 3" xfId="38578"/>
    <cellStyle name="Normal 2 5 4 4 7 3" xfId="9444"/>
    <cellStyle name="Normal 2 5 4 4 7 3 2" xfId="35001"/>
    <cellStyle name="Normal 2 5 4 4 7 4" xfId="18267"/>
    <cellStyle name="Normal 2 5 4 4 7 4 2" xfId="43820"/>
    <cellStyle name="Normal 2 5 4 4 7 5" xfId="29757"/>
    <cellStyle name="Normal 2 5 4 4 8" xfId="1457"/>
    <cellStyle name="Normal 2 5 4 4 8 2" xfId="10834"/>
    <cellStyle name="Normal 2 5 4 4 8 2 2" xfId="36389"/>
    <cellStyle name="Normal 2 5 4 4 8 3" xfId="20838"/>
    <cellStyle name="Normal 2 5 4 4 8 3 2" xfId="46391"/>
    <cellStyle name="Normal 2 5 4 4 8 4" xfId="27321"/>
    <cellStyle name="Normal 2 5 4 4 9" xfId="5641"/>
    <cellStyle name="Normal 2 5 4 4 9 2" xfId="14468"/>
    <cellStyle name="Normal 2 5 4 4 9 2 2" xfId="40023"/>
    <cellStyle name="Normal 2 5 4 4 9 3" xfId="24719"/>
    <cellStyle name="Normal 2 5 4 4 9 3 2" xfId="50272"/>
    <cellStyle name="Normal 2 5 4 4 9 4" xfId="31202"/>
    <cellStyle name="Normal 2 5 4 4_Degree data" xfId="3901"/>
    <cellStyle name="Normal 2 5 4 5" xfId="465"/>
    <cellStyle name="Normal 2 5 4 5 10" xfId="26394"/>
    <cellStyle name="Normal 2 5 4 5 2" xfId="767"/>
    <cellStyle name="Normal 2 5 4 5 2 2" xfId="3253"/>
    <cellStyle name="Normal 2 5 4 5 2 2 2" xfId="12395"/>
    <cellStyle name="Normal 2 5 4 5 2 2 2 2" xfId="22614"/>
    <cellStyle name="Normal 2 5 4 5 2 2 2 2 2" xfId="48167"/>
    <cellStyle name="Normal 2 5 4 5 2 2 2 3" xfId="37950"/>
    <cellStyle name="Normal 2 5 4 5 2 2 3" xfId="8817"/>
    <cellStyle name="Normal 2 5 4 5 2 2 3 2" xfId="34374"/>
    <cellStyle name="Normal 2 5 4 5 2 2 4" xfId="17607"/>
    <cellStyle name="Normal 2 5 4 5 2 2 4 2" xfId="43160"/>
    <cellStyle name="Normal 2 5 4 5 2 2 5" xfId="29097"/>
    <cellStyle name="Normal 2 5 4 5 2 3" xfId="4582"/>
    <cellStyle name="Normal 2 5 4 5 2 3 2" xfId="13420"/>
    <cellStyle name="Normal 2 5 4 5 2 3 2 2" xfId="23671"/>
    <cellStyle name="Normal 2 5 4 5 2 3 2 2 2" xfId="49224"/>
    <cellStyle name="Normal 2 5 4 5 2 3 2 3" xfId="38975"/>
    <cellStyle name="Normal 2 5 4 5 2 3 3" xfId="9841"/>
    <cellStyle name="Normal 2 5 4 5 2 3 3 2" xfId="35398"/>
    <cellStyle name="Normal 2 5 4 5 2 3 4" xfId="18664"/>
    <cellStyle name="Normal 2 5 4 5 2 3 4 2" xfId="44217"/>
    <cellStyle name="Normal 2 5 4 5 2 3 5" xfId="30154"/>
    <cellStyle name="Normal 2 5 4 5 2 4" xfId="2362"/>
    <cellStyle name="Normal 2 5 4 5 2 4 2" xfId="11727"/>
    <cellStyle name="Normal 2 5 4 5 2 4 2 2" xfId="37282"/>
    <cellStyle name="Normal 2 5 4 5 2 4 3" xfId="21731"/>
    <cellStyle name="Normal 2 5 4 5 2 4 3 2" xfId="47284"/>
    <cellStyle name="Normal 2 5 4 5 2 4 4" xfId="28214"/>
    <cellStyle name="Normal 2 5 4 5 2 5" xfId="6038"/>
    <cellStyle name="Normal 2 5 4 5 2 5 2" xfId="14865"/>
    <cellStyle name="Normal 2 5 4 5 2 5 2 2" xfId="40420"/>
    <cellStyle name="Normal 2 5 4 5 2 5 3" xfId="25116"/>
    <cellStyle name="Normal 2 5 4 5 2 5 3 2" xfId="50669"/>
    <cellStyle name="Normal 2 5 4 5 2 5 4" xfId="31599"/>
    <cellStyle name="Normal 2 5 4 5 2 6" xfId="7482"/>
    <cellStyle name="Normal 2 5 4 5 2 6 2" xfId="20213"/>
    <cellStyle name="Normal 2 5 4 5 2 6 2 2" xfId="45766"/>
    <cellStyle name="Normal 2 5 4 5 2 6 3" xfId="33039"/>
    <cellStyle name="Normal 2 5 4 5 2 7" xfId="16724"/>
    <cellStyle name="Normal 2 5 4 5 2 7 2" xfId="42277"/>
    <cellStyle name="Normal 2 5 4 5 2 8" xfId="26696"/>
    <cellStyle name="Normal 2 5 4 5 3" xfId="1237"/>
    <cellStyle name="Normal 2 5 4 5 3 2" xfId="3666"/>
    <cellStyle name="Normal 2 5 4 5 3 2 2" xfId="12802"/>
    <cellStyle name="Normal 2 5 4 5 3 2 2 2" xfId="23021"/>
    <cellStyle name="Normal 2 5 4 5 3 2 2 2 2" xfId="48574"/>
    <cellStyle name="Normal 2 5 4 5 3 2 2 3" xfId="38357"/>
    <cellStyle name="Normal 2 5 4 5 3 2 3" xfId="9223"/>
    <cellStyle name="Normal 2 5 4 5 3 2 3 2" xfId="34780"/>
    <cellStyle name="Normal 2 5 4 5 3 2 4" xfId="18014"/>
    <cellStyle name="Normal 2 5 4 5 3 2 4 2" xfId="43567"/>
    <cellStyle name="Normal 2 5 4 5 3 2 5" xfId="29504"/>
    <cellStyle name="Normal 2 5 4 5 3 3" xfId="4931"/>
    <cellStyle name="Normal 2 5 4 5 3 3 2" xfId="13768"/>
    <cellStyle name="Normal 2 5 4 5 3 3 2 2" xfId="24019"/>
    <cellStyle name="Normal 2 5 4 5 3 3 2 2 2" xfId="49572"/>
    <cellStyle name="Normal 2 5 4 5 3 3 2 3" xfId="39323"/>
    <cellStyle name="Normal 2 5 4 5 3 3 3" xfId="10189"/>
    <cellStyle name="Normal 2 5 4 5 3 3 3 2" xfId="35746"/>
    <cellStyle name="Normal 2 5 4 5 3 3 4" xfId="19012"/>
    <cellStyle name="Normal 2 5 4 5 3 3 4 2" xfId="44565"/>
    <cellStyle name="Normal 2 5 4 5 3 3 5" xfId="30502"/>
    <cellStyle name="Normal 2 5 4 5 3 4" xfId="2060"/>
    <cellStyle name="Normal 2 5 4 5 3 4 2" xfId="11425"/>
    <cellStyle name="Normal 2 5 4 5 3 4 2 2" xfId="36980"/>
    <cellStyle name="Normal 2 5 4 5 3 4 3" xfId="21429"/>
    <cellStyle name="Normal 2 5 4 5 3 4 3 2" xfId="46982"/>
    <cellStyle name="Normal 2 5 4 5 3 4 4" xfId="27912"/>
    <cellStyle name="Normal 2 5 4 5 3 5" xfId="6386"/>
    <cellStyle name="Normal 2 5 4 5 3 5 2" xfId="15213"/>
    <cellStyle name="Normal 2 5 4 5 3 5 2 2" xfId="40768"/>
    <cellStyle name="Normal 2 5 4 5 3 5 3" xfId="25464"/>
    <cellStyle name="Normal 2 5 4 5 3 5 3 2" xfId="51017"/>
    <cellStyle name="Normal 2 5 4 5 3 5 4" xfId="31947"/>
    <cellStyle name="Normal 2 5 4 5 3 6" xfId="7832"/>
    <cellStyle name="Normal 2 5 4 5 3 6 2" xfId="20620"/>
    <cellStyle name="Normal 2 5 4 5 3 6 2 2" xfId="46173"/>
    <cellStyle name="Normal 2 5 4 5 3 6 3" xfId="33389"/>
    <cellStyle name="Normal 2 5 4 5 3 7" xfId="16422"/>
    <cellStyle name="Normal 2 5 4 5 3 7 2" xfId="41975"/>
    <cellStyle name="Normal 2 5 4 5 3 8" xfId="27103"/>
    <cellStyle name="Normal 2 5 4 5 4" xfId="2951"/>
    <cellStyle name="Normal 2 5 4 5 4 2" xfId="5329"/>
    <cellStyle name="Normal 2 5 4 5 4 2 2" xfId="14166"/>
    <cellStyle name="Normal 2 5 4 5 4 2 2 2" xfId="24417"/>
    <cellStyle name="Normal 2 5 4 5 4 2 2 2 2" xfId="49970"/>
    <cellStyle name="Normal 2 5 4 5 4 2 2 3" xfId="39721"/>
    <cellStyle name="Normal 2 5 4 5 4 2 3" xfId="10587"/>
    <cellStyle name="Normal 2 5 4 5 4 2 3 2" xfId="36144"/>
    <cellStyle name="Normal 2 5 4 5 4 2 4" xfId="19410"/>
    <cellStyle name="Normal 2 5 4 5 4 2 4 2" xfId="44963"/>
    <cellStyle name="Normal 2 5 4 5 4 2 5" xfId="30900"/>
    <cellStyle name="Normal 2 5 4 5 4 3" xfId="6784"/>
    <cellStyle name="Normal 2 5 4 5 4 3 2" xfId="15611"/>
    <cellStyle name="Normal 2 5 4 5 4 3 2 2" xfId="41166"/>
    <cellStyle name="Normal 2 5 4 5 4 3 3" xfId="25862"/>
    <cellStyle name="Normal 2 5 4 5 4 3 3 2" xfId="51415"/>
    <cellStyle name="Normal 2 5 4 5 4 3 4" xfId="32345"/>
    <cellStyle name="Normal 2 5 4 5 4 4" xfId="8230"/>
    <cellStyle name="Normal 2 5 4 5 4 4 2" xfId="22312"/>
    <cellStyle name="Normal 2 5 4 5 4 4 2 2" xfId="47865"/>
    <cellStyle name="Normal 2 5 4 5 4 4 3" xfId="33787"/>
    <cellStyle name="Normal 2 5 4 5 4 5" xfId="17305"/>
    <cellStyle name="Normal 2 5 4 5 4 5 2" xfId="42858"/>
    <cellStyle name="Normal 2 5 4 5 4 6" xfId="28795"/>
    <cellStyle name="Normal 2 5 4 5 5" xfId="4285"/>
    <cellStyle name="Normal 2 5 4 5 5 2" xfId="13123"/>
    <cellStyle name="Normal 2 5 4 5 5 2 2" xfId="23374"/>
    <cellStyle name="Normal 2 5 4 5 5 2 2 2" xfId="48927"/>
    <cellStyle name="Normal 2 5 4 5 5 2 3" xfId="38678"/>
    <cellStyle name="Normal 2 5 4 5 5 3" xfId="9544"/>
    <cellStyle name="Normal 2 5 4 5 5 3 2" xfId="35101"/>
    <cellStyle name="Normal 2 5 4 5 5 4" xfId="18367"/>
    <cellStyle name="Normal 2 5 4 5 5 4 2" xfId="43920"/>
    <cellStyle name="Normal 2 5 4 5 5 5" xfId="29857"/>
    <cellStyle name="Normal 2 5 4 5 6" xfId="1557"/>
    <cellStyle name="Normal 2 5 4 5 6 2" xfId="10934"/>
    <cellStyle name="Normal 2 5 4 5 6 2 2" xfId="36489"/>
    <cellStyle name="Normal 2 5 4 5 6 3" xfId="20938"/>
    <cellStyle name="Normal 2 5 4 5 6 3 2" xfId="46491"/>
    <cellStyle name="Normal 2 5 4 5 6 4" xfId="27421"/>
    <cellStyle name="Normal 2 5 4 5 7" xfId="5741"/>
    <cellStyle name="Normal 2 5 4 5 7 2" xfId="14568"/>
    <cellStyle name="Normal 2 5 4 5 7 2 2" xfId="40123"/>
    <cellStyle name="Normal 2 5 4 5 7 3" xfId="24819"/>
    <cellStyle name="Normal 2 5 4 5 7 3 2" xfId="50372"/>
    <cellStyle name="Normal 2 5 4 5 7 4" xfId="31302"/>
    <cellStyle name="Normal 2 5 4 5 8" xfId="7185"/>
    <cellStyle name="Normal 2 5 4 5 8 2" xfId="19911"/>
    <cellStyle name="Normal 2 5 4 5 8 2 2" xfId="45464"/>
    <cellStyle name="Normal 2 5 4 5 8 3" xfId="32742"/>
    <cellStyle name="Normal 2 5 4 5 9" xfId="15931"/>
    <cellStyle name="Normal 2 5 4 5 9 2" xfId="41484"/>
    <cellStyle name="Normal 2 5 4 5_Degree data" xfId="3903"/>
    <cellStyle name="Normal 2 5 4 6" xfId="341"/>
    <cellStyle name="Normal 2 5 4 6 10" xfId="26270"/>
    <cellStyle name="Normal 2 5 4 6 2" xfId="768"/>
    <cellStyle name="Normal 2 5 4 6 2 2" xfId="3254"/>
    <cellStyle name="Normal 2 5 4 6 2 2 2" xfId="12396"/>
    <cellStyle name="Normal 2 5 4 6 2 2 2 2" xfId="22615"/>
    <cellStyle name="Normal 2 5 4 6 2 2 2 2 2" xfId="48168"/>
    <cellStyle name="Normal 2 5 4 6 2 2 2 3" xfId="37951"/>
    <cellStyle name="Normal 2 5 4 6 2 2 3" xfId="8818"/>
    <cellStyle name="Normal 2 5 4 6 2 2 3 2" xfId="34375"/>
    <cellStyle name="Normal 2 5 4 6 2 2 4" xfId="17608"/>
    <cellStyle name="Normal 2 5 4 6 2 2 4 2" xfId="43161"/>
    <cellStyle name="Normal 2 5 4 6 2 2 5" xfId="29098"/>
    <cellStyle name="Normal 2 5 4 6 2 3" xfId="4583"/>
    <cellStyle name="Normal 2 5 4 6 2 3 2" xfId="13421"/>
    <cellStyle name="Normal 2 5 4 6 2 3 2 2" xfId="23672"/>
    <cellStyle name="Normal 2 5 4 6 2 3 2 2 2" xfId="49225"/>
    <cellStyle name="Normal 2 5 4 6 2 3 2 3" xfId="38976"/>
    <cellStyle name="Normal 2 5 4 6 2 3 3" xfId="9842"/>
    <cellStyle name="Normal 2 5 4 6 2 3 3 2" xfId="35399"/>
    <cellStyle name="Normal 2 5 4 6 2 3 4" xfId="18665"/>
    <cellStyle name="Normal 2 5 4 6 2 3 4 2" xfId="44218"/>
    <cellStyle name="Normal 2 5 4 6 2 3 5" xfId="30155"/>
    <cellStyle name="Normal 2 5 4 6 2 4" xfId="2363"/>
    <cellStyle name="Normal 2 5 4 6 2 4 2" xfId="11728"/>
    <cellStyle name="Normal 2 5 4 6 2 4 2 2" xfId="37283"/>
    <cellStyle name="Normal 2 5 4 6 2 4 3" xfId="21732"/>
    <cellStyle name="Normal 2 5 4 6 2 4 3 2" xfId="47285"/>
    <cellStyle name="Normal 2 5 4 6 2 4 4" xfId="28215"/>
    <cellStyle name="Normal 2 5 4 6 2 5" xfId="6039"/>
    <cellStyle name="Normal 2 5 4 6 2 5 2" xfId="14866"/>
    <cellStyle name="Normal 2 5 4 6 2 5 2 2" xfId="40421"/>
    <cellStyle name="Normal 2 5 4 6 2 5 3" xfId="25117"/>
    <cellStyle name="Normal 2 5 4 6 2 5 3 2" xfId="50670"/>
    <cellStyle name="Normal 2 5 4 6 2 5 4" xfId="31600"/>
    <cellStyle name="Normal 2 5 4 6 2 6" xfId="7483"/>
    <cellStyle name="Normal 2 5 4 6 2 6 2" xfId="20214"/>
    <cellStyle name="Normal 2 5 4 6 2 6 2 2" xfId="45767"/>
    <cellStyle name="Normal 2 5 4 6 2 6 3" xfId="33040"/>
    <cellStyle name="Normal 2 5 4 6 2 7" xfId="16725"/>
    <cellStyle name="Normal 2 5 4 6 2 7 2" xfId="42278"/>
    <cellStyle name="Normal 2 5 4 6 2 8" xfId="26697"/>
    <cellStyle name="Normal 2 5 4 6 3" xfId="1113"/>
    <cellStyle name="Normal 2 5 4 6 3 2" xfId="3542"/>
    <cellStyle name="Normal 2 5 4 6 3 2 2" xfId="12678"/>
    <cellStyle name="Normal 2 5 4 6 3 2 2 2" xfId="22897"/>
    <cellStyle name="Normal 2 5 4 6 3 2 2 2 2" xfId="48450"/>
    <cellStyle name="Normal 2 5 4 6 3 2 2 3" xfId="38233"/>
    <cellStyle name="Normal 2 5 4 6 3 2 3" xfId="9099"/>
    <cellStyle name="Normal 2 5 4 6 3 2 3 2" xfId="34656"/>
    <cellStyle name="Normal 2 5 4 6 3 2 4" xfId="17890"/>
    <cellStyle name="Normal 2 5 4 6 3 2 4 2" xfId="43443"/>
    <cellStyle name="Normal 2 5 4 6 3 2 5" xfId="29380"/>
    <cellStyle name="Normal 2 5 4 6 3 3" xfId="4932"/>
    <cellStyle name="Normal 2 5 4 6 3 3 2" xfId="13769"/>
    <cellStyle name="Normal 2 5 4 6 3 3 2 2" xfId="24020"/>
    <cellStyle name="Normal 2 5 4 6 3 3 2 2 2" xfId="49573"/>
    <cellStyle name="Normal 2 5 4 6 3 3 2 3" xfId="39324"/>
    <cellStyle name="Normal 2 5 4 6 3 3 3" xfId="10190"/>
    <cellStyle name="Normal 2 5 4 6 3 3 3 2" xfId="35747"/>
    <cellStyle name="Normal 2 5 4 6 3 3 4" xfId="19013"/>
    <cellStyle name="Normal 2 5 4 6 3 3 4 2" xfId="44566"/>
    <cellStyle name="Normal 2 5 4 6 3 3 5" xfId="30503"/>
    <cellStyle name="Normal 2 5 4 6 3 4" xfId="2590"/>
    <cellStyle name="Normal 2 5 4 6 3 4 2" xfId="11954"/>
    <cellStyle name="Normal 2 5 4 6 3 4 2 2" xfId="37509"/>
    <cellStyle name="Normal 2 5 4 6 3 4 3" xfId="21958"/>
    <cellStyle name="Normal 2 5 4 6 3 4 3 2" xfId="47511"/>
    <cellStyle name="Normal 2 5 4 6 3 4 4" xfId="28441"/>
    <cellStyle name="Normal 2 5 4 6 3 5" xfId="6387"/>
    <cellStyle name="Normal 2 5 4 6 3 5 2" xfId="15214"/>
    <cellStyle name="Normal 2 5 4 6 3 5 2 2" xfId="40769"/>
    <cellStyle name="Normal 2 5 4 6 3 5 3" xfId="25465"/>
    <cellStyle name="Normal 2 5 4 6 3 5 3 2" xfId="51018"/>
    <cellStyle name="Normal 2 5 4 6 3 5 4" xfId="31948"/>
    <cellStyle name="Normal 2 5 4 6 3 6" xfId="7833"/>
    <cellStyle name="Normal 2 5 4 6 3 6 2" xfId="20496"/>
    <cellStyle name="Normal 2 5 4 6 3 6 2 2" xfId="46049"/>
    <cellStyle name="Normal 2 5 4 6 3 6 3" xfId="33390"/>
    <cellStyle name="Normal 2 5 4 6 3 7" xfId="16951"/>
    <cellStyle name="Normal 2 5 4 6 3 7 2" xfId="42504"/>
    <cellStyle name="Normal 2 5 4 6 3 8" xfId="26979"/>
    <cellStyle name="Normal 2 5 4 6 4" xfId="2827"/>
    <cellStyle name="Normal 2 5 4 6 4 2" xfId="5205"/>
    <cellStyle name="Normal 2 5 4 6 4 2 2" xfId="14042"/>
    <cellStyle name="Normal 2 5 4 6 4 2 2 2" xfId="24293"/>
    <cellStyle name="Normal 2 5 4 6 4 2 2 2 2" xfId="49846"/>
    <cellStyle name="Normal 2 5 4 6 4 2 2 3" xfId="39597"/>
    <cellStyle name="Normal 2 5 4 6 4 2 3" xfId="10463"/>
    <cellStyle name="Normal 2 5 4 6 4 2 3 2" xfId="36020"/>
    <cellStyle name="Normal 2 5 4 6 4 2 4" xfId="19286"/>
    <cellStyle name="Normal 2 5 4 6 4 2 4 2" xfId="44839"/>
    <cellStyle name="Normal 2 5 4 6 4 2 5" xfId="30776"/>
    <cellStyle name="Normal 2 5 4 6 4 3" xfId="6660"/>
    <cellStyle name="Normal 2 5 4 6 4 3 2" xfId="15487"/>
    <cellStyle name="Normal 2 5 4 6 4 3 2 2" xfId="41042"/>
    <cellStyle name="Normal 2 5 4 6 4 3 3" xfId="25738"/>
    <cellStyle name="Normal 2 5 4 6 4 3 3 2" xfId="51291"/>
    <cellStyle name="Normal 2 5 4 6 4 3 4" xfId="32221"/>
    <cellStyle name="Normal 2 5 4 6 4 4" xfId="8106"/>
    <cellStyle name="Normal 2 5 4 6 4 4 2" xfId="22188"/>
    <cellStyle name="Normal 2 5 4 6 4 4 2 2" xfId="47741"/>
    <cellStyle name="Normal 2 5 4 6 4 4 3" xfId="33663"/>
    <cellStyle name="Normal 2 5 4 6 4 5" xfId="17181"/>
    <cellStyle name="Normal 2 5 4 6 4 5 2" xfId="42734"/>
    <cellStyle name="Normal 2 5 4 6 4 6" xfId="28671"/>
    <cellStyle name="Normal 2 5 4 6 5" xfId="4159"/>
    <cellStyle name="Normal 2 5 4 6 5 2" xfId="12997"/>
    <cellStyle name="Normal 2 5 4 6 5 2 2" xfId="23248"/>
    <cellStyle name="Normal 2 5 4 6 5 2 2 2" xfId="48801"/>
    <cellStyle name="Normal 2 5 4 6 5 2 3" xfId="38552"/>
    <cellStyle name="Normal 2 5 4 6 5 3" xfId="9418"/>
    <cellStyle name="Normal 2 5 4 6 5 3 2" xfId="34975"/>
    <cellStyle name="Normal 2 5 4 6 5 4" xfId="18241"/>
    <cellStyle name="Normal 2 5 4 6 5 4 2" xfId="43794"/>
    <cellStyle name="Normal 2 5 4 6 5 5" xfId="29731"/>
    <cellStyle name="Normal 2 5 4 6 6" xfId="1936"/>
    <cellStyle name="Normal 2 5 4 6 6 2" xfId="11301"/>
    <cellStyle name="Normal 2 5 4 6 6 2 2" xfId="36856"/>
    <cellStyle name="Normal 2 5 4 6 6 3" xfId="21305"/>
    <cellStyle name="Normal 2 5 4 6 6 3 2" xfId="46858"/>
    <cellStyle name="Normal 2 5 4 6 6 4" xfId="27788"/>
    <cellStyle name="Normal 2 5 4 6 7" xfId="5617"/>
    <cellStyle name="Normal 2 5 4 6 7 2" xfId="14444"/>
    <cellStyle name="Normal 2 5 4 6 7 2 2" xfId="39999"/>
    <cellStyle name="Normal 2 5 4 6 7 3" xfId="24695"/>
    <cellStyle name="Normal 2 5 4 6 7 3 2" xfId="50248"/>
    <cellStyle name="Normal 2 5 4 6 7 4" xfId="31178"/>
    <cellStyle name="Normal 2 5 4 6 8" xfId="7061"/>
    <cellStyle name="Normal 2 5 4 6 8 2" xfId="19787"/>
    <cellStyle name="Normal 2 5 4 6 8 2 2" xfId="45340"/>
    <cellStyle name="Normal 2 5 4 6 8 3" xfId="32618"/>
    <cellStyle name="Normal 2 5 4 6 9" xfId="16298"/>
    <cellStyle name="Normal 2 5 4 6 9 2" xfId="41851"/>
    <cellStyle name="Normal 2 5 4 6_Degree data" xfId="3832"/>
    <cellStyle name="Normal 2 5 4 7" xfId="759"/>
    <cellStyle name="Normal 2 5 4 7 2" xfId="3245"/>
    <cellStyle name="Normal 2 5 4 7 2 2" xfId="12387"/>
    <cellStyle name="Normal 2 5 4 7 2 2 2" xfId="22606"/>
    <cellStyle name="Normal 2 5 4 7 2 2 2 2" xfId="48159"/>
    <cellStyle name="Normal 2 5 4 7 2 2 3" xfId="37942"/>
    <cellStyle name="Normal 2 5 4 7 2 3" xfId="8809"/>
    <cellStyle name="Normal 2 5 4 7 2 3 2" xfId="34366"/>
    <cellStyle name="Normal 2 5 4 7 2 4" xfId="17599"/>
    <cellStyle name="Normal 2 5 4 7 2 4 2" xfId="43152"/>
    <cellStyle name="Normal 2 5 4 7 2 5" xfId="29089"/>
    <cellStyle name="Normal 2 5 4 7 3" xfId="4574"/>
    <cellStyle name="Normal 2 5 4 7 3 2" xfId="13412"/>
    <cellStyle name="Normal 2 5 4 7 3 2 2" xfId="23663"/>
    <cellStyle name="Normal 2 5 4 7 3 2 2 2" xfId="49216"/>
    <cellStyle name="Normal 2 5 4 7 3 2 3" xfId="38967"/>
    <cellStyle name="Normal 2 5 4 7 3 3" xfId="9833"/>
    <cellStyle name="Normal 2 5 4 7 3 3 2" xfId="35390"/>
    <cellStyle name="Normal 2 5 4 7 3 4" xfId="18656"/>
    <cellStyle name="Normal 2 5 4 7 3 4 2" xfId="44209"/>
    <cellStyle name="Normal 2 5 4 7 3 5" xfId="30146"/>
    <cellStyle name="Normal 2 5 4 7 4" xfId="2354"/>
    <cellStyle name="Normal 2 5 4 7 4 2" xfId="11719"/>
    <cellStyle name="Normal 2 5 4 7 4 2 2" xfId="37274"/>
    <cellStyle name="Normal 2 5 4 7 4 3" xfId="21723"/>
    <cellStyle name="Normal 2 5 4 7 4 3 2" xfId="47276"/>
    <cellStyle name="Normal 2 5 4 7 4 4" xfId="28206"/>
    <cellStyle name="Normal 2 5 4 7 5" xfId="6030"/>
    <cellStyle name="Normal 2 5 4 7 5 2" xfId="14857"/>
    <cellStyle name="Normal 2 5 4 7 5 2 2" xfId="40412"/>
    <cellStyle name="Normal 2 5 4 7 5 3" xfId="25108"/>
    <cellStyle name="Normal 2 5 4 7 5 3 2" xfId="50661"/>
    <cellStyle name="Normal 2 5 4 7 5 4" xfId="31591"/>
    <cellStyle name="Normal 2 5 4 7 6" xfId="7474"/>
    <cellStyle name="Normal 2 5 4 7 6 2" xfId="20205"/>
    <cellStyle name="Normal 2 5 4 7 6 2 2" xfId="45758"/>
    <cellStyle name="Normal 2 5 4 7 6 3" xfId="33031"/>
    <cellStyle name="Normal 2 5 4 7 7" xfId="16716"/>
    <cellStyle name="Normal 2 5 4 7 7 2" xfId="42269"/>
    <cellStyle name="Normal 2 5 4 7 8" xfId="26688"/>
    <cellStyle name="Normal 2 5 4 8" xfId="1068"/>
    <cellStyle name="Normal 2 5 4 8 2" xfId="3497"/>
    <cellStyle name="Normal 2 5 4 8 2 2" xfId="12633"/>
    <cellStyle name="Normal 2 5 4 8 2 2 2" xfId="22852"/>
    <cellStyle name="Normal 2 5 4 8 2 2 2 2" xfId="48405"/>
    <cellStyle name="Normal 2 5 4 8 2 2 3" xfId="38188"/>
    <cellStyle name="Normal 2 5 4 8 2 3" xfId="9055"/>
    <cellStyle name="Normal 2 5 4 8 2 3 2" xfId="34612"/>
    <cellStyle name="Normal 2 5 4 8 2 4" xfId="17845"/>
    <cellStyle name="Normal 2 5 4 8 2 4 2" xfId="43398"/>
    <cellStyle name="Normal 2 5 4 8 2 5" xfId="29335"/>
    <cellStyle name="Normal 2 5 4 8 3" xfId="4923"/>
    <cellStyle name="Normal 2 5 4 8 3 2" xfId="13760"/>
    <cellStyle name="Normal 2 5 4 8 3 2 2" xfId="24011"/>
    <cellStyle name="Normal 2 5 4 8 3 2 2 2" xfId="49564"/>
    <cellStyle name="Normal 2 5 4 8 3 2 3" xfId="39315"/>
    <cellStyle name="Normal 2 5 4 8 3 3" xfId="10181"/>
    <cellStyle name="Normal 2 5 4 8 3 3 2" xfId="35738"/>
    <cellStyle name="Normal 2 5 4 8 3 4" xfId="19004"/>
    <cellStyle name="Normal 2 5 4 8 3 4 2" xfId="44557"/>
    <cellStyle name="Normal 2 5 4 8 3 5" xfId="30494"/>
    <cellStyle name="Normal 2 5 4 8 4" xfId="1733"/>
    <cellStyle name="Normal 2 5 4 8 4 2" xfId="11107"/>
    <cellStyle name="Normal 2 5 4 8 4 2 2" xfId="36662"/>
    <cellStyle name="Normal 2 5 4 8 4 3" xfId="21111"/>
    <cellStyle name="Normal 2 5 4 8 4 3 2" xfId="46664"/>
    <cellStyle name="Normal 2 5 4 8 4 4" xfId="27594"/>
    <cellStyle name="Normal 2 5 4 8 5" xfId="6378"/>
    <cellStyle name="Normal 2 5 4 8 5 2" xfId="15205"/>
    <cellStyle name="Normal 2 5 4 8 5 2 2" xfId="40760"/>
    <cellStyle name="Normal 2 5 4 8 5 3" xfId="25456"/>
    <cellStyle name="Normal 2 5 4 8 5 3 2" xfId="51009"/>
    <cellStyle name="Normal 2 5 4 8 5 4" xfId="31939"/>
    <cellStyle name="Normal 2 5 4 8 6" xfId="7824"/>
    <cellStyle name="Normal 2 5 4 8 6 2" xfId="20451"/>
    <cellStyle name="Normal 2 5 4 8 6 2 2" xfId="46004"/>
    <cellStyle name="Normal 2 5 4 8 6 3" xfId="33381"/>
    <cellStyle name="Normal 2 5 4 8 7" xfId="16104"/>
    <cellStyle name="Normal 2 5 4 8 7 2" xfId="41657"/>
    <cellStyle name="Normal 2 5 4 8 8" xfId="26934"/>
    <cellStyle name="Normal 2 5 4 9" xfId="2633"/>
    <cellStyle name="Normal 2 5 4 9 2" xfId="5160"/>
    <cellStyle name="Normal 2 5 4 9 2 2" xfId="13997"/>
    <cellStyle name="Normal 2 5 4 9 2 2 2" xfId="24248"/>
    <cellStyle name="Normal 2 5 4 9 2 2 2 2" xfId="49801"/>
    <cellStyle name="Normal 2 5 4 9 2 2 3" xfId="39552"/>
    <cellStyle name="Normal 2 5 4 9 2 3" xfId="10418"/>
    <cellStyle name="Normal 2 5 4 9 2 3 2" xfId="35975"/>
    <cellStyle name="Normal 2 5 4 9 2 4" xfId="19241"/>
    <cellStyle name="Normal 2 5 4 9 2 4 2" xfId="44794"/>
    <cellStyle name="Normal 2 5 4 9 2 5" xfId="30731"/>
    <cellStyle name="Normal 2 5 4 9 3" xfId="6615"/>
    <cellStyle name="Normal 2 5 4 9 3 2" xfId="15442"/>
    <cellStyle name="Normal 2 5 4 9 3 2 2" xfId="40997"/>
    <cellStyle name="Normal 2 5 4 9 3 3" xfId="25693"/>
    <cellStyle name="Normal 2 5 4 9 3 3 2" xfId="51246"/>
    <cellStyle name="Normal 2 5 4 9 3 4" xfId="32176"/>
    <cellStyle name="Normal 2 5 4 9 4" xfId="8061"/>
    <cellStyle name="Normal 2 5 4 9 4 2" xfId="21995"/>
    <cellStyle name="Normal 2 5 4 9 4 2 2" xfId="47548"/>
    <cellStyle name="Normal 2 5 4 9 4 3" xfId="33618"/>
    <cellStyle name="Normal 2 5 4 9 5" xfId="16988"/>
    <cellStyle name="Normal 2 5 4 9 5 2" xfId="42541"/>
    <cellStyle name="Normal 2 5 4 9 6" xfId="28478"/>
    <cellStyle name="Normal 2 5 4_Degree data" xfId="3892"/>
    <cellStyle name="Normal 2 5 5" xfId="135"/>
    <cellStyle name="Normal 2 5 5 10" xfId="1403"/>
    <cellStyle name="Normal 2 5 5 10 2" xfId="10780"/>
    <cellStyle name="Normal 2 5 5 10 2 2" xfId="36335"/>
    <cellStyle name="Normal 2 5 5 10 3" xfId="20784"/>
    <cellStyle name="Normal 2 5 5 10 3 2" xfId="46337"/>
    <cellStyle name="Normal 2 5 5 10 4" xfId="27267"/>
    <cellStyle name="Normal 2 5 5 11" xfId="5514"/>
    <cellStyle name="Normal 2 5 5 11 2" xfId="14341"/>
    <cellStyle name="Normal 2 5 5 11 2 2" xfId="39896"/>
    <cellStyle name="Normal 2 5 5 11 3" xfId="24592"/>
    <cellStyle name="Normal 2 5 5 11 3 2" xfId="50145"/>
    <cellStyle name="Normal 2 5 5 11 4" xfId="31075"/>
    <cellStyle name="Normal 2 5 5 12" xfId="6954"/>
    <cellStyle name="Normal 2 5 5 12 2" xfId="19599"/>
    <cellStyle name="Normal 2 5 5 12 2 2" xfId="45152"/>
    <cellStyle name="Normal 2 5 5 12 3" xfId="32512"/>
    <cellStyle name="Normal 2 5 5 13" xfId="15777"/>
    <cellStyle name="Normal 2 5 5 13 2" xfId="41330"/>
    <cellStyle name="Normal 2 5 5 14" xfId="26082"/>
    <cellStyle name="Normal 2 5 5 2" xfId="185"/>
    <cellStyle name="Normal 2 5 5 2 10" xfId="7133"/>
    <cellStyle name="Normal 2 5 5 2 10 2" xfId="19642"/>
    <cellStyle name="Normal 2 5 5 2 10 2 2" xfId="45195"/>
    <cellStyle name="Normal 2 5 5 2 10 3" xfId="32690"/>
    <cellStyle name="Normal 2 5 5 2 11" xfId="15879"/>
    <cellStyle name="Normal 2 5 5 2 11 2" xfId="41432"/>
    <cellStyle name="Normal 2 5 5 2 12" xfId="26125"/>
    <cellStyle name="Normal 2 5 5 2 2" xfId="513"/>
    <cellStyle name="Normal 2 5 5 2 2 10" xfId="26442"/>
    <cellStyle name="Normal 2 5 5 2 2 2" xfId="771"/>
    <cellStyle name="Normal 2 5 5 2 2 2 2" xfId="3257"/>
    <cellStyle name="Normal 2 5 5 2 2 2 2 2" xfId="12399"/>
    <cellStyle name="Normal 2 5 5 2 2 2 2 2 2" xfId="22618"/>
    <cellStyle name="Normal 2 5 5 2 2 2 2 2 2 2" xfId="48171"/>
    <cellStyle name="Normal 2 5 5 2 2 2 2 2 3" xfId="37954"/>
    <cellStyle name="Normal 2 5 5 2 2 2 2 3" xfId="8821"/>
    <cellStyle name="Normal 2 5 5 2 2 2 2 3 2" xfId="34378"/>
    <cellStyle name="Normal 2 5 5 2 2 2 2 4" xfId="17611"/>
    <cellStyle name="Normal 2 5 5 2 2 2 2 4 2" xfId="43164"/>
    <cellStyle name="Normal 2 5 5 2 2 2 2 5" xfId="29101"/>
    <cellStyle name="Normal 2 5 5 2 2 2 3" xfId="4586"/>
    <cellStyle name="Normal 2 5 5 2 2 2 3 2" xfId="13424"/>
    <cellStyle name="Normal 2 5 5 2 2 2 3 2 2" xfId="23675"/>
    <cellStyle name="Normal 2 5 5 2 2 2 3 2 2 2" xfId="49228"/>
    <cellStyle name="Normal 2 5 5 2 2 2 3 2 3" xfId="38979"/>
    <cellStyle name="Normal 2 5 5 2 2 2 3 3" xfId="9845"/>
    <cellStyle name="Normal 2 5 5 2 2 2 3 3 2" xfId="35402"/>
    <cellStyle name="Normal 2 5 5 2 2 2 3 4" xfId="18668"/>
    <cellStyle name="Normal 2 5 5 2 2 2 3 4 2" xfId="44221"/>
    <cellStyle name="Normal 2 5 5 2 2 2 3 5" xfId="30158"/>
    <cellStyle name="Normal 2 5 5 2 2 2 4" xfId="2366"/>
    <cellStyle name="Normal 2 5 5 2 2 2 4 2" xfId="11731"/>
    <cellStyle name="Normal 2 5 5 2 2 2 4 2 2" xfId="37286"/>
    <cellStyle name="Normal 2 5 5 2 2 2 4 3" xfId="21735"/>
    <cellStyle name="Normal 2 5 5 2 2 2 4 3 2" xfId="47288"/>
    <cellStyle name="Normal 2 5 5 2 2 2 4 4" xfId="28218"/>
    <cellStyle name="Normal 2 5 5 2 2 2 5" xfId="6042"/>
    <cellStyle name="Normal 2 5 5 2 2 2 5 2" xfId="14869"/>
    <cellStyle name="Normal 2 5 5 2 2 2 5 2 2" xfId="40424"/>
    <cellStyle name="Normal 2 5 5 2 2 2 5 3" xfId="25120"/>
    <cellStyle name="Normal 2 5 5 2 2 2 5 3 2" xfId="50673"/>
    <cellStyle name="Normal 2 5 5 2 2 2 5 4" xfId="31603"/>
    <cellStyle name="Normal 2 5 5 2 2 2 6" xfId="7486"/>
    <cellStyle name="Normal 2 5 5 2 2 2 6 2" xfId="20217"/>
    <cellStyle name="Normal 2 5 5 2 2 2 6 2 2" xfId="45770"/>
    <cellStyle name="Normal 2 5 5 2 2 2 6 3" xfId="33043"/>
    <cellStyle name="Normal 2 5 5 2 2 2 7" xfId="16728"/>
    <cellStyle name="Normal 2 5 5 2 2 2 7 2" xfId="42281"/>
    <cellStyle name="Normal 2 5 5 2 2 2 8" xfId="26700"/>
    <cellStyle name="Normal 2 5 5 2 2 3" xfId="1285"/>
    <cellStyle name="Normal 2 5 5 2 2 3 2" xfId="3714"/>
    <cellStyle name="Normal 2 5 5 2 2 3 2 2" xfId="12850"/>
    <cellStyle name="Normal 2 5 5 2 2 3 2 2 2" xfId="23069"/>
    <cellStyle name="Normal 2 5 5 2 2 3 2 2 2 2" xfId="48622"/>
    <cellStyle name="Normal 2 5 5 2 2 3 2 2 3" xfId="38405"/>
    <cellStyle name="Normal 2 5 5 2 2 3 2 3" xfId="9271"/>
    <cellStyle name="Normal 2 5 5 2 2 3 2 3 2" xfId="34828"/>
    <cellStyle name="Normal 2 5 5 2 2 3 2 4" xfId="18062"/>
    <cellStyle name="Normal 2 5 5 2 2 3 2 4 2" xfId="43615"/>
    <cellStyle name="Normal 2 5 5 2 2 3 2 5" xfId="29552"/>
    <cellStyle name="Normal 2 5 5 2 2 3 3" xfId="4935"/>
    <cellStyle name="Normal 2 5 5 2 2 3 3 2" xfId="13772"/>
    <cellStyle name="Normal 2 5 5 2 2 3 3 2 2" xfId="24023"/>
    <cellStyle name="Normal 2 5 5 2 2 3 3 2 2 2" xfId="49576"/>
    <cellStyle name="Normal 2 5 5 2 2 3 3 2 3" xfId="39327"/>
    <cellStyle name="Normal 2 5 5 2 2 3 3 3" xfId="10193"/>
    <cellStyle name="Normal 2 5 5 2 2 3 3 3 2" xfId="35750"/>
    <cellStyle name="Normal 2 5 5 2 2 3 3 4" xfId="19016"/>
    <cellStyle name="Normal 2 5 5 2 2 3 3 4 2" xfId="44569"/>
    <cellStyle name="Normal 2 5 5 2 2 3 3 5" xfId="30506"/>
    <cellStyle name="Normal 2 5 5 2 2 3 4" xfId="2108"/>
    <cellStyle name="Normal 2 5 5 2 2 3 4 2" xfId="11473"/>
    <cellStyle name="Normal 2 5 5 2 2 3 4 2 2" xfId="37028"/>
    <cellStyle name="Normal 2 5 5 2 2 3 4 3" xfId="21477"/>
    <cellStyle name="Normal 2 5 5 2 2 3 4 3 2" xfId="47030"/>
    <cellStyle name="Normal 2 5 5 2 2 3 4 4" xfId="27960"/>
    <cellStyle name="Normal 2 5 5 2 2 3 5" xfId="6390"/>
    <cellStyle name="Normal 2 5 5 2 2 3 5 2" xfId="15217"/>
    <cellStyle name="Normal 2 5 5 2 2 3 5 2 2" xfId="40772"/>
    <cellStyle name="Normal 2 5 5 2 2 3 5 3" xfId="25468"/>
    <cellStyle name="Normal 2 5 5 2 2 3 5 3 2" xfId="51021"/>
    <cellStyle name="Normal 2 5 5 2 2 3 5 4" xfId="31951"/>
    <cellStyle name="Normal 2 5 5 2 2 3 6" xfId="7836"/>
    <cellStyle name="Normal 2 5 5 2 2 3 6 2" xfId="20668"/>
    <cellStyle name="Normal 2 5 5 2 2 3 6 2 2" xfId="46221"/>
    <cellStyle name="Normal 2 5 5 2 2 3 6 3" xfId="33393"/>
    <cellStyle name="Normal 2 5 5 2 2 3 7" xfId="16470"/>
    <cellStyle name="Normal 2 5 5 2 2 3 7 2" xfId="42023"/>
    <cellStyle name="Normal 2 5 5 2 2 3 8" xfId="27151"/>
    <cellStyle name="Normal 2 5 5 2 2 4" xfId="2999"/>
    <cellStyle name="Normal 2 5 5 2 2 4 2" xfId="5377"/>
    <cellStyle name="Normal 2 5 5 2 2 4 2 2" xfId="14214"/>
    <cellStyle name="Normal 2 5 5 2 2 4 2 2 2" xfId="24465"/>
    <cellStyle name="Normal 2 5 5 2 2 4 2 2 2 2" xfId="50018"/>
    <cellStyle name="Normal 2 5 5 2 2 4 2 2 3" xfId="39769"/>
    <cellStyle name="Normal 2 5 5 2 2 4 2 3" xfId="10635"/>
    <cellStyle name="Normal 2 5 5 2 2 4 2 3 2" xfId="36192"/>
    <cellStyle name="Normal 2 5 5 2 2 4 2 4" xfId="19458"/>
    <cellStyle name="Normal 2 5 5 2 2 4 2 4 2" xfId="45011"/>
    <cellStyle name="Normal 2 5 5 2 2 4 2 5" xfId="30948"/>
    <cellStyle name="Normal 2 5 5 2 2 4 3" xfId="6832"/>
    <cellStyle name="Normal 2 5 5 2 2 4 3 2" xfId="15659"/>
    <cellStyle name="Normal 2 5 5 2 2 4 3 2 2" xfId="41214"/>
    <cellStyle name="Normal 2 5 5 2 2 4 3 3" xfId="25910"/>
    <cellStyle name="Normal 2 5 5 2 2 4 3 3 2" xfId="51463"/>
    <cellStyle name="Normal 2 5 5 2 2 4 3 4" xfId="32393"/>
    <cellStyle name="Normal 2 5 5 2 2 4 4" xfId="8278"/>
    <cellStyle name="Normal 2 5 5 2 2 4 4 2" xfId="22360"/>
    <cellStyle name="Normal 2 5 5 2 2 4 4 2 2" xfId="47913"/>
    <cellStyle name="Normal 2 5 5 2 2 4 4 3" xfId="33835"/>
    <cellStyle name="Normal 2 5 5 2 2 4 5" xfId="17353"/>
    <cellStyle name="Normal 2 5 5 2 2 4 5 2" xfId="42906"/>
    <cellStyle name="Normal 2 5 5 2 2 4 6" xfId="28843"/>
    <cellStyle name="Normal 2 5 5 2 2 5" xfId="4333"/>
    <cellStyle name="Normal 2 5 5 2 2 5 2" xfId="13171"/>
    <cellStyle name="Normal 2 5 5 2 2 5 2 2" xfId="23422"/>
    <cellStyle name="Normal 2 5 5 2 2 5 2 2 2" xfId="48975"/>
    <cellStyle name="Normal 2 5 5 2 2 5 2 3" xfId="38726"/>
    <cellStyle name="Normal 2 5 5 2 2 5 3" xfId="9592"/>
    <cellStyle name="Normal 2 5 5 2 2 5 3 2" xfId="35149"/>
    <cellStyle name="Normal 2 5 5 2 2 5 4" xfId="18415"/>
    <cellStyle name="Normal 2 5 5 2 2 5 4 2" xfId="43968"/>
    <cellStyle name="Normal 2 5 5 2 2 5 5" xfId="29905"/>
    <cellStyle name="Normal 2 5 5 2 2 6" xfId="1605"/>
    <cellStyle name="Normal 2 5 5 2 2 6 2" xfId="10982"/>
    <cellStyle name="Normal 2 5 5 2 2 6 2 2" xfId="36537"/>
    <cellStyle name="Normal 2 5 5 2 2 6 3" xfId="20986"/>
    <cellStyle name="Normal 2 5 5 2 2 6 3 2" xfId="46539"/>
    <cellStyle name="Normal 2 5 5 2 2 6 4" xfId="27469"/>
    <cellStyle name="Normal 2 5 5 2 2 7" xfId="5789"/>
    <cellStyle name="Normal 2 5 5 2 2 7 2" xfId="14616"/>
    <cellStyle name="Normal 2 5 5 2 2 7 2 2" xfId="40171"/>
    <cellStyle name="Normal 2 5 5 2 2 7 3" xfId="24867"/>
    <cellStyle name="Normal 2 5 5 2 2 7 3 2" xfId="50420"/>
    <cellStyle name="Normal 2 5 5 2 2 7 4" xfId="31350"/>
    <cellStyle name="Normal 2 5 5 2 2 8" xfId="7233"/>
    <cellStyle name="Normal 2 5 5 2 2 8 2" xfId="19959"/>
    <cellStyle name="Normal 2 5 5 2 2 8 2 2" xfId="45512"/>
    <cellStyle name="Normal 2 5 5 2 2 8 3" xfId="32790"/>
    <cellStyle name="Normal 2 5 5 2 2 9" xfId="15979"/>
    <cellStyle name="Normal 2 5 5 2 2 9 2" xfId="41532"/>
    <cellStyle name="Normal 2 5 5 2 2_Degree data" xfId="3464"/>
    <cellStyle name="Normal 2 5 5 2 3" xfId="413"/>
    <cellStyle name="Normal 2 5 5 2 3 2" xfId="2899"/>
    <cellStyle name="Normal 2 5 5 2 3 2 2" xfId="12187"/>
    <cellStyle name="Normal 2 5 5 2 3 2 2 2" xfId="22260"/>
    <cellStyle name="Normal 2 5 5 2 3 2 2 2 2" xfId="47813"/>
    <cellStyle name="Normal 2 5 5 2 3 2 2 3" xfId="37742"/>
    <cellStyle name="Normal 2 5 5 2 3 2 3" xfId="8453"/>
    <cellStyle name="Normal 2 5 5 2 3 2 3 2" xfId="34010"/>
    <cellStyle name="Normal 2 5 5 2 3 2 4" xfId="17253"/>
    <cellStyle name="Normal 2 5 5 2 3 2 4 2" xfId="42806"/>
    <cellStyle name="Normal 2 5 5 2 3 2 5" xfId="28743"/>
    <cellStyle name="Normal 2 5 5 2 3 3" xfId="4585"/>
    <cellStyle name="Normal 2 5 5 2 3 3 2" xfId="13423"/>
    <cellStyle name="Normal 2 5 5 2 3 3 2 2" xfId="23674"/>
    <cellStyle name="Normal 2 5 5 2 3 3 2 2 2" xfId="49227"/>
    <cellStyle name="Normal 2 5 5 2 3 3 2 3" xfId="38978"/>
    <cellStyle name="Normal 2 5 5 2 3 3 3" xfId="9844"/>
    <cellStyle name="Normal 2 5 5 2 3 3 3 2" xfId="35401"/>
    <cellStyle name="Normal 2 5 5 2 3 3 4" xfId="18667"/>
    <cellStyle name="Normal 2 5 5 2 3 3 4 2" xfId="44220"/>
    <cellStyle name="Normal 2 5 5 2 3 3 5" xfId="30157"/>
    <cellStyle name="Normal 2 5 5 2 3 4" xfId="2008"/>
    <cellStyle name="Normal 2 5 5 2 3 4 2" xfId="11373"/>
    <cellStyle name="Normal 2 5 5 2 3 4 2 2" xfId="36928"/>
    <cellStyle name="Normal 2 5 5 2 3 4 3" xfId="21377"/>
    <cellStyle name="Normal 2 5 5 2 3 4 3 2" xfId="46930"/>
    <cellStyle name="Normal 2 5 5 2 3 4 4" xfId="27860"/>
    <cellStyle name="Normal 2 5 5 2 3 5" xfId="6041"/>
    <cellStyle name="Normal 2 5 5 2 3 5 2" xfId="14868"/>
    <cellStyle name="Normal 2 5 5 2 3 5 2 2" xfId="40423"/>
    <cellStyle name="Normal 2 5 5 2 3 5 3" xfId="25119"/>
    <cellStyle name="Normal 2 5 5 2 3 5 3 2" xfId="50672"/>
    <cellStyle name="Normal 2 5 5 2 3 5 4" xfId="31602"/>
    <cellStyle name="Normal 2 5 5 2 3 6" xfId="7485"/>
    <cellStyle name="Normal 2 5 5 2 3 6 2" xfId="19859"/>
    <cellStyle name="Normal 2 5 5 2 3 6 2 2" xfId="45412"/>
    <cellStyle name="Normal 2 5 5 2 3 6 3" xfId="33042"/>
    <cellStyle name="Normal 2 5 5 2 3 7" xfId="16370"/>
    <cellStyle name="Normal 2 5 5 2 3 7 2" xfId="41923"/>
    <cellStyle name="Normal 2 5 5 2 3 8" xfId="26342"/>
    <cellStyle name="Normal 2 5 5 2 4" xfId="770"/>
    <cellStyle name="Normal 2 5 5 2 4 2" xfId="3256"/>
    <cellStyle name="Normal 2 5 5 2 4 2 2" xfId="12398"/>
    <cellStyle name="Normal 2 5 5 2 4 2 2 2" xfId="22617"/>
    <cellStyle name="Normal 2 5 5 2 4 2 2 2 2" xfId="48170"/>
    <cellStyle name="Normal 2 5 5 2 4 2 2 3" xfId="37953"/>
    <cellStyle name="Normal 2 5 5 2 4 2 3" xfId="8820"/>
    <cellStyle name="Normal 2 5 5 2 4 2 3 2" xfId="34377"/>
    <cellStyle name="Normal 2 5 5 2 4 2 4" xfId="17610"/>
    <cellStyle name="Normal 2 5 5 2 4 2 4 2" xfId="43163"/>
    <cellStyle name="Normal 2 5 5 2 4 2 5" xfId="29100"/>
    <cellStyle name="Normal 2 5 5 2 4 3" xfId="4934"/>
    <cellStyle name="Normal 2 5 5 2 4 3 2" xfId="13771"/>
    <cellStyle name="Normal 2 5 5 2 4 3 2 2" xfId="24022"/>
    <cellStyle name="Normal 2 5 5 2 4 3 2 2 2" xfId="49575"/>
    <cellStyle name="Normal 2 5 5 2 4 3 2 3" xfId="39326"/>
    <cellStyle name="Normal 2 5 5 2 4 3 3" xfId="10192"/>
    <cellStyle name="Normal 2 5 5 2 4 3 3 2" xfId="35749"/>
    <cellStyle name="Normal 2 5 5 2 4 3 4" xfId="19015"/>
    <cellStyle name="Normal 2 5 5 2 4 3 4 2" xfId="44568"/>
    <cellStyle name="Normal 2 5 5 2 4 3 5" xfId="30505"/>
    <cellStyle name="Normal 2 5 5 2 4 4" xfId="2365"/>
    <cellStyle name="Normal 2 5 5 2 4 4 2" xfId="11730"/>
    <cellStyle name="Normal 2 5 5 2 4 4 2 2" xfId="37285"/>
    <cellStyle name="Normal 2 5 5 2 4 4 3" xfId="21734"/>
    <cellStyle name="Normal 2 5 5 2 4 4 3 2" xfId="47287"/>
    <cellStyle name="Normal 2 5 5 2 4 4 4" xfId="28217"/>
    <cellStyle name="Normal 2 5 5 2 4 5" xfId="6389"/>
    <cellStyle name="Normal 2 5 5 2 4 5 2" xfId="15216"/>
    <cellStyle name="Normal 2 5 5 2 4 5 2 2" xfId="40771"/>
    <cellStyle name="Normal 2 5 5 2 4 5 3" xfId="25467"/>
    <cellStyle name="Normal 2 5 5 2 4 5 3 2" xfId="51020"/>
    <cellStyle name="Normal 2 5 5 2 4 5 4" xfId="31950"/>
    <cellStyle name="Normal 2 5 5 2 4 6" xfId="7835"/>
    <cellStyle name="Normal 2 5 5 2 4 6 2" xfId="20216"/>
    <cellStyle name="Normal 2 5 5 2 4 6 2 2" xfId="45769"/>
    <cellStyle name="Normal 2 5 5 2 4 6 3" xfId="33392"/>
    <cellStyle name="Normal 2 5 5 2 4 7" xfId="16727"/>
    <cellStyle name="Normal 2 5 5 2 4 7 2" xfId="42280"/>
    <cellStyle name="Normal 2 5 5 2 4 8" xfId="26699"/>
    <cellStyle name="Normal 2 5 5 2 5" xfId="1185"/>
    <cellStyle name="Normal 2 5 5 2 5 2" xfId="3614"/>
    <cellStyle name="Normal 2 5 5 2 5 2 2" xfId="12750"/>
    <cellStyle name="Normal 2 5 5 2 5 2 2 2" xfId="22969"/>
    <cellStyle name="Normal 2 5 5 2 5 2 2 2 2" xfId="48522"/>
    <cellStyle name="Normal 2 5 5 2 5 2 2 3" xfId="38305"/>
    <cellStyle name="Normal 2 5 5 2 5 2 3" xfId="9171"/>
    <cellStyle name="Normal 2 5 5 2 5 2 3 2" xfId="34728"/>
    <cellStyle name="Normal 2 5 5 2 5 2 4" xfId="17962"/>
    <cellStyle name="Normal 2 5 5 2 5 2 4 2" xfId="43515"/>
    <cellStyle name="Normal 2 5 5 2 5 2 5" xfId="29452"/>
    <cellStyle name="Normal 2 5 5 2 5 3" xfId="5277"/>
    <cellStyle name="Normal 2 5 5 2 5 3 2" xfId="14114"/>
    <cellStyle name="Normal 2 5 5 2 5 3 2 2" xfId="24365"/>
    <cellStyle name="Normal 2 5 5 2 5 3 2 2 2" xfId="49918"/>
    <cellStyle name="Normal 2 5 5 2 5 3 2 3" xfId="39669"/>
    <cellStyle name="Normal 2 5 5 2 5 3 3" xfId="10535"/>
    <cellStyle name="Normal 2 5 5 2 5 3 3 2" xfId="36092"/>
    <cellStyle name="Normal 2 5 5 2 5 3 4" xfId="19358"/>
    <cellStyle name="Normal 2 5 5 2 5 3 4 2" xfId="44911"/>
    <cellStyle name="Normal 2 5 5 2 5 3 5" xfId="30848"/>
    <cellStyle name="Normal 2 5 5 2 5 4" xfId="1787"/>
    <cellStyle name="Normal 2 5 5 2 5 4 2" xfId="11156"/>
    <cellStyle name="Normal 2 5 5 2 5 4 2 2" xfId="36711"/>
    <cellStyle name="Normal 2 5 5 2 5 4 3" xfId="21160"/>
    <cellStyle name="Normal 2 5 5 2 5 4 3 2" xfId="46713"/>
    <cellStyle name="Normal 2 5 5 2 5 4 4" xfId="27643"/>
    <cellStyle name="Normal 2 5 5 2 5 5" xfId="6732"/>
    <cellStyle name="Normal 2 5 5 2 5 5 2" xfId="15559"/>
    <cellStyle name="Normal 2 5 5 2 5 5 2 2" xfId="41114"/>
    <cellStyle name="Normal 2 5 5 2 5 5 3" xfId="25810"/>
    <cellStyle name="Normal 2 5 5 2 5 5 3 2" xfId="51363"/>
    <cellStyle name="Normal 2 5 5 2 5 5 4" xfId="32293"/>
    <cellStyle name="Normal 2 5 5 2 5 6" xfId="8178"/>
    <cellStyle name="Normal 2 5 5 2 5 6 2" xfId="20568"/>
    <cellStyle name="Normal 2 5 5 2 5 6 2 2" xfId="46121"/>
    <cellStyle name="Normal 2 5 5 2 5 6 3" xfId="33735"/>
    <cellStyle name="Normal 2 5 5 2 5 7" xfId="16153"/>
    <cellStyle name="Normal 2 5 5 2 5 7 2" xfId="41706"/>
    <cellStyle name="Normal 2 5 5 2 5 8" xfId="27051"/>
    <cellStyle name="Normal 2 5 5 2 6" xfId="2682"/>
    <cellStyle name="Normal 2 5 5 2 6 2" xfId="11999"/>
    <cellStyle name="Normal 2 5 5 2 6 2 2" xfId="22043"/>
    <cellStyle name="Normal 2 5 5 2 6 2 2 2" xfId="47596"/>
    <cellStyle name="Normal 2 5 5 2 6 2 3" xfId="37554"/>
    <cellStyle name="Normal 2 5 5 2 6 3" xfId="8498"/>
    <cellStyle name="Normal 2 5 5 2 6 3 2" xfId="34055"/>
    <cellStyle name="Normal 2 5 5 2 6 4" xfId="17036"/>
    <cellStyle name="Normal 2 5 5 2 6 4 2" xfId="42589"/>
    <cellStyle name="Normal 2 5 5 2 6 5" xfId="28526"/>
    <cellStyle name="Normal 2 5 5 2 7" xfId="4233"/>
    <cellStyle name="Normal 2 5 5 2 7 2" xfId="13071"/>
    <cellStyle name="Normal 2 5 5 2 7 2 2" xfId="23322"/>
    <cellStyle name="Normal 2 5 5 2 7 2 2 2" xfId="48875"/>
    <cellStyle name="Normal 2 5 5 2 7 2 3" xfId="38626"/>
    <cellStyle name="Normal 2 5 5 2 7 3" xfId="9492"/>
    <cellStyle name="Normal 2 5 5 2 7 3 2" xfId="35049"/>
    <cellStyle name="Normal 2 5 5 2 7 4" xfId="18315"/>
    <cellStyle name="Normal 2 5 5 2 7 4 2" xfId="43868"/>
    <cellStyle name="Normal 2 5 5 2 7 5" xfId="29805"/>
    <cellStyle name="Normal 2 5 5 2 8" xfId="1505"/>
    <cellStyle name="Normal 2 5 5 2 8 2" xfId="10882"/>
    <cellStyle name="Normal 2 5 5 2 8 2 2" xfId="36437"/>
    <cellStyle name="Normal 2 5 5 2 8 3" xfId="20886"/>
    <cellStyle name="Normal 2 5 5 2 8 3 2" xfId="46439"/>
    <cellStyle name="Normal 2 5 5 2 8 4" xfId="27369"/>
    <cellStyle name="Normal 2 5 5 2 9" xfId="5689"/>
    <cellStyle name="Normal 2 5 5 2 9 2" xfId="14516"/>
    <cellStyle name="Normal 2 5 5 2 9 2 2" xfId="40071"/>
    <cellStyle name="Normal 2 5 5 2 9 3" xfId="24767"/>
    <cellStyle name="Normal 2 5 5 2 9 3 2" xfId="50320"/>
    <cellStyle name="Normal 2 5 5 2 9 4" xfId="31250"/>
    <cellStyle name="Normal 2 5 5 2_Degree data" xfId="3886"/>
    <cellStyle name="Normal 2 5 5 3" xfId="252"/>
    <cellStyle name="Normal 2 5 5 3 10" xfId="7090"/>
    <cellStyle name="Normal 2 5 5 3 10 2" xfId="19704"/>
    <cellStyle name="Normal 2 5 5 3 10 2 2" xfId="45257"/>
    <cellStyle name="Normal 2 5 5 3 10 3" xfId="32647"/>
    <cellStyle name="Normal 2 5 5 3 11" xfId="15836"/>
    <cellStyle name="Normal 2 5 5 3 11 2" xfId="41389"/>
    <cellStyle name="Normal 2 5 5 3 12" xfId="26187"/>
    <cellStyle name="Normal 2 5 5 3 2" xfId="575"/>
    <cellStyle name="Normal 2 5 5 3 2 10" xfId="26504"/>
    <cellStyle name="Normal 2 5 5 3 2 2" xfId="773"/>
    <cellStyle name="Normal 2 5 5 3 2 2 2" xfId="3259"/>
    <cellStyle name="Normal 2 5 5 3 2 2 2 2" xfId="12401"/>
    <cellStyle name="Normal 2 5 5 3 2 2 2 2 2" xfId="22620"/>
    <cellStyle name="Normal 2 5 5 3 2 2 2 2 2 2" xfId="48173"/>
    <cellStyle name="Normal 2 5 5 3 2 2 2 2 3" xfId="37956"/>
    <cellStyle name="Normal 2 5 5 3 2 2 2 3" xfId="8823"/>
    <cellStyle name="Normal 2 5 5 3 2 2 2 3 2" xfId="34380"/>
    <cellStyle name="Normal 2 5 5 3 2 2 2 4" xfId="17613"/>
    <cellStyle name="Normal 2 5 5 3 2 2 2 4 2" xfId="43166"/>
    <cellStyle name="Normal 2 5 5 3 2 2 2 5" xfId="29103"/>
    <cellStyle name="Normal 2 5 5 3 2 2 3" xfId="4588"/>
    <cellStyle name="Normal 2 5 5 3 2 2 3 2" xfId="13426"/>
    <cellStyle name="Normal 2 5 5 3 2 2 3 2 2" xfId="23677"/>
    <cellStyle name="Normal 2 5 5 3 2 2 3 2 2 2" xfId="49230"/>
    <cellStyle name="Normal 2 5 5 3 2 2 3 2 3" xfId="38981"/>
    <cellStyle name="Normal 2 5 5 3 2 2 3 3" xfId="9847"/>
    <cellStyle name="Normal 2 5 5 3 2 2 3 3 2" xfId="35404"/>
    <cellStyle name="Normal 2 5 5 3 2 2 3 4" xfId="18670"/>
    <cellStyle name="Normal 2 5 5 3 2 2 3 4 2" xfId="44223"/>
    <cellStyle name="Normal 2 5 5 3 2 2 3 5" xfId="30160"/>
    <cellStyle name="Normal 2 5 5 3 2 2 4" xfId="2368"/>
    <cellStyle name="Normal 2 5 5 3 2 2 4 2" xfId="11733"/>
    <cellStyle name="Normal 2 5 5 3 2 2 4 2 2" xfId="37288"/>
    <cellStyle name="Normal 2 5 5 3 2 2 4 3" xfId="21737"/>
    <cellStyle name="Normal 2 5 5 3 2 2 4 3 2" xfId="47290"/>
    <cellStyle name="Normal 2 5 5 3 2 2 4 4" xfId="28220"/>
    <cellStyle name="Normal 2 5 5 3 2 2 5" xfId="6044"/>
    <cellStyle name="Normal 2 5 5 3 2 2 5 2" xfId="14871"/>
    <cellStyle name="Normal 2 5 5 3 2 2 5 2 2" xfId="40426"/>
    <cellStyle name="Normal 2 5 5 3 2 2 5 3" xfId="25122"/>
    <cellStyle name="Normal 2 5 5 3 2 2 5 3 2" xfId="50675"/>
    <cellStyle name="Normal 2 5 5 3 2 2 5 4" xfId="31605"/>
    <cellStyle name="Normal 2 5 5 3 2 2 6" xfId="7488"/>
    <cellStyle name="Normal 2 5 5 3 2 2 6 2" xfId="20219"/>
    <cellStyle name="Normal 2 5 5 3 2 2 6 2 2" xfId="45772"/>
    <cellStyle name="Normal 2 5 5 3 2 2 6 3" xfId="33045"/>
    <cellStyle name="Normal 2 5 5 3 2 2 7" xfId="16730"/>
    <cellStyle name="Normal 2 5 5 3 2 2 7 2" xfId="42283"/>
    <cellStyle name="Normal 2 5 5 3 2 2 8" xfId="26702"/>
    <cellStyle name="Normal 2 5 5 3 2 3" xfId="1347"/>
    <cellStyle name="Normal 2 5 5 3 2 3 2" xfId="3776"/>
    <cellStyle name="Normal 2 5 5 3 2 3 2 2" xfId="12912"/>
    <cellStyle name="Normal 2 5 5 3 2 3 2 2 2" xfId="23131"/>
    <cellStyle name="Normal 2 5 5 3 2 3 2 2 2 2" xfId="48684"/>
    <cellStyle name="Normal 2 5 5 3 2 3 2 2 3" xfId="38467"/>
    <cellStyle name="Normal 2 5 5 3 2 3 2 3" xfId="9333"/>
    <cellStyle name="Normal 2 5 5 3 2 3 2 3 2" xfId="34890"/>
    <cellStyle name="Normal 2 5 5 3 2 3 2 4" xfId="18124"/>
    <cellStyle name="Normal 2 5 5 3 2 3 2 4 2" xfId="43677"/>
    <cellStyle name="Normal 2 5 5 3 2 3 2 5" xfId="29614"/>
    <cellStyle name="Normal 2 5 5 3 2 3 3" xfId="4937"/>
    <cellStyle name="Normal 2 5 5 3 2 3 3 2" xfId="13774"/>
    <cellStyle name="Normal 2 5 5 3 2 3 3 2 2" xfId="24025"/>
    <cellStyle name="Normal 2 5 5 3 2 3 3 2 2 2" xfId="49578"/>
    <cellStyle name="Normal 2 5 5 3 2 3 3 2 3" xfId="39329"/>
    <cellStyle name="Normal 2 5 5 3 2 3 3 3" xfId="10195"/>
    <cellStyle name="Normal 2 5 5 3 2 3 3 3 2" xfId="35752"/>
    <cellStyle name="Normal 2 5 5 3 2 3 3 4" xfId="19018"/>
    <cellStyle name="Normal 2 5 5 3 2 3 3 4 2" xfId="44571"/>
    <cellStyle name="Normal 2 5 5 3 2 3 3 5" xfId="30508"/>
    <cellStyle name="Normal 2 5 5 3 2 3 4" xfId="2170"/>
    <cellStyle name="Normal 2 5 5 3 2 3 4 2" xfId="11535"/>
    <cellStyle name="Normal 2 5 5 3 2 3 4 2 2" xfId="37090"/>
    <cellStyle name="Normal 2 5 5 3 2 3 4 3" xfId="21539"/>
    <cellStyle name="Normal 2 5 5 3 2 3 4 3 2" xfId="47092"/>
    <cellStyle name="Normal 2 5 5 3 2 3 4 4" xfId="28022"/>
    <cellStyle name="Normal 2 5 5 3 2 3 5" xfId="6392"/>
    <cellStyle name="Normal 2 5 5 3 2 3 5 2" xfId="15219"/>
    <cellStyle name="Normal 2 5 5 3 2 3 5 2 2" xfId="40774"/>
    <cellStyle name="Normal 2 5 5 3 2 3 5 3" xfId="25470"/>
    <cellStyle name="Normal 2 5 5 3 2 3 5 3 2" xfId="51023"/>
    <cellStyle name="Normal 2 5 5 3 2 3 5 4" xfId="31953"/>
    <cellStyle name="Normal 2 5 5 3 2 3 6" xfId="7838"/>
    <cellStyle name="Normal 2 5 5 3 2 3 6 2" xfId="20730"/>
    <cellStyle name="Normal 2 5 5 3 2 3 6 2 2" xfId="46283"/>
    <cellStyle name="Normal 2 5 5 3 2 3 6 3" xfId="33395"/>
    <cellStyle name="Normal 2 5 5 3 2 3 7" xfId="16532"/>
    <cellStyle name="Normal 2 5 5 3 2 3 7 2" xfId="42085"/>
    <cellStyle name="Normal 2 5 5 3 2 3 8" xfId="27213"/>
    <cellStyle name="Normal 2 5 5 3 2 4" xfId="3061"/>
    <cellStyle name="Normal 2 5 5 3 2 4 2" xfId="5439"/>
    <cellStyle name="Normal 2 5 5 3 2 4 2 2" xfId="14276"/>
    <cellStyle name="Normal 2 5 5 3 2 4 2 2 2" xfId="24527"/>
    <cellStyle name="Normal 2 5 5 3 2 4 2 2 2 2" xfId="50080"/>
    <cellStyle name="Normal 2 5 5 3 2 4 2 2 3" xfId="39831"/>
    <cellStyle name="Normal 2 5 5 3 2 4 2 3" xfId="10697"/>
    <cellStyle name="Normal 2 5 5 3 2 4 2 3 2" xfId="36254"/>
    <cellStyle name="Normal 2 5 5 3 2 4 2 4" xfId="19520"/>
    <cellStyle name="Normal 2 5 5 3 2 4 2 4 2" xfId="45073"/>
    <cellStyle name="Normal 2 5 5 3 2 4 2 5" xfId="31010"/>
    <cellStyle name="Normal 2 5 5 3 2 4 3" xfId="6894"/>
    <cellStyle name="Normal 2 5 5 3 2 4 3 2" xfId="15721"/>
    <cellStyle name="Normal 2 5 5 3 2 4 3 2 2" xfId="41276"/>
    <cellStyle name="Normal 2 5 5 3 2 4 3 3" xfId="25972"/>
    <cellStyle name="Normal 2 5 5 3 2 4 3 3 2" xfId="51525"/>
    <cellStyle name="Normal 2 5 5 3 2 4 3 4" xfId="32455"/>
    <cellStyle name="Normal 2 5 5 3 2 4 4" xfId="8340"/>
    <cellStyle name="Normal 2 5 5 3 2 4 4 2" xfId="22422"/>
    <cellStyle name="Normal 2 5 5 3 2 4 4 2 2" xfId="47975"/>
    <cellStyle name="Normal 2 5 5 3 2 4 4 3" xfId="33897"/>
    <cellStyle name="Normal 2 5 5 3 2 4 5" xfId="17415"/>
    <cellStyle name="Normal 2 5 5 3 2 4 5 2" xfId="42968"/>
    <cellStyle name="Normal 2 5 5 3 2 4 6" xfId="28905"/>
    <cellStyle name="Normal 2 5 5 3 2 5" xfId="4395"/>
    <cellStyle name="Normal 2 5 5 3 2 5 2" xfId="13233"/>
    <cellStyle name="Normal 2 5 5 3 2 5 2 2" xfId="23484"/>
    <cellStyle name="Normal 2 5 5 3 2 5 2 2 2" xfId="49037"/>
    <cellStyle name="Normal 2 5 5 3 2 5 2 3" xfId="38788"/>
    <cellStyle name="Normal 2 5 5 3 2 5 3" xfId="9654"/>
    <cellStyle name="Normal 2 5 5 3 2 5 3 2" xfId="35211"/>
    <cellStyle name="Normal 2 5 5 3 2 5 4" xfId="18477"/>
    <cellStyle name="Normal 2 5 5 3 2 5 4 2" xfId="44030"/>
    <cellStyle name="Normal 2 5 5 3 2 5 5" xfId="29967"/>
    <cellStyle name="Normal 2 5 5 3 2 6" xfId="1667"/>
    <cellStyle name="Normal 2 5 5 3 2 6 2" xfId="11044"/>
    <cellStyle name="Normal 2 5 5 3 2 6 2 2" xfId="36599"/>
    <cellStyle name="Normal 2 5 5 3 2 6 3" xfId="21048"/>
    <cellStyle name="Normal 2 5 5 3 2 6 3 2" xfId="46601"/>
    <cellStyle name="Normal 2 5 5 3 2 6 4" xfId="27531"/>
    <cellStyle name="Normal 2 5 5 3 2 7" xfId="5851"/>
    <cellStyle name="Normal 2 5 5 3 2 7 2" xfId="14678"/>
    <cellStyle name="Normal 2 5 5 3 2 7 2 2" xfId="40233"/>
    <cellStyle name="Normal 2 5 5 3 2 7 3" xfId="24929"/>
    <cellStyle name="Normal 2 5 5 3 2 7 3 2" xfId="50482"/>
    <cellStyle name="Normal 2 5 5 3 2 7 4" xfId="31412"/>
    <cellStyle name="Normal 2 5 5 3 2 8" xfId="7295"/>
    <cellStyle name="Normal 2 5 5 3 2 8 2" xfId="20021"/>
    <cellStyle name="Normal 2 5 5 3 2 8 2 2" xfId="45574"/>
    <cellStyle name="Normal 2 5 5 3 2 8 3" xfId="32852"/>
    <cellStyle name="Normal 2 5 5 3 2 9" xfId="16041"/>
    <cellStyle name="Normal 2 5 5 3 2 9 2" xfId="41594"/>
    <cellStyle name="Normal 2 5 5 3 2_Degree data" xfId="3878"/>
    <cellStyle name="Normal 2 5 5 3 3" xfId="370"/>
    <cellStyle name="Normal 2 5 5 3 3 2" xfId="2856"/>
    <cellStyle name="Normal 2 5 5 3 3 2 2" xfId="12144"/>
    <cellStyle name="Normal 2 5 5 3 3 2 2 2" xfId="22217"/>
    <cellStyle name="Normal 2 5 5 3 3 2 2 2 2" xfId="47770"/>
    <cellStyle name="Normal 2 5 5 3 3 2 2 3" xfId="37699"/>
    <cellStyle name="Normal 2 5 5 3 3 2 3" xfId="8526"/>
    <cellStyle name="Normal 2 5 5 3 3 2 3 2" xfId="34083"/>
    <cellStyle name="Normal 2 5 5 3 3 2 4" xfId="17210"/>
    <cellStyle name="Normal 2 5 5 3 3 2 4 2" xfId="42763"/>
    <cellStyle name="Normal 2 5 5 3 3 2 5" xfId="28700"/>
    <cellStyle name="Normal 2 5 5 3 3 3" xfId="4587"/>
    <cellStyle name="Normal 2 5 5 3 3 3 2" xfId="13425"/>
    <cellStyle name="Normal 2 5 5 3 3 3 2 2" xfId="23676"/>
    <cellStyle name="Normal 2 5 5 3 3 3 2 2 2" xfId="49229"/>
    <cellStyle name="Normal 2 5 5 3 3 3 2 3" xfId="38980"/>
    <cellStyle name="Normal 2 5 5 3 3 3 3" xfId="9846"/>
    <cellStyle name="Normal 2 5 5 3 3 3 3 2" xfId="35403"/>
    <cellStyle name="Normal 2 5 5 3 3 3 4" xfId="18669"/>
    <cellStyle name="Normal 2 5 5 3 3 3 4 2" xfId="44222"/>
    <cellStyle name="Normal 2 5 5 3 3 3 5" xfId="30159"/>
    <cellStyle name="Normal 2 5 5 3 3 4" xfId="1965"/>
    <cellStyle name="Normal 2 5 5 3 3 4 2" xfId="11330"/>
    <cellStyle name="Normal 2 5 5 3 3 4 2 2" xfId="36885"/>
    <cellStyle name="Normal 2 5 5 3 3 4 3" xfId="21334"/>
    <cellStyle name="Normal 2 5 5 3 3 4 3 2" xfId="46887"/>
    <cellStyle name="Normal 2 5 5 3 3 4 4" xfId="27817"/>
    <cellStyle name="Normal 2 5 5 3 3 5" xfId="6043"/>
    <cellStyle name="Normal 2 5 5 3 3 5 2" xfId="14870"/>
    <cellStyle name="Normal 2 5 5 3 3 5 2 2" xfId="40425"/>
    <cellStyle name="Normal 2 5 5 3 3 5 3" xfId="25121"/>
    <cellStyle name="Normal 2 5 5 3 3 5 3 2" xfId="50674"/>
    <cellStyle name="Normal 2 5 5 3 3 5 4" xfId="31604"/>
    <cellStyle name="Normal 2 5 5 3 3 6" xfId="7487"/>
    <cellStyle name="Normal 2 5 5 3 3 6 2" xfId="19816"/>
    <cellStyle name="Normal 2 5 5 3 3 6 2 2" xfId="45369"/>
    <cellStyle name="Normal 2 5 5 3 3 6 3" xfId="33044"/>
    <cellStyle name="Normal 2 5 5 3 3 7" xfId="16327"/>
    <cellStyle name="Normal 2 5 5 3 3 7 2" xfId="41880"/>
    <cellStyle name="Normal 2 5 5 3 3 8" xfId="26299"/>
    <cellStyle name="Normal 2 5 5 3 4" xfId="772"/>
    <cellStyle name="Normal 2 5 5 3 4 2" xfId="3258"/>
    <cellStyle name="Normal 2 5 5 3 4 2 2" xfId="12400"/>
    <cellStyle name="Normal 2 5 5 3 4 2 2 2" xfId="22619"/>
    <cellStyle name="Normal 2 5 5 3 4 2 2 2 2" xfId="48172"/>
    <cellStyle name="Normal 2 5 5 3 4 2 2 3" xfId="37955"/>
    <cellStyle name="Normal 2 5 5 3 4 2 3" xfId="8822"/>
    <cellStyle name="Normal 2 5 5 3 4 2 3 2" xfId="34379"/>
    <cellStyle name="Normal 2 5 5 3 4 2 4" xfId="17612"/>
    <cellStyle name="Normal 2 5 5 3 4 2 4 2" xfId="43165"/>
    <cellStyle name="Normal 2 5 5 3 4 2 5" xfId="29102"/>
    <cellStyle name="Normal 2 5 5 3 4 3" xfId="4936"/>
    <cellStyle name="Normal 2 5 5 3 4 3 2" xfId="13773"/>
    <cellStyle name="Normal 2 5 5 3 4 3 2 2" xfId="24024"/>
    <cellStyle name="Normal 2 5 5 3 4 3 2 2 2" xfId="49577"/>
    <cellStyle name="Normal 2 5 5 3 4 3 2 3" xfId="39328"/>
    <cellStyle name="Normal 2 5 5 3 4 3 3" xfId="10194"/>
    <cellStyle name="Normal 2 5 5 3 4 3 3 2" xfId="35751"/>
    <cellStyle name="Normal 2 5 5 3 4 3 4" xfId="19017"/>
    <cellStyle name="Normal 2 5 5 3 4 3 4 2" xfId="44570"/>
    <cellStyle name="Normal 2 5 5 3 4 3 5" xfId="30507"/>
    <cellStyle name="Normal 2 5 5 3 4 4" xfId="2367"/>
    <cellStyle name="Normal 2 5 5 3 4 4 2" xfId="11732"/>
    <cellStyle name="Normal 2 5 5 3 4 4 2 2" xfId="37287"/>
    <cellStyle name="Normal 2 5 5 3 4 4 3" xfId="21736"/>
    <cellStyle name="Normal 2 5 5 3 4 4 3 2" xfId="47289"/>
    <cellStyle name="Normal 2 5 5 3 4 4 4" xfId="28219"/>
    <cellStyle name="Normal 2 5 5 3 4 5" xfId="6391"/>
    <cellStyle name="Normal 2 5 5 3 4 5 2" xfId="15218"/>
    <cellStyle name="Normal 2 5 5 3 4 5 2 2" xfId="40773"/>
    <cellStyle name="Normal 2 5 5 3 4 5 3" xfId="25469"/>
    <cellStyle name="Normal 2 5 5 3 4 5 3 2" xfId="51022"/>
    <cellStyle name="Normal 2 5 5 3 4 5 4" xfId="31952"/>
    <cellStyle name="Normal 2 5 5 3 4 6" xfId="7837"/>
    <cellStyle name="Normal 2 5 5 3 4 6 2" xfId="20218"/>
    <cellStyle name="Normal 2 5 5 3 4 6 2 2" xfId="45771"/>
    <cellStyle name="Normal 2 5 5 3 4 6 3" xfId="33394"/>
    <cellStyle name="Normal 2 5 5 3 4 7" xfId="16729"/>
    <cellStyle name="Normal 2 5 5 3 4 7 2" xfId="42282"/>
    <cellStyle name="Normal 2 5 5 3 4 8" xfId="26701"/>
    <cellStyle name="Normal 2 5 5 3 5" xfId="1142"/>
    <cellStyle name="Normal 2 5 5 3 5 2" xfId="3571"/>
    <cellStyle name="Normal 2 5 5 3 5 2 2" xfId="12707"/>
    <cellStyle name="Normal 2 5 5 3 5 2 2 2" xfId="22926"/>
    <cellStyle name="Normal 2 5 5 3 5 2 2 2 2" xfId="48479"/>
    <cellStyle name="Normal 2 5 5 3 5 2 2 3" xfId="38262"/>
    <cellStyle name="Normal 2 5 5 3 5 2 3" xfId="9128"/>
    <cellStyle name="Normal 2 5 5 3 5 2 3 2" xfId="34685"/>
    <cellStyle name="Normal 2 5 5 3 5 2 4" xfId="17919"/>
    <cellStyle name="Normal 2 5 5 3 5 2 4 2" xfId="43472"/>
    <cellStyle name="Normal 2 5 5 3 5 2 5" xfId="29409"/>
    <cellStyle name="Normal 2 5 5 3 5 3" xfId="5234"/>
    <cellStyle name="Normal 2 5 5 3 5 3 2" xfId="14071"/>
    <cellStyle name="Normal 2 5 5 3 5 3 2 2" xfId="24322"/>
    <cellStyle name="Normal 2 5 5 3 5 3 2 2 2" xfId="49875"/>
    <cellStyle name="Normal 2 5 5 3 5 3 2 3" xfId="39626"/>
    <cellStyle name="Normal 2 5 5 3 5 3 3" xfId="10492"/>
    <cellStyle name="Normal 2 5 5 3 5 3 3 2" xfId="36049"/>
    <cellStyle name="Normal 2 5 5 3 5 3 4" xfId="19315"/>
    <cellStyle name="Normal 2 5 5 3 5 3 4 2" xfId="44868"/>
    <cellStyle name="Normal 2 5 5 3 5 3 5" xfId="30805"/>
    <cellStyle name="Normal 2 5 5 3 5 4" xfId="1850"/>
    <cellStyle name="Normal 2 5 5 3 5 4 2" xfId="11218"/>
    <cellStyle name="Normal 2 5 5 3 5 4 2 2" xfId="36773"/>
    <cellStyle name="Normal 2 5 5 3 5 4 3" xfId="21222"/>
    <cellStyle name="Normal 2 5 5 3 5 4 3 2" xfId="46775"/>
    <cellStyle name="Normal 2 5 5 3 5 4 4" xfId="27705"/>
    <cellStyle name="Normal 2 5 5 3 5 5" xfId="6689"/>
    <cellStyle name="Normal 2 5 5 3 5 5 2" xfId="15516"/>
    <cellStyle name="Normal 2 5 5 3 5 5 2 2" xfId="41071"/>
    <cellStyle name="Normal 2 5 5 3 5 5 3" xfId="25767"/>
    <cellStyle name="Normal 2 5 5 3 5 5 3 2" xfId="51320"/>
    <cellStyle name="Normal 2 5 5 3 5 5 4" xfId="32250"/>
    <cellStyle name="Normal 2 5 5 3 5 6" xfId="8135"/>
    <cellStyle name="Normal 2 5 5 3 5 6 2" xfId="20525"/>
    <cellStyle name="Normal 2 5 5 3 5 6 2 2" xfId="46078"/>
    <cellStyle name="Normal 2 5 5 3 5 6 3" xfId="33692"/>
    <cellStyle name="Normal 2 5 5 3 5 7" xfId="16215"/>
    <cellStyle name="Normal 2 5 5 3 5 7 2" xfId="41768"/>
    <cellStyle name="Normal 2 5 5 3 5 8" xfId="27008"/>
    <cellStyle name="Normal 2 5 5 3 6" xfId="2744"/>
    <cellStyle name="Normal 2 5 5 3 6 2" xfId="12061"/>
    <cellStyle name="Normal 2 5 5 3 6 2 2" xfId="22105"/>
    <cellStyle name="Normal 2 5 5 3 6 2 2 2" xfId="47658"/>
    <cellStyle name="Normal 2 5 5 3 6 2 3" xfId="37616"/>
    <cellStyle name="Normal 2 5 5 3 6 3" xfId="8546"/>
    <cellStyle name="Normal 2 5 5 3 6 3 2" xfId="34103"/>
    <cellStyle name="Normal 2 5 5 3 6 4" xfId="17098"/>
    <cellStyle name="Normal 2 5 5 3 6 4 2" xfId="42651"/>
    <cellStyle name="Normal 2 5 5 3 6 5" xfId="28588"/>
    <cellStyle name="Normal 2 5 5 3 7" xfId="4190"/>
    <cellStyle name="Normal 2 5 5 3 7 2" xfId="13028"/>
    <cellStyle name="Normal 2 5 5 3 7 2 2" xfId="23279"/>
    <cellStyle name="Normal 2 5 5 3 7 2 2 2" xfId="48832"/>
    <cellStyle name="Normal 2 5 5 3 7 2 3" xfId="38583"/>
    <cellStyle name="Normal 2 5 5 3 7 3" xfId="9449"/>
    <cellStyle name="Normal 2 5 5 3 7 3 2" xfId="35006"/>
    <cellStyle name="Normal 2 5 5 3 7 4" xfId="18272"/>
    <cellStyle name="Normal 2 5 5 3 7 4 2" xfId="43825"/>
    <cellStyle name="Normal 2 5 5 3 7 5" xfId="29762"/>
    <cellStyle name="Normal 2 5 5 3 8" xfId="1462"/>
    <cellStyle name="Normal 2 5 5 3 8 2" xfId="10839"/>
    <cellStyle name="Normal 2 5 5 3 8 2 2" xfId="36394"/>
    <cellStyle name="Normal 2 5 5 3 8 3" xfId="20843"/>
    <cellStyle name="Normal 2 5 5 3 8 3 2" xfId="46396"/>
    <cellStyle name="Normal 2 5 5 3 8 4" xfId="27326"/>
    <cellStyle name="Normal 2 5 5 3 9" xfId="5646"/>
    <cellStyle name="Normal 2 5 5 3 9 2" xfId="14473"/>
    <cellStyle name="Normal 2 5 5 3 9 2 2" xfId="40028"/>
    <cellStyle name="Normal 2 5 5 3 9 3" xfId="24724"/>
    <cellStyle name="Normal 2 5 5 3 9 3 2" xfId="50277"/>
    <cellStyle name="Normal 2 5 5 3 9 4" xfId="31207"/>
    <cellStyle name="Normal 2 5 5 3_Degree data" xfId="3908"/>
    <cellStyle name="Normal 2 5 5 4" xfId="470"/>
    <cellStyle name="Normal 2 5 5 4 10" xfId="26399"/>
    <cellStyle name="Normal 2 5 5 4 2" xfId="774"/>
    <cellStyle name="Normal 2 5 5 4 2 2" xfId="3260"/>
    <cellStyle name="Normal 2 5 5 4 2 2 2" xfId="12402"/>
    <cellStyle name="Normal 2 5 5 4 2 2 2 2" xfId="22621"/>
    <cellStyle name="Normal 2 5 5 4 2 2 2 2 2" xfId="48174"/>
    <cellStyle name="Normal 2 5 5 4 2 2 2 3" xfId="37957"/>
    <cellStyle name="Normal 2 5 5 4 2 2 3" xfId="8824"/>
    <cellStyle name="Normal 2 5 5 4 2 2 3 2" xfId="34381"/>
    <cellStyle name="Normal 2 5 5 4 2 2 4" xfId="17614"/>
    <cellStyle name="Normal 2 5 5 4 2 2 4 2" xfId="43167"/>
    <cellStyle name="Normal 2 5 5 4 2 2 5" xfId="29104"/>
    <cellStyle name="Normal 2 5 5 4 2 3" xfId="4589"/>
    <cellStyle name="Normal 2 5 5 4 2 3 2" xfId="13427"/>
    <cellStyle name="Normal 2 5 5 4 2 3 2 2" xfId="23678"/>
    <cellStyle name="Normal 2 5 5 4 2 3 2 2 2" xfId="49231"/>
    <cellStyle name="Normal 2 5 5 4 2 3 2 3" xfId="38982"/>
    <cellStyle name="Normal 2 5 5 4 2 3 3" xfId="9848"/>
    <cellStyle name="Normal 2 5 5 4 2 3 3 2" xfId="35405"/>
    <cellStyle name="Normal 2 5 5 4 2 3 4" xfId="18671"/>
    <cellStyle name="Normal 2 5 5 4 2 3 4 2" xfId="44224"/>
    <cellStyle name="Normal 2 5 5 4 2 3 5" xfId="30161"/>
    <cellStyle name="Normal 2 5 5 4 2 4" xfId="2369"/>
    <cellStyle name="Normal 2 5 5 4 2 4 2" xfId="11734"/>
    <cellStyle name="Normal 2 5 5 4 2 4 2 2" xfId="37289"/>
    <cellStyle name="Normal 2 5 5 4 2 4 3" xfId="21738"/>
    <cellStyle name="Normal 2 5 5 4 2 4 3 2" xfId="47291"/>
    <cellStyle name="Normal 2 5 5 4 2 4 4" xfId="28221"/>
    <cellStyle name="Normal 2 5 5 4 2 5" xfId="6045"/>
    <cellStyle name="Normal 2 5 5 4 2 5 2" xfId="14872"/>
    <cellStyle name="Normal 2 5 5 4 2 5 2 2" xfId="40427"/>
    <cellStyle name="Normal 2 5 5 4 2 5 3" xfId="25123"/>
    <cellStyle name="Normal 2 5 5 4 2 5 3 2" xfId="50676"/>
    <cellStyle name="Normal 2 5 5 4 2 5 4" xfId="31606"/>
    <cellStyle name="Normal 2 5 5 4 2 6" xfId="7489"/>
    <cellStyle name="Normal 2 5 5 4 2 6 2" xfId="20220"/>
    <cellStyle name="Normal 2 5 5 4 2 6 2 2" xfId="45773"/>
    <cellStyle name="Normal 2 5 5 4 2 6 3" xfId="33046"/>
    <cellStyle name="Normal 2 5 5 4 2 7" xfId="16731"/>
    <cellStyle name="Normal 2 5 5 4 2 7 2" xfId="42284"/>
    <cellStyle name="Normal 2 5 5 4 2 8" xfId="26703"/>
    <cellStyle name="Normal 2 5 5 4 3" xfId="1242"/>
    <cellStyle name="Normal 2 5 5 4 3 2" xfId="3671"/>
    <cellStyle name="Normal 2 5 5 4 3 2 2" xfId="12807"/>
    <cellStyle name="Normal 2 5 5 4 3 2 2 2" xfId="23026"/>
    <cellStyle name="Normal 2 5 5 4 3 2 2 2 2" xfId="48579"/>
    <cellStyle name="Normal 2 5 5 4 3 2 2 3" xfId="38362"/>
    <cellStyle name="Normal 2 5 5 4 3 2 3" xfId="9228"/>
    <cellStyle name="Normal 2 5 5 4 3 2 3 2" xfId="34785"/>
    <cellStyle name="Normal 2 5 5 4 3 2 4" xfId="18019"/>
    <cellStyle name="Normal 2 5 5 4 3 2 4 2" xfId="43572"/>
    <cellStyle name="Normal 2 5 5 4 3 2 5" xfId="29509"/>
    <cellStyle name="Normal 2 5 5 4 3 3" xfId="4938"/>
    <cellStyle name="Normal 2 5 5 4 3 3 2" xfId="13775"/>
    <cellStyle name="Normal 2 5 5 4 3 3 2 2" xfId="24026"/>
    <cellStyle name="Normal 2 5 5 4 3 3 2 2 2" xfId="49579"/>
    <cellStyle name="Normal 2 5 5 4 3 3 2 3" xfId="39330"/>
    <cellStyle name="Normal 2 5 5 4 3 3 3" xfId="10196"/>
    <cellStyle name="Normal 2 5 5 4 3 3 3 2" xfId="35753"/>
    <cellStyle name="Normal 2 5 5 4 3 3 4" xfId="19019"/>
    <cellStyle name="Normal 2 5 5 4 3 3 4 2" xfId="44572"/>
    <cellStyle name="Normal 2 5 5 4 3 3 5" xfId="30509"/>
    <cellStyle name="Normal 2 5 5 4 3 4" xfId="2065"/>
    <cellStyle name="Normal 2 5 5 4 3 4 2" xfId="11430"/>
    <cellStyle name="Normal 2 5 5 4 3 4 2 2" xfId="36985"/>
    <cellStyle name="Normal 2 5 5 4 3 4 3" xfId="21434"/>
    <cellStyle name="Normal 2 5 5 4 3 4 3 2" xfId="46987"/>
    <cellStyle name="Normal 2 5 5 4 3 4 4" xfId="27917"/>
    <cellStyle name="Normal 2 5 5 4 3 5" xfId="6393"/>
    <cellStyle name="Normal 2 5 5 4 3 5 2" xfId="15220"/>
    <cellStyle name="Normal 2 5 5 4 3 5 2 2" xfId="40775"/>
    <cellStyle name="Normal 2 5 5 4 3 5 3" xfId="25471"/>
    <cellStyle name="Normal 2 5 5 4 3 5 3 2" xfId="51024"/>
    <cellStyle name="Normal 2 5 5 4 3 5 4" xfId="31954"/>
    <cellStyle name="Normal 2 5 5 4 3 6" xfId="7839"/>
    <cellStyle name="Normal 2 5 5 4 3 6 2" xfId="20625"/>
    <cellStyle name="Normal 2 5 5 4 3 6 2 2" xfId="46178"/>
    <cellStyle name="Normal 2 5 5 4 3 6 3" xfId="33396"/>
    <cellStyle name="Normal 2 5 5 4 3 7" xfId="16427"/>
    <cellStyle name="Normal 2 5 5 4 3 7 2" xfId="41980"/>
    <cellStyle name="Normal 2 5 5 4 3 8" xfId="27108"/>
    <cellStyle name="Normal 2 5 5 4 4" xfId="2956"/>
    <cellStyle name="Normal 2 5 5 4 4 2" xfId="5334"/>
    <cellStyle name="Normal 2 5 5 4 4 2 2" xfId="14171"/>
    <cellStyle name="Normal 2 5 5 4 4 2 2 2" xfId="24422"/>
    <cellStyle name="Normal 2 5 5 4 4 2 2 2 2" xfId="49975"/>
    <cellStyle name="Normal 2 5 5 4 4 2 2 3" xfId="39726"/>
    <cellStyle name="Normal 2 5 5 4 4 2 3" xfId="10592"/>
    <cellStyle name="Normal 2 5 5 4 4 2 3 2" xfId="36149"/>
    <cellStyle name="Normal 2 5 5 4 4 2 4" xfId="19415"/>
    <cellStyle name="Normal 2 5 5 4 4 2 4 2" xfId="44968"/>
    <cellStyle name="Normal 2 5 5 4 4 2 5" xfId="30905"/>
    <cellStyle name="Normal 2 5 5 4 4 3" xfId="6789"/>
    <cellStyle name="Normal 2 5 5 4 4 3 2" xfId="15616"/>
    <cellStyle name="Normal 2 5 5 4 4 3 2 2" xfId="41171"/>
    <cellStyle name="Normal 2 5 5 4 4 3 3" xfId="25867"/>
    <cellStyle name="Normal 2 5 5 4 4 3 3 2" xfId="51420"/>
    <cellStyle name="Normal 2 5 5 4 4 3 4" xfId="32350"/>
    <cellStyle name="Normal 2 5 5 4 4 4" xfId="8235"/>
    <cellStyle name="Normal 2 5 5 4 4 4 2" xfId="22317"/>
    <cellStyle name="Normal 2 5 5 4 4 4 2 2" xfId="47870"/>
    <cellStyle name="Normal 2 5 5 4 4 4 3" xfId="33792"/>
    <cellStyle name="Normal 2 5 5 4 4 5" xfId="17310"/>
    <cellStyle name="Normal 2 5 5 4 4 5 2" xfId="42863"/>
    <cellStyle name="Normal 2 5 5 4 4 6" xfId="28800"/>
    <cellStyle name="Normal 2 5 5 4 5" xfId="4290"/>
    <cellStyle name="Normal 2 5 5 4 5 2" xfId="13128"/>
    <cellStyle name="Normal 2 5 5 4 5 2 2" xfId="23379"/>
    <cellStyle name="Normal 2 5 5 4 5 2 2 2" xfId="48932"/>
    <cellStyle name="Normal 2 5 5 4 5 2 3" xfId="38683"/>
    <cellStyle name="Normal 2 5 5 4 5 3" xfId="9549"/>
    <cellStyle name="Normal 2 5 5 4 5 3 2" xfId="35106"/>
    <cellStyle name="Normal 2 5 5 4 5 4" xfId="18372"/>
    <cellStyle name="Normal 2 5 5 4 5 4 2" xfId="43925"/>
    <cellStyle name="Normal 2 5 5 4 5 5" xfId="29862"/>
    <cellStyle name="Normal 2 5 5 4 6" xfId="1562"/>
    <cellStyle name="Normal 2 5 5 4 6 2" xfId="10939"/>
    <cellStyle name="Normal 2 5 5 4 6 2 2" xfId="36494"/>
    <cellStyle name="Normal 2 5 5 4 6 3" xfId="20943"/>
    <cellStyle name="Normal 2 5 5 4 6 3 2" xfId="46496"/>
    <cellStyle name="Normal 2 5 5 4 6 4" xfId="27426"/>
    <cellStyle name="Normal 2 5 5 4 7" xfId="5746"/>
    <cellStyle name="Normal 2 5 5 4 7 2" xfId="14573"/>
    <cellStyle name="Normal 2 5 5 4 7 2 2" xfId="40128"/>
    <cellStyle name="Normal 2 5 5 4 7 3" xfId="24824"/>
    <cellStyle name="Normal 2 5 5 4 7 3 2" xfId="50377"/>
    <cellStyle name="Normal 2 5 5 4 7 4" xfId="31307"/>
    <cellStyle name="Normal 2 5 5 4 8" xfId="7190"/>
    <cellStyle name="Normal 2 5 5 4 8 2" xfId="19916"/>
    <cellStyle name="Normal 2 5 5 4 8 2 2" xfId="45469"/>
    <cellStyle name="Normal 2 5 5 4 8 3" xfId="32747"/>
    <cellStyle name="Normal 2 5 5 4 9" xfId="15936"/>
    <cellStyle name="Normal 2 5 5 4 9 2" xfId="41489"/>
    <cellStyle name="Normal 2 5 5 4_Degree data" xfId="3857"/>
    <cellStyle name="Normal 2 5 5 5" xfId="311"/>
    <cellStyle name="Normal 2 5 5 5 2" xfId="2797"/>
    <cellStyle name="Normal 2 5 5 5 2 2" xfId="12101"/>
    <cellStyle name="Normal 2 5 5 5 2 2 2" xfId="22158"/>
    <cellStyle name="Normal 2 5 5 5 2 2 2 2" xfId="47711"/>
    <cellStyle name="Normal 2 5 5 5 2 2 3" xfId="37656"/>
    <cellStyle name="Normal 2 5 5 5 2 3" xfId="8398"/>
    <cellStyle name="Normal 2 5 5 5 2 3 2" xfId="33955"/>
    <cellStyle name="Normal 2 5 5 5 2 4" xfId="17151"/>
    <cellStyle name="Normal 2 5 5 5 2 4 2" xfId="42704"/>
    <cellStyle name="Normal 2 5 5 5 2 5" xfId="28641"/>
    <cellStyle name="Normal 2 5 5 5 3" xfId="4584"/>
    <cellStyle name="Normal 2 5 5 5 3 2" xfId="13422"/>
    <cellStyle name="Normal 2 5 5 5 3 2 2" xfId="23673"/>
    <cellStyle name="Normal 2 5 5 5 3 2 2 2" xfId="49226"/>
    <cellStyle name="Normal 2 5 5 5 3 2 3" xfId="38977"/>
    <cellStyle name="Normal 2 5 5 5 3 3" xfId="9843"/>
    <cellStyle name="Normal 2 5 5 5 3 3 2" xfId="35400"/>
    <cellStyle name="Normal 2 5 5 5 3 4" xfId="18666"/>
    <cellStyle name="Normal 2 5 5 5 3 4 2" xfId="44219"/>
    <cellStyle name="Normal 2 5 5 5 3 5" xfId="30156"/>
    <cellStyle name="Normal 2 5 5 5 4" xfId="1906"/>
    <cellStyle name="Normal 2 5 5 5 4 2" xfId="11271"/>
    <cellStyle name="Normal 2 5 5 5 4 2 2" xfId="36826"/>
    <cellStyle name="Normal 2 5 5 5 4 3" xfId="21275"/>
    <cellStyle name="Normal 2 5 5 5 4 3 2" xfId="46828"/>
    <cellStyle name="Normal 2 5 5 5 4 4" xfId="27758"/>
    <cellStyle name="Normal 2 5 5 5 5" xfId="6040"/>
    <cellStyle name="Normal 2 5 5 5 5 2" xfId="14867"/>
    <cellStyle name="Normal 2 5 5 5 5 2 2" xfId="40422"/>
    <cellStyle name="Normal 2 5 5 5 5 3" xfId="25118"/>
    <cellStyle name="Normal 2 5 5 5 5 3 2" xfId="50671"/>
    <cellStyle name="Normal 2 5 5 5 5 4" xfId="31601"/>
    <cellStyle name="Normal 2 5 5 5 6" xfId="7484"/>
    <cellStyle name="Normal 2 5 5 5 6 2" xfId="19757"/>
    <cellStyle name="Normal 2 5 5 5 6 2 2" xfId="45310"/>
    <cellStyle name="Normal 2 5 5 5 6 3" xfId="33041"/>
    <cellStyle name="Normal 2 5 5 5 7" xfId="16268"/>
    <cellStyle name="Normal 2 5 5 5 7 2" xfId="41821"/>
    <cellStyle name="Normal 2 5 5 5 8" xfId="26240"/>
    <cellStyle name="Normal 2 5 5 6" xfId="769"/>
    <cellStyle name="Normal 2 5 5 6 2" xfId="3255"/>
    <cellStyle name="Normal 2 5 5 6 2 2" xfId="12397"/>
    <cellStyle name="Normal 2 5 5 6 2 2 2" xfId="22616"/>
    <cellStyle name="Normal 2 5 5 6 2 2 2 2" xfId="48169"/>
    <cellStyle name="Normal 2 5 5 6 2 2 3" xfId="37952"/>
    <cellStyle name="Normal 2 5 5 6 2 3" xfId="8819"/>
    <cellStyle name="Normal 2 5 5 6 2 3 2" xfId="34376"/>
    <cellStyle name="Normal 2 5 5 6 2 4" xfId="17609"/>
    <cellStyle name="Normal 2 5 5 6 2 4 2" xfId="43162"/>
    <cellStyle name="Normal 2 5 5 6 2 5" xfId="29099"/>
    <cellStyle name="Normal 2 5 5 6 3" xfId="4933"/>
    <cellStyle name="Normal 2 5 5 6 3 2" xfId="13770"/>
    <cellStyle name="Normal 2 5 5 6 3 2 2" xfId="24021"/>
    <cellStyle name="Normal 2 5 5 6 3 2 2 2" xfId="49574"/>
    <cellStyle name="Normal 2 5 5 6 3 2 3" xfId="39325"/>
    <cellStyle name="Normal 2 5 5 6 3 3" xfId="10191"/>
    <cellStyle name="Normal 2 5 5 6 3 3 2" xfId="35748"/>
    <cellStyle name="Normal 2 5 5 6 3 4" xfId="19014"/>
    <cellStyle name="Normal 2 5 5 6 3 4 2" xfId="44567"/>
    <cellStyle name="Normal 2 5 5 6 3 5" xfId="30504"/>
    <cellStyle name="Normal 2 5 5 6 4" xfId="2364"/>
    <cellStyle name="Normal 2 5 5 6 4 2" xfId="11729"/>
    <cellStyle name="Normal 2 5 5 6 4 2 2" xfId="37284"/>
    <cellStyle name="Normal 2 5 5 6 4 3" xfId="21733"/>
    <cellStyle name="Normal 2 5 5 6 4 3 2" xfId="47286"/>
    <cellStyle name="Normal 2 5 5 6 4 4" xfId="28216"/>
    <cellStyle name="Normal 2 5 5 6 5" xfId="6388"/>
    <cellStyle name="Normal 2 5 5 6 5 2" xfId="15215"/>
    <cellStyle name="Normal 2 5 5 6 5 2 2" xfId="40770"/>
    <cellStyle name="Normal 2 5 5 6 5 3" xfId="25466"/>
    <cellStyle name="Normal 2 5 5 6 5 3 2" xfId="51019"/>
    <cellStyle name="Normal 2 5 5 6 5 4" xfId="31949"/>
    <cellStyle name="Normal 2 5 5 6 6" xfId="7834"/>
    <cellStyle name="Normal 2 5 5 6 6 2" xfId="20215"/>
    <cellStyle name="Normal 2 5 5 6 6 2 2" xfId="45768"/>
    <cellStyle name="Normal 2 5 5 6 6 3" xfId="33391"/>
    <cellStyle name="Normal 2 5 5 6 7" xfId="16726"/>
    <cellStyle name="Normal 2 5 5 6 7 2" xfId="42279"/>
    <cellStyle name="Normal 2 5 5 6 8" xfId="26698"/>
    <cellStyle name="Normal 2 5 5 7" xfId="1083"/>
    <cellStyle name="Normal 2 5 5 7 2" xfId="3512"/>
    <cellStyle name="Normal 2 5 5 7 2 2" xfId="12648"/>
    <cellStyle name="Normal 2 5 5 7 2 2 2" xfId="22867"/>
    <cellStyle name="Normal 2 5 5 7 2 2 2 2" xfId="48420"/>
    <cellStyle name="Normal 2 5 5 7 2 2 3" xfId="38203"/>
    <cellStyle name="Normal 2 5 5 7 2 3" xfId="9070"/>
    <cellStyle name="Normal 2 5 5 7 2 3 2" xfId="34627"/>
    <cellStyle name="Normal 2 5 5 7 2 4" xfId="17860"/>
    <cellStyle name="Normal 2 5 5 7 2 4 2" xfId="43413"/>
    <cellStyle name="Normal 2 5 5 7 2 5" xfId="29350"/>
    <cellStyle name="Normal 2 5 5 7 3" xfId="5175"/>
    <cellStyle name="Normal 2 5 5 7 3 2" xfId="14012"/>
    <cellStyle name="Normal 2 5 5 7 3 2 2" xfId="24263"/>
    <cellStyle name="Normal 2 5 5 7 3 2 2 2" xfId="49816"/>
    <cellStyle name="Normal 2 5 5 7 3 2 3" xfId="39567"/>
    <cellStyle name="Normal 2 5 5 7 3 3" xfId="10433"/>
    <cellStyle name="Normal 2 5 5 7 3 3 2" xfId="35990"/>
    <cellStyle name="Normal 2 5 5 7 3 4" xfId="19256"/>
    <cellStyle name="Normal 2 5 5 7 3 4 2" xfId="44809"/>
    <cellStyle name="Normal 2 5 5 7 3 5" xfId="30746"/>
    <cellStyle name="Normal 2 5 5 7 4" xfId="1741"/>
    <cellStyle name="Normal 2 5 5 7 4 2" xfId="11112"/>
    <cellStyle name="Normal 2 5 5 7 4 2 2" xfId="36667"/>
    <cellStyle name="Normal 2 5 5 7 4 3" xfId="21116"/>
    <cellStyle name="Normal 2 5 5 7 4 3 2" xfId="46669"/>
    <cellStyle name="Normal 2 5 5 7 4 4" xfId="27599"/>
    <cellStyle name="Normal 2 5 5 7 5" xfId="6630"/>
    <cellStyle name="Normal 2 5 5 7 5 2" xfId="15457"/>
    <cellStyle name="Normal 2 5 5 7 5 2 2" xfId="41012"/>
    <cellStyle name="Normal 2 5 5 7 5 3" xfId="25708"/>
    <cellStyle name="Normal 2 5 5 7 5 3 2" xfId="51261"/>
    <cellStyle name="Normal 2 5 5 7 5 4" xfId="32191"/>
    <cellStyle name="Normal 2 5 5 7 6" xfId="8076"/>
    <cellStyle name="Normal 2 5 5 7 6 2" xfId="20466"/>
    <cellStyle name="Normal 2 5 5 7 6 2 2" xfId="46019"/>
    <cellStyle name="Normal 2 5 5 7 6 3" xfId="33633"/>
    <cellStyle name="Normal 2 5 5 7 7" xfId="16109"/>
    <cellStyle name="Normal 2 5 5 7 7 2" xfId="41662"/>
    <cellStyle name="Normal 2 5 5 7 8" xfId="26949"/>
    <cellStyle name="Normal 2 5 5 8" xfId="2639"/>
    <cellStyle name="Normal 2 5 5 8 2" xfId="5587"/>
    <cellStyle name="Normal 2 5 5 8 2 2" xfId="14414"/>
    <cellStyle name="Normal 2 5 5 8 2 2 2" xfId="39969"/>
    <cellStyle name="Normal 2 5 5 8 2 3" xfId="24665"/>
    <cellStyle name="Normal 2 5 5 8 2 3 2" xfId="50218"/>
    <cellStyle name="Normal 2 5 5 8 2 4" xfId="31148"/>
    <cellStyle name="Normal 2 5 5 8 3" xfId="7031"/>
    <cellStyle name="Normal 2 5 5 8 3 2" xfId="22000"/>
    <cellStyle name="Normal 2 5 5 8 3 2 2" xfId="47553"/>
    <cellStyle name="Normal 2 5 5 8 3 3" xfId="32588"/>
    <cellStyle name="Normal 2 5 5 8 4" xfId="16993"/>
    <cellStyle name="Normal 2 5 5 8 4 2" xfId="42546"/>
    <cellStyle name="Normal 2 5 5 8 5" xfId="28483"/>
    <cellStyle name="Normal 2 5 5 9" xfId="4129"/>
    <cellStyle name="Normal 2 5 5 9 2" xfId="12967"/>
    <cellStyle name="Normal 2 5 5 9 2 2" xfId="23218"/>
    <cellStyle name="Normal 2 5 5 9 2 2 2" xfId="48771"/>
    <cellStyle name="Normal 2 5 5 9 2 3" xfId="38522"/>
    <cellStyle name="Normal 2 5 5 9 3" xfId="9388"/>
    <cellStyle name="Normal 2 5 5 9 3 2" xfId="34945"/>
    <cellStyle name="Normal 2 5 5 9 4" xfId="18211"/>
    <cellStyle name="Normal 2 5 5 9 4 2" xfId="43764"/>
    <cellStyle name="Normal 2 5 5 9 5" xfId="29701"/>
    <cellStyle name="Normal 2 5 5_Degree data" xfId="3865"/>
    <cellStyle name="Normal 2 5 6" xfId="176"/>
    <cellStyle name="Normal 2 5 6 10" xfId="7124"/>
    <cellStyle name="Normal 2 5 6 10 2" xfId="19633"/>
    <cellStyle name="Normal 2 5 6 10 2 2" xfId="45186"/>
    <cellStyle name="Normal 2 5 6 10 3" xfId="32681"/>
    <cellStyle name="Normal 2 5 6 11" xfId="15870"/>
    <cellStyle name="Normal 2 5 6 11 2" xfId="41423"/>
    <cellStyle name="Normal 2 5 6 12" xfId="26116"/>
    <cellStyle name="Normal 2 5 6 2" xfId="504"/>
    <cellStyle name="Normal 2 5 6 2 10" xfId="26433"/>
    <cellStyle name="Normal 2 5 6 2 2" xfId="776"/>
    <cellStyle name="Normal 2 5 6 2 2 2" xfId="3262"/>
    <cellStyle name="Normal 2 5 6 2 2 2 2" xfId="12404"/>
    <cellStyle name="Normal 2 5 6 2 2 2 2 2" xfId="22623"/>
    <cellStyle name="Normal 2 5 6 2 2 2 2 2 2" xfId="48176"/>
    <cellStyle name="Normal 2 5 6 2 2 2 2 3" xfId="37959"/>
    <cellStyle name="Normal 2 5 6 2 2 2 3" xfId="8826"/>
    <cellStyle name="Normal 2 5 6 2 2 2 3 2" xfId="34383"/>
    <cellStyle name="Normal 2 5 6 2 2 2 4" xfId="17616"/>
    <cellStyle name="Normal 2 5 6 2 2 2 4 2" xfId="43169"/>
    <cellStyle name="Normal 2 5 6 2 2 2 5" xfId="29106"/>
    <cellStyle name="Normal 2 5 6 2 2 3" xfId="4591"/>
    <cellStyle name="Normal 2 5 6 2 2 3 2" xfId="13429"/>
    <cellStyle name="Normal 2 5 6 2 2 3 2 2" xfId="23680"/>
    <cellStyle name="Normal 2 5 6 2 2 3 2 2 2" xfId="49233"/>
    <cellStyle name="Normal 2 5 6 2 2 3 2 3" xfId="38984"/>
    <cellStyle name="Normal 2 5 6 2 2 3 3" xfId="9850"/>
    <cellStyle name="Normal 2 5 6 2 2 3 3 2" xfId="35407"/>
    <cellStyle name="Normal 2 5 6 2 2 3 4" xfId="18673"/>
    <cellStyle name="Normal 2 5 6 2 2 3 4 2" xfId="44226"/>
    <cellStyle name="Normal 2 5 6 2 2 3 5" xfId="30163"/>
    <cellStyle name="Normal 2 5 6 2 2 4" xfId="2371"/>
    <cellStyle name="Normal 2 5 6 2 2 4 2" xfId="11736"/>
    <cellStyle name="Normal 2 5 6 2 2 4 2 2" xfId="37291"/>
    <cellStyle name="Normal 2 5 6 2 2 4 3" xfId="21740"/>
    <cellStyle name="Normal 2 5 6 2 2 4 3 2" xfId="47293"/>
    <cellStyle name="Normal 2 5 6 2 2 4 4" xfId="28223"/>
    <cellStyle name="Normal 2 5 6 2 2 5" xfId="6047"/>
    <cellStyle name="Normal 2 5 6 2 2 5 2" xfId="14874"/>
    <cellStyle name="Normal 2 5 6 2 2 5 2 2" xfId="40429"/>
    <cellStyle name="Normal 2 5 6 2 2 5 3" xfId="25125"/>
    <cellStyle name="Normal 2 5 6 2 2 5 3 2" xfId="50678"/>
    <cellStyle name="Normal 2 5 6 2 2 5 4" xfId="31608"/>
    <cellStyle name="Normal 2 5 6 2 2 6" xfId="7491"/>
    <cellStyle name="Normal 2 5 6 2 2 6 2" xfId="20222"/>
    <cellStyle name="Normal 2 5 6 2 2 6 2 2" xfId="45775"/>
    <cellStyle name="Normal 2 5 6 2 2 6 3" xfId="33048"/>
    <cellStyle name="Normal 2 5 6 2 2 7" xfId="16733"/>
    <cellStyle name="Normal 2 5 6 2 2 7 2" xfId="42286"/>
    <cellStyle name="Normal 2 5 6 2 2 8" xfId="26705"/>
    <cellStyle name="Normal 2 5 6 2 3" xfId="1276"/>
    <cellStyle name="Normal 2 5 6 2 3 2" xfId="3705"/>
    <cellStyle name="Normal 2 5 6 2 3 2 2" xfId="12841"/>
    <cellStyle name="Normal 2 5 6 2 3 2 2 2" xfId="23060"/>
    <cellStyle name="Normal 2 5 6 2 3 2 2 2 2" xfId="48613"/>
    <cellStyle name="Normal 2 5 6 2 3 2 2 3" xfId="38396"/>
    <cellStyle name="Normal 2 5 6 2 3 2 3" xfId="9262"/>
    <cellStyle name="Normal 2 5 6 2 3 2 3 2" xfId="34819"/>
    <cellStyle name="Normal 2 5 6 2 3 2 4" xfId="18053"/>
    <cellStyle name="Normal 2 5 6 2 3 2 4 2" xfId="43606"/>
    <cellStyle name="Normal 2 5 6 2 3 2 5" xfId="29543"/>
    <cellStyle name="Normal 2 5 6 2 3 3" xfId="4940"/>
    <cellStyle name="Normal 2 5 6 2 3 3 2" xfId="13777"/>
    <cellStyle name="Normal 2 5 6 2 3 3 2 2" xfId="24028"/>
    <cellStyle name="Normal 2 5 6 2 3 3 2 2 2" xfId="49581"/>
    <cellStyle name="Normal 2 5 6 2 3 3 2 3" xfId="39332"/>
    <cellStyle name="Normal 2 5 6 2 3 3 3" xfId="10198"/>
    <cellStyle name="Normal 2 5 6 2 3 3 3 2" xfId="35755"/>
    <cellStyle name="Normal 2 5 6 2 3 3 4" xfId="19021"/>
    <cellStyle name="Normal 2 5 6 2 3 3 4 2" xfId="44574"/>
    <cellStyle name="Normal 2 5 6 2 3 3 5" xfId="30511"/>
    <cellStyle name="Normal 2 5 6 2 3 4" xfId="2099"/>
    <cellStyle name="Normal 2 5 6 2 3 4 2" xfId="11464"/>
    <cellStyle name="Normal 2 5 6 2 3 4 2 2" xfId="37019"/>
    <cellStyle name="Normal 2 5 6 2 3 4 3" xfId="21468"/>
    <cellStyle name="Normal 2 5 6 2 3 4 3 2" xfId="47021"/>
    <cellStyle name="Normal 2 5 6 2 3 4 4" xfId="27951"/>
    <cellStyle name="Normal 2 5 6 2 3 5" xfId="6395"/>
    <cellStyle name="Normal 2 5 6 2 3 5 2" xfId="15222"/>
    <cellStyle name="Normal 2 5 6 2 3 5 2 2" xfId="40777"/>
    <cellStyle name="Normal 2 5 6 2 3 5 3" xfId="25473"/>
    <cellStyle name="Normal 2 5 6 2 3 5 3 2" xfId="51026"/>
    <cellStyle name="Normal 2 5 6 2 3 5 4" xfId="31956"/>
    <cellStyle name="Normal 2 5 6 2 3 6" xfId="7841"/>
    <cellStyle name="Normal 2 5 6 2 3 6 2" xfId="20659"/>
    <cellStyle name="Normal 2 5 6 2 3 6 2 2" xfId="46212"/>
    <cellStyle name="Normal 2 5 6 2 3 6 3" xfId="33398"/>
    <cellStyle name="Normal 2 5 6 2 3 7" xfId="16461"/>
    <cellStyle name="Normal 2 5 6 2 3 7 2" xfId="42014"/>
    <cellStyle name="Normal 2 5 6 2 3 8" xfId="27142"/>
    <cellStyle name="Normal 2 5 6 2 4" xfId="2990"/>
    <cellStyle name="Normal 2 5 6 2 4 2" xfId="5368"/>
    <cellStyle name="Normal 2 5 6 2 4 2 2" xfId="14205"/>
    <cellStyle name="Normal 2 5 6 2 4 2 2 2" xfId="24456"/>
    <cellStyle name="Normal 2 5 6 2 4 2 2 2 2" xfId="50009"/>
    <cellStyle name="Normal 2 5 6 2 4 2 2 3" xfId="39760"/>
    <cellStyle name="Normal 2 5 6 2 4 2 3" xfId="10626"/>
    <cellStyle name="Normal 2 5 6 2 4 2 3 2" xfId="36183"/>
    <cellStyle name="Normal 2 5 6 2 4 2 4" xfId="19449"/>
    <cellStyle name="Normal 2 5 6 2 4 2 4 2" xfId="45002"/>
    <cellStyle name="Normal 2 5 6 2 4 2 5" xfId="30939"/>
    <cellStyle name="Normal 2 5 6 2 4 3" xfId="6823"/>
    <cellStyle name="Normal 2 5 6 2 4 3 2" xfId="15650"/>
    <cellStyle name="Normal 2 5 6 2 4 3 2 2" xfId="41205"/>
    <cellStyle name="Normal 2 5 6 2 4 3 3" xfId="25901"/>
    <cellStyle name="Normal 2 5 6 2 4 3 3 2" xfId="51454"/>
    <cellStyle name="Normal 2 5 6 2 4 3 4" xfId="32384"/>
    <cellStyle name="Normal 2 5 6 2 4 4" xfId="8269"/>
    <cellStyle name="Normal 2 5 6 2 4 4 2" xfId="22351"/>
    <cellStyle name="Normal 2 5 6 2 4 4 2 2" xfId="47904"/>
    <cellStyle name="Normal 2 5 6 2 4 4 3" xfId="33826"/>
    <cellStyle name="Normal 2 5 6 2 4 5" xfId="17344"/>
    <cellStyle name="Normal 2 5 6 2 4 5 2" xfId="42897"/>
    <cellStyle name="Normal 2 5 6 2 4 6" xfId="28834"/>
    <cellStyle name="Normal 2 5 6 2 5" xfId="4324"/>
    <cellStyle name="Normal 2 5 6 2 5 2" xfId="13162"/>
    <cellStyle name="Normal 2 5 6 2 5 2 2" xfId="23413"/>
    <cellStyle name="Normal 2 5 6 2 5 2 2 2" xfId="48966"/>
    <cellStyle name="Normal 2 5 6 2 5 2 3" xfId="38717"/>
    <cellStyle name="Normal 2 5 6 2 5 3" xfId="9583"/>
    <cellStyle name="Normal 2 5 6 2 5 3 2" xfId="35140"/>
    <cellStyle name="Normal 2 5 6 2 5 4" xfId="18406"/>
    <cellStyle name="Normal 2 5 6 2 5 4 2" xfId="43959"/>
    <cellStyle name="Normal 2 5 6 2 5 5" xfId="29896"/>
    <cellStyle name="Normal 2 5 6 2 6" xfId="1596"/>
    <cellStyle name="Normal 2 5 6 2 6 2" xfId="10973"/>
    <cellStyle name="Normal 2 5 6 2 6 2 2" xfId="36528"/>
    <cellStyle name="Normal 2 5 6 2 6 3" xfId="20977"/>
    <cellStyle name="Normal 2 5 6 2 6 3 2" xfId="46530"/>
    <cellStyle name="Normal 2 5 6 2 6 4" xfId="27460"/>
    <cellStyle name="Normal 2 5 6 2 7" xfId="5780"/>
    <cellStyle name="Normal 2 5 6 2 7 2" xfId="14607"/>
    <cellStyle name="Normal 2 5 6 2 7 2 2" xfId="40162"/>
    <cellStyle name="Normal 2 5 6 2 7 3" xfId="24858"/>
    <cellStyle name="Normal 2 5 6 2 7 3 2" xfId="50411"/>
    <cellStyle name="Normal 2 5 6 2 7 4" xfId="31341"/>
    <cellStyle name="Normal 2 5 6 2 8" xfId="7224"/>
    <cellStyle name="Normal 2 5 6 2 8 2" xfId="19950"/>
    <cellStyle name="Normal 2 5 6 2 8 2 2" xfId="45503"/>
    <cellStyle name="Normal 2 5 6 2 8 3" xfId="32781"/>
    <cellStyle name="Normal 2 5 6 2 9" xfId="15970"/>
    <cellStyle name="Normal 2 5 6 2 9 2" xfId="41523"/>
    <cellStyle name="Normal 2 5 6 2_Degree data" xfId="3467"/>
    <cellStyle name="Normal 2 5 6 3" xfId="404"/>
    <cellStyle name="Normal 2 5 6 3 2" xfId="2890"/>
    <cellStyle name="Normal 2 5 6 3 2 2" xfId="12178"/>
    <cellStyle name="Normal 2 5 6 3 2 2 2" xfId="22251"/>
    <cellStyle name="Normal 2 5 6 3 2 2 2 2" xfId="47804"/>
    <cellStyle name="Normal 2 5 6 3 2 2 3" xfId="37733"/>
    <cellStyle name="Normal 2 5 6 3 2 3" xfId="8517"/>
    <cellStyle name="Normal 2 5 6 3 2 3 2" xfId="34074"/>
    <cellStyle name="Normal 2 5 6 3 2 4" xfId="17244"/>
    <cellStyle name="Normal 2 5 6 3 2 4 2" xfId="42797"/>
    <cellStyle name="Normal 2 5 6 3 2 5" xfId="28734"/>
    <cellStyle name="Normal 2 5 6 3 3" xfId="4590"/>
    <cellStyle name="Normal 2 5 6 3 3 2" xfId="13428"/>
    <cellStyle name="Normal 2 5 6 3 3 2 2" xfId="23679"/>
    <cellStyle name="Normal 2 5 6 3 3 2 2 2" xfId="49232"/>
    <cellStyle name="Normal 2 5 6 3 3 2 3" xfId="38983"/>
    <cellStyle name="Normal 2 5 6 3 3 3" xfId="9849"/>
    <cellStyle name="Normal 2 5 6 3 3 3 2" xfId="35406"/>
    <cellStyle name="Normal 2 5 6 3 3 4" xfId="18672"/>
    <cellStyle name="Normal 2 5 6 3 3 4 2" xfId="44225"/>
    <cellStyle name="Normal 2 5 6 3 3 5" xfId="30162"/>
    <cellStyle name="Normal 2 5 6 3 4" xfId="1999"/>
    <cellStyle name="Normal 2 5 6 3 4 2" xfId="11364"/>
    <cellStyle name="Normal 2 5 6 3 4 2 2" xfId="36919"/>
    <cellStyle name="Normal 2 5 6 3 4 3" xfId="21368"/>
    <cellStyle name="Normal 2 5 6 3 4 3 2" xfId="46921"/>
    <cellStyle name="Normal 2 5 6 3 4 4" xfId="27851"/>
    <cellStyle name="Normal 2 5 6 3 5" xfId="6046"/>
    <cellStyle name="Normal 2 5 6 3 5 2" xfId="14873"/>
    <cellStyle name="Normal 2 5 6 3 5 2 2" xfId="40428"/>
    <cellStyle name="Normal 2 5 6 3 5 3" xfId="25124"/>
    <cellStyle name="Normal 2 5 6 3 5 3 2" xfId="50677"/>
    <cellStyle name="Normal 2 5 6 3 5 4" xfId="31607"/>
    <cellStyle name="Normal 2 5 6 3 6" xfId="7490"/>
    <cellStyle name="Normal 2 5 6 3 6 2" xfId="19850"/>
    <cellStyle name="Normal 2 5 6 3 6 2 2" xfId="45403"/>
    <cellStyle name="Normal 2 5 6 3 6 3" xfId="33047"/>
    <cellStyle name="Normal 2 5 6 3 7" xfId="16361"/>
    <cellStyle name="Normal 2 5 6 3 7 2" xfId="41914"/>
    <cellStyle name="Normal 2 5 6 3 8" xfId="26333"/>
    <cellStyle name="Normal 2 5 6 4" xfId="775"/>
    <cellStyle name="Normal 2 5 6 4 2" xfId="3261"/>
    <cellStyle name="Normal 2 5 6 4 2 2" xfId="12403"/>
    <cellStyle name="Normal 2 5 6 4 2 2 2" xfId="22622"/>
    <cellStyle name="Normal 2 5 6 4 2 2 2 2" xfId="48175"/>
    <cellStyle name="Normal 2 5 6 4 2 2 3" xfId="37958"/>
    <cellStyle name="Normal 2 5 6 4 2 3" xfId="8825"/>
    <cellStyle name="Normal 2 5 6 4 2 3 2" xfId="34382"/>
    <cellStyle name="Normal 2 5 6 4 2 4" xfId="17615"/>
    <cellStyle name="Normal 2 5 6 4 2 4 2" xfId="43168"/>
    <cellStyle name="Normal 2 5 6 4 2 5" xfId="29105"/>
    <cellStyle name="Normal 2 5 6 4 3" xfId="4939"/>
    <cellStyle name="Normal 2 5 6 4 3 2" xfId="13776"/>
    <cellStyle name="Normal 2 5 6 4 3 2 2" xfId="24027"/>
    <cellStyle name="Normal 2 5 6 4 3 2 2 2" xfId="49580"/>
    <cellStyle name="Normal 2 5 6 4 3 2 3" xfId="39331"/>
    <cellStyle name="Normal 2 5 6 4 3 3" xfId="10197"/>
    <cellStyle name="Normal 2 5 6 4 3 3 2" xfId="35754"/>
    <cellStyle name="Normal 2 5 6 4 3 4" xfId="19020"/>
    <cellStyle name="Normal 2 5 6 4 3 4 2" xfId="44573"/>
    <cellStyle name="Normal 2 5 6 4 3 5" xfId="30510"/>
    <cellStyle name="Normal 2 5 6 4 4" xfId="2370"/>
    <cellStyle name="Normal 2 5 6 4 4 2" xfId="11735"/>
    <cellStyle name="Normal 2 5 6 4 4 2 2" xfId="37290"/>
    <cellStyle name="Normal 2 5 6 4 4 3" xfId="21739"/>
    <cellStyle name="Normal 2 5 6 4 4 3 2" xfId="47292"/>
    <cellStyle name="Normal 2 5 6 4 4 4" xfId="28222"/>
    <cellStyle name="Normal 2 5 6 4 5" xfId="6394"/>
    <cellStyle name="Normal 2 5 6 4 5 2" xfId="15221"/>
    <cellStyle name="Normal 2 5 6 4 5 2 2" xfId="40776"/>
    <cellStyle name="Normal 2 5 6 4 5 3" xfId="25472"/>
    <cellStyle name="Normal 2 5 6 4 5 3 2" xfId="51025"/>
    <cellStyle name="Normal 2 5 6 4 5 4" xfId="31955"/>
    <cellStyle name="Normal 2 5 6 4 6" xfId="7840"/>
    <cellStyle name="Normal 2 5 6 4 6 2" xfId="20221"/>
    <cellStyle name="Normal 2 5 6 4 6 2 2" xfId="45774"/>
    <cellStyle name="Normal 2 5 6 4 6 3" xfId="33397"/>
    <cellStyle name="Normal 2 5 6 4 7" xfId="16732"/>
    <cellStyle name="Normal 2 5 6 4 7 2" xfId="42285"/>
    <cellStyle name="Normal 2 5 6 4 8" xfId="26704"/>
    <cellStyle name="Normal 2 5 6 5" xfId="1176"/>
    <cellStyle name="Normal 2 5 6 5 2" xfId="3605"/>
    <cellStyle name="Normal 2 5 6 5 2 2" xfId="12741"/>
    <cellStyle name="Normal 2 5 6 5 2 2 2" xfId="22960"/>
    <cellStyle name="Normal 2 5 6 5 2 2 2 2" xfId="48513"/>
    <cellStyle name="Normal 2 5 6 5 2 2 3" xfId="38296"/>
    <cellStyle name="Normal 2 5 6 5 2 3" xfId="9162"/>
    <cellStyle name="Normal 2 5 6 5 2 3 2" xfId="34719"/>
    <cellStyle name="Normal 2 5 6 5 2 4" xfId="17953"/>
    <cellStyle name="Normal 2 5 6 5 2 4 2" xfId="43506"/>
    <cellStyle name="Normal 2 5 6 5 2 5" xfId="29443"/>
    <cellStyle name="Normal 2 5 6 5 3" xfId="5268"/>
    <cellStyle name="Normal 2 5 6 5 3 2" xfId="14105"/>
    <cellStyle name="Normal 2 5 6 5 3 2 2" xfId="24356"/>
    <cellStyle name="Normal 2 5 6 5 3 2 2 2" xfId="49909"/>
    <cellStyle name="Normal 2 5 6 5 3 2 3" xfId="39660"/>
    <cellStyle name="Normal 2 5 6 5 3 3" xfId="10526"/>
    <cellStyle name="Normal 2 5 6 5 3 3 2" xfId="36083"/>
    <cellStyle name="Normal 2 5 6 5 3 4" xfId="19349"/>
    <cellStyle name="Normal 2 5 6 5 3 4 2" xfId="44902"/>
    <cellStyle name="Normal 2 5 6 5 3 5" xfId="30839"/>
    <cellStyle name="Normal 2 5 6 5 4" xfId="1778"/>
    <cellStyle name="Normal 2 5 6 5 4 2" xfId="11147"/>
    <cellStyle name="Normal 2 5 6 5 4 2 2" xfId="36702"/>
    <cellStyle name="Normal 2 5 6 5 4 3" xfId="21151"/>
    <cellStyle name="Normal 2 5 6 5 4 3 2" xfId="46704"/>
    <cellStyle name="Normal 2 5 6 5 4 4" xfId="27634"/>
    <cellStyle name="Normal 2 5 6 5 5" xfId="6723"/>
    <cellStyle name="Normal 2 5 6 5 5 2" xfId="15550"/>
    <cellStyle name="Normal 2 5 6 5 5 2 2" xfId="41105"/>
    <cellStyle name="Normal 2 5 6 5 5 3" xfId="25801"/>
    <cellStyle name="Normal 2 5 6 5 5 3 2" xfId="51354"/>
    <cellStyle name="Normal 2 5 6 5 5 4" xfId="32284"/>
    <cellStyle name="Normal 2 5 6 5 6" xfId="8169"/>
    <cellStyle name="Normal 2 5 6 5 6 2" xfId="20559"/>
    <cellStyle name="Normal 2 5 6 5 6 2 2" xfId="46112"/>
    <cellStyle name="Normal 2 5 6 5 6 3" xfId="33726"/>
    <cellStyle name="Normal 2 5 6 5 7" xfId="16144"/>
    <cellStyle name="Normal 2 5 6 5 7 2" xfId="41697"/>
    <cellStyle name="Normal 2 5 6 5 8" xfId="27042"/>
    <cellStyle name="Normal 2 5 6 6" xfId="2673"/>
    <cellStyle name="Normal 2 5 6 6 2" xfId="11990"/>
    <cellStyle name="Normal 2 5 6 6 2 2" xfId="22034"/>
    <cellStyle name="Normal 2 5 6 6 2 2 2" xfId="47587"/>
    <cellStyle name="Normal 2 5 6 6 2 3" xfId="37545"/>
    <cellStyle name="Normal 2 5 6 6 3" xfId="8406"/>
    <cellStyle name="Normal 2 5 6 6 3 2" xfId="33963"/>
    <cellStyle name="Normal 2 5 6 6 4" xfId="17027"/>
    <cellStyle name="Normal 2 5 6 6 4 2" xfId="42580"/>
    <cellStyle name="Normal 2 5 6 6 5" xfId="28517"/>
    <cellStyle name="Normal 2 5 6 7" xfId="4224"/>
    <cellStyle name="Normal 2 5 6 7 2" xfId="13062"/>
    <cellStyle name="Normal 2 5 6 7 2 2" xfId="23313"/>
    <cellStyle name="Normal 2 5 6 7 2 2 2" xfId="48866"/>
    <cellStyle name="Normal 2 5 6 7 2 3" xfId="38617"/>
    <cellStyle name="Normal 2 5 6 7 3" xfId="9483"/>
    <cellStyle name="Normal 2 5 6 7 3 2" xfId="35040"/>
    <cellStyle name="Normal 2 5 6 7 4" xfId="18306"/>
    <cellStyle name="Normal 2 5 6 7 4 2" xfId="43859"/>
    <cellStyle name="Normal 2 5 6 7 5" xfId="29796"/>
    <cellStyle name="Normal 2 5 6 8" xfId="1496"/>
    <cellStyle name="Normal 2 5 6 8 2" xfId="10873"/>
    <cellStyle name="Normal 2 5 6 8 2 2" xfId="36428"/>
    <cellStyle name="Normal 2 5 6 8 3" xfId="20877"/>
    <cellStyle name="Normal 2 5 6 8 3 2" xfId="46430"/>
    <cellStyle name="Normal 2 5 6 8 4" xfId="27360"/>
    <cellStyle name="Normal 2 5 6 9" xfId="5680"/>
    <cellStyle name="Normal 2 5 6 9 2" xfId="14507"/>
    <cellStyle name="Normal 2 5 6 9 2 2" xfId="40062"/>
    <cellStyle name="Normal 2 5 6 9 3" xfId="24758"/>
    <cellStyle name="Normal 2 5 6 9 3 2" xfId="50311"/>
    <cellStyle name="Normal 2 5 6 9 4" xfId="31241"/>
    <cellStyle name="Normal 2 5 6_Degree data" xfId="3887"/>
    <cellStyle name="Normal 2 5 7" xfId="229"/>
    <cellStyle name="Normal 2 5 7 10" xfId="7067"/>
    <cellStyle name="Normal 2 5 7 10 2" xfId="19681"/>
    <cellStyle name="Normal 2 5 7 10 2 2" xfId="45234"/>
    <cellStyle name="Normal 2 5 7 10 3" xfId="32624"/>
    <cellStyle name="Normal 2 5 7 11" xfId="15813"/>
    <cellStyle name="Normal 2 5 7 11 2" xfId="41366"/>
    <cellStyle name="Normal 2 5 7 12" xfId="26164"/>
    <cellStyle name="Normal 2 5 7 2" xfId="552"/>
    <cellStyle name="Normal 2 5 7 2 10" xfId="26481"/>
    <cellStyle name="Normal 2 5 7 2 2" xfId="778"/>
    <cellStyle name="Normal 2 5 7 2 2 2" xfId="3264"/>
    <cellStyle name="Normal 2 5 7 2 2 2 2" xfId="12406"/>
    <cellStyle name="Normal 2 5 7 2 2 2 2 2" xfId="22625"/>
    <cellStyle name="Normal 2 5 7 2 2 2 2 2 2" xfId="48178"/>
    <cellStyle name="Normal 2 5 7 2 2 2 2 3" xfId="37961"/>
    <cellStyle name="Normal 2 5 7 2 2 2 3" xfId="8828"/>
    <cellStyle name="Normal 2 5 7 2 2 2 3 2" xfId="34385"/>
    <cellStyle name="Normal 2 5 7 2 2 2 4" xfId="17618"/>
    <cellStyle name="Normal 2 5 7 2 2 2 4 2" xfId="43171"/>
    <cellStyle name="Normal 2 5 7 2 2 2 5" xfId="29108"/>
    <cellStyle name="Normal 2 5 7 2 2 3" xfId="4593"/>
    <cellStyle name="Normal 2 5 7 2 2 3 2" xfId="13431"/>
    <cellStyle name="Normal 2 5 7 2 2 3 2 2" xfId="23682"/>
    <cellStyle name="Normal 2 5 7 2 2 3 2 2 2" xfId="49235"/>
    <cellStyle name="Normal 2 5 7 2 2 3 2 3" xfId="38986"/>
    <cellStyle name="Normal 2 5 7 2 2 3 3" xfId="9852"/>
    <cellStyle name="Normal 2 5 7 2 2 3 3 2" xfId="35409"/>
    <cellStyle name="Normal 2 5 7 2 2 3 4" xfId="18675"/>
    <cellStyle name="Normal 2 5 7 2 2 3 4 2" xfId="44228"/>
    <cellStyle name="Normal 2 5 7 2 2 3 5" xfId="30165"/>
    <cellStyle name="Normal 2 5 7 2 2 4" xfId="2373"/>
    <cellStyle name="Normal 2 5 7 2 2 4 2" xfId="11738"/>
    <cellStyle name="Normal 2 5 7 2 2 4 2 2" xfId="37293"/>
    <cellStyle name="Normal 2 5 7 2 2 4 3" xfId="21742"/>
    <cellStyle name="Normal 2 5 7 2 2 4 3 2" xfId="47295"/>
    <cellStyle name="Normal 2 5 7 2 2 4 4" xfId="28225"/>
    <cellStyle name="Normal 2 5 7 2 2 5" xfId="6049"/>
    <cellStyle name="Normal 2 5 7 2 2 5 2" xfId="14876"/>
    <cellStyle name="Normal 2 5 7 2 2 5 2 2" xfId="40431"/>
    <cellStyle name="Normal 2 5 7 2 2 5 3" xfId="25127"/>
    <cellStyle name="Normal 2 5 7 2 2 5 3 2" xfId="50680"/>
    <cellStyle name="Normal 2 5 7 2 2 5 4" xfId="31610"/>
    <cellStyle name="Normal 2 5 7 2 2 6" xfId="7493"/>
    <cellStyle name="Normal 2 5 7 2 2 6 2" xfId="20224"/>
    <cellStyle name="Normal 2 5 7 2 2 6 2 2" xfId="45777"/>
    <cellStyle name="Normal 2 5 7 2 2 6 3" xfId="33050"/>
    <cellStyle name="Normal 2 5 7 2 2 7" xfId="16735"/>
    <cellStyle name="Normal 2 5 7 2 2 7 2" xfId="42288"/>
    <cellStyle name="Normal 2 5 7 2 2 8" xfId="26707"/>
    <cellStyle name="Normal 2 5 7 2 3" xfId="1324"/>
    <cellStyle name="Normal 2 5 7 2 3 2" xfId="3753"/>
    <cellStyle name="Normal 2 5 7 2 3 2 2" xfId="12889"/>
    <cellStyle name="Normal 2 5 7 2 3 2 2 2" xfId="23108"/>
    <cellStyle name="Normal 2 5 7 2 3 2 2 2 2" xfId="48661"/>
    <cellStyle name="Normal 2 5 7 2 3 2 2 3" xfId="38444"/>
    <cellStyle name="Normal 2 5 7 2 3 2 3" xfId="9310"/>
    <cellStyle name="Normal 2 5 7 2 3 2 3 2" xfId="34867"/>
    <cellStyle name="Normal 2 5 7 2 3 2 4" xfId="18101"/>
    <cellStyle name="Normal 2 5 7 2 3 2 4 2" xfId="43654"/>
    <cellStyle name="Normal 2 5 7 2 3 2 5" xfId="29591"/>
    <cellStyle name="Normal 2 5 7 2 3 3" xfId="4942"/>
    <cellStyle name="Normal 2 5 7 2 3 3 2" xfId="13779"/>
    <cellStyle name="Normal 2 5 7 2 3 3 2 2" xfId="24030"/>
    <cellStyle name="Normal 2 5 7 2 3 3 2 2 2" xfId="49583"/>
    <cellStyle name="Normal 2 5 7 2 3 3 2 3" xfId="39334"/>
    <cellStyle name="Normal 2 5 7 2 3 3 3" xfId="10200"/>
    <cellStyle name="Normal 2 5 7 2 3 3 3 2" xfId="35757"/>
    <cellStyle name="Normal 2 5 7 2 3 3 4" xfId="19023"/>
    <cellStyle name="Normal 2 5 7 2 3 3 4 2" xfId="44576"/>
    <cellStyle name="Normal 2 5 7 2 3 3 5" xfId="30513"/>
    <cellStyle name="Normal 2 5 7 2 3 4" xfId="2147"/>
    <cellStyle name="Normal 2 5 7 2 3 4 2" xfId="11512"/>
    <cellStyle name="Normal 2 5 7 2 3 4 2 2" xfId="37067"/>
    <cellStyle name="Normal 2 5 7 2 3 4 3" xfId="21516"/>
    <cellStyle name="Normal 2 5 7 2 3 4 3 2" xfId="47069"/>
    <cellStyle name="Normal 2 5 7 2 3 4 4" xfId="27999"/>
    <cellStyle name="Normal 2 5 7 2 3 5" xfId="6397"/>
    <cellStyle name="Normal 2 5 7 2 3 5 2" xfId="15224"/>
    <cellStyle name="Normal 2 5 7 2 3 5 2 2" xfId="40779"/>
    <cellStyle name="Normal 2 5 7 2 3 5 3" xfId="25475"/>
    <cellStyle name="Normal 2 5 7 2 3 5 3 2" xfId="51028"/>
    <cellStyle name="Normal 2 5 7 2 3 5 4" xfId="31958"/>
    <cellStyle name="Normal 2 5 7 2 3 6" xfId="7843"/>
    <cellStyle name="Normal 2 5 7 2 3 6 2" xfId="20707"/>
    <cellStyle name="Normal 2 5 7 2 3 6 2 2" xfId="46260"/>
    <cellStyle name="Normal 2 5 7 2 3 6 3" xfId="33400"/>
    <cellStyle name="Normal 2 5 7 2 3 7" xfId="16509"/>
    <cellStyle name="Normal 2 5 7 2 3 7 2" xfId="42062"/>
    <cellStyle name="Normal 2 5 7 2 3 8" xfId="27190"/>
    <cellStyle name="Normal 2 5 7 2 4" xfId="3038"/>
    <cellStyle name="Normal 2 5 7 2 4 2" xfId="5416"/>
    <cellStyle name="Normal 2 5 7 2 4 2 2" xfId="14253"/>
    <cellStyle name="Normal 2 5 7 2 4 2 2 2" xfId="24504"/>
    <cellStyle name="Normal 2 5 7 2 4 2 2 2 2" xfId="50057"/>
    <cellStyle name="Normal 2 5 7 2 4 2 2 3" xfId="39808"/>
    <cellStyle name="Normal 2 5 7 2 4 2 3" xfId="10674"/>
    <cellStyle name="Normal 2 5 7 2 4 2 3 2" xfId="36231"/>
    <cellStyle name="Normal 2 5 7 2 4 2 4" xfId="19497"/>
    <cellStyle name="Normal 2 5 7 2 4 2 4 2" xfId="45050"/>
    <cellStyle name="Normal 2 5 7 2 4 2 5" xfId="30987"/>
    <cellStyle name="Normal 2 5 7 2 4 3" xfId="6871"/>
    <cellStyle name="Normal 2 5 7 2 4 3 2" xfId="15698"/>
    <cellStyle name="Normal 2 5 7 2 4 3 2 2" xfId="41253"/>
    <cellStyle name="Normal 2 5 7 2 4 3 3" xfId="25949"/>
    <cellStyle name="Normal 2 5 7 2 4 3 3 2" xfId="51502"/>
    <cellStyle name="Normal 2 5 7 2 4 3 4" xfId="32432"/>
    <cellStyle name="Normal 2 5 7 2 4 4" xfId="8317"/>
    <cellStyle name="Normal 2 5 7 2 4 4 2" xfId="22399"/>
    <cellStyle name="Normal 2 5 7 2 4 4 2 2" xfId="47952"/>
    <cellStyle name="Normal 2 5 7 2 4 4 3" xfId="33874"/>
    <cellStyle name="Normal 2 5 7 2 4 5" xfId="17392"/>
    <cellStyle name="Normal 2 5 7 2 4 5 2" xfId="42945"/>
    <cellStyle name="Normal 2 5 7 2 4 6" xfId="28882"/>
    <cellStyle name="Normal 2 5 7 2 5" xfId="4372"/>
    <cellStyle name="Normal 2 5 7 2 5 2" xfId="13210"/>
    <cellStyle name="Normal 2 5 7 2 5 2 2" xfId="23461"/>
    <cellStyle name="Normal 2 5 7 2 5 2 2 2" xfId="49014"/>
    <cellStyle name="Normal 2 5 7 2 5 2 3" xfId="38765"/>
    <cellStyle name="Normal 2 5 7 2 5 3" xfId="9631"/>
    <cellStyle name="Normal 2 5 7 2 5 3 2" xfId="35188"/>
    <cellStyle name="Normal 2 5 7 2 5 4" xfId="18454"/>
    <cellStyle name="Normal 2 5 7 2 5 4 2" xfId="44007"/>
    <cellStyle name="Normal 2 5 7 2 5 5" xfId="29944"/>
    <cellStyle name="Normal 2 5 7 2 6" xfId="1644"/>
    <cellStyle name="Normal 2 5 7 2 6 2" xfId="11021"/>
    <cellStyle name="Normal 2 5 7 2 6 2 2" xfId="36576"/>
    <cellStyle name="Normal 2 5 7 2 6 3" xfId="21025"/>
    <cellStyle name="Normal 2 5 7 2 6 3 2" xfId="46578"/>
    <cellStyle name="Normal 2 5 7 2 6 4" xfId="27508"/>
    <cellStyle name="Normal 2 5 7 2 7" xfId="5828"/>
    <cellStyle name="Normal 2 5 7 2 7 2" xfId="14655"/>
    <cellStyle name="Normal 2 5 7 2 7 2 2" xfId="40210"/>
    <cellStyle name="Normal 2 5 7 2 7 3" xfId="24906"/>
    <cellStyle name="Normal 2 5 7 2 7 3 2" xfId="50459"/>
    <cellStyle name="Normal 2 5 7 2 7 4" xfId="31389"/>
    <cellStyle name="Normal 2 5 7 2 8" xfId="7272"/>
    <cellStyle name="Normal 2 5 7 2 8 2" xfId="19998"/>
    <cellStyle name="Normal 2 5 7 2 8 2 2" xfId="45551"/>
    <cellStyle name="Normal 2 5 7 2 8 3" xfId="32829"/>
    <cellStyle name="Normal 2 5 7 2 9" xfId="16018"/>
    <cellStyle name="Normal 2 5 7 2 9 2" xfId="41571"/>
    <cellStyle name="Normal 2 5 7 2_Degree data" xfId="3919"/>
    <cellStyle name="Normal 2 5 7 3" xfId="347"/>
    <cellStyle name="Normal 2 5 7 3 2" xfId="2833"/>
    <cellStyle name="Normal 2 5 7 3 2 2" xfId="12121"/>
    <cellStyle name="Normal 2 5 7 3 2 2 2" xfId="22194"/>
    <cellStyle name="Normal 2 5 7 3 2 2 2 2" xfId="47747"/>
    <cellStyle name="Normal 2 5 7 3 2 2 3" xfId="37676"/>
    <cellStyle name="Normal 2 5 7 3 2 3" xfId="8411"/>
    <cellStyle name="Normal 2 5 7 3 2 3 2" xfId="33968"/>
    <cellStyle name="Normal 2 5 7 3 2 4" xfId="17187"/>
    <cellStyle name="Normal 2 5 7 3 2 4 2" xfId="42740"/>
    <cellStyle name="Normal 2 5 7 3 2 5" xfId="28677"/>
    <cellStyle name="Normal 2 5 7 3 3" xfId="4592"/>
    <cellStyle name="Normal 2 5 7 3 3 2" xfId="13430"/>
    <cellStyle name="Normal 2 5 7 3 3 2 2" xfId="23681"/>
    <cellStyle name="Normal 2 5 7 3 3 2 2 2" xfId="49234"/>
    <cellStyle name="Normal 2 5 7 3 3 2 3" xfId="38985"/>
    <cellStyle name="Normal 2 5 7 3 3 3" xfId="9851"/>
    <cellStyle name="Normal 2 5 7 3 3 3 2" xfId="35408"/>
    <cellStyle name="Normal 2 5 7 3 3 4" xfId="18674"/>
    <cellStyle name="Normal 2 5 7 3 3 4 2" xfId="44227"/>
    <cellStyle name="Normal 2 5 7 3 3 5" xfId="30164"/>
    <cellStyle name="Normal 2 5 7 3 4" xfId="1942"/>
    <cellStyle name="Normal 2 5 7 3 4 2" xfId="11307"/>
    <cellStyle name="Normal 2 5 7 3 4 2 2" xfId="36862"/>
    <cellStyle name="Normal 2 5 7 3 4 3" xfId="21311"/>
    <cellStyle name="Normal 2 5 7 3 4 3 2" xfId="46864"/>
    <cellStyle name="Normal 2 5 7 3 4 4" xfId="27794"/>
    <cellStyle name="Normal 2 5 7 3 5" xfId="6048"/>
    <cellStyle name="Normal 2 5 7 3 5 2" xfId="14875"/>
    <cellStyle name="Normal 2 5 7 3 5 2 2" xfId="40430"/>
    <cellStyle name="Normal 2 5 7 3 5 3" xfId="25126"/>
    <cellStyle name="Normal 2 5 7 3 5 3 2" xfId="50679"/>
    <cellStyle name="Normal 2 5 7 3 5 4" xfId="31609"/>
    <cellStyle name="Normal 2 5 7 3 6" xfId="7492"/>
    <cellStyle name="Normal 2 5 7 3 6 2" xfId="19793"/>
    <cellStyle name="Normal 2 5 7 3 6 2 2" xfId="45346"/>
    <cellStyle name="Normal 2 5 7 3 6 3" xfId="33049"/>
    <cellStyle name="Normal 2 5 7 3 7" xfId="16304"/>
    <cellStyle name="Normal 2 5 7 3 7 2" xfId="41857"/>
    <cellStyle name="Normal 2 5 7 3 8" xfId="26276"/>
    <cellStyle name="Normal 2 5 7 4" xfId="777"/>
    <cellStyle name="Normal 2 5 7 4 2" xfId="3263"/>
    <cellStyle name="Normal 2 5 7 4 2 2" xfId="12405"/>
    <cellStyle name="Normal 2 5 7 4 2 2 2" xfId="22624"/>
    <cellStyle name="Normal 2 5 7 4 2 2 2 2" xfId="48177"/>
    <cellStyle name="Normal 2 5 7 4 2 2 3" xfId="37960"/>
    <cellStyle name="Normal 2 5 7 4 2 3" xfId="8827"/>
    <cellStyle name="Normal 2 5 7 4 2 3 2" xfId="34384"/>
    <cellStyle name="Normal 2 5 7 4 2 4" xfId="17617"/>
    <cellStyle name="Normal 2 5 7 4 2 4 2" xfId="43170"/>
    <cellStyle name="Normal 2 5 7 4 2 5" xfId="29107"/>
    <cellStyle name="Normal 2 5 7 4 3" xfId="4941"/>
    <cellStyle name="Normal 2 5 7 4 3 2" xfId="13778"/>
    <cellStyle name="Normal 2 5 7 4 3 2 2" xfId="24029"/>
    <cellStyle name="Normal 2 5 7 4 3 2 2 2" xfId="49582"/>
    <cellStyle name="Normal 2 5 7 4 3 2 3" xfId="39333"/>
    <cellStyle name="Normal 2 5 7 4 3 3" xfId="10199"/>
    <cellStyle name="Normal 2 5 7 4 3 3 2" xfId="35756"/>
    <cellStyle name="Normal 2 5 7 4 3 4" xfId="19022"/>
    <cellStyle name="Normal 2 5 7 4 3 4 2" xfId="44575"/>
    <cellStyle name="Normal 2 5 7 4 3 5" xfId="30512"/>
    <cellStyle name="Normal 2 5 7 4 4" xfId="2372"/>
    <cellStyle name="Normal 2 5 7 4 4 2" xfId="11737"/>
    <cellStyle name="Normal 2 5 7 4 4 2 2" xfId="37292"/>
    <cellStyle name="Normal 2 5 7 4 4 3" xfId="21741"/>
    <cellStyle name="Normal 2 5 7 4 4 3 2" xfId="47294"/>
    <cellStyle name="Normal 2 5 7 4 4 4" xfId="28224"/>
    <cellStyle name="Normal 2 5 7 4 5" xfId="6396"/>
    <cellStyle name="Normal 2 5 7 4 5 2" xfId="15223"/>
    <cellStyle name="Normal 2 5 7 4 5 2 2" xfId="40778"/>
    <cellStyle name="Normal 2 5 7 4 5 3" xfId="25474"/>
    <cellStyle name="Normal 2 5 7 4 5 3 2" xfId="51027"/>
    <cellStyle name="Normal 2 5 7 4 5 4" xfId="31957"/>
    <cellStyle name="Normal 2 5 7 4 6" xfId="7842"/>
    <cellStyle name="Normal 2 5 7 4 6 2" xfId="20223"/>
    <cellStyle name="Normal 2 5 7 4 6 2 2" xfId="45776"/>
    <cellStyle name="Normal 2 5 7 4 6 3" xfId="33399"/>
    <cellStyle name="Normal 2 5 7 4 7" xfId="16734"/>
    <cellStyle name="Normal 2 5 7 4 7 2" xfId="42287"/>
    <cellStyle name="Normal 2 5 7 4 8" xfId="26706"/>
    <cellStyle name="Normal 2 5 7 5" xfId="1119"/>
    <cellStyle name="Normal 2 5 7 5 2" xfId="3548"/>
    <cellStyle name="Normal 2 5 7 5 2 2" xfId="12684"/>
    <cellStyle name="Normal 2 5 7 5 2 2 2" xfId="22903"/>
    <cellStyle name="Normal 2 5 7 5 2 2 2 2" xfId="48456"/>
    <cellStyle name="Normal 2 5 7 5 2 2 3" xfId="38239"/>
    <cellStyle name="Normal 2 5 7 5 2 3" xfId="9105"/>
    <cellStyle name="Normal 2 5 7 5 2 3 2" xfId="34662"/>
    <cellStyle name="Normal 2 5 7 5 2 4" xfId="17896"/>
    <cellStyle name="Normal 2 5 7 5 2 4 2" xfId="43449"/>
    <cellStyle name="Normal 2 5 7 5 2 5" xfId="29386"/>
    <cellStyle name="Normal 2 5 7 5 3" xfId="5211"/>
    <cellStyle name="Normal 2 5 7 5 3 2" xfId="14048"/>
    <cellStyle name="Normal 2 5 7 5 3 2 2" xfId="24299"/>
    <cellStyle name="Normal 2 5 7 5 3 2 2 2" xfId="49852"/>
    <cellStyle name="Normal 2 5 7 5 3 2 3" xfId="39603"/>
    <cellStyle name="Normal 2 5 7 5 3 3" xfId="10469"/>
    <cellStyle name="Normal 2 5 7 5 3 3 2" xfId="36026"/>
    <cellStyle name="Normal 2 5 7 5 3 4" xfId="19292"/>
    <cellStyle name="Normal 2 5 7 5 3 4 2" xfId="44845"/>
    <cellStyle name="Normal 2 5 7 5 3 5" xfId="30782"/>
    <cellStyle name="Normal 2 5 7 5 4" xfId="1827"/>
    <cellStyle name="Normal 2 5 7 5 4 2" xfId="11195"/>
    <cellStyle name="Normal 2 5 7 5 4 2 2" xfId="36750"/>
    <cellStyle name="Normal 2 5 7 5 4 3" xfId="21199"/>
    <cellStyle name="Normal 2 5 7 5 4 3 2" xfId="46752"/>
    <cellStyle name="Normal 2 5 7 5 4 4" xfId="27682"/>
    <cellStyle name="Normal 2 5 7 5 5" xfId="6666"/>
    <cellStyle name="Normal 2 5 7 5 5 2" xfId="15493"/>
    <cellStyle name="Normal 2 5 7 5 5 2 2" xfId="41048"/>
    <cellStyle name="Normal 2 5 7 5 5 3" xfId="25744"/>
    <cellStyle name="Normal 2 5 7 5 5 3 2" xfId="51297"/>
    <cellStyle name="Normal 2 5 7 5 5 4" xfId="32227"/>
    <cellStyle name="Normal 2 5 7 5 6" xfId="8112"/>
    <cellStyle name="Normal 2 5 7 5 6 2" xfId="20502"/>
    <cellStyle name="Normal 2 5 7 5 6 2 2" xfId="46055"/>
    <cellStyle name="Normal 2 5 7 5 6 3" xfId="33669"/>
    <cellStyle name="Normal 2 5 7 5 7" xfId="16192"/>
    <cellStyle name="Normal 2 5 7 5 7 2" xfId="41745"/>
    <cellStyle name="Normal 2 5 7 5 8" xfId="26985"/>
    <cellStyle name="Normal 2 5 7 6" xfId="2721"/>
    <cellStyle name="Normal 2 5 7 6 2" xfId="12038"/>
    <cellStyle name="Normal 2 5 7 6 2 2" xfId="22082"/>
    <cellStyle name="Normal 2 5 7 6 2 2 2" xfId="47635"/>
    <cellStyle name="Normal 2 5 7 6 2 3" xfId="37593"/>
    <cellStyle name="Normal 2 5 7 6 3" xfId="8550"/>
    <cellStyle name="Normal 2 5 7 6 3 2" xfId="34107"/>
    <cellStyle name="Normal 2 5 7 6 4" xfId="17075"/>
    <cellStyle name="Normal 2 5 7 6 4 2" xfId="42628"/>
    <cellStyle name="Normal 2 5 7 6 5" xfId="28565"/>
    <cellStyle name="Normal 2 5 7 7" xfId="4167"/>
    <cellStyle name="Normal 2 5 7 7 2" xfId="13005"/>
    <cellStyle name="Normal 2 5 7 7 2 2" xfId="23256"/>
    <cellStyle name="Normal 2 5 7 7 2 2 2" xfId="48809"/>
    <cellStyle name="Normal 2 5 7 7 2 3" xfId="38560"/>
    <cellStyle name="Normal 2 5 7 7 3" xfId="9426"/>
    <cellStyle name="Normal 2 5 7 7 3 2" xfId="34983"/>
    <cellStyle name="Normal 2 5 7 7 4" xfId="18249"/>
    <cellStyle name="Normal 2 5 7 7 4 2" xfId="43802"/>
    <cellStyle name="Normal 2 5 7 7 5" xfId="29739"/>
    <cellStyle name="Normal 2 5 7 8" xfId="1439"/>
    <cellStyle name="Normal 2 5 7 8 2" xfId="10816"/>
    <cellStyle name="Normal 2 5 7 8 2 2" xfId="36371"/>
    <cellStyle name="Normal 2 5 7 8 3" xfId="20820"/>
    <cellStyle name="Normal 2 5 7 8 3 2" xfId="46373"/>
    <cellStyle name="Normal 2 5 7 8 4" xfId="27303"/>
    <cellStyle name="Normal 2 5 7 9" xfId="5623"/>
    <cellStyle name="Normal 2 5 7 9 2" xfId="14450"/>
    <cellStyle name="Normal 2 5 7 9 2 2" xfId="40005"/>
    <cellStyle name="Normal 2 5 7 9 3" xfId="24701"/>
    <cellStyle name="Normal 2 5 7 9 3 2" xfId="50254"/>
    <cellStyle name="Normal 2 5 7 9 4" xfId="31184"/>
    <cellStyle name="Normal 2 5 7_Degree data" xfId="3876"/>
    <cellStyle name="Normal 2 5 8" xfId="286"/>
    <cellStyle name="Normal 2 5 8 10" xfId="16074"/>
    <cellStyle name="Normal 2 5 8 10 2" xfId="41627"/>
    <cellStyle name="Normal 2 5 8 11" xfId="26220"/>
    <cellStyle name="Normal 2 5 8 2" xfId="608"/>
    <cellStyle name="Normal 2 5 8 2 2" xfId="3094"/>
    <cellStyle name="Normal 2 5 8 2 2 2" xfId="12237"/>
    <cellStyle name="Normal 2 5 8 2 2 2 2" xfId="22455"/>
    <cellStyle name="Normal 2 5 8 2 2 2 2 2" xfId="48008"/>
    <cellStyle name="Normal 2 5 8 2 2 2 3" xfId="37792"/>
    <cellStyle name="Normal 2 5 8 2 2 3" xfId="8659"/>
    <cellStyle name="Normal 2 5 8 2 2 3 2" xfId="34216"/>
    <cellStyle name="Normal 2 5 8 2 2 4" xfId="17448"/>
    <cellStyle name="Normal 2 5 8 2 2 4 2" xfId="43001"/>
    <cellStyle name="Normal 2 5 8 2 2 5" xfId="28938"/>
    <cellStyle name="Normal 2 5 8 2 3" xfId="4594"/>
    <cellStyle name="Normal 2 5 8 2 3 2" xfId="13432"/>
    <cellStyle name="Normal 2 5 8 2 3 2 2" xfId="23683"/>
    <cellStyle name="Normal 2 5 8 2 3 2 2 2" xfId="49236"/>
    <cellStyle name="Normal 2 5 8 2 3 2 3" xfId="38987"/>
    <cellStyle name="Normal 2 5 8 2 3 3" xfId="9853"/>
    <cellStyle name="Normal 2 5 8 2 3 3 2" xfId="35410"/>
    <cellStyle name="Normal 2 5 8 2 3 4" xfId="18676"/>
    <cellStyle name="Normal 2 5 8 2 3 4 2" xfId="44229"/>
    <cellStyle name="Normal 2 5 8 2 3 5" xfId="30166"/>
    <cellStyle name="Normal 2 5 8 2 4" xfId="2203"/>
    <cellStyle name="Normal 2 5 8 2 4 2" xfId="11568"/>
    <cellStyle name="Normal 2 5 8 2 4 2 2" xfId="37123"/>
    <cellStyle name="Normal 2 5 8 2 4 3" xfId="21572"/>
    <cellStyle name="Normal 2 5 8 2 4 3 2" xfId="47125"/>
    <cellStyle name="Normal 2 5 8 2 4 4" xfId="28055"/>
    <cellStyle name="Normal 2 5 8 2 5" xfId="6050"/>
    <cellStyle name="Normal 2 5 8 2 5 2" xfId="14877"/>
    <cellStyle name="Normal 2 5 8 2 5 2 2" xfId="40432"/>
    <cellStyle name="Normal 2 5 8 2 5 3" xfId="25128"/>
    <cellStyle name="Normal 2 5 8 2 5 3 2" xfId="50681"/>
    <cellStyle name="Normal 2 5 8 2 5 4" xfId="31611"/>
    <cellStyle name="Normal 2 5 8 2 6" xfId="7494"/>
    <cellStyle name="Normal 2 5 8 2 6 2" xfId="20054"/>
    <cellStyle name="Normal 2 5 8 2 6 2 2" xfId="45607"/>
    <cellStyle name="Normal 2 5 8 2 6 3" xfId="33051"/>
    <cellStyle name="Normal 2 5 8 2 7" xfId="16565"/>
    <cellStyle name="Normal 2 5 8 2 7 2" xfId="42118"/>
    <cellStyle name="Normal 2 5 8 2 8" xfId="26537"/>
    <cellStyle name="Normal 2 5 8 3" xfId="779"/>
    <cellStyle name="Normal 2 5 8 3 2" xfId="3265"/>
    <cellStyle name="Normal 2 5 8 3 2 2" xfId="12407"/>
    <cellStyle name="Normal 2 5 8 3 2 2 2" xfId="22626"/>
    <cellStyle name="Normal 2 5 8 3 2 2 2 2" xfId="48179"/>
    <cellStyle name="Normal 2 5 8 3 2 2 3" xfId="37962"/>
    <cellStyle name="Normal 2 5 8 3 2 3" xfId="8829"/>
    <cellStyle name="Normal 2 5 8 3 2 3 2" xfId="34386"/>
    <cellStyle name="Normal 2 5 8 3 2 4" xfId="17619"/>
    <cellStyle name="Normal 2 5 8 3 2 4 2" xfId="43172"/>
    <cellStyle name="Normal 2 5 8 3 2 5" xfId="29109"/>
    <cellStyle name="Normal 2 5 8 3 3" xfId="4943"/>
    <cellStyle name="Normal 2 5 8 3 3 2" xfId="13780"/>
    <cellStyle name="Normal 2 5 8 3 3 2 2" xfId="24031"/>
    <cellStyle name="Normal 2 5 8 3 3 2 2 2" xfId="49584"/>
    <cellStyle name="Normal 2 5 8 3 3 2 3" xfId="39335"/>
    <cellStyle name="Normal 2 5 8 3 3 3" xfId="10201"/>
    <cellStyle name="Normal 2 5 8 3 3 3 2" xfId="35758"/>
    <cellStyle name="Normal 2 5 8 3 3 4" xfId="19024"/>
    <cellStyle name="Normal 2 5 8 3 3 4 2" xfId="44577"/>
    <cellStyle name="Normal 2 5 8 3 3 5" xfId="30514"/>
    <cellStyle name="Normal 2 5 8 3 4" xfId="2374"/>
    <cellStyle name="Normal 2 5 8 3 4 2" xfId="11739"/>
    <cellStyle name="Normal 2 5 8 3 4 2 2" xfId="37294"/>
    <cellStyle name="Normal 2 5 8 3 4 3" xfId="21743"/>
    <cellStyle name="Normal 2 5 8 3 4 3 2" xfId="47296"/>
    <cellStyle name="Normal 2 5 8 3 4 4" xfId="28226"/>
    <cellStyle name="Normal 2 5 8 3 5" xfId="6398"/>
    <cellStyle name="Normal 2 5 8 3 5 2" xfId="15225"/>
    <cellStyle name="Normal 2 5 8 3 5 2 2" xfId="40780"/>
    <cellStyle name="Normal 2 5 8 3 5 3" xfId="25476"/>
    <cellStyle name="Normal 2 5 8 3 5 3 2" xfId="51029"/>
    <cellStyle name="Normal 2 5 8 3 5 4" xfId="31959"/>
    <cellStyle name="Normal 2 5 8 3 6" xfId="7844"/>
    <cellStyle name="Normal 2 5 8 3 6 2" xfId="20225"/>
    <cellStyle name="Normal 2 5 8 3 6 2 2" xfId="45778"/>
    <cellStyle name="Normal 2 5 8 3 6 3" xfId="33401"/>
    <cellStyle name="Normal 2 5 8 3 7" xfId="16736"/>
    <cellStyle name="Normal 2 5 8 3 7 2" xfId="42289"/>
    <cellStyle name="Normal 2 5 8 3 8" xfId="26708"/>
    <cellStyle name="Normal 2 5 8 4" xfId="1380"/>
    <cellStyle name="Normal 2 5 8 4 2" xfId="3809"/>
    <cellStyle name="Normal 2 5 8 4 2 2" xfId="12945"/>
    <cellStyle name="Normal 2 5 8 4 2 2 2" xfId="23164"/>
    <cellStyle name="Normal 2 5 8 4 2 2 2 2" xfId="48717"/>
    <cellStyle name="Normal 2 5 8 4 2 2 3" xfId="38500"/>
    <cellStyle name="Normal 2 5 8 4 2 3" xfId="9366"/>
    <cellStyle name="Normal 2 5 8 4 2 3 2" xfId="34923"/>
    <cellStyle name="Normal 2 5 8 4 2 4" xfId="18157"/>
    <cellStyle name="Normal 2 5 8 4 2 4 2" xfId="43710"/>
    <cellStyle name="Normal 2 5 8 4 2 5" xfId="29647"/>
    <cellStyle name="Normal 2 5 8 4 3" xfId="5472"/>
    <cellStyle name="Normal 2 5 8 4 3 2" xfId="14309"/>
    <cellStyle name="Normal 2 5 8 4 3 2 2" xfId="24560"/>
    <cellStyle name="Normal 2 5 8 4 3 2 2 2" xfId="50113"/>
    <cellStyle name="Normal 2 5 8 4 3 2 3" xfId="39864"/>
    <cellStyle name="Normal 2 5 8 4 3 3" xfId="10730"/>
    <cellStyle name="Normal 2 5 8 4 3 3 2" xfId="36287"/>
    <cellStyle name="Normal 2 5 8 4 3 4" xfId="19553"/>
    <cellStyle name="Normal 2 5 8 4 3 4 2" xfId="45106"/>
    <cellStyle name="Normal 2 5 8 4 3 5" xfId="31043"/>
    <cellStyle name="Normal 2 5 8 4 4" xfId="1883"/>
    <cellStyle name="Normal 2 5 8 4 4 2" xfId="11251"/>
    <cellStyle name="Normal 2 5 8 4 4 2 2" xfId="36806"/>
    <cellStyle name="Normal 2 5 8 4 4 3" xfId="21255"/>
    <cellStyle name="Normal 2 5 8 4 4 3 2" xfId="46808"/>
    <cellStyle name="Normal 2 5 8 4 4 4" xfId="27738"/>
    <cellStyle name="Normal 2 5 8 4 5" xfId="6927"/>
    <cellStyle name="Normal 2 5 8 4 5 2" xfId="15754"/>
    <cellStyle name="Normal 2 5 8 4 5 2 2" xfId="41309"/>
    <cellStyle name="Normal 2 5 8 4 5 3" xfId="26005"/>
    <cellStyle name="Normal 2 5 8 4 5 3 2" xfId="51558"/>
    <cellStyle name="Normal 2 5 8 4 5 4" xfId="32488"/>
    <cellStyle name="Normal 2 5 8 4 6" xfId="8373"/>
    <cellStyle name="Normal 2 5 8 4 6 2" xfId="20763"/>
    <cellStyle name="Normal 2 5 8 4 6 2 2" xfId="46316"/>
    <cellStyle name="Normal 2 5 8 4 6 3" xfId="33930"/>
    <cellStyle name="Normal 2 5 8 4 7" xfId="16248"/>
    <cellStyle name="Normal 2 5 8 4 7 2" xfId="41801"/>
    <cellStyle name="Normal 2 5 8 4 8" xfId="27246"/>
    <cellStyle name="Normal 2 5 8 5" xfId="2777"/>
    <cellStyle name="Normal 2 5 8 5 2" xfId="12094"/>
    <cellStyle name="Normal 2 5 8 5 2 2" xfId="22138"/>
    <cellStyle name="Normal 2 5 8 5 2 2 2" xfId="47691"/>
    <cellStyle name="Normal 2 5 8 5 2 3" xfId="37649"/>
    <cellStyle name="Normal 2 5 8 5 3" xfId="8621"/>
    <cellStyle name="Normal 2 5 8 5 3 2" xfId="34178"/>
    <cellStyle name="Normal 2 5 8 5 4" xfId="17131"/>
    <cellStyle name="Normal 2 5 8 5 4 2" xfId="42684"/>
    <cellStyle name="Normal 2 5 8 5 5" xfId="28621"/>
    <cellStyle name="Normal 2 5 8 6" xfId="4428"/>
    <cellStyle name="Normal 2 5 8 6 2" xfId="13266"/>
    <cellStyle name="Normal 2 5 8 6 2 2" xfId="23517"/>
    <cellStyle name="Normal 2 5 8 6 2 2 2" xfId="49070"/>
    <cellStyle name="Normal 2 5 8 6 2 3" xfId="38821"/>
    <cellStyle name="Normal 2 5 8 6 3" xfId="9687"/>
    <cellStyle name="Normal 2 5 8 6 3 2" xfId="35244"/>
    <cellStyle name="Normal 2 5 8 6 4" xfId="18510"/>
    <cellStyle name="Normal 2 5 8 6 4 2" xfId="44063"/>
    <cellStyle name="Normal 2 5 8 6 5" xfId="30000"/>
    <cellStyle name="Normal 2 5 8 7" xfId="1700"/>
    <cellStyle name="Normal 2 5 8 7 2" xfId="11077"/>
    <cellStyle name="Normal 2 5 8 7 2 2" xfId="36632"/>
    <cellStyle name="Normal 2 5 8 7 3" xfId="21081"/>
    <cellStyle name="Normal 2 5 8 7 3 2" xfId="46634"/>
    <cellStyle name="Normal 2 5 8 7 4" xfId="27564"/>
    <cellStyle name="Normal 2 5 8 8" xfId="5884"/>
    <cellStyle name="Normal 2 5 8 8 2" xfId="14711"/>
    <cellStyle name="Normal 2 5 8 8 2 2" xfId="40266"/>
    <cellStyle name="Normal 2 5 8 8 3" xfId="24962"/>
    <cellStyle name="Normal 2 5 8 8 3 2" xfId="50515"/>
    <cellStyle name="Normal 2 5 8 8 4" xfId="31445"/>
    <cellStyle name="Normal 2 5 8 9" xfId="7328"/>
    <cellStyle name="Normal 2 5 8 9 2" xfId="19737"/>
    <cellStyle name="Normal 2 5 8 9 2 2" xfId="45290"/>
    <cellStyle name="Normal 2 5 8 9 3" xfId="32885"/>
    <cellStyle name="Normal 2 5 8_Degree data" xfId="3462"/>
    <cellStyle name="Normal 2 5 9" xfId="447"/>
    <cellStyle name="Normal 2 5 9 10" xfId="26376"/>
    <cellStyle name="Normal 2 5 9 2" xfId="780"/>
    <cellStyle name="Normal 2 5 9 2 2" xfId="3266"/>
    <cellStyle name="Normal 2 5 9 2 2 2" xfId="12408"/>
    <cellStyle name="Normal 2 5 9 2 2 2 2" xfId="22627"/>
    <cellStyle name="Normal 2 5 9 2 2 2 2 2" xfId="48180"/>
    <cellStyle name="Normal 2 5 9 2 2 2 3" xfId="37963"/>
    <cellStyle name="Normal 2 5 9 2 2 3" xfId="8830"/>
    <cellStyle name="Normal 2 5 9 2 2 3 2" xfId="34387"/>
    <cellStyle name="Normal 2 5 9 2 2 4" xfId="17620"/>
    <cellStyle name="Normal 2 5 9 2 2 4 2" xfId="43173"/>
    <cellStyle name="Normal 2 5 9 2 2 5" xfId="29110"/>
    <cellStyle name="Normal 2 5 9 2 3" xfId="4595"/>
    <cellStyle name="Normal 2 5 9 2 3 2" xfId="13433"/>
    <cellStyle name="Normal 2 5 9 2 3 2 2" xfId="23684"/>
    <cellStyle name="Normal 2 5 9 2 3 2 2 2" xfId="49237"/>
    <cellStyle name="Normal 2 5 9 2 3 2 3" xfId="38988"/>
    <cellStyle name="Normal 2 5 9 2 3 3" xfId="9854"/>
    <cellStyle name="Normal 2 5 9 2 3 3 2" xfId="35411"/>
    <cellStyle name="Normal 2 5 9 2 3 4" xfId="18677"/>
    <cellStyle name="Normal 2 5 9 2 3 4 2" xfId="44230"/>
    <cellStyle name="Normal 2 5 9 2 3 5" xfId="30167"/>
    <cellStyle name="Normal 2 5 9 2 4" xfId="2375"/>
    <cellStyle name="Normal 2 5 9 2 4 2" xfId="11740"/>
    <cellStyle name="Normal 2 5 9 2 4 2 2" xfId="37295"/>
    <cellStyle name="Normal 2 5 9 2 4 3" xfId="21744"/>
    <cellStyle name="Normal 2 5 9 2 4 3 2" xfId="47297"/>
    <cellStyle name="Normal 2 5 9 2 4 4" xfId="28227"/>
    <cellStyle name="Normal 2 5 9 2 5" xfId="6051"/>
    <cellStyle name="Normal 2 5 9 2 5 2" xfId="14878"/>
    <cellStyle name="Normal 2 5 9 2 5 2 2" xfId="40433"/>
    <cellStyle name="Normal 2 5 9 2 5 3" xfId="25129"/>
    <cellStyle name="Normal 2 5 9 2 5 3 2" xfId="50682"/>
    <cellStyle name="Normal 2 5 9 2 5 4" xfId="31612"/>
    <cellStyle name="Normal 2 5 9 2 6" xfId="7495"/>
    <cellStyle name="Normal 2 5 9 2 6 2" xfId="20226"/>
    <cellStyle name="Normal 2 5 9 2 6 2 2" xfId="45779"/>
    <cellStyle name="Normal 2 5 9 2 6 3" xfId="33052"/>
    <cellStyle name="Normal 2 5 9 2 7" xfId="16737"/>
    <cellStyle name="Normal 2 5 9 2 7 2" xfId="42290"/>
    <cellStyle name="Normal 2 5 9 2 8" xfId="26709"/>
    <cellStyle name="Normal 2 5 9 3" xfId="1219"/>
    <cellStyle name="Normal 2 5 9 3 2" xfId="3648"/>
    <cellStyle name="Normal 2 5 9 3 2 2" xfId="12784"/>
    <cellStyle name="Normal 2 5 9 3 2 2 2" xfId="23003"/>
    <cellStyle name="Normal 2 5 9 3 2 2 2 2" xfId="48556"/>
    <cellStyle name="Normal 2 5 9 3 2 2 3" xfId="38339"/>
    <cellStyle name="Normal 2 5 9 3 2 3" xfId="9205"/>
    <cellStyle name="Normal 2 5 9 3 2 3 2" xfId="34762"/>
    <cellStyle name="Normal 2 5 9 3 2 4" xfId="17996"/>
    <cellStyle name="Normal 2 5 9 3 2 4 2" xfId="43549"/>
    <cellStyle name="Normal 2 5 9 3 2 5" xfId="29486"/>
    <cellStyle name="Normal 2 5 9 3 3" xfId="4944"/>
    <cellStyle name="Normal 2 5 9 3 3 2" xfId="13781"/>
    <cellStyle name="Normal 2 5 9 3 3 2 2" xfId="24032"/>
    <cellStyle name="Normal 2 5 9 3 3 2 2 2" xfId="49585"/>
    <cellStyle name="Normal 2 5 9 3 3 2 3" xfId="39336"/>
    <cellStyle name="Normal 2 5 9 3 3 3" xfId="10202"/>
    <cellStyle name="Normal 2 5 9 3 3 3 2" xfId="35759"/>
    <cellStyle name="Normal 2 5 9 3 3 4" xfId="19025"/>
    <cellStyle name="Normal 2 5 9 3 3 4 2" xfId="44578"/>
    <cellStyle name="Normal 2 5 9 3 3 5" xfId="30515"/>
    <cellStyle name="Normal 2 5 9 3 4" xfId="2042"/>
    <cellStyle name="Normal 2 5 9 3 4 2" xfId="11407"/>
    <cellStyle name="Normal 2 5 9 3 4 2 2" xfId="36962"/>
    <cellStyle name="Normal 2 5 9 3 4 3" xfId="21411"/>
    <cellStyle name="Normal 2 5 9 3 4 3 2" xfId="46964"/>
    <cellStyle name="Normal 2 5 9 3 4 4" xfId="27894"/>
    <cellStyle name="Normal 2 5 9 3 5" xfId="6399"/>
    <cellStyle name="Normal 2 5 9 3 5 2" xfId="15226"/>
    <cellStyle name="Normal 2 5 9 3 5 2 2" xfId="40781"/>
    <cellStyle name="Normal 2 5 9 3 5 3" xfId="25477"/>
    <cellStyle name="Normal 2 5 9 3 5 3 2" xfId="51030"/>
    <cellStyle name="Normal 2 5 9 3 5 4" xfId="31960"/>
    <cellStyle name="Normal 2 5 9 3 6" xfId="7845"/>
    <cellStyle name="Normal 2 5 9 3 6 2" xfId="20602"/>
    <cellStyle name="Normal 2 5 9 3 6 2 2" xfId="46155"/>
    <cellStyle name="Normal 2 5 9 3 6 3" xfId="33402"/>
    <cellStyle name="Normal 2 5 9 3 7" xfId="16404"/>
    <cellStyle name="Normal 2 5 9 3 7 2" xfId="41957"/>
    <cellStyle name="Normal 2 5 9 3 8" xfId="27085"/>
    <cellStyle name="Normal 2 5 9 4" xfId="2933"/>
    <cellStyle name="Normal 2 5 9 4 2" xfId="5311"/>
    <cellStyle name="Normal 2 5 9 4 2 2" xfId="14148"/>
    <cellStyle name="Normal 2 5 9 4 2 2 2" xfId="24399"/>
    <cellStyle name="Normal 2 5 9 4 2 2 2 2" xfId="49952"/>
    <cellStyle name="Normal 2 5 9 4 2 2 3" xfId="39703"/>
    <cellStyle name="Normal 2 5 9 4 2 3" xfId="10569"/>
    <cellStyle name="Normal 2 5 9 4 2 3 2" xfId="36126"/>
    <cellStyle name="Normal 2 5 9 4 2 4" xfId="19392"/>
    <cellStyle name="Normal 2 5 9 4 2 4 2" xfId="44945"/>
    <cellStyle name="Normal 2 5 9 4 2 5" xfId="30882"/>
    <cellStyle name="Normal 2 5 9 4 3" xfId="6766"/>
    <cellStyle name="Normal 2 5 9 4 3 2" xfId="15593"/>
    <cellStyle name="Normal 2 5 9 4 3 2 2" xfId="41148"/>
    <cellStyle name="Normal 2 5 9 4 3 3" xfId="25844"/>
    <cellStyle name="Normal 2 5 9 4 3 3 2" xfId="51397"/>
    <cellStyle name="Normal 2 5 9 4 3 4" xfId="32327"/>
    <cellStyle name="Normal 2 5 9 4 4" xfId="8212"/>
    <cellStyle name="Normal 2 5 9 4 4 2" xfId="22294"/>
    <cellStyle name="Normal 2 5 9 4 4 2 2" xfId="47847"/>
    <cellStyle name="Normal 2 5 9 4 4 3" xfId="33769"/>
    <cellStyle name="Normal 2 5 9 4 5" xfId="17287"/>
    <cellStyle name="Normal 2 5 9 4 5 2" xfId="42840"/>
    <cellStyle name="Normal 2 5 9 4 6" xfId="28777"/>
    <cellStyle name="Normal 2 5 9 5" xfId="4267"/>
    <cellStyle name="Normal 2 5 9 5 2" xfId="13105"/>
    <cellStyle name="Normal 2 5 9 5 2 2" xfId="23356"/>
    <cellStyle name="Normal 2 5 9 5 2 2 2" xfId="48909"/>
    <cellStyle name="Normal 2 5 9 5 2 3" xfId="38660"/>
    <cellStyle name="Normal 2 5 9 5 3" xfId="9526"/>
    <cellStyle name="Normal 2 5 9 5 3 2" xfId="35083"/>
    <cellStyle name="Normal 2 5 9 5 4" xfId="18349"/>
    <cellStyle name="Normal 2 5 9 5 4 2" xfId="43902"/>
    <cellStyle name="Normal 2 5 9 5 5" xfId="29839"/>
    <cellStyle name="Normal 2 5 9 6" xfId="1539"/>
    <cellStyle name="Normal 2 5 9 6 2" xfId="10916"/>
    <cellStyle name="Normal 2 5 9 6 2 2" xfId="36471"/>
    <cellStyle name="Normal 2 5 9 6 3" xfId="20920"/>
    <cellStyle name="Normal 2 5 9 6 3 2" xfId="46473"/>
    <cellStyle name="Normal 2 5 9 6 4" xfId="27403"/>
    <cellStyle name="Normal 2 5 9 7" xfId="5723"/>
    <cellStyle name="Normal 2 5 9 7 2" xfId="14550"/>
    <cellStyle name="Normal 2 5 9 7 2 2" xfId="40105"/>
    <cellStyle name="Normal 2 5 9 7 3" xfId="24801"/>
    <cellStyle name="Normal 2 5 9 7 3 2" xfId="50354"/>
    <cellStyle name="Normal 2 5 9 7 4" xfId="31284"/>
    <cellStyle name="Normal 2 5 9 8" xfId="7167"/>
    <cellStyle name="Normal 2 5 9 8 2" xfId="19893"/>
    <cellStyle name="Normal 2 5 9 8 2 2" xfId="45446"/>
    <cellStyle name="Normal 2 5 9 8 3" xfId="32724"/>
    <cellStyle name="Normal 2 5 9 9" xfId="15913"/>
    <cellStyle name="Normal 2 5 9 9 2" xfId="41466"/>
    <cellStyle name="Normal 2 5 9_Degree data" xfId="3827"/>
    <cellStyle name="Normal 2 5_Degree data" xfId="3926"/>
    <cellStyle name="Normal 2 6" xfId="290"/>
    <cellStyle name="Normal 2 6 2" xfId="781"/>
    <cellStyle name="Normal 2 6 3" xfId="1886"/>
    <cellStyle name="Normal 2 6_Degree data" xfId="3860"/>
    <cellStyle name="Normal 2 7" xfId="1023"/>
    <cellStyle name="Normal 20" xfId="100"/>
    <cellStyle name="Normal 200" xfId="26033"/>
    <cellStyle name="Normal 200 2" xfId="26039"/>
    <cellStyle name="Normal 200 2 2" xfId="51592"/>
    <cellStyle name="Normal 200 3" xfId="51586"/>
    <cellStyle name="Normal 201" xfId="26034"/>
    <cellStyle name="Normal 201 2" xfId="51587"/>
    <cellStyle name="Normal 202" xfId="26035"/>
    <cellStyle name="Normal 202 2" xfId="26038"/>
    <cellStyle name="Normal 202 2 2" xfId="51591"/>
    <cellStyle name="Normal 202 3" xfId="51588"/>
    <cellStyle name="Normal 203" xfId="26036"/>
    <cellStyle name="Normal 203 2" xfId="51589"/>
    <cellStyle name="Normal 21" xfId="101"/>
    <cellStyle name="Normal 22" xfId="102"/>
    <cellStyle name="Normal 23" xfId="103"/>
    <cellStyle name="Normal 24" xfId="14"/>
    <cellStyle name="Normal 25" xfId="89"/>
    <cellStyle name="Normal 26" xfId="90"/>
    <cellStyle name="Normal 27" xfId="67"/>
    <cellStyle name="Normal 28" xfId="68"/>
    <cellStyle name="Normal 29" xfId="69"/>
    <cellStyle name="Normal 3" xfId="1"/>
    <cellStyle name="Normal 3 2" xfId="37"/>
    <cellStyle name="Normal 3 2 2" xfId="293"/>
    <cellStyle name="Normal 3 2 2 10" xfId="16078"/>
    <cellStyle name="Normal 3 2 2 10 2" xfId="41631"/>
    <cellStyle name="Normal 3 2 2 11" xfId="26224"/>
    <cellStyle name="Normal 3 2 2 2" xfId="612"/>
    <cellStyle name="Normal 3 2 2 2 2" xfId="3098"/>
    <cellStyle name="Normal 3 2 2 2 2 2" xfId="12241"/>
    <cellStyle name="Normal 3 2 2 2 2 2 2" xfId="22459"/>
    <cellStyle name="Normal 3 2 2 2 2 2 2 2" xfId="48012"/>
    <cellStyle name="Normal 3 2 2 2 2 2 3" xfId="37796"/>
    <cellStyle name="Normal 3 2 2 2 2 3" xfId="8663"/>
    <cellStyle name="Normal 3 2 2 2 2 3 2" xfId="34220"/>
    <cellStyle name="Normal 3 2 2 2 2 4" xfId="17452"/>
    <cellStyle name="Normal 3 2 2 2 2 4 2" xfId="43005"/>
    <cellStyle name="Normal 3 2 2 2 2 5" xfId="28942"/>
    <cellStyle name="Normal 3 2 2 2 3" xfId="4596"/>
    <cellStyle name="Normal 3 2 2 2 3 2" xfId="13434"/>
    <cellStyle name="Normal 3 2 2 2 3 2 2" xfId="23685"/>
    <cellStyle name="Normal 3 2 2 2 3 2 2 2" xfId="49238"/>
    <cellStyle name="Normal 3 2 2 2 3 2 3" xfId="38989"/>
    <cellStyle name="Normal 3 2 2 2 3 3" xfId="9855"/>
    <cellStyle name="Normal 3 2 2 2 3 3 2" xfId="35412"/>
    <cellStyle name="Normal 3 2 2 2 3 4" xfId="18678"/>
    <cellStyle name="Normal 3 2 2 2 3 4 2" xfId="44231"/>
    <cellStyle name="Normal 3 2 2 2 3 5" xfId="30168"/>
    <cellStyle name="Normal 3 2 2 2 4" xfId="2207"/>
    <cellStyle name="Normal 3 2 2 2 4 2" xfId="11572"/>
    <cellStyle name="Normal 3 2 2 2 4 2 2" xfId="37127"/>
    <cellStyle name="Normal 3 2 2 2 4 3" xfId="21576"/>
    <cellStyle name="Normal 3 2 2 2 4 3 2" xfId="47129"/>
    <cellStyle name="Normal 3 2 2 2 4 4" xfId="28059"/>
    <cellStyle name="Normal 3 2 2 2 5" xfId="6052"/>
    <cellStyle name="Normal 3 2 2 2 5 2" xfId="14879"/>
    <cellStyle name="Normal 3 2 2 2 5 2 2" xfId="40434"/>
    <cellStyle name="Normal 3 2 2 2 5 3" xfId="25130"/>
    <cellStyle name="Normal 3 2 2 2 5 3 2" xfId="50683"/>
    <cellStyle name="Normal 3 2 2 2 5 4" xfId="31613"/>
    <cellStyle name="Normal 3 2 2 2 6" xfId="7497"/>
    <cellStyle name="Normal 3 2 2 2 6 2" xfId="20058"/>
    <cellStyle name="Normal 3 2 2 2 6 2 2" xfId="45611"/>
    <cellStyle name="Normal 3 2 2 2 6 3" xfId="33054"/>
    <cellStyle name="Normal 3 2 2 2 7" xfId="16569"/>
    <cellStyle name="Normal 3 2 2 2 7 2" xfId="42122"/>
    <cellStyle name="Normal 3 2 2 2 8" xfId="26541"/>
    <cellStyle name="Normal 3 2 2 3" xfId="782"/>
    <cellStyle name="Normal 3 2 2 3 2" xfId="3267"/>
    <cellStyle name="Normal 3 2 2 3 2 2" xfId="12409"/>
    <cellStyle name="Normal 3 2 2 3 2 2 2" xfId="22628"/>
    <cellStyle name="Normal 3 2 2 3 2 2 2 2" xfId="48181"/>
    <cellStyle name="Normal 3 2 2 3 2 2 3" xfId="37964"/>
    <cellStyle name="Normal 3 2 2 3 2 3" xfId="8831"/>
    <cellStyle name="Normal 3 2 2 3 2 3 2" xfId="34388"/>
    <cellStyle name="Normal 3 2 2 3 2 4" xfId="17621"/>
    <cellStyle name="Normal 3 2 2 3 2 4 2" xfId="43174"/>
    <cellStyle name="Normal 3 2 2 3 2 5" xfId="29111"/>
    <cellStyle name="Normal 3 2 2 3 3" xfId="4945"/>
    <cellStyle name="Normal 3 2 2 3 3 2" xfId="13782"/>
    <cellStyle name="Normal 3 2 2 3 3 2 2" xfId="24033"/>
    <cellStyle name="Normal 3 2 2 3 3 2 2 2" xfId="49586"/>
    <cellStyle name="Normal 3 2 2 3 3 2 3" xfId="39337"/>
    <cellStyle name="Normal 3 2 2 3 3 3" xfId="10203"/>
    <cellStyle name="Normal 3 2 2 3 3 3 2" xfId="35760"/>
    <cellStyle name="Normal 3 2 2 3 3 4" xfId="19026"/>
    <cellStyle name="Normal 3 2 2 3 3 4 2" xfId="44579"/>
    <cellStyle name="Normal 3 2 2 3 3 5" xfId="30516"/>
    <cellStyle name="Normal 3 2 2 3 4" xfId="2376"/>
    <cellStyle name="Normal 3 2 2 3 4 2" xfId="11741"/>
    <cellStyle name="Normal 3 2 2 3 4 2 2" xfId="37296"/>
    <cellStyle name="Normal 3 2 2 3 4 3" xfId="21745"/>
    <cellStyle name="Normal 3 2 2 3 4 3 2" xfId="47298"/>
    <cellStyle name="Normal 3 2 2 3 4 4" xfId="28228"/>
    <cellStyle name="Normal 3 2 2 3 5" xfId="6400"/>
    <cellStyle name="Normal 3 2 2 3 5 2" xfId="15227"/>
    <cellStyle name="Normal 3 2 2 3 5 2 2" xfId="40782"/>
    <cellStyle name="Normal 3 2 2 3 5 3" xfId="25478"/>
    <cellStyle name="Normal 3 2 2 3 5 3 2" xfId="51031"/>
    <cellStyle name="Normal 3 2 2 3 5 4" xfId="31961"/>
    <cellStyle name="Normal 3 2 2 3 6" xfId="7846"/>
    <cellStyle name="Normal 3 2 2 3 6 2" xfId="20227"/>
    <cellStyle name="Normal 3 2 2 3 6 2 2" xfId="45780"/>
    <cellStyle name="Normal 3 2 2 3 6 3" xfId="33403"/>
    <cellStyle name="Normal 3 2 2 3 7" xfId="16738"/>
    <cellStyle name="Normal 3 2 2 3 7 2" xfId="42291"/>
    <cellStyle name="Normal 3 2 2 3 8" xfId="26710"/>
    <cellStyle name="Normal 3 2 2 4" xfId="1384"/>
    <cellStyle name="Normal 3 2 2 4 2" xfId="3813"/>
    <cellStyle name="Normal 3 2 2 4 2 2" xfId="12949"/>
    <cellStyle name="Normal 3 2 2 4 2 2 2" xfId="23168"/>
    <cellStyle name="Normal 3 2 2 4 2 2 2 2" xfId="48721"/>
    <cellStyle name="Normal 3 2 2 4 2 2 3" xfId="38504"/>
    <cellStyle name="Normal 3 2 2 4 2 3" xfId="9370"/>
    <cellStyle name="Normal 3 2 2 4 2 3 2" xfId="34927"/>
    <cellStyle name="Normal 3 2 2 4 2 4" xfId="18161"/>
    <cellStyle name="Normal 3 2 2 4 2 4 2" xfId="43714"/>
    <cellStyle name="Normal 3 2 2 4 2 5" xfId="29651"/>
    <cellStyle name="Normal 3 2 2 4 3" xfId="5476"/>
    <cellStyle name="Normal 3 2 2 4 3 2" xfId="14313"/>
    <cellStyle name="Normal 3 2 2 4 3 2 2" xfId="24564"/>
    <cellStyle name="Normal 3 2 2 4 3 2 2 2" xfId="50117"/>
    <cellStyle name="Normal 3 2 2 4 3 2 3" xfId="39868"/>
    <cellStyle name="Normal 3 2 2 4 3 3" xfId="10734"/>
    <cellStyle name="Normal 3 2 2 4 3 3 2" xfId="36291"/>
    <cellStyle name="Normal 3 2 2 4 3 4" xfId="19557"/>
    <cellStyle name="Normal 3 2 2 4 3 4 2" xfId="45110"/>
    <cellStyle name="Normal 3 2 2 4 3 5" xfId="31047"/>
    <cellStyle name="Normal 3 2 2 4 4" xfId="1888"/>
    <cellStyle name="Normal 3 2 2 4 4 2" xfId="11255"/>
    <cellStyle name="Normal 3 2 2 4 4 2 2" xfId="36810"/>
    <cellStyle name="Normal 3 2 2 4 4 3" xfId="21259"/>
    <cellStyle name="Normal 3 2 2 4 4 3 2" xfId="46812"/>
    <cellStyle name="Normal 3 2 2 4 4 4" xfId="27742"/>
    <cellStyle name="Normal 3 2 2 4 5" xfId="6931"/>
    <cellStyle name="Normal 3 2 2 4 5 2" xfId="15758"/>
    <cellStyle name="Normal 3 2 2 4 5 2 2" xfId="41313"/>
    <cellStyle name="Normal 3 2 2 4 5 3" xfId="26009"/>
    <cellStyle name="Normal 3 2 2 4 5 3 2" xfId="51562"/>
    <cellStyle name="Normal 3 2 2 4 5 4" xfId="32492"/>
    <cellStyle name="Normal 3 2 2 4 6" xfId="8377"/>
    <cellStyle name="Normal 3 2 2 4 6 2" xfId="20767"/>
    <cellStyle name="Normal 3 2 2 4 6 2 2" xfId="46320"/>
    <cellStyle name="Normal 3 2 2 4 6 3" xfId="33934"/>
    <cellStyle name="Normal 3 2 2 4 7" xfId="16252"/>
    <cellStyle name="Normal 3 2 2 4 7 2" xfId="41805"/>
    <cellStyle name="Normal 3 2 2 4 8" xfId="27250"/>
    <cellStyle name="Normal 3 2 2 5" xfId="2781"/>
    <cellStyle name="Normal 3 2 2 5 2" xfId="12098"/>
    <cellStyle name="Normal 3 2 2 5 2 2" xfId="22142"/>
    <cellStyle name="Normal 3 2 2 5 2 2 2" xfId="47695"/>
    <cellStyle name="Normal 3 2 2 5 2 3" xfId="37653"/>
    <cellStyle name="Normal 3 2 2 5 3" xfId="8404"/>
    <cellStyle name="Normal 3 2 2 5 3 2" xfId="33961"/>
    <cellStyle name="Normal 3 2 2 5 4" xfId="17135"/>
    <cellStyle name="Normal 3 2 2 5 4 2" xfId="42688"/>
    <cellStyle name="Normal 3 2 2 5 5" xfId="28625"/>
    <cellStyle name="Normal 3 2 2 6" xfId="4432"/>
    <cellStyle name="Normal 3 2 2 6 2" xfId="13270"/>
    <cellStyle name="Normal 3 2 2 6 2 2" xfId="23521"/>
    <cellStyle name="Normal 3 2 2 6 2 2 2" xfId="49074"/>
    <cellStyle name="Normal 3 2 2 6 2 3" xfId="38825"/>
    <cellStyle name="Normal 3 2 2 6 3" xfId="9691"/>
    <cellStyle name="Normal 3 2 2 6 3 2" xfId="35248"/>
    <cellStyle name="Normal 3 2 2 6 4" xfId="18514"/>
    <cellStyle name="Normal 3 2 2 6 4 2" xfId="44067"/>
    <cellStyle name="Normal 3 2 2 6 5" xfId="30004"/>
    <cellStyle name="Normal 3 2 2 7" xfId="1704"/>
    <cellStyle name="Normal 3 2 2 7 2" xfId="11081"/>
    <cellStyle name="Normal 3 2 2 7 2 2" xfId="36636"/>
    <cellStyle name="Normal 3 2 2 7 3" xfId="21085"/>
    <cellStyle name="Normal 3 2 2 7 3 2" xfId="46638"/>
    <cellStyle name="Normal 3 2 2 7 4" xfId="27568"/>
    <cellStyle name="Normal 3 2 2 8" xfId="5888"/>
    <cellStyle name="Normal 3 2 2 8 2" xfId="14715"/>
    <cellStyle name="Normal 3 2 2 8 2 2" xfId="40270"/>
    <cellStyle name="Normal 3 2 2 8 3" xfId="24966"/>
    <cellStyle name="Normal 3 2 2 8 3 2" xfId="50519"/>
    <cellStyle name="Normal 3 2 2 8 4" xfId="31449"/>
    <cellStyle name="Normal 3 2 2 9" xfId="7332"/>
    <cellStyle name="Normal 3 2 2 9 2" xfId="19741"/>
    <cellStyle name="Normal 3 2 2 9 2 2" xfId="45294"/>
    <cellStyle name="Normal 3 2 2 9 3" xfId="32889"/>
    <cellStyle name="Normal 3 2 2_Degree data" xfId="2604"/>
    <cellStyle name="Normal 3 3" xfId="149"/>
    <cellStyle name="Normal 30" xfId="70"/>
    <cellStyle name="Normal 31" xfId="71"/>
    <cellStyle name="Normal 32" xfId="72"/>
    <cellStyle name="Normal 33" xfId="73"/>
    <cellStyle name="Normal 34" xfId="74"/>
    <cellStyle name="Normal 35" xfId="75"/>
    <cellStyle name="Normal 36" xfId="76"/>
    <cellStyle name="Normal 37" xfId="77"/>
    <cellStyle name="Normal 38" xfId="15"/>
    <cellStyle name="Normal 39" xfId="78"/>
    <cellStyle name="Normal 4" xfId="22"/>
    <cellStyle name="Normal 4 2" xfId="109"/>
    <cellStyle name="Normal 4 2 2" xfId="292"/>
    <cellStyle name="Normal 4 3" xfId="23"/>
    <cellStyle name="Normal 4 4" xfId="287"/>
    <cellStyle name="Normal 4 4 10" xfId="16075"/>
    <cellStyle name="Normal 4 4 10 2" xfId="41628"/>
    <cellStyle name="Normal 4 4 11" xfId="26221"/>
    <cellStyle name="Normal 4 4 2" xfId="609"/>
    <cellStyle name="Normal 4 4 2 2" xfId="3095"/>
    <cellStyle name="Normal 4 4 2 2 2" xfId="12238"/>
    <cellStyle name="Normal 4 4 2 2 2 2" xfId="22456"/>
    <cellStyle name="Normal 4 4 2 2 2 2 2" xfId="48009"/>
    <cellStyle name="Normal 4 4 2 2 2 3" xfId="37793"/>
    <cellStyle name="Normal 4 4 2 2 3" xfId="8660"/>
    <cellStyle name="Normal 4 4 2 2 3 2" xfId="34217"/>
    <cellStyle name="Normal 4 4 2 2 4" xfId="17449"/>
    <cellStyle name="Normal 4 4 2 2 4 2" xfId="43002"/>
    <cellStyle name="Normal 4 4 2 2 5" xfId="28939"/>
    <cellStyle name="Normal 4 4 2 3" xfId="4597"/>
    <cellStyle name="Normal 4 4 2 3 2" xfId="13435"/>
    <cellStyle name="Normal 4 4 2 3 2 2" xfId="23686"/>
    <cellStyle name="Normal 4 4 2 3 2 2 2" xfId="49239"/>
    <cellStyle name="Normal 4 4 2 3 2 3" xfId="38990"/>
    <cellStyle name="Normal 4 4 2 3 3" xfId="9856"/>
    <cellStyle name="Normal 4 4 2 3 3 2" xfId="35413"/>
    <cellStyle name="Normal 4 4 2 3 4" xfId="18679"/>
    <cellStyle name="Normal 4 4 2 3 4 2" xfId="44232"/>
    <cellStyle name="Normal 4 4 2 3 5" xfId="30169"/>
    <cellStyle name="Normal 4 4 2 4" xfId="2204"/>
    <cellStyle name="Normal 4 4 2 4 2" xfId="11569"/>
    <cellStyle name="Normal 4 4 2 4 2 2" xfId="37124"/>
    <cellStyle name="Normal 4 4 2 4 3" xfId="21573"/>
    <cellStyle name="Normal 4 4 2 4 3 2" xfId="47126"/>
    <cellStyle name="Normal 4 4 2 4 4" xfId="28056"/>
    <cellStyle name="Normal 4 4 2 5" xfId="6053"/>
    <cellStyle name="Normal 4 4 2 5 2" xfId="14880"/>
    <cellStyle name="Normal 4 4 2 5 2 2" xfId="40435"/>
    <cellStyle name="Normal 4 4 2 5 3" xfId="25131"/>
    <cellStyle name="Normal 4 4 2 5 3 2" xfId="50684"/>
    <cellStyle name="Normal 4 4 2 5 4" xfId="31614"/>
    <cellStyle name="Normal 4 4 2 6" xfId="7498"/>
    <cellStyle name="Normal 4 4 2 6 2" xfId="20055"/>
    <cellStyle name="Normal 4 4 2 6 2 2" xfId="45608"/>
    <cellStyle name="Normal 4 4 2 6 3" xfId="33055"/>
    <cellStyle name="Normal 4 4 2 7" xfId="16566"/>
    <cellStyle name="Normal 4 4 2 7 2" xfId="42119"/>
    <cellStyle name="Normal 4 4 2 8" xfId="26538"/>
    <cellStyle name="Normal 4 4 3" xfId="783"/>
    <cellStyle name="Normal 4 4 3 2" xfId="3268"/>
    <cellStyle name="Normal 4 4 3 2 2" xfId="12410"/>
    <cellStyle name="Normal 4 4 3 2 2 2" xfId="22629"/>
    <cellStyle name="Normal 4 4 3 2 2 2 2" xfId="48182"/>
    <cellStyle name="Normal 4 4 3 2 2 3" xfId="37965"/>
    <cellStyle name="Normal 4 4 3 2 3" xfId="8832"/>
    <cellStyle name="Normal 4 4 3 2 3 2" xfId="34389"/>
    <cellStyle name="Normal 4 4 3 2 4" xfId="17622"/>
    <cellStyle name="Normal 4 4 3 2 4 2" xfId="43175"/>
    <cellStyle name="Normal 4 4 3 2 5" xfId="29112"/>
    <cellStyle name="Normal 4 4 3 3" xfId="4946"/>
    <cellStyle name="Normal 4 4 3 3 2" xfId="13783"/>
    <cellStyle name="Normal 4 4 3 3 2 2" xfId="24034"/>
    <cellStyle name="Normal 4 4 3 3 2 2 2" xfId="49587"/>
    <cellStyle name="Normal 4 4 3 3 2 3" xfId="39338"/>
    <cellStyle name="Normal 4 4 3 3 3" xfId="10204"/>
    <cellStyle name="Normal 4 4 3 3 3 2" xfId="35761"/>
    <cellStyle name="Normal 4 4 3 3 4" xfId="19027"/>
    <cellStyle name="Normal 4 4 3 3 4 2" xfId="44580"/>
    <cellStyle name="Normal 4 4 3 3 5" xfId="30517"/>
    <cellStyle name="Normal 4 4 3 4" xfId="2377"/>
    <cellStyle name="Normal 4 4 3 4 2" xfId="11742"/>
    <cellStyle name="Normal 4 4 3 4 2 2" xfId="37297"/>
    <cellStyle name="Normal 4 4 3 4 3" xfId="21746"/>
    <cellStyle name="Normal 4 4 3 4 3 2" xfId="47299"/>
    <cellStyle name="Normal 4 4 3 4 4" xfId="28229"/>
    <cellStyle name="Normal 4 4 3 5" xfId="6401"/>
    <cellStyle name="Normal 4 4 3 5 2" xfId="15228"/>
    <cellStyle name="Normal 4 4 3 5 2 2" xfId="40783"/>
    <cellStyle name="Normal 4 4 3 5 3" xfId="25479"/>
    <cellStyle name="Normal 4 4 3 5 3 2" xfId="51032"/>
    <cellStyle name="Normal 4 4 3 5 4" xfId="31962"/>
    <cellStyle name="Normal 4 4 3 6" xfId="7847"/>
    <cellStyle name="Normal 4 4 3 6 2" xfId="20228"/>
    <cellStyle name="Normal 4 4 3 6 2 2" xfId="45781"/>
    <cellStyle name="Normal 4 4 3 6 3" xfId="33404"/>
    <cellStyle name="Normal 4 4 3 7" xfId="16739"/>
    <cellStyle name="Normal 4 4 3 7 2" xfId="42292"/>
    <cellStyle name="Normal 4 4 3 8" xfId="26711"/>
    <cellStyle name="Normal 4 4 4" xfId="1381"/>
    <cellStyle name="Normal 4 4 4 2" xfId="3810"/>
    <cellStyle name="Normal 4 4 4 2 2" xfId="12946"/>
    <cellStyle name="Normal 4 4 4 2 2 2" xfId="23165"/>
    <cellStyle name="Normal 4 4 4 2 2 2 2" xfId="48718"/>
    <cellStyle name="Normal 4 4 4 2 2 3" xfId="38501"/>
    <cellStyle name="Normal 4 4 4 2 3" xfId="9367"/>
    <cellStyle name="Normal 4 4 4 2 3 2" xfId="34924"/>
    <cellStyle name="Normal 4 4 4 2 4" xfId="18158"/>
    <cellStyle name="Normal 4 4 4 2 4 2" xfId="43711"/>
    <cellStyle name="Normal 4 4 4 2 5" xfId="29648"/>
    <cellStyle name="Normal 4 4 4 3" xfId="5473"/>
    <cellStyle name="Normal 4 4 4 3 2" xfId="14310"/>
    <cellStyle name="Normal 4 4 4 3 2 2" xfId="24561"/>
    <cellStyle name="Normal 4 4 4 3 2 2 2" xfId="50114"/>
    <cellStyle name="Normal 4 4 4 3 2 3" xfId="39865"/>
    <cellStyle name="Normal 4 4 4 3 3" xfId="10731"/>
    <cellStyle name="Normal 4 4 4 3 3 2" xfId="36288"/>
    <cellStyle name="Normal 4 4 4 3 4" xfId="19554"/>
    <cellStyle name="Normal 4 4 4 3 4 2" xfId="45107"/>
    <cellStyle name="Normal 4 4 4 3 5" xfId="31044"/>
    <cellStyle name="Normal 4 4 4 4" xfId="1884"/>
    <cellStyle name="Normal 4 4 4 4 2" xfId="11252"/>
    <cellStyle name="Normal 4 4 4 4 2 2" xfId="36807"/>
    <cellStyle name="Normal 4 4 4 4 3" xfId="21256"/>
    <cellStyle name="Normal 4 4 4 4 3 2" xfId="46809"/>
    <cellStyle name="Normal 4 4 4 4 4" xfId="27739"/>
    <cellStyle name="Normal 4 4 4 5" xfId="6928"/>
    <cellStyle name="Normal 4 4 4 5 2" xfId="15755"/>
    <cellStyle name="Normal 4 4 4 5 2 2" xfId="41310"/>
    <cellStyle name="Normal 4 4 4 5 3" xfId="26006"/>
    <cellStyle name="Normal 4 4 4 5 3 2" xfId="51559"/>
    <cellStyle name="Normal 4 4 4 5 4" xfId="32489"/>
    <cellStyle name="Normal 4 4 4 6" xfId="8374"/>
    <cellStyle name="Normal 4 4 4 6 2" xfId="20764"/>
    <cellStyle name="Normal 4 4 4 6 2 2" xfId="46317"/>
    <cellStyle name="Normal 4 4 4 6 3" xfId="33931"/>
    <cellStyle name="Normal 4 4 4 7" xfId="16249"/>
    <cellStyle name="Normal 4 4 4 7 2" xfId="41802"/>
    <cellStyle name="Normal 4 4 4 8" xfId="27247"/>
    <cellStyle name="Normal 4 4 5" xfId="2778"/>
    <cellStyle name="Normal 4 4 5 2" xfId="12095"/>
    <cellStyle name="Normal 4 4 5 2 2" xfId="22139"/>
    <cellStyle name="Normal 4 4 5 2 2 2" xfId="47692"/>
    <cellStyle name="Normal 4 4 5 2 3" xfId="37650"/>
    <cellStyle name="Normal 4 4 5 3" xfId="8537"/>
    <cellStyle name="Normal 4 4 5 3 2" xfId="34094"/>
    <cellStyle name="Normal 4 4 5 4" xfId="17132"/>
    <cellStyle name="Normal 4 4 5 4 2" xfId="42685"/>
    <cellStyle name="Normal 4 4 5 5" xfId="28622"/>
    <cellStyle name="Normal 4 4 6" xfId="4429"/>
    <cellStyle name="Normal 4 4 6 2" xfId="13267"/>
    <cellStyle name="Normal 4 4 6 2 2" xfId="23518"/>
    <cellStyle name="Normal 4 4 6 2 2 2" xfId="49071"/>
    <cellStyle name="Normal 4 4 6 2 3" xfId="38822"/>
    <cellStyle name="Normal 4 4 6 3" xfId="9688"/>
    <cellStyle name="Normal 4 4 6 3 2" xfId="35245"/>
    <cellStyle name="Normal 4 4 6 4" xfId="18511"/>
    <cellStyle name="Normal 4 4 6 4 2" xfId="44064"/>
    <cellStyle name="Normal 4 4 6 5" xfId="30001"/>
    <cellStyle name="Normal 4 4 7" xfId="1701"/>
    <cellStyle name="Normal 4 4 7 2" xfId="11078"/>
    <cellStyle name="Normal 4 4 7 2 2" xfId="36633"/>
    <cellStyle name="Normal 4 4 7 3" xfId="21082"/>
    <cellStyle name="Normal 4 4 7 3 2" xfId="46635"/>
    <cellStyle name="Normal 4 4 7 4" xfId="27565"/>
    <cellStyle name="Normal 4 4 8" xfId="5885"/>
    <cellStyle name="Normal 4 4 8 2" xfId="14712"/>
    <cellStyle name="Normal 4 4 8 2 2" xfId="40267"/>
    <cellStyle name="Normal 4 4 8 3" xfId="24963"/>
    <cellStyle name="Normal 4 4 8 3 2" xfId="50516"/>
    <cellStyle name="Normal 4 4 8 4" xfId="31446"/>
    <cellStyle name="Normal 4 4 9" xfId="7329"/>
    <cellStyle name="Normal 4 4 9 2" xfId="19738"/>
    <cellStyle name="Normal 4 4 9 2 2" xfId="45291"/>
    <cellStyle name="Normal 4 4 9 3" xfId="32886"/>
    <cellStyle name="Normal 4 4_Degree data" xfId="3918"/>
    <cellStyle name="Normal 40" xfId="79"/>
    <cellStyle name="Normal 41" xfId="80"/>
    <cellStyle name="Normal 42" xfId="81"/>
    <cellStyle name="Normal 43" xfId="82"/>
    <cellStyle name="Normal 44" xfId="83"/>
    <cellStyle name="Normal 45" xfId="84"/>
    <cellStyle name="Normal 46" xfId="85"/>
    <cellStyle name="Normal 47" xfId="86"/>
    <cellStyle name="Normal 48" xfId="87"/>
    <cellStyle name="Normal 49" xfId="91"/>
    <cellStyle name="Normal 5" xfId="2"/>
    <cellStyle name="Normal 5 10" xfId="1041"/>
    <cellStyle name="Normal 5 10 2" xfId="3470"/>
    <cellStyle name="Normal 5 10 2 2" xfId="12606"/>
    <cellStyle name="Normal 5 10 2 2 2" xfId="22825"/>
    <cellStyle name="Normal 5 10 2 2 2 2" xfId="48378"/>
    <cellStyle name="Normal 5 10 2 2 3" xfId="38161"/>
    <cellStyle name="Normal 5 10 2 3" xfId="9028"/>
    <cellStyle name="Normal 5 10 2 3 2" xfId="34585"/>
    <cellStyle name="Normal 5 10 2 4" xfId="17818"/>
    <cellStyle name="Normal 5 10 2 4 2" xfId="43371"/>
    <cellStyle name="Normal 5 10 2 5" xfId="29308"/>
    <cellStyle name="Normal 5 10 3" xfId="4947"/>
    <cellStyle name="Normal 5 10 3 2" xfId="13784"/>
    <cellStyle name="Normal 5 10 3 2 2" xfId="24035"/>
    <cellStyle name="Normal 5 10 3 2 2 2" xfId="49588"/>
    <cellStyle name="Normal 5 10 3 2 3" xfId="39339"/>
    <cellStyle name="Normal 5 10 3 3" xfId="10205"/>
    <cellStyle name="Normal 5 10 3 3 2" xfId="35762"/>
    <cellStyle name="Normal 5 10 3 4" xfId="19028"/>
    <cellStyle name="Normal 5 10 3 4 2" xfId="44581"/>
    <cellStyle name="Normal 5 10 3 5" xfId="30518"/>
    <cellStyle name="Normal 5 10 4" xfId="2577"/>
    <cellStyle name="Normal 5 10 4 2" xfId="11941"/>
    <cellStyle name="Normal 5 10 4 2 2" xfId="37496"/>
    <cellStyle name="Normal 5 10 4 3" xfId="21945"/>
    <cellStyle name="Normal 5 10 4 3 2" xfId="47498"/>
    <cellStyle name="Normal 5 10 4 4" xfId="28428"/>
    <cellStyle name="Normal 5 10 5" xfId="6402"/>
    <cellStyle name="Normal 5 10 5 2" xfId="15229"/>
    <cellStyle name="Normal 5 10 5 2 2" xfId="40784"/>
    <cellStyle name="Normal 5 10 5 3" xfId="25480"/>
    <cellStyle name="Normal 5 10 5 3 2" xfId="51033"/>
    <cellStyle name="Normal 5 10 5 4" xfId="31963"/>
    <cellStyle name="Normal 5 10 6" xfId="7848"/>
    <cellStyle name="Normal 5 10 6 2" xfId="20424"/>
    <cellStyle name="Normal 5 10 6 2 2" xfId="45977"/>
    <cellStyle name="Normal 5 10 6 3" xfId="33405"/>
    <cellStyle name="Normal 5 10 7" xfId="16938"/>
    <cellStyle name="Normal 5 10 7 2" xfId="42491"/>
    <cellStyle name="Normal 5 10 8" xfId="26907"/>
    <cellStyle name="Normal 5 11" xfId="3890"/>
    <cellStyle name="Normal 5 11 2" xfId="5133"/>
    <cellStyle name="Normal 5 11 2 2" xfId="13970"/>
    <cellStyle name="Normal 5 11 2 2 2" xfId="24221"/>
    <cellStyle name="Normal 5 11 2 2 2 2" xfId="49774"/>
    <cellStyle name="Normal 5 11 2 2 3" xfId="39525"/>
    <cellStyle name="Normal 5 11 2 3" xfId="10391"/>
    <cellStyle name="Normal 5 11 2 3 2" xfId="35948"/>
    <cellStyle name="Normal 5 11 2 4" xfId="19214"/>
    <cellStyle name="Normal 5 11 2 4 2" xfId="44767"/>
    <cellStyle name="Normal 5 11 2 5" xfId="30704"/>
    <cellStyle name="Normal 5 11 3" xfId="6588"/>
    <cellStyle name="Normal 5 11 3 2" xfId="15415"/>
    <cellStyle name="Normal 5 11 3 2 2" xfId="40970"/>
    <cellStyle name="Normal 5 11 3 3" xfId="25666"/>
    <cellStyle name="Normal 5 11 3 3 2" xfId="51219"/>
    <cellStyle name="Normal 5 11 3 4" xfId="32149"/>
    <cellStyle name="Normal 5 11 4" xfId="8034"/>
    <cellStyle name="Normal 5 11 4 2" xfId="23171"/>
    <cellStyle name="Normal 5 11 4 2 2" xfId="48724"/>
    <cellStyle name="Normal 5 11 4 3" xfId="33591"/>
    <cellStyle name="Normal 5 11 5" xfId="18164"/>
    <cellStyle name="Normal 5 11 5 2" xfId="43717"/>
    <cellStyle name="Normal 5 11 6" xfId="29654"/>
    <cellStyle name="Normal 5 12" xfId="4086"/>
    <cellStyle name="Normal 5 12 2" xfId="5545"/>
    <cellStyle name="Normal 5 12 2 2" xfId="14372"/>
    <cellStyle name="Normal 5 12 2 2 2" xfId="39927"/>
    <cellStyle name="Normal 5 12 2 3" xfId="24623"/>
    <cellStyle name="Normal 5 12 2 3 2" xfId="50176"/>
    <cellStyle name="Normal 5 12 2 4" xfId="31106"/>
    <cellStyle name="Normal 5 12 3" xfId="6989"/>
    <cellStyle name="Normal 5 12 3 2" xfId="23175"/>
    <cellStyle name="Normal 5 12 3 2 2" xfId="48728"/>
    <cellStyle name="Normal 5 12 3 3" xfId="32546"/>
    <cellStyle name="Normal 5 12 4" xfId="18168"/>
    <cellStyle name="Normal 5 12 4 2" xfId="43721"/>
    <cellStyle name="Normal 5 12 5" xfId="29658"/>
    <cellStyle name="Normal 5 13" xfId="1393"/>
    <cellStyle name="Normal 5 13 2" xfId="10770"/>
    <cellStyle name="Normal 5 13 2 2" xfId="36325"/>
    <cellStyle name="Normal 5 13 3" xfId="20774"/>
    <cellStyle name="Normal 5 13 3 2" xfId="46327"/>
    <cellStyle name="Normal 5 13 4" xfId="27257"/>
    <cellStyle name="Normal 5 14" xfId="5501"/>
    <cellStyle name="Normal 5 14 2" xfId="14328"/>
    <cellStyle name="Normal 5 14 2 2" xfId="39883"/>
    <cellStyle name="Normal 5 14 3" xfId="24579"/>
    <cellStyle name="Normal 5 14 3 2" xfId="50132"/>
    <cellStyle name="Normal 5 14 4" xfId="31062"/>
    <cellStyle name="Normal 5 15" xfId="6939"/>
    <cellStyle name="Normal 5 15 2" xfId="32497"/>
    <cellStyle name="Normal 5 16" xfId="15767"/>
    <cellStyle name="Normal 5 16 2" xfId="41320"/>
    <cellStyle name="Normal 5 2" xfId="107"/>
    <cellStyle name="Normal 5 2 10" xfId="5505"/>
    <cellStyle name="Normal 5 2 10 2" xfId="14332"/>
    <cellStyle name="Normal 5 2 10 2 2" xfId="39887"/>
    <cellStyle name="Normal 5 2 10 3" xfId="24583"/>
    <cellStyle name="Normal 5 2 10 3 2" xfId="50136"/>
    <cellStyle name="Normal 5 2 10 4" xfId="31066"/>
    <cellStyle name="Normal 5 2 11" xfId="6944"/>
    <cellStyle name="Normal 5 2 11 2" xfId="19582"/>
    <cellStyle name="Normal 5 2 11 2 2" xfId="45135"/>
    <cellStyle name="Normal 5 2 11 3" xfId="32502"/>
    <cellStyle name="Normal 5 2 12" xfId="26065"/>
    <cellStyle name="Normal 5 2 2" xfId="120"/>
    <cellStyle name="Normal 5 2 2 10" xfId="5536"/>
    <cellStyle name="Normal 5 2 2 10 2" xfId="14363"/>
    <cellStyle name="Normal 5 2 2 10 2 2" xfId="39918"/>
    <cellStyle name="Normal 5 2 2 10 3" xfId="24614"/>
    <cellStyle name="Normal 5 2 2 10 3 2" xfId="50167"/>
    <cellStyle name="Normal 5 2 2 10 4" xfId="31097"/>
    <cellStyle name="Normal 5 2 2 11" xfId="6980"/>
    <cellStyle name="Normal 5 2 2 11 2" xfId="32537"/>
    <cellStyle name="Normal 5 2 2 12" xfId="15801"/>
    <cellStyle name="Normal 5 2 2 12 2" xfId="41354"/>
    <cellStyle name="Normal 5 2 2 2" xfId="162"/>
    <cellStyle name="Normal 5 2 2 2 10" xfId="5494"/>
    <cellStyle name="Normal 5 2 2 2 11" xfId="10750"/>
    <cellStyle name="Normal 5 2 2 2 11 2" xfId="19621"/>
    <cellStyle name="Normal 5 2 2 2 11 2 2" xfId="45174"/>
    <cellStyle name="Normal 5 2 2 2 11 3" xfId="36306"/>
    <cellStyle name="Normal 5 2 2 2 12" xfId="26104"/>
    <cellStyle name="Normal 5 2 2 2 2" xfId="274"/>
    <cellStyle name="Normal 5 2 2 2 2 10" xfId="7112"/>
    <cellStyle name="Normal 5 2 2 2 2 10 2" xfId="19725"/>
    <cellStyle name="Normal 5 2 2 2 2 10 2 2" xfId="45278"/>
    <cellStyle name="Normal 5 2 2 2 2 10 3" xfId="32669"/>
    <cellStyle name="Normal 5 2 2 2 2 11" xfId="15858"/>
    <cellStyle name="Normal 5 2 2 2 2 11 2" xfId="41411"/>
    <cellStyle name="Normal 5 2 2 2 2 12" xfId="26208"/>
    <cellStyle name="Normal 5 2 2 2 2 2" xfId="596"/>
    <cellStyle name="Normal 5 2 2 2 2 2 10" xfId="26525"/>
    <cellStyle name="Normal 5 2 2 2 2 2 2" xfId="787"/>
    <cellStyle name="Normal 5 2 2 2 2 2 2 2" xfId="3272"/>
    <cellStyle name="Normal 5 2 2 2 2 2 2 2 2" xfId="12414"/>
    <cellStyle name="Normal 5 2 2 2 2 2 2 2 2 2" xfId="22633"/>
    <cellStyle name="Normal 5 2 2 2 2 2 2 2 2 2 2" xfId="48186"/>
    <cellStyle name="Normal 5 2 2 2 2 2 2 2 2 3" xfId="37969"/>
    <cellStyle name="Normal 5 2 2 2 2 2 2 2 3" xfId="8836"/>
    <cellStyle name="Normal 5 2 2 2 2 2 2 2 3 2" xfId="34393"/>
    <cellStyle name="Normal 5 2 2 2 2 2 2 2 4" xfId="17626"/>
    <cellStyle name="Normal 5 2 2 2 2 2 2 2 4 2" xfId="43179"/>
    <cellStyle name="Normal 5 2 2 2 2 2 2 2 5" xfId="29116"/>
    <cellStyle name="Normal 5 2 2 2 2 2 2 3" xfId="4601"/>
    <cellStyle name="Normal 5 2 2 2 2 2 2 3 2" xfId="13439"/>
    <cellStyle name="Normal 5 2 2 2 2 2 2 3 2 2" xfId="23690"/>
    <cellStyle name="Normal 5 2 2 2 2 2 2 3 2 2 2" xfId="49243"/>
    <cellStyle name="Normal 5 2 2 2 2 2 2 3 2 3" xfId="38994"/>
    <cellStyle name="Normal 5 2 2 2 2 2 2 3 3" xfId="9860"/>
    <cellStyle name="Normal 5 2 2 2 2 2 2 3 3 2" xfId="35417"/>
    <cellStyle name="Normal 5 2 2 2 2 2 2 3 4" xfId="18683"/>
    <cellStyle name="Normal 5 2 2 2 2 2 2 3 4 2" xfId="44236"/>
    <cellStyle name="Normal 5 2 2 2 2 2 2 3 5" xfId="30173"/>
    <cellStyle name="Normal 5 2 2 2 2 2 2 4" xfId="2381"/>
    <cellStyle name="Normal 5 2 2 2 2 2 2 4 2" xfId="11746"/>
    <cellStyle name="Normal 5 2 2 2 2 2 2 4 2 2" xfId="37301"/>
    <cellStyle name="Normal 5 2 2 2 2 2 2 4 3" xfId="21750"/>
    <cellStyle name="Normal 5 2 2 2 2 2 2 4 3 2" xfId="47303"/>
    <cellStyle name="Normal 5 2 2 2 2 2 2 4 4" xfId="28233"/>
    <cellStyle name="Normal 5 2 2 2 2 2 2 5" xfId="6057"/>
    <cellStyle name="Normal 5 2 2 2 2 2 2 5 2" xfId="14884"/>
    <cellStyle name="Normal 5 2 2 2 2 2 2 5 2 2" xfId="40439"/>
    <cellStyle name="Normal 5 2 2 2 2 2 2 5 3" xfId="25135"/>
    <cellStyle name="Normal 5 2 2 2 2 2 2 5 3 2" xfId="50688"/>
    <cellStyle name="Normal 5 2 2 2 2 2 2 5 4" xfId="31618"/>
    <cellStyle name="Normal 5 2 2 2 2 2 2 6" xfId="7502"/>
    <cellStyle name="Normal 5 2 2 2 2 2 2 6 2" xfId="20232"/>
    <cellStyle name="Normal 5 2 2 2 2 2 2 6 2 2" xfId="45785"/>
    <cellStyle name="Normal 5 2 2 2 2 2 2 6 3" xfId="33059"/>
    <cellStyle name="Normal 5 2 2 2 2 2 2 7" xfId="16743"/>
    <cellStyle name="Normal 5 2 2 2 2 2 2 7 2" xfId="42296"/>
    <cellStyle name="Normal 5 2 2 2 2 2 2 8" xfId="26715"/>
    <cellStyle name="Normal 5 2 2 2 2 2 3" xfId="1368"/>
    <cellStyle name="Normal 5 2 2 2 2 2 3 2" xfId="3797"/>
    <cellStyle name="Normal 5 2 2 2 2 2 3 2 2" xfId="12933"/>
    <cellStyle name="Normal 5 2 2 2 2 2 3 2 2 2" xfId="23152"/>
    <cellStyle name="Normal 5 2 2 2 2 2 3 2 2 2 2" xfId="48705"/>
    <cellStyle name="Normal 5 2 2 2 2 2 3 2 2 3" xfId="38488"/>
    <cellStyle name="Normal 5 2 2 2 2 2 3 2 3" xfId="9354"/>
    <cellStyle name="Normal 5 2 2 2 2 2 3 2 3 2" xfId="34911"/>
    <cellStyle name="Normal 5 2 2 2 2 2 3 2 4" xfId="18145"/>
    <cellStyle name="Normal 5 2 2 2 2 2 3 2 4 2" xfId="43698"/>
    <cellStyle name="Normal 5 2 2 2 2 2 3 2 5" xfId="29635"/>
    <cellStyle name="Normal 5 2 2 2 2 2 3 3" xfId="4950"/>
    <cellStyle name="Normal 5 2 2 2 2 2 3 3 2" xfId="13787"/>
    <cellStyle name="Normal 5 2 2 2 2 2 3 3 2 2" xfId="24038"/>
    <cellStyle name="Normal 5 2 2 2 2 2 3 3 2 2 2" xfId="49591"/>
    <cellStyle name="Normal 5 2 2 2 2 2 3 3 2 3" xfId="39342"/>
    <cellStyle name="Normal 5 2 2 2 2 2 3 3 3" xfId="10208"/>
    <cellStyle name="Normal 5 2 2 2 2 2 3 3 3 2" xfId="35765"/>
    <cellStyle name="Normal 5 2 2 2 2 2 3 3 4" xfId="19031"/>
    <cellStyle name="Normal 5 2 2 2 2 2 3 3 4 2" xfId="44584"/>
    <cellStyle name="Normal 5 2 2 2 2 2 3 3 5" xfId="30521"/>
    <cellStyle name="Normal 5 2 2 2 2 2 3 4" xfId="2191"/>
    <cellStyle name="Normal 5 2 2 2 2 2 3 4 2" xfId="11556"/>
    <cellStyle name="Normal 5 2 2 2 2 2 3 4 2 2" xfId="37111"/>
    <cellStyle name="Normal 5 2 2 2 2 2 3 4 3" xfId="21560"/>
    <cellStyle name="Normal 5 2 2 2 2 2 3 4 3 2" xfId="47113"/>
    <cellStyle name="Normal 5 2 2 2 2 2 3 4 4" xfId="28043"/>
    <cellStyle name="Normal 5 2 2 2 2 2 3 5" xfId="6405"/>
    <cellStyle name="Normal 5 2 2 2 2 2 3 5 2" xfId="15232"/>
    <cellStyle name="Normal 5 2 2 2 2 2 3 5 2 2" xfId="40787"/>
    <cellStyle name="Normal 5 2 2 2 2 2 3 5 3" xfId="25483"/>
    <cellStyle name="Normal 5 2 2 2 2 2 3 5 3 2" xfId="51036"/>
    <cellStyle name="Normal 5 2 2 2 2 2 3 5 4" xfId="31966"/>
    <cellStyle name="Normal 5 2 2 2 2 2 3 6" xfId="7851"/>
    <cellStyle name="Normal 5 2 2 2 2 2 3 6 2" xfId="20751"/>
    <cellStyle name="Normal 5 2 2 2 2 2 3 6 2 2" xfId="46304"/>
    <cellStyle name="Normal 5 2 2 2 2 2 3 6 3" xfId="33408"/>
    <cellStyle name="Normal 5 2 2 2 2 2 3 7" xfId="16553"/>
    <cellStyle name="Normal 5 2 2 2 2 2 3 7 2" xfId="42106"/>
    <cellStyle name="Normal 5 2 2 2 2 2 3 8" xfId="27234"/>
    <cellStyle name="Normal 5 2 2 2 2 2 4" xfId="3082"/>
    <cellStyle name="Normal 5 2 2 2 2 2 4 2" xfId="5460"/>
    <cellStyle name="Normal 5 2 2 2 2 2 4 2 2" xfId="14297"/>
    <cellStyle name="Normal 5 2 2 2 2 2 4 2 2 2" xfId="24548"/>
    <cellStyle name="Normal 5 2 2 2 2 2 4 2 2 2 2" xfId="50101"/>
    <cellStyle name="Normal 5 2 2 2 2 2 4 2 2 3" xfId="39852"/>
    <cellStyle name="Normal 5 2 2 2 2 2 4 2 3" xfId="10718"/>
    <cellStyle name="Normal 5 2 2 2 2 2 4 2 3 2" xfId="36275"/>
    <cellStyle name="Normal 5 2 2 2 2 2 4 2 4" xfId="19541"/>
    <cellStyle name="Normal 5 2 2 2 2 2 4 2 4 2" xfId="45094"/>
    <cellStyle name="Normal 5 2 2 2 2 2 4 2 5" xfId="31031"/>
    <cellStyle name="Normal 5 2 2 2 2 2 4 3" xfId="6915"/>
    <cellStyle name="Normal 5 2 2 2 2 2 4 3 2" xfId="15742"/>
    <cellStyle name="Normal 5 2 2 2 2 2 4 3 2 2" xfId="41297"/>
    <cellStyle name="Normal 5 2 2 2 2 2 4 3 3" xfId="25993"/>
    <cellStyle name="Normal 5 2 2 2 2 2 4 3 3 2" xfId="51546"/>
    <cellStyle name="Normal 5 2 2 2 2 2 4 3 4" xfId="32476"/>
    <cellStyle name="Normal 5 2 2 2 2 2 4 4" xfId="8361"/>
    <cellStyle name="Normal 5 2 2 2 2 2 4 4 2" xfId="22443"/>
    <cellStyle name="Normal 5 2 2 2 2 2 4 4 2 2" xfId="47996"/>
    <cellStyle name="Normal 5 2 2 2 2 2 4 4 3" xfId="33918"/>
    <cellStyle name="Normal 5 2 2 2 2 2 4 5" xfId="17436"/>
    <cellStyle name="Normal 5 2 2 2 2 2 4 5 2" xfId="42989"/>
    <cellStyle name="Normal 5 2 2 2 2 2 4 6" xfId="28926"/>
    <cellStyle name="Normal 5 2 2 2 2 2 5" xfId="4416"/>
    <cellStyle name="Normal 5 2 2 2 2 2 5 2" xfId="13254"/>
    <cellStyle name="Normal 5 2 2 2 2 2 5 2 2" xfId="23505"/>
    <cellStyle name="Normal 5 2 2 2 2 2 5 2 2 2" xfId="49058"/>
    <cellStyle name="Normal 5 2 2 2 2 2 5 2 3" xfId="38809"/>
    <cellStyle name="Normal 5 2 2 2 2 2 5 3" xfId="9675"/>
    <cellStyle name="Normal 5 2 2 2 2 2 5 3 2" xfId="35232"/>
    <cellStyle name="Normal 5 2 2 2 2 2 5 4" xfId="18498"/>
    <cellStyle name="Normal 5 2 2 2 2 2 5 4 2" xfId="44051"/>
    <cellStyle name="Normal 5 2 2 2 2 2 5 5" xfId="29988"/>
    <cellStyle name="Normal 5 2 2 2 2 2 6" xfId="1688"/>
    <cellStyle name="Normal 5 2 2 2 2 2 6 2" xfId="11065"/>
    <cellStyle name="Normal 5 2 2 2 2 2 6 2 2" xfId="36620"/>
    <cellStyle name="Normal 5 2 2 2 2 2 6 3" xfId="21069"/>
    <cellStyle name="Normal 5 2 2 2 2 2 6 3 2" xfId="46622"/>
    <cellStyle name="Normal 5 2 2 2 2 2 6 4" xfId="27552"/>
    <cellStyle name="Normal 5 2 2 2 2 2 7" xfId="5872"/>
    <cellStyle name="Normal 5 2 2 2 2 2 7 2" xfId="14699"/>
    <cellStyle name="Normal 5 2 2 2 2 2 7 2 2" xfId="40254"/>
    <cellStyle name="Normal 5 2 2 2 2 2 7 3" xfId="24950"/>
    <cellStyle name="Normal 5 2 2 2 2 2 7 3 2" xfId="50503"/>
    <cellStyle name="Normal 5 2 2 2 2 2 7 4" xfId="31433"/>
    <cellStyle name="Normal 5 2 2 2 2 2 8" xfId="7316"/>
    <cellStyle name="Normal 5 2 2 2 2 2 8 2" xfId="20042"/>
    <cellStyle name="Normal 5 2 2 2 2 2 8 2 2" xfId="45595"/>
    <cellStyle name="Normal 5 2 2 2 2 2 8 3" xfId="32873"/>
    <cellStyle name="Normal 5 2 2 2 2 2 9" xfId="16062"/>
    <cellStyle name="Normal 5 2 2 2 2 2 9 2" xfId="41615"/>
    <cellStyle name="Normal 5 2 2 2 2 2_Degree data" xfId="3837"/>
    <cellStyle name="Normal 5 2 2 2 2 3" xfId="392"/>
    <cellStyle name="Normal 5 2 2 2 2 3 2" xfId="2878"/>
    <cellStyle name="Normal 5 2 2 2 2 3 2 2" xfId="12166"/>
    <cellStyle name="Normal 5 2 2 2 2 3 2 2 2" xfId="22239"/>
    <cellStyle name="Normal 5 2 2 2 2 3 2 2 2 2" xfId="47792"/>
    <cellStyle name="Normal 5 2 2 2 2 3 2 2 3" xfId="37721"/>
    <cellStyle name="Normal 5 2 2 2 2 3 2 3" xfId="8618"/>
    <cellStyle name="Normal 5 2 2 2 2 3 2 3 2" xfId="34175"/>
    <cellStyle name="Normal 5 2 2 2 2 3 2 4" xfId="17232"/>
    <cellStyle name="Normal 5 2 2 2 2 3 2 4 2" xfId="42785"/>
    <cellStyle name="Normal 5 2 2 2 2 3 2 5" xfId="28722"/>
    <cellStyle name="Normal 5 2 2 2 2 3 3" xfId="4600"/>
    <cellStyle name="Normal 5 2 2 2 2 3 3 2" xfId="13438"/>
    <cellStyle name="Normal 5 2 2 2 2 3 3 2 2" xfId="23689"/>
    <cellStyle name="Normal 5 2 2 2 2 3 3 2 2 2" xfId="49242"/>
    <cellStyle name="Normal 5 2 2 2 2 3 3 2 3" xfId="38993"/>
    <cellStyle name="Normal 5 2 2 2 2 3 3 3" xfId="9859"/>
    <cellStyle name="Normal 5 2 2 2 2 3 3 3 2" xfId="35416"/>
    <cellStyle name="Normal 5 2 2 2 2 3 3 4" xfId="18682"/>
    <cellStyle name="Normal 5 2 2 2 2 3 3 4 2" xfId="44235"/>
    <cellStyle name="Normal 5 2 2 2 2 3 3 5" xfId="30172"/>
    <cellStyle name="Normal 5 2 2 2 2 3 4" xfId="1987"/>
    <cellStyle name="Normal 5 2 2 2 2 3 4 2" xfId="11352"/>
    <cellStyle name="Normal 5 2 2 2 2 3 4 2 2" xfId="36907"/>
    <cellStyle name="Normal 5 2 2 2 2 3 4 3" xfId="21356"/>
    <cellStyle name="Normal 5 2 2 2 2 3 4 3 2" xfId="46909"/>
    <cellStyle name="Normal 5 2 2 2 2 3 4 4" xfId="27839"/>
    <cellStyle name="Normal 5 2 2 2 2 3 5" xfId="6056"/>
    <cellStyle name="Normal 5 2 2 2 2 3 5 2" xfId="14883"/>
    <cellStyle name="Normal 5 2 2 2 2 3 5 2 2" xfId="40438"/>
    <cellStyle name="Normal 5 2 2 2 2 3 5 3" xfId="25134"/>
    <cellStyle name="Normal 5 2 2 2 2 3 5 3 2" xfId="50687"/>
    <cellStyle name="Normal 5 2 2 2 2 3 5 4" xfId="31617"/>
    <cellStyle name="Normal 5 2 2 2 2 3 6" xfId="7501"/>
    <cellStyle name="Normal 5 2 2 2 2 3 6 2" xfId="19838"/>
    <cellStyle name="Normal 5 2 2 2 2 3 6 2 2" xfId="45391"/>
    <cellStyle name="Normal 5 2 2 2 2 3 6 3" xfId="33058"/>
    <cellStyle name="Normal 5 2 2 2 2 3 7" xfId="16349"/>
    <cellStyle name="Normal 5 2 2 2 2 3 7 2" xfId="41902"/>
    <cellStyle name="Normal 5 2 2 2 2 3 8" xfId="26321"/>
    <cellStyle name="Normal 5 2 2 2 2 4" xfId="786"/>
    <cellStyle name="Normal 5 2 2 2 2 4 2" xfId="3271"/>
    <cellStyle name="Normal 5 2 2 2 2 4 2 2" xfId="12413"/>
    <cellStyle name="Normal 5 2 2 2 2 4 2 2 2" xfId="22632"/>
    <cellStyle name="Normal 5 2 2 2 2 4 2 2 2 2" xfId="48185"/>
    <cellStyle name="Normal 5 2 2 2 2 4 2 2 3" xfId="37968"/>
    <cellStyle name="Normal 5 2 2 2 2 4 2 3" xfId="8835"/>
    <cellStyle name="Normal 5 2 2 2 2 4 2 3 2" xfId="34392"/>
    <cellStyle name="Normal 5 2 2 2 2 4 2 4" xfId="17625"/>
    <cellStyle name="Normal 5 2 2 2 2 4 2 4 2" xfId="43178"/>
    <cellStyle name="Normal 5 2 2 2 2 4 2 5" xfId="29115"/>
    <cellStyle name="Normal 5 2 2 2 2 4 3" xfId="4949"/>
    <cellStyle name="Normal 5 2 2 2 2 4 3 2" xfId="13786"/>
    <cellStyle name="Normal 5 2 2 2 2 4 3 2 2" xfId="24037"/>
    <cellStyle name="Normal 5 2 2 2 2 4 3 2 2 2" xfId="49590"/>
    <cellStyle name="Normal 5 2 2 2 2 4 3 2 3" xfId="39341"/>
    <cellStyle name="Normal 5 2 2 2 2 4 3 3" xfId="10207"/>
    <cellStyle name="Normal 5 2 2 2 2 4 3 3 2" xfId="35764"/>
    <cellStyle name="Normal 5 2 2 2 2 4 3 4" xfId="19030"/>
    <cellStyle name="Normal 5 2 2 2 2 4 3 4 2" xfId="44583"/>
    <cellStyle name="Normal 5 2 2 2 2 4 3 5" xfId="30520"/>
    <cellStyle name="Normal 5 2 2 2 2 4 4" xfId="2380"/>
    <cellStyle name="Normal 5 2 2 2 2 4 4 2" xfId="11745"/>
    <cellStyle name="Normal 5 2 2 2 2 4 4 2 2" xfId="37300"/>
    <cellStyle name="Normal 5 2 2 2 2 4 4 3" xfId="21749"/>
    <cellStyle name="Normal 5 2 2 2 2 4 4 3 2" xfId="47302"/>
    <cellStyle name="Normal 5 2 2 2 2 4 4 4" xfId="28232"/>
    <cellStyle name="Normal 5 2 2 2 2 4 5" xfId="6404"/>
    <cellStyle name="Normal 5 2 2 2 2 4 5 2" xfId="15231"/>
    <cellStyle name="Normal 5 2 2 2 2 4 5 2 2" xfId="40786"/>
    <cellStyle name="Normal 5 2 2 2 2 4 5 3" xfId="25482"/>
    <cellStyle name="Normal 5 2 2 2 2 4 5 3 2" xfId="51035"/>
    <cellStyle name="Normal 5 2 2 2 2 4 5 4" xfId="31965"/>
    <cellStyle name="Normal 5 2 2 2 2 4 6" xfId="7850"/>
    <cellStyle name="Normal 5 2 2 2 2 4 6 2" xfId="20231"/>
    <cellStyle name="Normal 5 2 2 2 2 4 6 2 2" xfId="45784"/>
    <cellStyle name="Normal 5 2 2 2 2 4 6 3" xfId="33407"/>
    <cellStyle name="Normal 5 2 2 2 2 4 7" xfId="16742"/>
    <cellStyle name="Normal 5 2 2 2 2 4 7 2" xfId="42295"/>
    <cellStyle name="Normal 5 2 2 2 2 4 8" xfId="26714"/>
    <cellStyle name="Normal 5 2 2 2 2 5" xfId="1164"/>
    <cellStyle name="Normal 5 2 2 2 2 5 2" xfId="3593"/>
    <cellStyle name="Normal 5 2 2 2 2 5 2 2" xfId="12729"/>
    <cellStyle name="Normal 5 2 2 2 2 5 2 2 2" xfId="22948"/>
    <cellStyle name="Normal 5 2 2 2 2 5 2 2 2 2" xfId="48501"/>
    <cellStyle name="Normal 5 2 2 2 2 5 2 2 3" xfId="38284"/>
    <cellStyle name="Normal 5 2 2 2 2 5 2 3" xfId="9150"/>
    <cellStyle name="Normal 5 2 2 2 2 5 2 3 2" xfId="34707"/>
    <cellStyle name="Normal 5 2 2 2 2 5 2 4" xfId="17941"/>
    <cellStyle name="Normal 5 2 2 2 2 5 2 4 2" xfId="43494"/>
    <cellStyle name="Normal 5 2 2 2 2 5 2 5" xfId="29431"/>
    <cellStyle name="Normal 5 2 2 2 2 5 3" xfId="5256"/>
    <cellStyle name="Normal 5 2 2 2 2 5 3 2" xfId="14093"/>
    <cellStyle name="Normal 5 2 2 2 2 5 3 2 2" xfId="24344"/>
    <cellStyle name="Normal 5 2 2 2 2 5 3 2 2 2" xfId="49897"/>
    <cellStyle name="Normal 5 2 2 2 2 5 3 2 3" xfId="39648"/>
    <cellStyle name="Normal 5 2 2 2 2 5 3 3" xfId="10514"/>
    <cellStyle name="Normal 5 2 2 2 2 5 3 3 2" xfId="36071"/>
    <cellStyle name="Normal 5 2 2 2 2 5 3 4" xfId="19337"/>
    <cellStyle name="Normal 5 2 2 2 2 5 3 4 2" xfId="44890"/>
    <cellStyle name="Normal 5 2 2 2 2 5 3 5" xfId="30827"/>
    <cellStyle name="Normal 5 2 2 2 2 5 4" xfId="1871"/>
    <cellStyle name="Normal 5 2 2 2 2 5 4 2" xfId="11239"/>
    <cellStyle name="Normal 5 2 2 2 2 5 4 2 2" xfId="36794"/>
    <cellStyle name="Normal 5 2 2 2 2 5 4 3" xfId="21243"/>
    <cellStyle name="Normal 5 2 2 2 2 5 4 3 2" xfId="46796"/>
    <cellStyle name="Normal 5 2 2 2 2 5 4 4" xfId="27726"/>
    <cellStyle name="Normal 5 2 2 2 2 5 5" xfId="6711"/>
    <cellStyle name="Normal 5 2 2 2 2 5 5 2" xfId="15538"/>
    <cellStyle name="Normal 5 2 2 2 2 5 5 2 2" xfId="41093"/>
    <cellStyle name="Normal 5 2 2 2 2 5 5 3" xfId="25789"/>
    <cellStyle name="Normal 5 2 2 2 2 5 5 3 2" xfId="51342"/>
    <cellStyle name="Normal 5 2 2 2 2 5 5 4" xfId="32272"/>
    <cellStyle name="Normal 5 2 2 2 2 5 6" xfId="8157"/>
    <cellStyle name="Normal 5 2 2 2 2 5 6 2" xfId="20547"/>
    <cellStyle name="Normal 5 2 2 2 2 5 6 2 2" xfId="46100"/>
    <cellStyle name="Normal 5 2 2 2 2 5 6 3" xfId="33714"/>
    <cellStyle name="Normal 5 2 2 2 2 5 7" xfId="16236"/>
    <cellStyle name="Normal 5 2 2 2 2 5 7 2" xfId="41789"/>
    <cellStyle name="Normal 5 2 2 2 2 5 8" xfId="27030"/>
    <cellStyle name="Normal 5 2 2 2 2 6" xfId="2765"/>
    <cellStyle name="Normal 5 2 2 2 2 6 2" xfId="12082"/>
    <cellStyle name="Normal 5 2 2 2 2 6 2 2" xfId="22126"/>
    <cellStyle name="Normal 5 2 2 2 2 6 2 2 2" xfId="47679"/>
    <cellStyle name="Normal 5 2 2 2 2 6 2 3" xfId="37637"/>
    <cellStyle name="Normal 5 2 2 2 2 6 3" xfId="8443"/>
    <cellStyle name="Normal 5 2 2 2 2 6 3 2" xfId="34000"/>
    <cellStyle name="Normal 5 2 2 2 2 6 4" xfId="17119"/>
    <cellStyle name="Normal 5 2 2 2 2 6 4 2" xfId="42672"/>
    <cellStyle name="Normal 5 2 2 2 2 6 5" xfId="28609"/>
    <cellStyle name="Normal 5 2 2 2 2 7" xfId="4212"/>
    <cellStyle name="Normal 5 2 2 2 2 7 2" xfId="13050"/>
    <cellStyle name="Normal 5 2 2 2 2 7 2 2" xfId="23301"/>
    <cellStyle name="Normal 5 2 2 2 2 7 2 2 2" xfId="48854"/>
    <cellStyle name="Normal 5 2 2 2 2 7 2 3" xfId="38605"/>
    <cellStyle name="Normal 5 2 2 2 2 7 3" xfId="9471"/>
    <cellStyle name="Normal 5 2 2 2 2 7 3 2" xfId="35028"/>
    <cellStyle name="Normal 5 2 2 2 2 7 4" xfId="18294"/>
    <cellStyle name="Normal 5 2 2 2 2 7 4 2" xfId="43847"/>
    <cellStyle name="Normal 5 2 2 2 2 7 5" xfId="29784"/>
    <cellStyle name="Normal 5 2 2 2 2 8" xfId="1484"/>
    <cellStyle name="Normal 5 2 2 2 2 8 2" xfId="10861"/>
    <cellStyle name="Normal 5 2 2 2 2 8 2 2" xfId="36416"/>
    <cellStyle name="Normal 5 2 2 2 2 8 3" xfId="20865"/>
    <cellStyle name="Normal 5 2 2 2 2 8 3 2" xfId="46418"/>
    <cellStyle name="Normal 5 2 2 2 2 8 4" xfId="27348"/>
    <cellStyle name="Normal 5 2 2 2 2 9" xfId="5668"/>
    <cellStyle name="Normal 5 2 2 2 2 9 2" xfId="14495"/>
    <cellStyle name="Normal 5 2 2 2 2 9 2 2" xfId="40050"/>
    <cellStyle name="Normal 5 2 2 2 2 9 3" xfId="24746"/>
    <cellStyle name="Normal 5 2 2 2 2 9 3 2" xfId="50299"/>
    <cellStyle name="Normal 5 2 2 2 2 9 4" xfId="31229"/>
    <cellStyle name="Normal 5 2 2 2 2_Degree data" xfId="3824"/>
    <cellStyle name="Normal 5 2 2 2 3" xfId="217"/>
    <cellStyle name="Normal 5 2 2 2 4" xfId="492"/>
    <cellStyle name="Normal 5 2 2 2 4 10" xfId="26421"/>
    <cellStyle name="Normal 5 2 2 2 4 2" xfId="788"/>
    <cellStyle name="Normal 5 2 2 2 4 2 2" xfId="3273"/>
    <cellStyle name="Normal 5 2 2 2 4 2 2 2" xfId="12415"/>
    <cellStyle name="Normal 5 2 2 2 4 2 2 2 2" xfId="22634"/>
    <cellStyle name="Normal 5 2 2 2 4 2 2 2 2 2" xfId="48187"/>
    <cellStyle name="Normal 5 2 2 2 4 2 2 2 3" xfId="37970"/>
    <cellStyle name="Normal 5 2 2 2 4 2 2 3" xfId="8837"/>
    <cellStyle name="Normal 5 2 2 2 4 2 2 3 2" xfId="34394"/>
    <cellStyle name="Normal 5 2 2 2 4 2 2 4" xfId="17627"/>
    <cellStyle name="Normal 5 2 2 2 4 2 2 4 2" xfId="43180"/>
    <cellStyle name="Normal 5 2 2 2 4 2 2 5" xfId="29117"/>
    <cellStyle name="Normal 5 2 2 2 4 2 3" xfId="4602"/>
    <cellStyle name="Normal 5 2 2 2 4 2 3 2" xfId="13440"/>
    <cellStyle name="Normal 5 2 2 2 4 2 3 2 2" xfId="23691"/>
    <cellStyle name="Normal 5 2 2 2 4 2 3 2 2 2" xfId="49244"/>
    <cellStyle name="Normal 5 2 2 2 4 2 3 2 3" xfId="38995"/>
    <cellStyle name="Normal 5 2 2 2 4 2 3 3" xfId="9861"/>
    <cellStyle name="Normal 5 2 2 2 4 2 3 3 2" xfId="35418"/>
    <cellStyle name="Normal 5 2 2 2 4 2 3 4" xfId="18684"/>
    <cellStyle name="Normal 5 2 2 2 4 2 3 4 2" xfId="44237"/>
    <cellStyle name="Normal 5 2 2 2 4 2 3 5" xfId="30174"/>
    <cellStyle name="Normal 5 2 2 2 4 2 4" xfId="2382"/>
    <cellStyle name="Normal 5 2 2 2 4 2 4 2" xfId="11747"/>
    <cellStyle name="Normal 5 2 2 2 4 2 4 2 2" xfId="37302"/>
    <cellStyle name="Normal 5 2 2 2 4 2 4 3" xfId="21751"/>
    <cellStyle name="Normal 5 2 2 2 4 2 4 3 2" xfId="47304"/>
    <cellStyle name="Normal 5 2 2 2 4 2 4 4" xfId="28234"/>
    <cellStyle name="Normal 5 2 2 2 4 2 5" xfId="6058"/>
    <cellStyle name="Normal 5 2 2 2 4 2 5 2" xfId="14885"/>
    <cellStyle name="Normal 5 2 2 2 4 2 5 2 2" xfId="40440"/>
    <cellStyle name="Normal 5 2 2 2 4 2 5 3" xfId="25136"/>
    <cellStyle name="Normal 5 2 2 2 4 2 5 3 2" xfId="50689"/>
    <cellStyle name="Normal 5 2 2 2 4 2 5 4" xfId="31619"/>
    <cellStyle name="Normal 5 2 2 2 4 2 6" xfId="7503"/>
    <cellStyle name="Normal 5 2 2 2 4 2 6 2" xfId="20233"/>
    <cellStyle name="Normal 5 2 2 2 4 2 6 2 2" xfId="45786"/>
    <cellStyle name="Normal 5 2 2 2 4 2 6 3" xfId="33060"/>
    <cellStyle name="Normal 5 2 2 2 4 2 7" xfId="16744"/>
    <cellStyle name="Normal 5 2 2 2 4 2 7 2" xfId="42297"/>
    <cellStyle name="Normal 5 2 2 2 4 2 8" xfId="26716"/>
    <cellStyle name="Normal 5 2 2 2 4 3" xfId="1264"/>
    <cellStyle name="Normal 5 2 2 2 4 3 2" xfId="3693"/>
    <cellStyle name="Normal 5 2 2 2 4 3 2 2" xfId="12829"/>
    <cellStyle name="Normal 5 2 2 2 4 3 2 2 2" xfId="23048"/>
    <cellStyle name="Normal 5 2 2 2 4 3 2 2 2 2" xfId="48601"/>
    <cellStyle name="Normal 5 2 2 2 4 3 2 2 3" xfId="38384"/>
    <cellStyle name="Normal 5 2 2 2 4 3 2 3" xfId="9250"/>
    <cellStyle name="Normal 5 2 2 2 4 3 2 3 2" xfId="34807"/>
    <cellStyle name="Normal 5 2 2 2 4 3 2 4" xfId="18041"/>
    <cellStyle name="Normal 5 2 2 2 4 3 2 4 2" xfId="43594"/>
    <cellStyle name="Normal 5 2 2 2 4 3 2 5" xfId="29531"/>
    <cellStyle name="Normal 5 2 2 2 4 3 3" xfId="4951"/>
    <cellStyle name="Normal 5 2 2 2 4 3 3 2" xfId="13788"/>
    <cellStyle name="Normal 5 2 2 2 4 3 3 2 2" xfId="24039"/>
    <cellStyle name="Normal 5 2 2 2 4 3 3 2 2 2" xfId="49592"/>
    <cellStyle name="Normal 5 2 2 2 4 3 3 2 3" xfId="39343"/>
    <cellStyle name="Normal 5 2 2 2 4 3 3 3" xfId="10209"/>
    <cellStyle name="Normal 5 2 2 2 4 3 3 3 2" xfId="35766"/>
    <cellStyle name="Normal 5 2 2 2 4 3 3 4" xfId="19032"/>
    <cellStyle name="Normal 5 2 2 2 4 3 3 4 2" xfId="44585"/>
    <cellStyle name="Normal 5 2 2 2 4 3 3 5" xfId="30522"/>
    <cellStyle name="Normal 5 2 2 2 4 3 4" xfId="2087"/>
    <cellStyle name="Normal 5 2 2 2 4 3 4 2" xfId="11452"/>
    <cellStyle name="Normal 5 2 2 2 4 3 4 2 2" xfId="37007"/>
    <cellStyle name="Normal 5 2 2 2 4 3 4 3" xfId="21456"/>
    <cellStyle name="Normal 5 2 2 2 4 3 4 3 2" xfId="47009"/>
    <cellStyle name="Normal 5 2 2 2 4 3 4 4" xfId="27939"/>
    <cellStyle name="Normal 5 2 2 2 4 3 5" xfId="6406"/>
    <cellStyle name="Normal 5 2 2 2 4 3 5 2" xfId="15233"/>
    <cellStyle name="Normal 5 2 2 2 4 3 5 2 2" xfId="40788"/>
    <cellStyle name="Normal 5 2 2 2 4 3 5 3" xfId="25484"/>
    <cellStyle name="Normal 5 2 2 2 4 3 5 3 2" xfId="51037"/>
    <cellStyle name="Normal 5 2 2 2 4 3 5 4" xfId="31967"/>
    <cellStyle name="Normal 5 2 2 2 4 3 6" xfId="7852"/>
    <cellStyle name="Normal 5 2 2 2 4 3 6 2" xfId="20647"/>
    <cellStyle name="Normal 5 2 2 2 4 3 6 2 2" xfId="46200"/>
    <cellStyle name="Normal 5 2 2 2 4 3 6 3" xfId="33409"/>
    <cellStyle name="Normal 5 2 2 2 4 3 7" xfId="16449"/>
    <cellStyle name="Normal 5 2 2 2 4 3 7 2" xfId="42002"/>
    <cellStyle name="Normal 5 2 2 2 4 3 8" xfId="27130"/>
    <cellStyle name="Normal 5 2 2 2 4 4" xfId="2978"/>
    <cellStyle name="Normal 5 2 2 2 4 4 2" xfId="5356"/>
    <cellStyle name="Normal 5 2 2 2 4 4 2 2" xfId="14193"/>
    <cellStyle name="Normal 5 2 2 2 4 4 2 2 2" xfId="24444"/>
    <cellStyle name="Normal 5 2 2 2 4 4 2 2 2 2" xfId="49997"/>
    <cellStyle name="Normal 5 2 2 2 4 4 2 2 3" xfId="39748"/>
    <cellStyle name="Normal 5 2 2 2 4 4 2 3" xfId="10614"/>
    <cellStyle name="Normal 5 2 2 2 4 4 2 3 2" xfId="36171"/>
    <cellStyle name="Normal 5 2 2 2 4 4 2 4" xfId="19437"/>
    <cellStyle name="Normal 5 2 2 2 4 4 2 4 2" xfId="44990"/>
    <cellStyle name="Normal 5 2 2 2 4 4 2 5" xfId="30927"/>
    <cellStyle name="Normal 5 2 2 2 4 4 3" xfId="6811"/>
    <cellStyle name="Normal 5 2 2 2 4 4 3 2" xfId="15638"/>
    <cellStyle name="Normal 5 2 2 2 4 4 3 2 2" xfId="41193"/>
    <cellStyle name="Normal 5 2 2 2 4 4 3 3" xfId="25889"/>
    <cellStyle name="Normal 5 2 2 2 4 4 3 3 2" xfId="51442"/>
    <cellStyle name="Normal 5 2 2 2 4 4 3 4" xfId="32372"/>
    <cellStyle name="Normal 5 2 2 2 4 4 4" xfId="8257"/>
    <cellStyle name="Normal 5 2 2 2 4 4 4 2" xfId="22339"/>
    <cellStyle name="Normal 5 2 2 2 4 4 4 2 2" xfId="47892"/>
    <cellStyle name="Normal 5 2 2 2 4 4 4 3" xfId="33814"/>
    <cellStyle name="Normal 5 2 2 2 4 4 5" xfId="17332"/>
    <cellStyle name="Normal 5 2 2 2 4 4 5 2" xfId="42885"/>
    <cellStyle name="Normal 5 2 2 2 4 4 6" xfId="28822"/>
    <cellStyle name="Normal 5 2 2 2 4 5" xfId="4312"/>
    <cellStyle name="Normal 5 2 2 2 4 5 2" xfId="13150"/>
    <cellStyle name="Normal 5 2 2 2 4 5 2 2" xfId="23401"/>
    <cellStyle name="Normal 5 2 2 2 4 5 2 2 2" xfId="48954"/>
    <cellStyle name="Normal 5 2 2 2 4 5 2 3" xfId="38705"/>
    <cellStyle name="Normal 5 2 2 2 4 5 3" xfId="9571"/>
    <cellStyle name="Normal 5 2 2 2 4 5 3 2" xfId="35128"/>
    <cellStyle name="Normal 5 2 2 2 4 5 4" xfId="18394"/>
    <cellStyle name="Normal 5 2 2 2 4 5 4 2" xfId="43947"/>
    <cellStyle name="Normal 5 2 2 2 4 5 5" xfId="29884"/>
    <cellStyle name="Normal 5 2 2 2 4 6" xfId="1584"/>
    <cellStyle name="Normal 5 2 2 2 4 6 2" xfId="10961"/>
    <cellStyle name="Normal 5 2 2 2 4 6 2 2" xfId="36516"/>
    <cellStyle name="Normal 5 2 2 2 4 6 3" xfId="20965"/>
    <cellStyle name="Normal 5 2 2 2 4 6 3 2" xfId="46518"/>
    <cellStyle name="Normal 5 2 2 2 4 6 4" xfId="27448"/>
    <cellStyle name="Normal 5 2 2 2 4 7" xfId="5768"/>
    <cellStyle name="Normal 5 2 2 2 4 7 2" xfId="14595"/>
    <cellStyle name="Normal 5 2 2 2 4 7 2 2" xfId="40150"/>
    <cellStyle name="Normal 5 2 2 2 4 7 3" xfId="24846"/>
    <cellStyle name="Normal 5 2 2 2 4 7 3 2" xfId="50399"/>
    <cellStyle name="Normal 5 2 2 2 4 7 4" xfId="31329"/>
    <cellStyle name="Normal 5 2 2 2 4 8" xfId="7212"/>
    <cellStyle name="Normal 5 2 2 2 4 8 2" xfId="19938"/>
    <cellStyle name="Normal 5 2 2 2 4 8 2 2" xfId="45491"/>
    <cellStyle name="Normal 5 2 2 2 4 8 3" xfId="32769"/>
    <cellStyle name="Normal 5 2 2 2 4 9" xfId="15958"/>
    <cellStyle name="Normal 5 2 2 2 4 9 2" xfId="41511"/>
    <cellStyle name="Normal 5 2 2 2 4_Degree data" xfId="3852"/>
    <cellStyle name="Normal 5 2 2 2 5" xfId="1764"/>
    <cellStyle name="Normal 5 2 2 2 5 2" xfId="11135"/>
    <cellStyle name="Normal 5 2 2 2 5 2 2" xfId="21139"/>
    <cellStyle name="Normal 5 2 2 2 5 2 2 2" xfId="46692"/>
    <cellStyle name="Normal 5 2 2 2 5 2 3" xfId="36690"/>
    <cellStyle name="Normal 5 2 2 2 5 3" xfId="8597"/>
    <cellStyle name="Normal 5 2 2 2 5 3 2" xfId="34154"/>
    <cellStyle name="Normal 5 2 2 2 5 4" xfId="16132"/>
    <cellStyle name="Normal 5 2 2 2 5 4 2" xfId="41685"/>
    <cellStyle name="Normal 5 2 2 2 5 5" xfId="27622"/>
    <cellStyle name="Normal 5 2 2 2 6" xfId="2661"/>
    <cellStyle name="Normal 5 2 2 2 6 2" xfId="11979"/>
    <cellStyle name="Normal 5 2 2 2 6 2 2" xfId="22022"/>
    <cellStyle name="Normal 5 2 2 2 6 2 2 2" xfId="47575"/>
    <cellStyle name="Normal 5 2 2 2 6 2 3" xfId="37534"/>
    <cellStyle name="Normal 5 2 2 2 6 3" xfId="8502"/>
    <cellStyle name="Normal 5 2 2 2 6 3 2" xfId="34059"/>
    <cellStyle name="Normal 5 2 2 2 6 4" xfId="17015"/>
    <cellStyle name="Normal 5 2 2 2 6 4 2" xfId="42568"/>
    <cellStyle name="Normal 5 2 2 2 6 5" xfId="28505"/>
    <cellStyle name="Normal 5 2 2 2 7" xfId="1388"/>
    <cellStyle name="Normal 5 2 2 2 8" xfId="5495"/>
    <cellStyle name="Normal 5 2 2 2 9" xfId="5493"/>
    <cellStyle name="Normal 5 2 2 3" xfId="209"/>
    <cellStyle name="Normal 5 2 2 3 10" xfId="7155"/>
    <cellStyle name="Normal 5 2 2 3 10 2" xfId="19664"/>
    <cellStyle name="Normal 5 2 2 3 10 2 2" xfId="45217"/>
    <cellStyle name="Normal 5 2 2 3 10 3" xfId="32712"/>
    <cellStyle name="Normal 5 2 2 3 11" xfId="15901"/>
    <cellStyle name="Normal 5 2 2 3 11 2" xfId="41454"/>
    <cellStyle name="Normal 5 2 2 3 12" xfId="26147"/>
    <cellStyle name="Normal 5 2 2 3 2" xfId="535"/>
    <cellStyle name="Normal 5 2 2 3 2 10" xfId="26464"/>
    <cellStyle name="Normal 5 2 2 3 2 2" xfId="790"/>
    <cellStyle name="Normal 5 2 2 3 2 2 2" xfId="3275"/>
    <cellStyle name="Normal 5 2 2 3 2 2 2 2" xfId="12417"/>
    <cellStyle name="Normal 5 2 2 3 2 2 2 2 2" xfId="22636"/>
    <cellStyle name="Normal 5 2 2 3 2 2 2 2 2 2" xfId="48189"/>
    <cellStyle name="Normal 5 2 2 3 2 2 2 2 3" xfId="37972"/>
    <cellStyle name="Normal 5 2 2 3 2 2 2 3" xfId="8839"/>
    <cellStyle name="Normal 5 2 2 3 2 2 2 3 2" xfId="34396"/>
    <cellStyle name="Normal 5 2 2 3 2 2 2 4" xfId="17629"/>
    <cellStyle name="Normal 5 2 2 3 2 2 2 4 2" xfId="43182"/>
    <cellStyle name="Normal 5 2 2 3 2 2 2 5" xfId="29119"/>
    <cellStyle name="Normal 5 2 2 3 2 2 3" xfId="4604"/>
    <cellStyle name="Normal 5 2 2 3 2 2 3 2" xfId="13442"/>
    <cellStyle name="Normal 5 2 2 3 2 2 3 2 2" xfId="23693"/>
    <cellStyle name="Normal 5 2 2 3 2 2 3 2 2 2" xfId="49246"/>
    <cellStyle name="Normal 5 2 2 3 2 2 3 2 3" xfId="38997"/>
    <cellStyle name="Normal 5 2 2 3 2 2 3 3" xfId="9863"/>
    <cellStyle name="Normal 5 2 2 3 2 2 3 3 2" xfId="35420"/>
    <cellStyle name="Normal 5 2 2 3 2 2 3 4" xfId="18686"/>
    <cellStyle name="Normal 5 2 2 3 2 2 3 4 2" xfId="44239"/>
    <cellStyle name="Normal 5 2 2 3 2 2 3 5" xfId="30176"/>
    <cellStyle name="Normal 5 2 2 3 2 2 4" xfId="2384"/>
    <cellStyle name="Normal 5 2 2 3 2 2 4 2" xfId="11749"/>
    <cellStyle name="Normal 5 2 2 3 2 2 4 2 2" xfId="37304"/>
    <cellStyle name="Normal 5 2 2 3 2 2 4 3" xfId="21753"/>
    <cellStyle name="Normal 5 2 2 3 2 2 4 3 2" xfId="47306"/>
    <cellStyle name="Normal 5 2 2 3 2 2 4 4" xfId="28236"/>
    <cellStyle name="Normal 5 2 2 3 2 2 5" xfId="6060"/>
    <cellStyle name="Normal 5 2 2 3 2 2 5 2" xfId="14887"/>
    <cellStyle name="Normal 5 2 2 3 2 2 5 2 2" xfId="40442"/>
    <cellStyle name="Normal 5 2 2 3 2 2 5 3" xfId="25138"/>
    <cellStyle name="Normal 5 2 2 3 2 2 5 3 2" xfId="50691"/>
    <cellStyle name="Normal 5 2 2 3 2 2 5 4" xfId="31621"/>
    <cellStyle name="Normal 5 2 2 3 2 2 6" xfId="7505"/>
    <cellStyle name="Normal 5 2 2 3 2 2 6 2" xfId="20235"/>
    <cellStyle name="Normal 5 2 2 3 2 2 6 2 2" xfId="45788"/>
    <cellStyle name="Normal 5 2 2 3 2 2 6 3" xfId="33062"/>
    <cellStyle name="Normal 5 2 2 3 2 2 7" xfId="16746"/>
    <cellStyle name="Normal 5 2 2 3 2 2 7 2" xfId="42299"/>
    <cellStyle name="Normal 5 2 2 3 2 2 8" xfId="26718"/>
    <cellStyle name="Normal 5 2 2 3 2 3" xfId="1307"/>
    <cellStyle name="Normal 5 2 2 3 2 3 2" xfId="3736"/>
    <cellStyle name="Normal 5 2 2 3 2 3 2 2" xfId="12872"/>
    <cellStyle name="Normal 5 2 2 3 2 3 2 2 2" xfId="23091"/>
    <cellStyle name="Normal 5 2 2 3 2 3 2 2 2 2" xfId="48644"/>
    <cellStyle name="Normal 5 2 2 3 2 3 2 2 3" xfId="38427"/>
    <cellStyle name="Normal 5 2 2 3 2 3 2 3" xfId="9293"/>
    <cellStyle name="Normal 5 2 2 3 2 3 2 3 2" xfId="34850"/>
    <cellStyle name="Normal 5 2 2 3 2 3 2 4" xfId="18084"/>
    <cellStyle name="Normal 5 2 2 3 2 3 2 4 2" xfId="43637"/>
    <cellStyle name="Normal 5 2 2 3 2 3 2 5" xfId="29574"/>
    <cellStyle name="Normal 5 2 2 3 2 3 3" xfId="4953"/>
    <cellStyle name="Normal 5 2 2 3 2 3 3 2" xfId="13790"/>
    <cellStyle name="Normal 5 2 2 3 2 3 3 2 2" xfId="24041"/>
    <cellStyle name="Normal 5 2 2 3 2 3 3 2 2 2" xfId="49594"/>
    <cellStyle name="Normal 5 2 2 3 2 3 3 2 3" xfId="39345"/>
    <cellStyle name="Normal 5 2 2 3 2 3 3 3" xfId="10211"/>
    <cellStyle name="Normal 5 2 2 3 2 3 3 3 2" xfId="35768"/>
    <cellStyle name="Normal 5 2 2 3 2 3 3 4" xfId="19034"/>
    <cellStyle name="Normal 5 2 2 3 2 3 3 4 2" xfId="44587"/>
    <cellStyle name="Normal 5 2 2 3 2 3 3 5" xfId="30524"/>
    <cellStyle name="Normal 5 2 2 3 2 3 4" xfId="2130"/>
    <cellStyle name="Normal 5 2 2 3 2 3 4 2" xfId="11495"/>
    <cellStyle name="Normal 5 2 2 3 2 3 4 2 2" xfId="37050"/>
    <cellStyle name="Normal 5 2 2 3 2 3 4 3" xfId="21499"/>
    <cellStyle name="Normal 5 2 2 3 2 3 4 3 2" xfId="47052"/>
    <cellStyle name="Normal 5 2 2 3 2 3 4 4" xfId="27982"/>
    <cellStyle name="Normal 5 2 2 3 2 3 5" xfId="6408"/>
    <cellStyle name="Normal 5 2 2 3 2 3 5 2" xfId="15235"/>
    <cellStyle name="Normal 5 2 2 3 2 3 5 2 2" xfId="40790"/>
    <cellStyle name="Normal 5 2 2 3 2 3 5 3" xfId="25486"/>
    <cellStyle name="Normal 5 2 2 3 2 3 5 3 2" xfId="51039"/>
    <cellStyle name="Normal 5 2 2 3 2 3 5 4" xfId="31969"/>
    <cellStyle name="Normal 5 2 2 3 2 3 6" xfId="7854"/>
    <cellStyle name="Normal 5 2 2 3 2 3 6 2" xfId="20690"/>
    <cellStyle name="Normal 5 2 2 3 2 3 6 2 2" xfId="46243"/>
    <cellStyle name="Normal 5 2 2 3 2 3 6 3" xfId="33411"/>
    <cellStyle name="Normal 5 2 2 3 2 3 7" xfId="16492"/>
    <cellStyle name="Normal 5 2 2 3 2 3 7 2" xfId="42045"/>
    <cellStyle name="Normal 5 2 2 3 2 3 8" xfId="27173"/>
    <cellStyle name="Normal 5 2 2 3 2 4" xfId="3021"/>
    <cellStyle name="Normal 5 2 2 3 2 4 2" xfId="5399"/>
    <cellStyle name="Normal 5 2 2 3 2 4 2 2" xfId="14236"/>
    <cellStyle name="Normal 5 2 2 3 2 4 2 2 2" xfId="24487"/>
    <cellStyle name="Normal 5 2 2 3 2 4 2 2 2 2" xfId="50040"/>
    <cellStyle name="Normal 5 2 2 3 2 4 2 2 3" xfId="39791"/>
    <cellStyle name="Normal 5 2 2 3 2 4 2 3" xfId="10657"/>
    <cellStyle name="Normal 5 2 2 3 2 4 2 3 2" xfId="36214"/>
    <cellStyle name="Normal 5 2 2 3 2 4 2 4" xfId="19480"/>
    <cellStyle name="Normal 5 2 2 3 2 4 2 4 2" xfId="45033"/>
    <cellStyle name="Normal 5 2 2 3 2 4 2 5" xfId="30970"/>
    <cellStyle name="Normal 5 2 2 3 2 4 3" xfId="6854"/>
    <cellStyle name="Normal 5 2 2 3 2 4 3 2" xfId="15681"/>
    <cellStyle name="Normal 5 2 2 3 2 4 3 2 2" xfId="41236"/>
    <cellStyle name="Normal 5 2 2 3 2 4 3 3" xfId="25932"/>
    <cellStyle name="Normal 5 2 2 3 2 4 3 3 2" xfId="51485"/>
    <cellStyle name="Normal 5 2 2 3 2 4 3 4" xfId="32415"/>
    <cellStyle name="Normal 5 2 2 3 2 4 4" xfId="8300"/>
    <cellStyle name="Normal 5 2 2 3 2 4 4 2" xfId="22382"/>
    <cellStyle name="Normal 5 2 2 3 2 4 4 2 2" xfId="47935"/>
    <cellStyle name="Normal 5 2 2 3 2 4 4 3" xfId="33857"/>
    <cellStyle name="Normal 5 2 2 3 2 4 5" xfId="17375"/>
    <cellStyle name="Normal 5 2 2 3 2 4 5 2" xfId="42928"/>
    <cellStyle name="Normal 5 2 2 3 2 4 6" xfId="28865"/>
    <cellStyle name="Normal 5 2 2 3 2 5" xfId="4355"/>
    <cellStyle name="Normal 5 2 2 3 2 5 2" xfId="13193"/>
    <cellStyle name="Normal 5 2 2 3 2 5 2 2" xfId="23444"/>
    <cellStyle name="Normal 5 2 2 3 2 5 2 2 2" xfId="48997"/>
    <cellStyle name="Normal 5 2 2 3 2 5 2 3" xfId="38748"/>
    <cellStyle name="Normal 5 2 2 3 2 5 3" xfId="9614"/>
    <cellStyle name="Normal 5 2 2 3 2 5 3 2" xfId="35171"/>
    <cellStyle name="Normal 5 2 2 3 2 5 4" xfId="18437"/>
    <cellStyle name="Normal 5 2 2 3 2 5 4 2" xfId="43990"/>
    <cellStyle name="Normal 5 2 2 3 2 5 5" xfId="29927"/>
    <cellStyle name="Normal 5 2 2 3 2 6" xfId="1627"/>
    <cellStyle name="Normal 5 2 2 3 2 6 2" xfId="11004"/>
    <cellStyle name="Normal 5 2 2 3 2 6 2 2" xfId="36559"/>
    <cellStyle name="Normal 5 2 2 3 2 6 3" xfId="21008"/>
    <cellStyle name="Normal 5 2 2 3 2 6 3 2" xfId="46561"/>
    <cellStyle name="Normal 5 2 2 3 2 6 4" xfId="27491"/>
    <cellStyle name="Normal 5 2 2 3 2 7" xfId="5811"/>
    <cellStyle name="Normal 5 2 2 3 2 7 2" xfId="14638"/>
    <cellStyle name="Normal 5 2 2 3 2 7 2 2" xfId="40193"/>
    <cellStyle name="Normal 5 2 2 3 2 7 3" xfId="24889"/>
    <cellStyle name="Normal 5 2 2 3 2 7 3 2" xfId="50442"/>
    <cellStyle name="Normal 5 2 2 3 2 7 4" xfId="31372"/>
    <cellStyle name="Normal 5 2 2 3 2 8" xfId="7255"/>
    <cellStyle name="Normal 5 2 2 3 2 8 2" xfId="19981"/>
    <cellStyle name="Normal 5 2 2 3 2 8 2 2" xfId="45534"/>
    <cellStyle name="Normal 5 2 2 3 2 8 3" xfId="32812"/>
    <cellStyle name="Normal 5 2 2 3 2 9" xfId="16001"/>
    <cellStyle name="Normal 5 2 2 3 2 9 2" xfId="41554"/>
    <cellStyle name="Normal 5 2 2 3 2_Degree data" xfId="3929"/>
    <cellStyle name="Normal 5 2 2 3 3" xfId="435"/>
    <cellStyle name="Normal 5 2 2 3 3 2" xfId="2921"/>
    <cellStyle name="Normal 5 2 2 3 3 2 2" xfId="12209"/>
    <cellStyle name="Normal 5 2 2 3 3 2 2 2" xfId="22282"/>
    <cellStyle name="Normal 5 2 2 3 3 2 2 2 2" xfId="47835"/>
    <cellStyle name="Normal 5 2 2 3 3 2 2 3" xfId="37764"/>
    <cellStyle name="Normal 5 2 2 3 3 2 3" xfId="8616"/>
    <cellStyle name="Normal 5 2 2 3 3 2 3 2" xfId="34173"/>
    <cellStyle name="Normal 5 2 2 3 3 2 4" xfId="17275"/>
    <cellStyle name="Normal 5 2 2 3 3 2 4 2" xfId="42828"/>
    <cellStyle name="Normal 5 2 2 3 3 2 5" xfId="28765"/>
    <cellStyle name="Normal 5 2 2 3 3 3" xfId="4603"/>
    <cellStyle name="Normal 5 2 2 3 3 3 2" xfId="13441"/>
    <cellStyle name="Normal 5 2 2 3 3 3 2 2" xfId="23692"/>
    <cellStyle name="Normal 5 2 2 3 3 3 2 2 2" xfId="49245"/>
    <cellStyle name="Normal 5 2 2 3 3 3 2 3" xfId="38996"/>
    <cellStyle name="Normal 5 2 2 3 3 3 3" xfId="9862"/>
    <cellStyle name="Normal 5 2 2 3 3 3 3 2" xfId="35419"/>
    <cellStyle name="Normal 5 2 2 3 3 3 4" xfId="18685"/>
    <cellStyle name="Normal 5 2 2 3 3 3 4 2" xfId="44238"/>
    <cellStyle name="Normal 5 2 2 3 3 3 5" xfId="30175"/>
    <cellStyle name="Normal 5 2 2 3 3 4" xfId="2030"/>
    <cellStyle name="Normal 5 2 2 3 3 4 2" xfId="11395"/>
    <cellStyle name="Normal 5 2 2 3 3 4 2 2" xfId="36950"/>
    <cellStyle name="Normal 5 2 2 3 3 4 3" xfId="21399"/>
    <cellStyle name="Normal 5 2 2 3 3 4 3 2" xfId="46952"/>
    <cellStyle name="Normal 5 2 2 3 3 4 4" xfId="27882"/>
    <cellStyle name="Normal 5 2 2 3 3 5" xfId="6059"/>
    <cellStyle name="Normal 5 2 2 3 3 5 2" xfId="14886"/>
    <cellStyle name="Normal 5 2 2 3 3 5 2 2" xfId="40441"/>
    <cellStyle name="Normal 5 2 2 3 3 5 3" xfId="25137"/>
    <cellStyle name="Normal 5 2 2 3 3 5 3 2" xfId="50690"/>
    <cellStyle name="Normal 5 2 2 3 3 5 4" xfId="31620"/>
    <cellStyle name="Normal 5 2 2 3 3 6" xfId="7504"/>
    <cellStyle name="Normal 5 2 2 3 3 6 2" xfId="19881"/>
    <cellStyle name="Normal 5 2 2 3 3 6 2 2" xfId="45434"/>
    <cellStyle name="Normal 5 2 2 3 3 6 3" xfId="33061"/>
    <cellStyle name="Normal 5 2 2 3 3 7" xfId="16392"/>
    <cellStyle name="Normal 5 2 2 3 3 7 2" xfId="41945"/>
    <cellStyle name="Normal 5 2 2 3 3 8" xfId="26364"/>
    <cellStyle name="Normal 5 2 2 3 4" xfId="789"/>
    <cellStyle name="Normal 5 2 2 3 4 2" xfId="3274"/>
    <cellStyle name="Normal 5 2 2 3 4 2 2" xfId="12416"/>
    <cellStyle name="Normal 5 2 2 3 4 2 2 2" xfId="22635"/>
    <cellStyle name="Normal 5 2 2 3 4 2 2 2 2" xfId="48188"/>
    <cellStyle name="Normal 5 2 2 3 4 2 2 3" xfId="37971"/>
    <cellStyle name="Normal 5 2 2 3 4 2 3" xfId="8838"/>
    <cellStyle name="Normal 5 2 2 3 4 2 3 2" xfId="34395"/>
    <cellStyle name="Normal 5 2 2 3 4 2 4" xfId="17628"/>
    <cellStyle name="Normal 5 2 2 3 4 2 4 2" xfId="43181"/>
    <cellStyle name="Normal 5 2 2 3 4 2 5" xfId="29118"/>
    <cellStyle name="Normal 5 2 2 3 4 3" xfId="4952"/>
    <cellStyle name="Normal 5 2 2 3 4 3 2" xfId="13789"/>
    <cellStyle name="Normal 5 2 2 3 4 3 2 2" xfId="24040"/>
    <cellStyle name="Normal 5 2 2 3 4 3 2 2 2" xfId="49593"/>
    <cellStyle name="Normal 5 2 2 3 4 3 2 3" xfId="39344"/>
    <cellStyle name="Normal 5 2 2 3 4 3 3" xfId="10210"/>
    <cellStyle name="Normal 5 2 2 3 4 3 3 2" xfId="35767"/>
    <cellStyle name="Normal 5 2 2 3 4 3 4" xfId="19033"/>
    <cellStyle name="Normal 5 2 2 3 4 3 4 2" xfId="44586"/>
    <cellStyle name="Normal 5 2 2 3 4 3 5" xfId="30523"/>
    <cellStyle name="Normal 5 2 2 3 4 4" xfId="2383"/>
    <cellStyle name="Normal 5 2 2 3 4 4 2" xfId="11748"/>
    <cellStyle name="Normal 5 2 2 3 4 4 2 2" xfId="37303"/>
    <cellStyle name="Normal 5 2 2 3 4 4 3" xfId="21752"/>
    <cellStyle name="Normal 5 2 2 3 4 4 3 2" xfId="47305"/>
    <cellStyle name="Normal 5 2 2 3 4 4 4" xfId="28235"/>
    <cellStyle name="Normal 5 2 2 3 4 5" xfId="6407"/>
    <cellStyle name="Normal 5 2 2 3 4 5 2" xfId="15234"/>
    <cellStyle name="Normal 5 2 2 3 4 5 2 2" xfId="40789"/>
    <cellStyle name="Normal 5 2 2 3 4 5 3" xfId="25485"/>
    <cellStyle name="Normal 5 2 2 3 4 5 3 2" xfId="51038"/>
    <cellStyle name="Normal 5 2 2 3 4 5 4" xfId="31968"/>
    <cellStyle name="Normal 5 2 2 3 4 6" xfId="7853"/>
    <cellStyle name="Normal 5 2 2 3 4 6 2" xfId="20234"/>
    <cellStyle name="Normal 5 2 2 3 4 6 2 2" xfId="45787"/>
    <cellStyle name="Normal 5 2 2 3 4 6 3" xfId="33410"/>
    <cellStyle name="Normal 5 2 2 3 4 7" xfId="16745"/>
    <cellStyle name="Normal 5 2 2 3 4 7 2" xfId="42298"/>
    <cellStyle name="Normal 5 2 2 3 4 8" xfId="26717"/>
    <cellStyle name="Normal 5 2 2 3 5" xfId="1207"/>
    <cellStyle name="Normal 5 2 2 3 5 2" xfId="3636"/>
    <cellStyle name="Normal 5 2 2 3 5 2 2" xfId="12772"/>
    <cellStyle name="Normal 5 2 2 3 5 2 2 2" xfId="22991"/>
    <cellStyle name="Normal 5 2 2 3 5 2 2 2 2" xfId="48544"/>
    <cellStyle name="Normal 5 2 2 3 5 2 2 3" xfId="38327"/>
    <cellStyle name="Normal 5 2 2 3 5 2 3" xfId="9193"/>
    <cellStyle name="Normal 5 2 2 3 5 2 3 2" xfId="34750"/>
    <cellStyle name="Normal 5 2 2 3 5 2 4" xfId="17984"/>
    <cellStyle name="Normal 5 2 2 3 5 2 4 2" xfId="43537"/>
    <cellStyle name="Normal 5 2 2 3 5 2 5" xfId="29474"/>
    <cellStyle name="Normal 5 2 2 3 5 3" xfId="5299"/>
    <cellStyle name="Normal 5 2 2 3 5 3 2" xfId="14136"/>
    <cellStyle name="Normal 5 2 2 3 5 3 2 2" xfId="24387"/>
    <cellStyle name="Normal 5 2 2 3 5 3 2 2 2" xfId="49940"/>
    <cellStyle name="Normal 5 2 2 3 5 3 2 3" xfId="39691"/>
    <cellStyle name="Normal 5 2 2 3 5 3 3" xfId="10557"/>
    <cellStyle name="Normal 5 2 2 3 5 3 3 2" xfId="36114"/>
    <cellStyle name="Normal 5 2 2 3 5 3 4" xfId="19380"/>
    <cellStyle name="Normal 5 2 2 3 5 3 4 2" xfId="44933"/>
    <cellStyle name="Normal 5 2 2 3 5 3 5" xfId="30870"/>
    <cellStyle name="Normal 5 2 2 3 5 4" xfId="1810"/>
    <cellStyle name="Normal 5 2 2 3 5 4 2" xfId="11178"/>
    <cellStyle name="Normal 5 2 2 3 5 4 2 2" xfId="36733"/>
    <cellStyle name="Normal 5 2 2 3 5 4 3" xfId="21182"/>
    <cellStyle name="Normal 5 2 2 3 5 4 3 2" xfId="46735"/>
    <cellStyle name="Normal 5 2 2 3 5 4 4" xfId="27665"/>
    <cellStyle name="Normal 5 2 2 3 5 5" xfId="6754"/>
    <cellStyle name="Normal 5 2 2 3 5 5 2" xfId="15581"/>
    <cellStyle name="Normal 5 2 2 3 5 5 2 2" xfId="41136"/>
    <cellStyle name="Normal 5 2 2 3 5 5 3" xfId="25832"/>
    <cellStyle name="Normal 5 2 2 3 5 5 3 2" xfId="51385"/>
    <cellStyle name="Normal 5 2 2 3 5 5 4" xfId="32315"/>
    <cellStyle name="Normal 5 2 2 3 5 6" xfId="8200"/>
    <cellStyle name="Normal 5 2 2 3 5 6 2" xfId="20590"/>
    <cellStyle name="Normal 5 2 2 3 5 6 2 2" xfId="46143"/>
    <cellStyle name="Normal 5 2 2 3 5 6 3" xfId="33757"/>
    <cellStyle name="Normal 5 2 2 3 5 7" xfId="16175"/>
    <cellStyle name="Normal 5 2 2 3 5 7 2" xfId="41728"/>
    <cellStyle name="Normal 5 2 2 3 5 8" xfId="27073"/>
    <cellStyle name="Normal 5 2 2 3 6" xfId="2704"/>
    <cellStyle name="Normal 5 2 2 3 6 2" xfId="12021"/>
    <cellStyle name="Normal 5 2 2 3 6 2 2" xfId="22065"/>
    <cellStyle name="Normal 5 2 2 3 6 2 2 2" xfId="47618"/>
    <cellStyle name="Normal 5 2 2 3 6 2 3" xfId="37576"/>
    <cellStyle name="Normal 5 2 2 3 6 3" xfId="6969"/>
    <cellStyle name="Normal 5 2 2 3 6 3 2" xfId="32527"/>
    <cellStyle name="Normal 5 2 2 3 6 4" xfId="17058"/>
    <cellStyle name="Normal 5 2 2 3 6 4 2" xfId="42611"/>
    <cellStyle name="Normal 5 2 2 3 6 5" xfId="28548"/>
    <cellStyle name="Normal 5 2 2 3 7" xfId="4255"/>
    <cellStyle name="Normal 5 2 2 3 7 2" xfId="13093"/>
    <cellStyle name="Normal 5 2 2 3 7 2 2" xfId="23344"/>
    <cellStyle name="Normal 5 2 2 3 7 2 2 2" xfId="48897"/>
    <cellStyle name="Normal 5 2 2 3 7 2 3" xfId="38648"/>
    <cellStyle name="Normal 5 2 2 3 7 3" xfId="9514"/>
    <cellStyle name="Normal 5 2 2 3 7 3 2" xfId="35071"/>
    <cellStyle name="Normal 5 2 2 3 7 4" xfId="18337"/>
    <cellStyle name="Normal 5 2 2 3 7 4 2" xfId="43890"/>
    <cellStyle name="Normal 5 2 2 3 7 5" xfId="29827"/>
    <cellStyle name="Normal 5 2 2 3 8" xfId="1527"/>
    <cellStyle name="Normal 5 2 2 3 8 2" xfId="10904"/>
    <cellStyle name="Normal 5 2 2 3 8 2 2" xfId="36459"/>
    <cellStyle name="Normal 5 2 2 3 8 3" xfId="20908"/>
    <cellStyle name="Normal 5 2 2 3 8 3 2" xfId="46461"/>
    <cellStyle name="Normal 5 2 2 3 8 4" xfId="27391"/>
    <cellStyle name="Normal 5 2 2 3 9" xfId="5711"/>
    <cellStyle name="Normal 5 2 2 3 9 2" xfId="14538"/>
    <cellStyle name="Normal 5 2 2 3 9 2 2" xfId="40093"/>
    <cellStyle name="Normal 5 2 2 3 9 3" xfId="24789"/>
    <cellStyle name="Normal 5 2 2 3 9 3 2" xfId="50342"/>
    <cellStyle name="Normal 5 2 2 3 9 4" xfId="31272"/>
    <cellStyle name="Normal 5 2 2 3_Degree data" xfId="3930"/>
    <cellStyle name="Normal 5 2 2 4" xfId="335"/>
    <cellStyle name="Normal 5 2 2 4 10" xfId="26264"/>
    <cellStyle name="Normal 5 2 2 4 2" xfId="791"/>
    <cellStyle name="Normal 5 2 2 4 2 2" xfId="3276"/>
    <cellStyle name="Normal 5 2 2 4 2 2 2" xfId="12418"/>
    <cellStyle name="Normal 5 2 2 4 2 2 2 2" xfId="22637"/>
    <cellStyle name="Normal 5 2 2 4 2 2 2 2 2" xfId="48190"/>
    <cellStyle name="Normal 5 2 2 4 2 2 2 3" xfId="37973"/>
    <cellStyle name="Normal 5 2 2 4 2 2 3" xfId="8840"/>
    <cellStyle name="Normal 5 2 2 4 2 2 3 2" xfId="34397"/>
    <cellStyle name="Normal 5 2 2 4 2 2 4" xfId="17630"/>
    <cellStyle name="Normal 5 2 2 4 2 2 4 2" xfId="43183"/>
    <cellStyle name="Normal 5 2 2 4 2 2 5" xfId="29120"/>
    <cellStyle name="Normal 5 2 2 4 2 3" xfId="4605"/>
    <cellStyle name="Normal 5 2 2 4 2 3 2" xfId="13443"/>
    <cellStyle name="Normal 5 2 2 4 2 3 2 2" xfId="23694"/>
    <cellStyle name="Normal 5 2 2 4 2 3 2 2 2" xfId="49247"/>
    <cellStyle name="Normal 5 2 2 4 2 3 2 3" xfId="38998"/>
    <cellStyle name="Normal 5 2 2 4 2 3 3" xfId="9864"/>
    <cellStyle name="Normal 5 2 2 4 2 3 3 2" xfId="35421"/>
    <cellStyle name="Normal 5 2 2 4 2 3 4" xfId="18687"/>
    <cellStyle name="Normal 5 2 2 4 2 3 4 2" xfId="44240"/>
    <cellStyle name="Normal 5 2 2 4 2 3 5" xfId="30177"/>
    <cellStyle name="Normal 5 2 2 4 2 4" xfId="2385"/>
    <cellStyle name="Normal 5 2 2 4 2 4 2" xfId="11750"/>
    <cellStyle name="Normal 5 2 2 4 2 4 2 2" xfId="37305"/>
    <cellStyle name="Normal 5 2 2 4 2 4 3" xfId="21754"/>
    <cellStyle name="Normal 5 2 2 4 2 4 3 2" xfId="47307"/>
    <cellStyle name="Normal 5 2 2 4 2 4 4" xfId="28237"/>
    <cellStyle name="Normal 5 2 2 4 2 5" xfId="6061"/>
    <cellStyle name="Normal 5 2 2 4 2 5 2" xfId="14888"/>
    <cellStyle name="Normal 5 2 2 4 2 5 2 2" xfId="40443"/>
    <cellStyle name="Normal 5 2 2 4 2 5 3" xfId="25139"/>
    <cellStyle name="Normal 5 2 2 4 2 5 3 2" xfId="50692"/>
    <cellStyle name="Normal 5 2 2 4 2 5 4" xfId="31622"/>
    <cellStyle name="Normal 5 2 2 4 2 6" xfId="7506"/>
    <cellStyle name="Normal 5 2 2 4 2 6 2" xfId="20236"/>
    <cellStyle name="Normal 5 2 2 4 2 6 2 2" xfId="45789"/>
    <cellStyle name="Normal 5 2 2 4 2 6 3" xfId="33063"/>
    <cellStyle name="Normal 5 2 2 4 2 7" xfId="16747"/>
    <cellStyle name="Normal 5 2 2 4 2 7 2" xfId="42300"/>
    <cellStyle name="Normal 5 2 2 4 2 8" xfId="26719"/>
    <cellStyle name="Normal 5 2 2 4 3" xfId="1107"/>
    <cellStyle name="Normal 5 2 2 4 3 2" xfId="3536"/>
    <cellStyle name="Normal 5 2 2 4 3 2 2" xfId="12672"/>
    <cellStyle name="Normal 5 2 2 4 3 2 2 2" xfId="22891"/>
    <cellStyle name="Normal 5 2 2 4 3 2 2 2 2" xfId="48444"/>
    <cellStyle name="Normal 5 2 2 4 3 2 2 3" xfId="38227"/>
    <cellStyle name="Normal 5 2 2 4 3 2 3" xfId="9093"/>
    <cellStyle name="Normal 5 2 2 4 3 2 3 2" xfId="34650"/>
    <cellStyle name="Normal 5 2 2 4 3 2 4" xfId="17884"/>
    <cellStyle name="Normal 5 2 2 4 3 2 4 2" xfId="43437"/>
    <cellStyle name="Normal 5 2 2 4 3 2 5" xfId="29374"/>
    <cellStyle name="Normal 5 2 2 4 3 3" xfId="4954"/>
    <cellStyle name="Normal 5 2 2 4 3 3 2" xfId="13791"/>
    <cellStyle name="Normal 5 2 2 4 3 3 2 2" xfId="24042"/>
    <cellStyle name="Normal 5 2 2 4 3 3 2 2 2" xfId="49595"/>
    <cellStyle name="Normal 5 2 2 4 3 3 2 3" xfId="39346"/>
    <cellStyle name="Normal 5 2 2 4 3 3 3" xfId="10212"/>
    <cellStyle name="Normal 5 2 2 4 3 3 3 2" xfId="35769"/>
    <cellStyle name="Normal 5 2 2 4 3 3 4" xfId="19035"/>
    <cellStyle name="Normal 5 2 2 4 3 3 4 2" xfId="44588"/>
    <cellStyle name="Normal 5 2 2 4 3 3 5" xfId="30525"/>
    <cellStyle name="Normal 5 2 2 4 3 4" xfId="2579"/>
    <cellStyle name="Normal 5 2 2 4 3 4 2" xfId="11943"/>
    <cellStyle name="Normal 5 2 2 4 3 4 2 2" xfId="37498"/>
    <cellStyle name="Normal 5 2 2 4 3 4 3" xfId="21947"/>
    <cellStyle name="Normal 5 2 2 4 3 4 3 2" xfId="47500"/>
    <cellStyle name="Normal 5 2 2 4 3 4 4" xfId="28430"/>
    <cellStyle name="Normal 5 2 2 4 3 5" xfId="6409"/>
    <cellStyle name="Normal 5 2 2 4 3 5 2" xfId="15236"/>
    <cellStyle name="Normal 5 2 2 4 3 5 2 2" xfId="40791"/>
    <cellStyle name="Normal 5 2 2 4 3 5 3" xfId="25487"/>
    <cellStyle name="Normal 5 2 2 4 3 5 3 2" xfId="51040"/>
    <cellStyle name="Normal 5 2 2 4 3 5 4" xfId="31970"/>
    <cellStyle name="Normal 5 2 2 4 3 6" xfId="7855"/>
    <cellStyle name="Normal 5 2 2 4 3 6 2" xfId="20490"/>
    <cellStyle name="Normal 5 2 2 4 3 6 2 2" xfId="46043"/>
    <cellStyle name="Normal 5 2 2 4 3 6 3" xfId="33412"/>
    <cellStyle name="Normal 5 2 2 4 3 7" xfId="16940"/>
    <cellStyle name="Normal 5 2 2 4 3 7 2" xfId="42493"/>
    <cellStyle name="Normal 5 2 2 4 3 8" xfId="26973"/>
    <cellStyle name="Normal 5 2 2 4 4" xfId="2821"/>
    <cellStyle name="Normal 5 2 2 4 4 2" xfId="5199"/>
    <cellStyle name="Normal 5 2 2 4 4 2 2" xfId="14036"/>
    <cellStyle name="Normal 5 2 2 4 4 2 2 2" xfId="24287"/>
    <cellStyle name="Normal 5 2 2 4 4 2 2 2 2" xfId="49840"/>
    <cellStyle name="Normal 5 2 2 4 4 2 2 3" xfId="39591"/>
    <cellStyle name="Normal 5 2 2 4 4 2 3" xfId="10457"/>
    <cellStyle name="Normal 5 2 2 4 4 2 3 2" xfId="36014"/>
    <cellStyle name="Normal 5 2 2 4 4 2 4" xfId="19280"/>
    <cellStyle name="Normal 5 2 2 4 4 2 4 2" xfId="44833"/>
    <cellStyle name="Normal 5 2 2 4 4 2 5" xfId="30770"/>
    <cellStyle name="Normal 5 2 2 4 4 3" xfId="6654"/>
    <cellStyle name="Normal 5 2 2 4 4 3 2" xfId="15481"/>
    <cellStyle name="Normal 5 2 2 4 4 3 2 2" xfId="41036"/>
    <cellStyle name="Normal 5 2 2 4 4 3 3" xfId="25732"/>
    <cellStyle name="Normal 5 2 2 4 4 3 3 2" xfId="51285"/>
    <cellStyle name="Normal 5 2 2 4 4 3 4" xfId="32215"/>
    <cellStyle name="Normal 5 2 2 4 4 4" xfId="8100"/>
    <cellStyle name="Normal 5 2 2 4 4 4 2" xfId="22182"/>
    <cellStyle name="Normal 5 2 2 4 4 4 2 2" xfId="47735"/>
    <cellStyle name="Normal 5 2 2 4 4 4 3" xfId="33657"/>
    <cellStyle name="Normal 5 2 2 4 4 5" xfId="17175"/>
    <cellStyle name="Normal 5 2 2 4 4 5 2" xfId="42728"/>
    <cellStyle name="Normal 5 2 2 4 4 6" xfId="28665"/>
    <cellStyle name="Normal 5 2 2 4 5" xfId="4153"/>
    <cellStyle name="Normal 5 2 2 4 5 2" xfId="12991"/>
    <cellStyle name="Normal 5 2 2 4 5 2 2" xfId="23242"/>
    <cellStyle name="Normal 5 2 2 4 5 2 2 2" xfId="48795"/>
    <cellStyle name="Normal 5 2 2 4 5 2 3" xfId="38546"/>
    <cellStyle name="Normal 5 2 2 4 5 3" xfId="9412"/>
    <cellStyle name="Normal 5 2 2 4 5 3 2" xfId="34969"/>
    <cellStyle name="Normal 5 2 2 4 5 4" xfId="18235"/>
    <cellStyle name="Normal 5 2 2 4 5 4 2" xfId="43788"/>
    <cellStyle name="Normal 5 2 2 4 5 5" xfId="29725"/>
    <cellStyle name="Normal 5 2 2 4 6" xfId="1930"/>
    <cellStyle name="Normal 5 2 2 4 6 2" xfId="11295"/>
    <cellStyle name="Normal 5 2 2 4 6 2 2" xfId="36850"/>
    <cellStyle name="Normal 5 2 2 4 6 3" xfId="21299"/>
    <cellStyle name="Normal 5 2 2 4 6 3 2" xfId="46852"/>
    <cellStyle name="Normal 5 2 2 4 6 4" xfId="27782"/>
    <cellStyle name="Normal 5 2 2 4 7" xfId="5611"/>
    <cellStyle name="Normal 5 2 2 4 7 2" xfId="14438"/>
    <cellStyle name="Normal 5 2 2 4 7 2 2" xfId="39993"/>
    <cellStyle name="Normal 5 2 2 4 7 3" xfId="24689"/>
    <cellStyle name="Normal 5 2 2 4 7 3 2" xfId="50242"/>
    <cellStyle name="Normal 5 2 2 4 7 4" xfId="31172"/>
    <cellStyle name="Normal 5 2 2 4 8" xfId="7055"/>
    <cellStyle name="Normal 5 2 2 4 8 2" xfId="19781"/>
    <cellStyle name="Normal 5 2 2 4 8 2 2" xfId="45334"/>
    <cellStyle name="Normal 5 2 2 4 8 3" xfId="32612"/>
    <cellStyle name="Normal 5 2 2 4 9" xfId="16292"/>
    <cellStyle name="Normal 5 2 2 4 9 2" xfId="41845"/>
    <cellStyle name="Normal 5 2 2 4_Degree data" xfId="3883"/>
    <cellStyle name="Normal 5 2 2 5" xfId="785"/>
    <cellStyle name="Normal 5 2 2 5 2" xfId="3270"/>
    <cellStyle name="Normal 5 2 2 5 2 2" xfId="12412"/>
    <cellStyle name="Normal 5 2 2 5 2 2 2" xfId="22631"/>
    <cellStyle name="Normal 5 2 2 5 2 2 2 2" xfId="48184"/>
    <cellStyle name="Normal 5 2 2 5 2 2 3" xfId="37967"/>
    <cellStyle name="Normal 5 2 2 5 2 3" xfId="8834"/>
    <cellStyle name="Normal 5 2 2 5 2 3 2" xfId="34391"/>
    <cellStyle name="Normal 5 2 2 5 2 4" xfId="17624"/>
    <cellStyle name="Normal 5 2 2 5 2 4 2" xfId="43177"/>
    <cellStyle name="Normal 5 2 2 5 2 5" xfId="29114"/>
    <cellStyle name="Normal 5 2 2 5 3" xfId="4599"/>
    <cellStyle name="Normal 5 2 2 5 3 2" xfId="13437"/>
    <cellStyle name="Normal 5 2 2 5 3 2 2" xfId="23688"/>
    <cellStyle name="Normal 5 2 2 5 3 2 2 2" xfId="49241"/>
    <cellStyle name="Normal 5 2 2 5 3 2 3" xfId="38992"/>
    <cellStyle name="Normal 5 2 2 5 3 3" xfId="9858"/>
    <cellStyle name="Normal 5 2 2 5 3 3 2" xfId="35415"/>
    <cellStyle name="Normal 5 2 2 5 3 4" xfId="18681"/>
    <cellStyle name="Normal 5 2 2 5 3 4 2" xfId="44234"/>
    <cellStyle name="Normal 5 2 2 5 3 5" xfId="30171"/>
    <cellStyle name="Normal 5 2 2 5 4" xfId="2379"/>
    <cellStyle name="Normal 5 2 2 5 4 2" xfId="11744"/>
    <cellStyle name="Normal 5 2 2 5 4 2 2" xfId="37299"/>
    <cellStyle name="Normal 5 2 2 5 4 3" xfId="21748"/>
    <cellStyle name="Normal 5 2 2 5 4 3 2" xfId="47301"/>
    <cellStyle name="Normal 5 2 2 5 4 4" xfId="28231"/>
    <cellStyle name="Normal 5 2 2 5 5" xfId="6055"/>
    <cellStyle name="Normal 5 2 2 5 5 2" xfId="14882"/>
    <cellStyle name="Normal 5 2 2 5 5 2 2" xfId="40437"/>
    <cellStyle name="Normal 5 2 2 5 5 3" xfId="25133"/>
    <cellStyle name="Normal 5 2 2 5 5 3 2" xfId="50686"/>
    <cellStyle name="Normal 5 2 2 5 5 4" xfId="31616"/>
    <cellStyle name="Normal 5 2 2 5 6" xfId="7500"/>
    <cellStyle name="Normal 5 2 2 5 6 2" xfId="20230"/>
    <cellStyle name="Normal 5 2 2 5 6 2 2" xfId="45783"/>
    <cellStyle name="Normal 5 2 2 5 6 3" xfId="33057"/>
    <cellStyle name="Normal 5 2 2 5 7" xfId="16741"/>
    <cellStyle name="Normal 5 2 2 5 7 2" xfId="42294"/>
    <cellStyle name="Normal 5 2 2 5 8" xfId="26713"/>
    <cellStyle name="Normal 5 2 2 6" xfId="1062"/>
    <cellStyle name="Normal 5 2 2 6 2" xfId="3491"/>
    <cellStyle name="Normal 5 2 2 6 2 2" xfId="12627"/>
    <cellStyle name="Normal 5 2 2 6 2 2 2" xfId="22846"/>
    <cellStyle name="Normal 5 2 2 6 2 2 2 2" xfId="48399"/>
    <cellStyle name="Normal 5 2 2 6 2 2 3" xfId="38182"/>
    <cellStyle name="Normal 5 2 2 6 2 3" xfId="9049"/>
    <cellStyle name="Normal 5 2 2 6 2 3 2" xfId="34606"/>
    <cellStyle name="Normal 5 2 2 6 2 4" xfId="17839"/>
    <cellStyle name="Normal 5 2 2 6 2 4 2" xfId="43392"/>
    <cellStyle name="Normal 5 2 2 6 2 5" xfId="29329"/>
    <cellStyle name="Normal 5 2 2 6 3" xfId="4948"/>
    <cellStyle name="Normal 5 2 2 6 3 2" xfId="13785"/>
    <cellStyle name="Normal 5 2 2 6 3 2 2" xfId="24036"/>
    <cellStyle name="Normal 5 2 2 6 3 2 2 2" xfId="49589"/>
    <cellStyle name="Normal 5 2 2 6 3 2 3" xfId="39340"/>
    <cellStyle name="Normal 5 2 2 6 3 3" xfId="10206"/>
    <cellStyle name="Normal 5 2 2 6 3 3 2" xfId="35763"/>
    <cellStyle name="Normal 5 2 2 6 3 4" xfId="19029"/>
    <cellStyle name="Normal 5 2 2 6 3 4 2" xfId="44582"/>
    <cellStyle name="Normal 5 2 2 6 3 5" xfId="30519"/>
    <cellStyle name="Normal 5 2 2 6 4" xfId="2587"/>
    <cellStyle name="Normal 5 2 2 6 4 2" xfId="11951"/>
    <cellStyle name="Normal 5 2 2 6 4 2 2" xfId="37506"/>
    <cellStyle name="Normal 5 2 2 6 4 3" xfId="21955"/>
    <cellStyle name="Normal 5 2 2 6 4 3 2" xfId="47508"/>
    <cellStyle name="Normal 5 2 2 6 4 4" xfId="28438"/>
    <cellStyle name="Normal 5 2 2 6 5" xfId="6403"/>
    <cellStyle name="Normal 5 2 2 6 5 2" xfId="15230"/>
    <cellStyle name="Normal 5 2 2 6 5 2 2" xfId="40785"/>
    <cellStyle name="Normal 5 2 2 6 5 3" xfId="25481"/>
    <cellStyle name="Normal 5 2 2 6 5 3 2" xfId="51034"/>
    <cellStyle name="Normal 5 2 2 6 5 4" xfId="31964"/>
    <cellStyle name="Normal 5 2 2 6 6" xfId="7849"/>
    <cellStyle name="Normal 5 2 2 6 6 2" xfId="20445"/>
    <cellStyle name="Normal 5 2 2 6 6 2 2" xfId="45998"/>
    <cellStyle name="Normal 5 2 2 6 6 3" xfId="33406"/>
    <cellStyle name="Normal 5 2 2 6 7" xfId="16948"/>
    <cellStyle name="Normal 5 2 2 6 7 2" xfId="42501"/>
    <cellStyle name="Normal 5 2 2 6 8" xfId="26928"/>
    <cellStyle name="Normal 5 2 2 7" xfId="2629"/>
    <cellStyle name="Normal 5 2 2 7 2" xfId="5154"/>
    <cellStyle name="Normal 5 2 2 7 2 2" xfId="13991"/>
    <cellStyle name="Normal 5 2 2 7 2 2 2" xfId="24242"/>
    <cellStyle name="Normal 5 2 2 7 2 2 2 2" xfId="49795"/>
    <cellStyle name="Normal 5 2 2 7 2 2 3" xfId="39546"/>
    <cellStyle name="Normal 5 2 2 7 2 3" xfId="10412"/>
    <cellStyle name="Normal 5 2 2 7 2 3 2" xfId="35969"/>
    <cellStyle name="Normal 5 2 2 7 2 4" xfId="19235"/>
    <cellStyle name="Normal 5 2 2 7 2 4 2" xfId="44788"/>
    <cellStyle name="Normal 5 2 2 7 2 5" xfId="30725"/>
    <cellStyle name="Normal 5 2 2 7 3" xfId="6609"/>
    <cellStyle name="Normal 5 2 2 7 3 2" xfId="15436"/>
    <cellStyle name="Normal 5 2 2 7 3 2 2" xfId="40991"/>
    <cellStyle name="Normal 5 2 2 7 3 3" xfId="25687"/>
    <cellStyle name="Normal 5 2 2 7 3 3 2" xfId="51240"/>
    <cellStyle name="Normal 5 2 2 7 3 4" xfId="32170"/>
    <cellStyle name="Normal 5 2 2 7 4" xfId="8055"/>
    <cellStyle name="Normal 5 2 2 7 4 2" xfId="21991"/>
    <cellStyle name="Normal 5 2 2 7 4 2 2" xfId="47544"/>
    <cellStyle name="Normal 5 2 2 7 4 3" xfId="33612"/>
    <cellStyle name="Normal 5 2 2 7 5" xfId="16984"/>
    <cellStyle name="Normal 5 2 2 7 5 2" xfId="42537"/>
    <cellStyle name="Normal 5 2 2 7 6" xfId="28474"/>
    <cellStyle name="Normal 5 2 2 8" xfId="4108"/>
    <cellStyle name="Normal 5 2 2 8 2" xfId="5566"/>
    <cellStyle name="Normal 5 2 2 8 2 2" xfId="14393"/>
    <cellStyle name="Normal 5 2 2 8 2 2 2" xfId="39948"/>
    <cellStyle name="Normal 5 2 2 8 2 3" xfId="24644"/>
    <cellStyle name="Normal 5 2 2 8 2 3 2" xfId="50197"/>
    <cellStyle name="Normal 5 2 2 8 2 4" xfId="31127"/>
    <cellStyle name="Normal 5 2 2 8 3" xfId="7010"/>
    <cellStyle name="Normal 5 2 2 8 3 2" xfId="23197"/>
    <cellStyle name="Normal 5 2 2 8 3 2 2" xfId="48750"/>
    <cellStyle name="Normal 5 2 2 8 3 3" xfId="32567"/>
    <cellStyle name="Normal 5 2 2 8 4" xfId="18190"/>
    <cellStyle name="Normal 5 2 2 8 4 2" xfId="43743"/>
    <cellStyle name="Normal 5 2 2 8 5" xfId="29680"/>
    <cellStyle name="Normal 5 2 2 9" xfId="1427"/>
    <cellStyle name="Normal 5 2 2 9 2" xfId="10804"/>
    <cellStyle name="Normal 5 2 2 9 2 2" xfId="36359"/>
    <cellStyle name="Normal 5 2 2 9 3" xfId="20808"/>
    <cellStyle name="Normal 5 2 2 9 3 2" xfId="46361"/>
    <cellStyle name="Normal 5 2 2 9 4" xfId="27291"/>
    <cellStyle name="Normal 5 2 2_Degree data" xfId="3842"/>
    <cellStyle name="Normal 5 2 3" xfId="199"/>
    <cellStyle name="Normal 5 2 4" xfId="180"/>
    <cellStyle name="Normal 5 2 4 10" xfId="7128"/>
    <cellStyle name="Normal 5 2 4 10 2" xfId="19637"/>
    <cellStyle name="Normal 5 2 4 10 2 2" xfId="45190"/>
    <cellStyle name="Normal 5 2 4 10 3" xfId="32685"/>
    <cellStyle name="Normal 5 2 4 11" xfId="15874"/>
    <cellStyle name="Normal 5 2 4 11 2" xfId="41427"/>
    <cellStyle name="Normal 5 2 4 12" xfId="26120"/>
    <cellStyle name="Normal 5 2 4 2" xfId="508"/>
    <cellStyle name="Normal 5 2 4 2 10" xfId="26437"/>
    <cellStyle name="Normal 5 2 4 2 2" xfId="793"/>
    <cellStyle name="Normal 5 2 4 2 2 2" xfId="3278"/>
    <cellStyle name="Normal 5 2 4 2 2 2 2" xfId="12420"/>
    <cellStyle name="Normal 5 2 4 2 2 2 2 2" xfId="22639"/>
    <cellStyle name="Normal 5 2 4 2 2 2 2 2 2" xfId="48192"/>
    <cellStyle name="Normal 5 2 4 2 2 2 2 3" xfId="37975"/>
    <cellStyle name="Normal 5 2 4 2 2 2 3" xfId="8842"/>
    <cellStyle name="Normal 5 2 4 2 2 2 3 2" xfId="34399"/>
    <cellStyle name="Normal 5 2 4 2 2 2 4" xfId="17632"/>
    <cellStyle name="Normal 5 2 4 2 2 2 4 2" xfId="43185"/>
    <cellStyle name="Normal 5 2 4 2 2 2 5" xfId="29122"/>
    <cellStyle name="Normal 5 2 4 2 2 3" xfId="4607"/>
    <cellStyle name="Normal 5 2 4 2 2 3 2" xfId="13445"/>
    <cellStyle name="Normal 5 2 4 2 2 3 2 2" xfId="23696"/>
    <cellStyle name="Normal 5 2 4 2 2 3 2 2 2" xfId="49249"/>
    <cellStyle name="Normal 5 2 4 2 2 3 2 3" xfId="39000"/>
    <cellStyle name="Normal 5 2 4 2 2 3 3" xfId="9866"/>
    <cellStyle name="Normal 5 2 4 2 2 3 3 2" xfId="35423"/>
    <cellStyle name="Normal 5 2 4 2 2 3 4" xfId="18689"/>
    <cellStyle name="Normal 5 2 4 2 2 3 4 2" xfId="44242"/>
    <cellStyle name="Normal 5 2 4 2 2 3 5" xfId="30179"/>
    <cellStyle name="Normal 5 2 4 2 2 4" xfId="2387"/>
    <cellStyle name="Normal 5 2 4 2 2 4 2" xfId="11752"/>
    <cellStyle name="Normal 5 2 4 2 2 4 2 2" xfId="37307"/>
    <cellStyle name="Normal 5 2 4 2 2 4 3" xfId="21756"/>
    <cellStyle name="Normal 5 2 4 2 2 4 3 2" xfId="47309"/>
    <cellStyle name="Normal 5 2 4 2 2 4 4" xfId="28239"/>
    <cellStyle name="Normal 5 2 4 2 2 5" xfId="6063"/>
    <cellStyle name="Normal 5 2 4 2 2 5 2" xfId="14890"/>
    <cellStyle name="Normal 5 2 4 2 2 5 2 2" xfId="40445"/>
    <cellStyle name="Normal 5 2 4 2 2 5 3" xfId="25141"/>
    <cellStyle name="Normal 5 2 4 2 2 5 3 2" xfId="50694"/>
    <cellStyle name="Normal 5 2 4 2 2 5 4" xfId="31624"/>
    <cellStyle name="Normal 5 2 4 2 2 6" xfId="7508"/>
    <cellStyle name="Normal 5 2 4 2 2 6 2" xfId="20238"/>
    <cellStyle name="Normal 5 2 4 2 2 6 2 2" xfId="45791"/>
    <cellStyle name="Normal 5 2 4 2 2 6 3" xfId="33065"/>
    <cellStyle name="Normal 5 2 4 2 2 7" xfId="16749"/>
    <cellStyle name="Normal 5 2 4 2 2 7 2" xfId="42302"/>
    <cellStyle name="Normal 5 2 4 2 2 8" xfId="26721"/>
    <cellStyle name="Normal 5 2 4 2 3" xfId="1280"/>
    <cellStyle name="Normal 5 2 4 2 3 2" xfId="3709"/>
    <cellStyle name="Normal 5 2 4 2 3 2 2" xfId="12845"/>
    <cellStyle name="Normal 5 2 4 2 3 2 2 2" xfId="23064"/>
    <cellStyle name="Normal 5 2 4 2 3 2 2 2 2" xfId="48617"/>
    <cellStyle name="Normal 5 2 4 2 3 2 2 3" xfId="38400"/>
    <cellStyle name="Normal 5 2 4 2 3 2 3" xfId="9266"/>
    <cellStyle name="Normal 5 2 4 2 3 2 3 2" xfId="34823"/>
    <cellStyle name="Normal 5 2 4 2 3 2 4" xfId="18057"/>
    <cellStyle name="Normal 5 2 4 2 3 2 4 2" xfId="43610"/>
    <cellStyle name="Normal 5 2 4 2 3 2 5" xfId="29547"/>
    <cellStyle name="Normal 5 2 4 2 3 3" xfId="4956"/>
    <cellStyle name="Normal 5 2 4 2 3 3 2" xfId="13793"/>
    <cellStyle name="Normal 5 2 4 2 3 3 2 2" xfId="24044"/>
    <cellStyle name="Normal 5 2 4 2 3 3 2 2 2" xfId="49597"/>
    <cellStyle name="Normal 5 2 4 2 3 3 2 3" xfId="39348"/>
    <cellStyle name="Normal 5 2 4 2 3 3 3" xfId="10214"/>
    <cellStyle name="Normal 5 2 4 2 3 3 3 2" xfId="35771"/>
    <cellStyle name="Normal 5 2 4 2 3 3 4" xfId="19037"/>
    <cellStyle name="Normal 5 2 4 2 3 3 4 2" xfId="44590"/>
    <cellStyle name="Normal 5 2 4 2 3 3 5" xfId="30527"/>
    <cellStyle name="Normal 5 2 4 2 3 4" xfId="2103"/>
    <cellStyle name="Normal 5 2 4 2 3 4 2" xfId="11468"/>
    <cellStyle name="Normal 5 2 4 2 3 4 2 2" xfId="37023"/>
    <cellStyle name="Normal 5 2 4 2 3 4 3" xfId="21472"/>
    <cellStyle name="Normal 5 2 4 2 3 4 3 2" xfId="47025"/>
    <cellStyle name="Normal 5 2 4 2 3 4 4" xfId="27955"/>
    <cellStyle name="Normal 5 2 4 2 3 5" xfId="6411"/>
    <cellStyle name="Normal 5 2 4 2 3 5 2" xfId="15238"/>
    <cellStyle name="Normal 5 2 4 2 3 5 2 2" xfId="40793"/>
    <cellStyle name="Normal 5 2 4 2 3 5 3" xfId="25489"/>
    <cellStyle name="Normal 5 2 4 2 3 5 3 2" xfId="51042"/>
    <cellStyle name="Normal 5 2 4 2 3 5 4" xfId="31972"/>
    <cellStyle name="Normal 5 2 4 2 3 6" xfId="7857"/>
    <cellStyle name="Normal 5 2 4 2 3 6 2" xfId="20663"/>
    <cellStyle name="Normal 5 2 4 2 3 6 2 2" xfId="46216"/>
    <cellStyle name="Normal 5 2 4 2 3 6 3" xfId="33414"/>
    <cellStyle name="Normal 5 2 4 2 3 7" xfId="16465"/>
    <cellStyle name="Normal 5 2 4 2 3 7 2" xfId="42018"/>
    <cellStyle name="Normal 5 2 4 2 3 8" xfId="27146"/>
    <cellStyle name="Normal 5 2 4 2 4" xfId="2994"/>
    <cellStyle name="Normal 5 2 4 2 4 2" xfId="5372"/>
    <cellStyle name="Normal 5 2 4 2 4 2 2" xfId="14209"/>
    <cellStyle name="Normal 5 2 4 2 4 2 2 2" xfId="24460"/>
    <cellStyle name="Normal 5 2 4 2 4 2 2 2 2" xfId="50013"/>
    <cellStyle name="Normal 5 2 4 2 4 2 2 3" xfId="39764"/>
    <cellStyle name="Normal 5 2 4 2 4 2 3" xfId="10630"/>
    <cellStyle name="Normal 5 2 4 2 4 2 3 2" xfId="36187"/>
    <cellStyle name="Normal 5 2 4 2 4 2 4" xfId="19453"/>
    <cellStyle name="Normal 5 2 4 2 4 2 4 2" xfId="45006"/>
    <cellStyle name="Normal 5 2 4 2 4 2 5" xfId="30943"/>
    <cellStyle name="Normal 5 2 4 2 4 3" xfId="6827"/>
    <cellStyle name="Normal 5 2 4 2 4 3 2" xfId="15654"/>
    <cellStyle name="Normal 5 2 4 2 4 3 2 2" xfId="41209"/>
    <cellStyle name="Normal 5 2 4 2 4 3 3" xfId="25905"/>
    <cellStyle name="Normal 5 2 4 2 4 3 3 2" xfId="51458"/>
    <cellStyle name="Normal 5 2 4 2 4 3 4" xfId="32388"/>
    <cellStyle name="Normal 5 2 4 2 4 4" xfId="8273"/>
    <cellStyle name="Normal 5 2 4 2 4 4 2" xfId="22355"/>
    <cellStyle name="Normal 5 2 4 2 4 4 2 2" xfId="47908"/>
    <cellStyle name="Normal 5 2 4 2 4 4 3" xfId="33830"/>
    <cellStyle name="Normal 5 2 4 2 4 5" xfId="17348"/>
    <cellStyle name="Normal 5 2 4 2 4 5 2" xfId="42901"/>
    <cellStyle name="Normal 5 2 4 2 4 6" xfId="28838"/>
    <cellStyle name="Normal 5 2 4 2 5" xfId="4328"/>
    <cellStyle name="Normal 5 2 4 2 5 2" xfId="13166"/>
    <cellStyle name="Normal 5 2 4 2 5 2 2" xfId="23417"/>
    <cellStyle name="Normal 5 2 4 2 5 2 2 2" xfId="48970"/>
    <cellStyle name="Normal 5 2 4 2 5 2 3" xfId="38721"/>
    <cellStyle name="Normal 5 2 4 2 5 3" xfId="9587"/>
    <cellStyle name="Normal 5 2 4 2 5 3 2" xfId="35144"/>
    <cellStyle name="Normal 5 2 4 2 5 4" xfId="18410"/>
    <cellStyle name="Normal 5 2 4 2 5 4 2" xfId="43963"/>
    <cellStyle name="Normal 5 2 4 2 5 5" xfId="29900"/>
    <cellStyle name="Normal 5 2 4 2 6" xfId="1600"/>
    <cellStyle name="Normal 5 2 4 2 6 2" xfId="10977"/>
    <cellStyle name="Normal 5 2 4 2 6 2 2" xfId="36532"/>
    <cellStyle name="Normal 5 2 4 2 6 3" xfId="20981"/>
    <cellStyle name="Normal 5 2 4 2 6 3 2" xfId="46534"/>
    <cellStyle name="Normal 5 2 4 2 6 4" xfId="27464"/>
    <cellStyle name="Normal 5 2 4 2 7" xfId="5784"/>
    <cellStyle name="Normal 5 2 4 2 7 2" xfId="14611"/>
    <cellStyle name="Normal 5 2 4 2 7 2 2" xfId="40166"/>
    <cellStyle name="Normal 5 2 4 2 7 3" xfId="24862"/>
    <cellStyle name="Normal 5 2 4 2 7 3 2" xfId="50415"/>
    <cellStyle name="Normal 5 2 4 2 7 4" xfId="31345"/>
    <cellStyle name="Normal 5 2 4 2 8" xfId="7228"/>
    <cellStyle name="Normal 5 2 4 2 8 2" xfId="19954"/>
    <cellStyle name="Normal 5 2 4 2 8 2 2" xfId="45507"/>
    <cellStyle name="Normal 5 2 4 2 8 3" xfId="32785"/>
    <cellStyle name="Normal 5 2 4 2 9" xfId="15974"/>
    <cellStyle name="Normal 5 2 4 2 9 2" xfId="41527"/>
    <cellStyle name="Normal 5 2 4 2_Degree data" xfId="3834"/>
    <cellStyle name="Normal 5 2 4 3" xfId="408"/>
    <cellStyle name="Normal 5 2 4 3 2" xfId="2894"/>
    <cellStyle name="Normal 5 2 4 3 2 2" xfId="12182"/>
    <cellStyle name="Normal 5 2 4 3 2 2 2" xfId="22255"/>
    <cellStyle name="Normal 5 2 4 3 2 2 2 2" xfId="47808"/>
    <cellStyle name="Normal 5 2 4 3 2 2 3" xfId="37737"/>
    <cellStyle name="Normal 5 2 4 3 2 3" xfId="8516"/>
    <cellStyle name="Normal 5 2 4 3 2 3 2" xfId="34073"/>
    <cellStyle name="Normal 5 2 4 3 2 4" xfId="17248"/>
    <cellStyle name="Normal 5 2 4 3 2 4 2" xfId="42801"/>
    <cellStyle name="Normal 5 2 4 3 2 5" xfId="28738"/>
    <cellStyle name="Normal 5 2 4 3 3" xfId="4606"/>
    <cellStyle name="Normal 5 2 4 3 3 2" xfId="13444"/>
    <cellStyle name="Normal 5 2 4 3 3 2 2" xfId="23695"/>
    <cellStyle name="Normal 5 2 4 3 3 2 2 2" xfId="49248"/>
    <cellStyle name="Normal 5 2 4 3 3 2 3" xfId="38999"/>
    <cellStyle name="Normal 5 2 4 3 3 3" xfId="9865"/>
    <cellStyle name="Normal 5 2 4 3 3 3 2" xfId="35422"/>
    <cellStyle name="Normal 5 2 4 3 3 4" xfId="18688"/>
    <cellStyle name="Normal 5 2 4 3 3 4 2" xfId="44241"/>
    <cellStyle name="Normal 5 2 4 3 3 5" xfId="30178"/>
    <cellStyle name="Normal 5 2 4 3 4" xfId="2003"/>
    <cellStyle name="Normal 5 2 4 3 4 2" xfId="11368"/>
    <cellStyle name="Normal 5 2 4 3 4 2 2" xfId="36923"/>
    <cellStyle name="Normal 5 2 4 3 4 3" xfId="21372"/>
    <cellStyle name="Normal 5 2 4 3 4 3 2" xfId="46925"/>
    <cellStyle name="Normal 5 2 4 3 4 4" xfId="27855"/>
    <cellStyle name="Normal 5 2 4 3 5" xfId="6062"/>
    <cellStyle name="Normal 5 2 4 3 5 2" xfId="14889"/>
    <cellStyle name="Normal 5 2 4 3 5 2 2" xfId="40444"/>
    <cellStyle name="Normal 5 2 4 3 5 3" xfId="25140"/>
    <cellStyle name="Normal 5 2 4 3 5 3 2" xfId="50693"/>
    <cellStyle name="Normal 5 2 4 3 5 4" xfId="31623"/>
    <cellStyle name="Normal 5 2 4 3 6" xfId="7507"/>
    <cellStyle name="Normal 5 2 4 3 6 2" xfId="19854"/>
    <cellStyle name="Normal 5 2 4 3 6 2 2" xfId="45407"/>
    <cellStyle name="Normal 5 2 4 3 6 3" xfId="33064"/>
    <cellStyle name="Normal 5 2 4 3 7" xfId="16365"/>
    <cellStyle name="Normal 5 2 4 3 7 2" xfId="41918"/>
    <cellStyle name="Normal 5 2 4 3 8" xfId="26337"/>
    <cellStyle name="Normal 5 2 4 4" xfId="792"/>
    <cellStyle name="Normal 5 2 4 4 2" xfId="3277"/>
    <cellStyle name="Normal 5 2 4 4 2 2" xfId="12419"/>
    <cellStyle name="Normal 5 2 4 4 2 2 2" xfId="22638"/>
    <cellStyle name="Normal 5 2 4 4 2 2 2 2" xfId="48191"/>
    <cellStyle name="Normal 5 2 4 4 2 2 3" xfId="37974"/>
    <cellStyle name="Normal 5 2 4 4 2 3" xfId="8841"/>
    <cellStyle name="Normal 5 2 4 4 2 3 2" xfId="34398"/>
    <cellStyle name="Normal 5 2 4 4 2 4" xfId="17631"/>
    <cellStyle name="Normal 5 2 4 4 2 4 2" xfId="43184"/>
    <cellStyle name="Normal 5 2 4 4 2 5" xfId="29121"/>
    <cellStyle name="Normal 5 2 4 4 3" xfId="4955"/>
    <cellStyle name="Normal 5 2 4 4 3 2" xfId="13792"/>
    <cellStyle name="Normal 5 2 4 4 3 2 2" xfId="24043"/>
    <cellStyle name="Normal 5 2 4 4 3 2 2 2" xfId="49596"/>
    <cellStyle name="Normal 5 2 4 4 3 2 3" xfId="39347"/>
    <cellStyle name="Normal 5 2 4 4 3 3" xfId="10213"/>
    <cellStyle name="Normal 5 2 4 4 3 3 2" xfId="35770"/>
    <cellStyle name="Normal 5 2 4 4 3 4" xfId="19036"/>
    <cellStyle name="Normal 5 2 4 4 3 4 2" xfId="44589"/>
    <cellStyle name="Normal 5 2 4 4 3 5" xfId="30526"/>
    <cellStyle name="Normal 5 2 4 4 4" xfId="2386"/>
    <cellStyle name="Normal 5 2 4 4 4 2" xfId="11751"/>
    <cellStyle name="Normal 5 2 4 4 4 2 2" xfId="37306"/>
    <cellStyle name="Normal 5 2 4 4 4 3" xfId="21755"/>
    <cellStyle name="Normal 5 2 4 4 4 3 2" xfId="47308"/>
    <cellStyle name="Normal 5 2 4 4 4 4" xfId="28238"/>
    <cellStyle name="Normal 5 2 4 4 5" xfId="6410"/>
    <cellStyle name="Normal 5 2 4 4 5 2" xfId="15237"/>
    <cellStyle name="Normal 5 2 4 4 5 2 2" xfId="40792"/>
    <cellStyle name="Normal 5 2 4 4 5 3" xfId="25488"/>
    <cellStyle name="Normal 5 2 4 4 5 3 2" xfId="51041"/>
    <cellStyle name="Normal 5 2 4 4 5 4" xfId="31971"/>
    <cellStyle name="Normal 5 2 4 4 6" xfId="7856"/>
    <cellStyle name="Normal 5 2 4 4 6 2" xfId="20237"/>
    <cellStyle name="Normal 5 2 4 4 6 2 2" xfId="45790"/>
    <cellStyle name="Normal 5 2 4 4 6 3" xfId="33413"/>
    <cellStyle name="Normal 5 2 4 4 7" xfId="16748"/>
    <cellStyle name="Normal 5 2 4 4 7 2" xfId="42301"/>
    <cellStyle name="Normal 5 2 4 4 8" xfId="26720"/>
    <cellStyle name="Normal 5 2 4 5" xfId="1180"/>
    <cellStyle name="Normal 5 2 4 5 2" xfId="3609"/>
    <cellStyle name="Normal 5 2 4 5 2 2" xfId="12745"/>
    <cellStyle name="Normal 5 2 4 5 2 2 2" xfId="22964"/>
    <cellStyle name="Normal 5 2 4 5 2 2 2 2" xfId="48517"/>
    <cellStyle name="Normal 5 2 4 5 2 2 3" xfId="38300"/>
    <cellStyle name="Normal 5 2 4 5 2 3" xfId="9166"/>
    <cellStyle name="Normal 5 2 4 5 2 3 2" xfId="34723"/>
    <cellStyle name="Normal 5 2 4 5 2 4" xfId="17957"/>
    <cellStyle name="Normal 5 2 4 5 2 4 2" xfId="43510"/>
    <cellStyle name="Normal 5 2 4 5 2 5" xfId="29447"/>
    <cellStyle name="Normal 5 2 4 5 3" xfId="5272"/>
    <cellStyle name="Normal 5 2 4 5 3 2" xfId="14109"/>
    <cellStyle name="Normal 5 2 4 5 3 2 2" xfId="24360"/>
    <cellStyle name="Normal 5 2 4 5 3 2 2 2" xfId="49913"/>
    <cellStyle name="Normal 5 2 4 5 3 2 3" xfId="39664"/>
    <cellStyle name="Normal 5 2 4 5 3 3" xfId="10530"/>
    <cellStyle name="Normal 5 2 4 5 3 3 2" xfId="36087"/>
    <cellStyle name="Normal 5 2 4 5 3 4" xfId="19353"/>
    <cellStyle name="Normal 5 2 4 5 3 4 2" xfId="44906"/>
    <cellStyle name="Normal 5 2 4 5 3 5" xfId="30843"/>
    <cellStyle name="Normal 5 2 4 5 4" xfId="1782"/>
    <cellStyle name="Normal 5 2 4 5 4 2" xfId="11151"/>
    <cellStyle name="Normal 5 2 4 5 4 2 2" xfId="36706"/>
    <cellStyle name="Normal 5 2 4 5 4 3" xfId="21155"/>
    <cellStyle name="Normal 5 2 4 5 4 3 2" xfId="46708"/>
    <cellStyle name="Normal 5 2 4 5 4 4" xfId="27638"/>
    <cellStyle name="Normal 5 2 4 5 5" xfId="6727"/>
    <cellStyle name="Normal 5 2 4 5 5 2" xfId="15554"/>
    <cellStyle name="Normal 5 2 4 5 5 2 2" xfId="41109"/>
    <cellStyle name="Normal 5 2 4 5 5 3" xfId="25805"/>
    <cellStyle name="Normal 5 2 4 5 5 3 2" xfId="51358"/>
    <cellStyle name="Normal 5 2 4 5 5 4" xfId="32288"/>
    <cellStyle name="Normal 5 2 4 5 6" xfId="8173"/>
    <cellStyle name="Normal 5 2 4 5 6 2" xfId="20563"/>
    <cellStyle name="Normal 5 2 4 5 6 2 2" xfId="46116"/>
    <cellStyle name="Normal 5 2 4 5 6 3" xfId="33730"/>
    <cellStyle name="Normal 5 2 4 5 7" xfId="16148"/>
    <cellStyle name="Normal 5 2 4 5 7 2" xfId="41701"/>
    <cellStyle name="Normal 5 2 4 5 8" xfId="27046"/>
    <cellStyle name="Normal 5 2 4 6" xfId="2677"/>
    <cellStyle name="Normal 5 2 4 6 2" xfId="11994"/>
    <cellStyle name="Normal 5 2 4 6 2 2" xfId="22038"/>
    <cellStyle name="Normal 5 2 4 6 2 2 2" xfId="47591"/>
    <cellStyle name="Normal 5 2 4 6 2 3" xfId="37549"/>
    <cellStyle name="Normal 5 2 4 6 3" xfId="8554"/>
    <cellStyle name="Normal 5 2 4 6 3 2" xfId="34111"/>
    <cellStyle name="Normal 5 2 4 6 4" xfId="17031"/>
    <cellStyle name="Normal 5 2 4 6 4 2" xfId="42584"/>
    <cellStyle name="Normal 5 2 4 6 5" xfId="28521"/>
    <cellStyle name="Normal 5 2 4 7" xfId="4228"/>
    <cellStyle name="Normal 5 2 4 7 2" xfId="13066"/>
    <cellStyle name="Normal 5 2 4 7 2 2" xfId="23317"/>
    <cellStyle name="Normal 5 2 4 7 2 2 2" xfId="48870"/>
    <cellStyle name="Normal 5 2 4 7 2 3" xfId="38621"/>
    <cellStyle name="Normal 5 2 4 7 3" xfId="9487"/>
    <cellStyle name="Normal 5 2 4 7 3 2" xfId="35044"/>
    <cellStyle name="Normal 5 2 4 7 4" xfId="18310"/>
    <cellStyle name="Normal 5 2 4 7 4 2" xfId="43863"/>
    <cellStyle name="Normal 5 2 4 7 5" xfId="29800"/>
    <cellStyle name="Normal 5 2 4 8" xfId="1500"/>
    <cellStyle name="Normal 5 2 4 8 2" xfId="10877"/>
    <cellStyle name="Normal 5 2 4 8 2 2" xfId="36432"/>
    <cellStyle name="Normal 5 2 4 8 3" xfId="20881"/>
    <cellStyle name="Normal 5 2 4 8 3 2" xfId="46434"/>
    <cellStyle name="Normal 5 2 4 8 4" xfId="27364"/>
    <cellStyle name="Normal 5 2 4 9" xfId="5684"/>
    <cellStyle name="Normal 5 2 4 9 2" xfId="14511"/>
    <cellStyle name="Normal 5 2 4 9 2 2" xfId="40066"/>
    <cellStyle name="Normal 5 2 4 9 3" xfId="24762"/>
    <cellStyle name="Normal 5 2 4 9 3 2" xfId="50315"/>
    <cellStyle name="Normal 5 2 4 9 4" xfId="31245"/>
    <cellStyle name="Normal 5 2 4_Degree data" xfId="3874"/>
    <cellStyle name="Normal 5 2 5" xfId="235"/>
    <cellStyle name="Normal 5 2 5 10" xfId="7073"/>
    <cellStyle name="Normal 5 2 5 10 2" xfId="19687"/>
    <cellStyle name="Normal 5 2 5 10 2 2" xfId="45240"/>
    <cellStyle name="Normal 5 2 5 10 3" xfId="32630"/>
    <cellStyle name="Normal 5 2 5 11" xfId="15819"/>
    <cellStyle name="Normal 5 2 5 11 2" xfId="41372"/>
    <cellStyle name="Normal 5 2 5 12" xfId="26170"/>
    <cellStyle name="Normal 5 2 5 2" xfId="558"/>
    <cellStyle name="Normal 5 2 5 2 10" xfId="26487"/>
    <cellStyle name="Normal 5 2 5 2 2" xfId="795"/>
    <cellStyle name="Normal 5 2 5 2 2 2" xfId="3280"/>
    <cellStyle name="Normal 5 2 5 2 2 2 2" xfId="12422"/>
    <cellStyle name="Normal 5 2 5 2 2 2 2 2" xfId="22641"/>
    <cellStyle name="Normal 5 2 5 2 2 2 2 2 2" xfId="48194"/>
    <cellStyle name="Normal 5 2 5 2 2 2 2 3" xfId="37977"/>
    <cellStyle name="Normal 5 2 5 2 2 2 3" xfId="8844"/>
    <cellStyle name="Normal 5 2 5 2 2 2 3 2" xfId="34401"/>
    <cellStyle name="Normal 5 2 5 2 2 2 4" xfId="17634"/>
    <cellStyle name="Normal 5 2 5 2 2 2 4 2" xfId="43187"/>
    <cellStyle name="Normal 5 2 5 2 2 2 5" xfId="29124"/>
    <cellStyle name="Normal 5 2 5 2 2 3" xfId="4609"/>
    <cellStyle name="Normal 5 2 5 2 2 3 2" xfId="13447"/>
    <cellStyle name="Normal 5 2 5 2 2 3 2 2" xfId="23698"/>
    <cellStyle name="Normal 5 2 5 2 2 3 2 2 2" xfId="49251"/>
    <cellStyle name="Normal 5 2 5 2 2 3 2 3" xfId="39002"/>
    <cellStyle name="Normal 5 2 5 2 2 3 3" xfId="9868"/>
    <cellStyle name="Normal 5 2 5 2 2 3 3 2" xfId="35425"/>
    <cellStyle name="Normal 5 2 5 2 2 3 4" xfId="18691"/>
    <cellStyle name="Normal 5 2 5 2 2 3 4 2" xfId="44244"/>
    <cellStyle name="Normal 5 2 5 2 2 3 5" xfId="30181"/>
    <cellStyle name="Normal 5 2 5 2 2 4" xfId="2389"/>
    <cellStyle name="Normal 5 2 5 2 2 4 2" xfId="11754"/>
    <cellStyle name="Normal 5 2 5 2 2 4 2 2" xfId="37309"/>
    <cellStyle name="Normal 5 2 5 2 2 4 3" xfId="21758"/>
    <cellStyle name="Normal 5 2 5 2 2 4 3 2" xfId="47311"/>
    <cellStyle name="Normal 5 2 5 2 2 4 4" xfId="28241"/>
    <cellStyle name="Normal 5 2 5 2 2 5" xfId="6065"/>
    <cellStyle name="Normal 5 2 5 2 2 5 2" xfId="14892"/>
    <cellStyle name="Normal 5 2 5 2 2 5 2 2" xfId="40447"/>
    <cellStyle name="Normal 5 2 5 2 2 5 3" xfId="25143"/>
    <cellStyle name="Normal 5 2 5 2 2 5 3 2" xfId="50696"/>
    <cellStyle name="Normal 5 2 5 2 2 5 4" xfId="31626"/>
    <cellStyle name="Normal 5 2 5 2 2 6" xfId="7510"/>
    <cellStyle name="Normal 5 2 5 2 2 6 2" xfId="20240"/>
    <cellStyle name="Normal 5 2 5 2 2 6 2 2" xfId="45793"/>
    <cellStyle name="Normal 5 2 5 2 2 6 3" xfId="33067"/>
    <cellStyle name="Normal 5 2 5 2 2 7" xfId="16751"/>
    <cellStyle name="Normal 5 2 5 2 2 7 2" xfId="42304"/>
    <cellStyle name="Normal 5 2 5 2 2 8" xfId="26723"/>
    <cellStyle name="Normal 5 2 5 2 3" xfId="1330"/>
    <cellStyle name="Normal 5 2 5 2 3 2" xfId="3759"/>
    <cellStyle name="Normal 5 2 5 2 3 2 2" xfId="12895"/>
    <cellStyle name="Normal 5 2 5 2 3 2 2 2" xfId="23114"/>
    <cellStyle name="Normal 5 2 5 2 3 2 2 2 2" xfId="48667"/>
    <cellStyle name="Normal 5 2 5 2 3 2 2 3" xfId="38450"/>
    <cellStyle name="Normal 5 2 5 2 3 2 3" xfId="9316"/>
    <cellStyle name="Normal 5 2 5 2 3 2 3 2" xfId="34873"/>
    <cellStyle name="Normal 5 2 5 2 3 2 4" xfId="18107"/>
    <cellStyle name="Normal 5 2 5 2 3 2 4 2" xfId="43660"/>
    <cellStyle name="Normal 5 2 5 2 3 2 5" xfId="29597"/>
    <cellStyle name="Normal 5 2 5 2 3 3" xfId="4958"/>
    <cellStyle name="Normal 5 2 5 2 3 3 2" xfId="13795"/>
    <cellStyle name="Normal 5 2 5 2 3 3 2 2" xfId="24046"/>
    <cellStyle name="Normal 5 2 5 2 3 3 2 2 2" xfId="49599"/>
    <cellStyle name="Normal 5 2 5 2 3 3 2 3" xfId="39350"/>
    <cellStyle name="Normal 5 2 5 2 3 3 3" xfId="10216"/>
    <cellStyle name="Normal 5 2 5 2 3 3 3 2" xfId="35773"/>
    <cellStyle name="Normal 5 2 5 2 3 3 4" xfId="19039"/>
    <cellStyle name="Normal 5 2 5 2 3 3 4 2" xfId="44592"/>
    <cellStyle name="Normal 5 2 5 2 3 3 5" xfId="30529"/>
    <cellStyle name="Normal 5 2 5 2 3 4" xfId="2153"/>
    <cellStyle name="Normal 5 2 5 2 3 4 2" xfId="11518"/>
    <cellStyle name="Normal 5 2 5 2 3 4 2 2" xfId="37073"/>
    <cellStyle name="Normal 5 2 5 2 3 4 3" xfId="21522"/>
    <cellStyle name="Normal 5 2 5 2 3 4 3 2" xfId="47075"/>
    <cellStyle name="Normal 5 2 5 2 3 4 4" xfId="28005"/>
    <cellStyle name="Normal 5 2 5 2 3 5" xfId="6413"/>
    <cellStyle name="Normal 5 2 5 2 3 5 2" xfId="15240"/>
    <cellStyle name="Normal 5 2 5 2 3 5 2 2" xfId="40795"/>
    <cellStyle name="Normal 5 2 5 2 3 5 3" xfId="25491"/>
    <cellStyle name="Normal 5 2 5 2 3 5 3 2" xfId="51044"/>
    <cellStyle name="Normal 5 2 5 2 3 5 4" xfId="31974"/>
    <cellStyle name="Normal 5 2 5 2 3 6" xfId="7859"/>
    <cellStyle name="Normal 5 2 5 2 3 6 2" xfId="20713"/>
    <cellStyle name="Normal 5 2 5 2 3 6 2 2" xfId="46266"/>
    <cellStyle name="Normal 5 2 5 2 3 6 3" xfId="33416"/>
    <cellStyle name="Normal 5 2 5 2 3 7" xfId="16515"/>
    <cellStyle name="Normal 5 2 5 2 3 7 2" xfId="42068"/>
    <cellStyle name="Normal 5 2 5 2 3 8" xfId="27196"/>
    <cellStyle name="Normal 5 2 5 2 4" xfId="3044"/>
    <cellStyle name="Normal 5 2 5 2 4 2" xfId="5422"/>
    <cellStyle name="Normal 5 2 5 2 4 2 2" xfId="14259"/>
    <cellStyle name="Normal 5 2 5 2 4 2 2 2" xfId="24510"/>
    <cellStyle name="Normal 5 2 5 2 4 2 2 2 2" xfId="50063"/>
    <cellStyle name="Normal 5 2 5 2 4 2 2 3" xfId="39814"/>
    <cellStyle name="Normal 5 2 5 2 4 2 3" xfId="10680"/>
    <cellStyle name="Normal 5 2 5 2 4 2 3 2" xfId="36237"/>
    <cellStyle name="Normal 5 2 5 2 4 2 4" xfId="19503"/>
    <cellStyle name="Normal 5 2 5 2 4 2 4 2" xfId="45056"/>
    <cellStyle name="Normal 5 2 5 2 4 2 5" xfId="30993"/>
    <cellStyle name="Normal 5 2 5 2 4 3" xfId="6877"/>
    <cellStyle name="Normal 5 2 5 2 4 3 2" xfId="15704"/>
    <cellStyle name="Normal 5 2 5 2 4 3 2 2" xfId="41259"/>
    <cellStyle name="Normal 5 2 5 2 4 3 3" xfId="25955"/>
    <cellStyle name="Normal 5 2 5 2 4 3 3 2" xfId="51508"/>
    <cellStyle name="Normal 5 2 5 2 4 3 4" xfId="32438"/>
    <cellStyle name="Normal 5 2 5 2 4 4" xfId="8323"/>
    <cellStyle name="Normal 5 2 5 2 4 4 2" xfId="22405"/>
    <cellStyle name="Normal 5 2 5 2 4 4 2 2" xfId="47958"/>
    <cellStyle name="Normal 5 2 5 2 4 4 3" xfId="33880"/>
    <cellStyle name="Normal 5 2 5 2 4 5" xfId="17398"/>
    <cellStyle name="Normal 5 2 5 2 4 5 2" xfId="42951"/>
    <cellStyle name="Normal 5 2 5 2 4 6" xfId="28888"/>
    <cellStyle name="Normal 5 2 5 2 5" xfId="4378"/>
    <cellStyle name="Normal 5 2 5 2 5 2" xfId="13216"/>
    <cellStyle name="Normal 5 2 5 2 5 2 2" xfId="23467"/>
    <cellStyle name="Normal 5 2 5 2 5 2 2 2" xfId="49020"/>
    <cellStyle name="Normal 5 2 5 2 5 2 3" xfId="38771"/>
    <cellStyle name="Normal 5 2 5 2 5 3" xfId="9637"/>
    <cellStyle name="Normal 5 2 5 2 5 3 2" xfId="35194"/>
    <cellStyle name="Normal 5 2 5 2 5 4" xfId="18460"/>
    <cellStyle name="Normal 5 2 5 2 5 4 2" xfId="44013"/>
    <cellStyle name="Normal 5 2 5 2 5 5" xfId="29950"/>
    <cellStyle name="Normal 5 2 5 2 6" xfId="1650"/>
    <cellStyle name="Normal 5 2 5 2 6 2" xfId="11027"/>
    <cellStyle name="Normal 5 2 5 2 6 2 2" xfId="36582"/>
    <cellStyle name="Normal 5 2 5 2 6 3" xfId="21031"/>
    <cellStyle name="Normal 5 2 5 2 6 3 2" xfId="46584"/>
    <cellStyle name="Normal 5 2 5 2 6 4" xfId="27514"/>
    <cellStyle name="Normal 5 2 5 2 7" xfId="5834"/>
    <cellStyle name="Normal 5 2 5 2 7 2" xfId="14661"/>
    <cellStyle name="Normal 5 2 5 2 7 2 2" xfId="40216"/>
    <cellStyle name="Normal 5 2 5 2 7 3" xfId="24912"/>
    <cellStyle name="Normal 5 2 5 2 7 3 2" xfId="50465"/>
    <cellStyle name="Normal 5 2 5 2 7 4" xfId="31395"/>
    <cellStyle name="Normal 5 2 5 2 8" xfId="7278"/>
    <cellStyle name="Normal 5 2 5 2 8 2" xfId="20004"/>
    <cellStyle name="Normal 5 2 5 2 8 2 2" xfId="45557"/>
    <cellStyle name="Normal 5 2 5 2 8 3" xfId="32835"/>
    <cellStyle name="Normal 5 2 5 2 9" xfId="16024"/>
    <cellStyle name="Normal 5 2 5 2 9 2" xfId="41577"/>
    <cellStyle name="Normal 5 2 5 2_Degree data" xfId="3846"/>
    <cellStyle name="Normal 5 2 5 3" xfId="353"/>
    <cellStyle name="Normal 5 2 5 3 2" xfId="2839"/>
    <cellStyle name="Normal 5 2 5 3 2 2" xfId="12127"/>
    <cellStyle name="Normal 5 2 5 3 2 2 2" xfId="22200"/>
    <cellStyle name="Normal 5 2 5 3 2 2 2 2" xfId="47753"/>
    <cellStyle name="Normal 5 2 5 3 2 2 3" xfId="37682"/>
    <cellStyle name="Normal 5 2 5 3 2 3" xfId="8468"/>
    <cellStyle name="Normal 5 2 5 3 2 3 2" xfId="34025"/>
    <cellStyle name="Normal 5 2 5 3 2 4" xfId="17193"/>
    <cellStyle name="Normal 5 2 5 3 2 4 2" xfId="42746"/>
    <cellStyle name="Normal 5 2 5 3 2 5" xfId="28683"/>
    <cellStyle name="Normal 5 2 5 3 3" xfId="4608"/>
    <cellStyle name="Normal 5 2 5 3 3 2" xfId="13446"/>
    <cellStyle name="Normal 5 2 5 3 3 2 2" xfId="23697"/>
    <cellStyle name="Normal 5 2 5 3 3 2 2 2" xfId="49250"/>
    <cellStyle name="Normal 5 2 5 3 3 2 3" xfId="39001"/>
    <cellStyle name="Normal 5 2 5 3 3 3" xfId="9867"/>
    <cellStyle name="Normal 5 2 5 3 3 3 2" xfId="35424"/>
    <cellStyle name="Normal 5 2 5 3 3 4" xfId="18690"/>
    <cellStyle name="Normal 5 2 5 3 3 4 2" xfId="44243"/>
    <cellStyle name="Normal 5 2 5 3 3 5" xfId="30180"/>
    <cellStyle name="Normal 5 2 5 3 4" xfId="1948"/>
    <cellStyle name="Normal 5 2 5 3 4 2" xfId="11313"/>
    <cellStyle name="Normal 5 2 5 3 4 2 2" xfId="36868"/>
    <cellStyle name="Normal 5 2 5 3 4 3" xfId="21317"/>
    <cellStyle name="Normal 5 2 5 3 4 3 2" xfId="46870"/>
    <cellStyle name="Normal 5 2 5 3 4 4" xfId="27800"/>
    <cellStyle name="Normal 5 2 5 3 5" xfId="6064"/>
    <cellStyle name="Normal 5 2 5 3 5 2" xfId="14891"/>
    <cellStyle name="Normal 5 2 5 3 5 2 2" xfId="40446"/>
    <cellStyle name="Normal 5 2 5 3 5 3" xfId="25142"/>
    <cellStyle name="Normal 5 2 5 3 5 3 2" xfId="50695"/>
    <cellStyle name="Normal 5 2 5 3 5 4" xfId="31625"/>
    <cellStyle name="Normal 5 2 5 3 6" xfId="7509"/>
    <cellStyle name="Normal 5 2 5 3 6 2" xfId="19799"/>
    <cellStyle name="Normal 5 2 5 3 6 2 2" xfId="45352"/>
    <cellStyle name="Normal 5 2 5 3 6 3" xfId="33066"/>
    <cellStyle name="Normal 5 2 5 3 7" xfId="16310"/>
    <cellStyle name="Normal 5 2 5 3 7 2" xfId="41863"/>
    <cellStyle name="Normal 5 2 5 3 8" xfId="26282"/>
    <cellStyle name="Normal 5 2 5 4" xfId="794"/>
    <cellStyle name="Normal 5 2 5 4 2" xfId="3279"/>
    <cellStyle name="Normal 5 2 5 4 2 2" xfId="12421"/>
    <cellStyle name="Normal 5 2 5 4 2 2 2" xfId="22640"/>
    <cellStyle name="Normal 5 2 5 4 2 2 2 2" xfId="48193"/>
    <cellStyle name="Normal 5 2 5 4 2 2 3" xfId="37976"/>
    <cellStyle name="Normal 5 2 5 4 2 3" xfId="8843"/>
    <cellStyle name="Normal 5 2 5 4 2 3 2" xfId="34400"/>
    <cellStyle name="Normal 5 2 5 4 2 4" xfId="17633"/>
    <cellStyle name="Normal 5 2 5 4 2 4 2" xfId="43186"/>
    <cellStyle name="Normal 5 2 5 4 2 5" xfId="29123"/>
    <cellStyle name="Normal 5 2 5 4 3" xfId="4957"/>
    <cellStyle name="Normal 5 2 5 4 3 2" xfId="13794"/>
    <cellStyle name="Normal 5 2 5 4 3 2 2" xfId="24045"/>
    <cellStyle name="Normal 5 2 5 4 3 2 2 2" xfId="49598"/>
    <cellStyle name="Normal 5 2 5 4 3 2 3" xfId="39349"/>
    <cellStyle name="Normal 5 2 5 4 3 3" xfId="10215"/>
    <cellStyle name="Normal 5 2 5 4 3 3 2" xfId="35772"/>
    <cellStyle name="Normal 5 2 5 4 3 4" xfId="19038"/>
    <cellStyle name="Normal 5 2 5 4 3 4 2" xfId="44591"/>
    <cellStyle name="Normal 5 2 5 4 3 5" xfId="30528"/>
    <cellStyle name="Normal 5 2 5 4 4" xfId="2388"/>
    <cellStyle name="Normal 5 2 5 4 4 2" xfId="11753"/>
    <cellStyle name="Normal 5 2 5 4 4 2 2" xfId="37308"/>
    <cellStyle name="Normal 5 2 5 4 4 3" xfId="21757"/>
    <cellStyle name="Normal 5 2 5 4 4 3 2" xfId="47310"/>
    <cellStyle name="Normal 5 2 5 4 4 4" xfId="28240"/>
    <cellStyle name="Normal 5 2 5 4 5" xfId="6412"/>
    <cellStyle name="Normal 5 2 5 4 5 2" xfId="15239"/>
    <cellStyle name="Normal 5 2 5 4 5 2 2" xfId="40794"/>
    <cellStyle name="Normal 5 2 5 4 5 3" xfId="25490"/>
    <cellStyle name="Normal 5 2 5 4 5 3 2" xfId="51043"/>
    <cellStyle name="Normal 5 2 5 4 5 4" xfId="31973"/>
    <cellStyle name="Normal 5 2 5 4 6" xfId="7858"/>
    <cellStyle name="Normal 5 2 5 4 6 2" xfId="20239"/>
    <cellStyle name="Normal 5 2 5 4 6 2 2" xfId="45792"/>
    <cellStyle name="Normal 5 2 5 4 6 3" xfId="33415"/>
    <cellStyle name="Normal 5 2 5 4 7" xfId="16750"/>
    <cellStyle name="Normal 5 2 5 4 7 2" xfId="42303"/>
    <cellStyle name="Normal 5 2 5 4 8" xfId="26722"/>
    <cellStyle name="Normal 5 2 5 5" xfId="1125"/>
    <cellStyle name="Normal 5 2 5 5 2" xfId="3554"/>
    <cellStyle name="Normal 5 2 5 5 2 2" xfId="12690"/>
    <cellStyle name="Normal 5 2 5 5 2 2 2" xfId="22909"/>
    <cellStyle name="Normal 5 2 5 5 2 2 2 2" xfId="48462"/>
    <cellStyle name="Normal 5 2 5 5 2 2 3" xfId="38245"/>
    <cellStyle name="Normal 5 2 5 5 2 3" xfId="9111"/>
    <cellStyle name="Normal 5 2 5 5 2 3 2" xfId="34668"/>
    <cellStyle name="Normal 5 2 5 5 2 4" xfId="17902"/>
    <cellStyle name="Normal 5 2 5 5 2 4 2" xfId="43455"/>
    <cellStyle name="Normal 5 2 5 5 2 5" xfId="29392"/>
    <cellStyle name="Normal 5 2 5 5 3" xfId="5217"/>
    <cellStyle name="Normal 5 2 5 5 3 2" xfId="14054"/>
    <cellStyle name="Normal 5 2 5 5 3 2 2" xfId="24305"/>
    <cellStyle name="Normal 5 2 5 5 3 2 2 2" xfId="49858"/>
    <cellStyle name="Normal 5 2 5 5 3 2 3" xfId="39609"/>
    <cellStyle name="Normal 5 2 5 5 3 3" xfId="10475"/>
    <cellStyle name="Normal 5 2 5 5 3 3 2" xfId="36032"/>
    <cellStyle name="Normal 5 2 5 5 3 4" xfId="19298"/>
    <cellStyle name="Normal 5 2 5 5 3 4 2" xfId="44851"/>
    <cellStyle name="Normal 5 2 5 5 3 5" xfId="30788"/>
    <cellStyle name="Normal 5 2 5 5 4" xfId="1833"/>
    <cellStyle name="Normal 5 2 5 5 4 2" xfId="11201"/>
    <cellStyle name="Normal 5 2 5 5 4 2 2" xfId="36756"/>
    <cellStyle name="Normal 5 2 5 5 4 3" xfId="21205"/>
    <cellStyle name="Normal 5 2 5 5 4 3 2" xfId="46758"/>
    <cellStyle name="Normal 5 2 5 5 4 4" xfId="27688"/>
    <cellStyle name="Normal 5 2 5 5 5" xfId="6672"/>
    <cellStyle name="Normal 5 2 5 5 5 2" xfId="15499"/>
    <cellStyle name="Normal 5 2 5 5 5 2 2" xfId="41054"/>
    <cellStyle name="Normal 5 2 5 5 5 3" xfId="25750"/>
    <cellStyle name="Normal 5 2 5 5 5 3 2" xfId="51303"/>
    <cellStyle name="Normal 5 2 5 5 5 4" xfId="32233"/>
    <cellStyle name="Normal 5 2 5 5 6" xfId="8118"/>
    <cellStyle name="Normal 5 2 5 5 6 2" xfId="20508"/>
    <cellStyle name="Normal 5 2 5 5 6 2 2" xfId="46061"/>
    <cellStyle name="Normal 5 2 5 5 6 3" xfId="33675"/>
    <cellStyle name="Normal 5 2 5 5 7" xfId="16198"/>
    <cellStyle name="Normal 5 2 5 5 7 2" xfId="41751"/>
    <cellStyle name="Normal 5 2 5 5 8" xfId="26991"/>
    <cellStyle name="Normal 5 2 5 6" xfId="2727"/>
    <cellStyle name="Normal 5 2 5 6 2" xfId="12044"/>
    <cellStyle name="Normal 5 2 5 6 2 2" xfId="22088"/>
    <cellStyle name="Normal 5 2 5 6 2 2 2" xfId="47641"/>
    <cellStyle name="Normal 5 2 5 6 2 3" xfId="37599"/>
    <cellStyle name="Normal 5 2 5 6 3" xfId="8397"/>
    <cellStyle name="Normal 5 2 5 6 3 2" xfId="33954"/>
    <cellStyle name="Normal 5 2 5 6 4" xfId="17081"/>
    <cellStyle name="Normal 5 2 5 6 4 2" xfId="42634"/>
    <cellStyle name="Normal 5 2 5 6 5" xfId="28571"/>
    <cellStyle name="Normal 5 2 5 7" xfId="4173"/>
    <cellStyle name="Normal 5 2 5 7 2" xfId="13011"/>
    <cellStyle name="Normal 5 2 5 7 2 2" xfId="23262"/>
    <cellStyle name="Normal 5 2 5 7 2 2 2" xfId="48815"/>
    <cellStyle name="Normal 5 2 5 7 2 3" xfId="38566"/>
    <cellStyle name="Normal 5 2 5 7 3" xfId="9432"/>
    <cellStyle name="Normal 5 2 5 7 3 2" xfId="34989"/>
    <cellStyle name="Normal 5 2 5 7 4" xfId="18255"/>
    <cellStyle name="Normal 5 2 5 7 4 2" xfId="43808"/>
    <cellStyle name="Normal 5 2 5 7 5" xfId="29745"/>
    <cellStyle name="Normal 5 2 5 8" xfId="1445"/>
    <cellStyle name="Normal 5 2 5 8 2" xfId="10822"/>
    <cellStyle name="Normal 5 2 5 8 2 2" xfId="36377"/>
    <cellStyle name="Normal 5 2 5 8 3" xfId="20826"/>
    <cellStyle name="Normal 5 2 5 8 3 2" xfId="46379"/>
    <cellStyle name="Normal 5 2 5 8 4" xfId="27309"/>
    <cellStyle name="Normal 5 2 5 9" xfId="5629"/>
    <cellStyle name="Normal 5 2 5 9 2" xfId="14456"/>
    <cellStyle name="Normal 5 2 5 9 2 2" xfId="40011"/>
    <cellStyle name="Normal 5 2 5 9 3" xfId="24707"/>
    <cellStyle name="Normal 5 2 5 9 3 2" xfId="50260"/>
    <cellStyle name="Normal 5 2 5 9 4" xfId="31190"/>
    <cellStyle name="Normal 5 2 5_Degree data" xfId="3871"/>
    <cellStyle name="Normal 5 2 6" xfId="294"/>
    <cellStyle name="Normal 5 2 6 10" xfId="16079"/>
    <cellStyle name="Normal 5 2 6 10 2" xfId="41632"/>
    <cellStyle name="Normal 5 2 6 11" xfId="26225"/>
    <cellStyle name="Normal 5 2 6 2" xfId="613"/>
    <cellStyle name="Normal 5 2 6 2 2" xfId="3099"/>
    <cellStyle name="Normal 5 2 6 2 2 2" xfId="12242"/>
    <cellStyle name="Normal 5 2 6 2 2 2 2" xfId="22460"/>
    <cellStyle name="Normal 5 2 6 2 2 2 2 2" xfId="48013"/>
    <cellStyle name="Normal 5 2 6 2 2 2 3" xfId="37797"/>
    <cellStyle name="Normal 5 2 6 2 2 3" xfId="8664"/>
    <cellStyle name="Normal 5 2 6 2 2 3 2" xfId="34221"/>
    <cellStyle name="Normal 5 2 6 2 2 4" xfId="17453"/>
    <cellStyle name="Normal 5 2 6 2 2 4 2" xfId="43006"/>
    <cellStyle name="Normal 5 2 6 2 2 5" xfId="28943"/>
    <cellStyle name="Normal 5 2 6 2 3" xfId="4610"/>
    <cellStyle name="Normal 5 2 6 2 3 2" xfId="13448"/>
    <cellStyle name="Normal 5 2 6 2 3 2 2" xfId="23699"/>
    <cellStyle name="Normal 5 2 6 2 3 2 2 2" xfId="49252"/>
    <cellStyle name="Normal 5 2 6 2 3 2 3" xfId="39003"/>
    <cellStyle name="Normal 5 2 6 2 3 3" xfId="9869"/>
    <cellStyle name="Normal 5 2 6 2 3 3 2" xfId="35426"/>
    <cellStyle name="Normal 5 2 6 2 3 4" xfId="18692"/>
    <cellStyle name="Normal 5 2 6 2 3 4 2" xfId="44245"/>
    <cellStyle name="Normal 5 2 6 2 3 5" xfId="30182"/>
    <cellStyle name="Normal 5 2 6 2 4" xfId="2208"/>
    <cellStyle name="Normal 5 2 6 2 4 2" xfId="11573"/>
    <cellStyle name="Normal 5 2 6 2 4 2 2" xfId="37128"/>
    <cellStyle name="Normal 5 2 6 2 4 3" xfId="21577"/>
    <cellStyle name="Normal 5 2 6 2 4 3 2" xfId="47130"/>
    <cellStyle name="Normal 5 2 6 2 4 4" xfId="28060"/>
    <cellStyle name="Normal 5 2 6 2 5" xfId="6066"/>
    <cellStyle name="Normal 5 2 6 2 5 2" xfId="14893"/>
    <cellStyle name="Normal 5 2 6 2 5 2 2" xfId="40448"/>
    <cellStyle name="Normal 5 2 6 2 5 3" xfId="25144"/>
    <cellStyle name="Normal 5 2 6 2 5 3 2" xfId="50697"/>
    <cellStyle name="Normal 5 2 6 2 5 4" xfId="31627"/>
    <cellStyle name="Normal 5 2 6 2 6" xfId="7511"/>
    <cellStyle name="Normal 5 2 6 2 6 2" xfId="20059"/>
    <cellStyle name="Normal 5 2 6 2 6 2 2" xfId="45612"/>
    <cellStyle name="Normal 5 2 6 2 6 3" xfId="33068"/>
    <cellStyle name="Normal 5 2 6 2 7" xfId="16570"/>
    <cellStyle name="Normal 5 2 6 2 7 2" xfId="42123"/>
    <cellStyle name="Normal 5 2 6 2 8" xfId="26542"/>
    <cellStyle name="Normal 5 2 6 3" xfId="796"/>
    <cellStyle name="Normal 5 2 6 3 2" xfId="3281"/>
    <cellStyle name="Normal 5 2 6 3 2 2" xfId="12423"/>
    <cellStyle name="Normal 5 2 6 3 2 2 2" xfId="22642"/>
    <cellStyle name="Normal 5 2 6 3 2 2 2 2" xfId="48195"/>
    <cellStyle name="Normal 5 2 6 3 2 2 3" xfId="37978"/>
    <cellStyle name="Normal 5 2 6 3 2 3" xfId="8845"/>
    <cellStyle name="Normal 5 2 6 3 2 3 2" xfId="34402"/>
    <cellStyle name="Normal 5 2 6 3 2 4" xfId="17635"/>
    <cellStyle name="Normal 5 2 6 3 2 4 2" xfId="43188"/>
    <cellStyle name="Normal 5 2 6 3 2 5" xfId="29125"/>
    <cellStyle name="Normal 5 2 6 3 3" xfId="4959"/>
    <cellStyle name="Normal 5 2 6 3 3 2" xfId="13796"/>
    <cellStyle name="Normal 5 2 6 3 3 2 2" xfId="24047"/>
    <cellStyle name="Normal 5 2 6 3 3 2 2 2" xfId="49600"/>
    <cellStyle name="Normal 5 2 6 3 3 2 3" xfId="39351"/>
    <cellStyle name="Normal 5 2 6 3 3 3" xfId="10217"/>
    <cellStyle name="Normal 5 2 6 3 3 3 2" xfId="35774"/>
    <cellStyle name="Normal 5 2 6 3 3 4" xfId="19040"/>
    <cellStyle name="Normal 5 2 6 3 3 4 2" xfId="44593"/>
    <cellStyle name="Normal 5 2 6 3 3 5" xfId="30530"/>
    <cellStyle name="Normal 5 2 6 3 4" xfId="2390"/>
    <cellStyle name="Normal 5 2 6 3 4 2" xfId="11755"/>
    <cellStyle name="Normal 5 2 6 3 4 2 2" xfId="37310"/>
    <cellStyle name="Normal 5 2 6 3 4 3" xfId="21759"/>
    <cellStyle name="Normal 5 2 6 3 4 3 2" xfId="47312"/>
    <cellStyle name="Normal 5 2 6 3 4 4" xfId="28242"/>
    <cellStyle name="Normal 5 2 6 3 5" xfId="6414"/>
    <cellStyle name="Normal 5 2 6 3 5 2" xfId="15241"/>
    <cellStyle name="Normal 5 2 6 3 5 2 2" xfId="40796"/>
    <cellStyle name="Normal 5 2 6 3 5 3" xfId="25492"/>
    <cellStyle name="Normal 5 2 6 3 5 3 2" xfId="51045"/>
    <cellStyle name="Normal 5 2 6 3 5 4" xfId="31975"/>
    <cellStyle name="Normal 5 2 6 3 6" xfId="7860"/>
    <cellStyle name="Normal 5 2 6 3 6 2" xfId="20241"/>
    <cellStyle name="Normal 5 2 6 3 6 2 2" xfId="45794"/>
    <cellStyle name="Normal 5 2 6 3 6 3" xfId="33417"/>
    <cellStyle name="Normal 5 2 6 3 7" xfId="16752"/>
    <cellStyle name="Normal 5 2 6 3 7 2" xfId="42305"/>
    <cellStyle name="Normal 5 2 6 3 8" xfId="26724"/>
    <cellStyle name="Normal 5 2 6 4" xfId="1385"/>
    <cellStyle name="Normal 5 2 6 4 2" xfId="3814"/>
    <cellStyle name="Normal 5 2 6 4 2 2" xfId="12950"/>
    <cellStyle name="Normal 5 2 6 4 2 2 2" xfId="23169"/>
    <cellStyle name="Normal 5 2 6 4 2 2 2 2" xfId="48722"/>
    <cellStyle name="Normal 5 2 6 4 2 2 3" xfId="38505"/>
    <cellStyle name="Normal 5 2 6 4 2 3" xfId="9371"/>
    <cellStyle name="Normal 5 2 6 4 2 3 2" xfId="34928"/>
    <cellStyle name="Normal 5 2 6 4 2 4" xfId="18162"/>
    <cellStyle name="Normal 5 2 6 4 2 4 2" xfId="43715"/>
    <cellStyle name="Normal 5 2 6 4 2 5" xfId="29652"/>
    <cellStyle name="Normal 5 2 6 4 3" xfId="5477"/>
    <cellStyle name="Normal 5 2 6 4 3 2" xfId="14314"/>
    <cellStyle name="Normal 5 2 6 4 3 2 2" xfId="24565"/>
    <cellStyle name="Normal 5 2 6 4 3 2 2 2" xfId="50118"/>
    <cellStyle name="Normal 5 2 6 4 3 2 3" xfId="39869"/>
    <cellStyle name="Normal 5 2 6 4 3 3" xfId="10735"/>
    <cellStyle name="Normal 5 2 6 4 3 3 2" xfId="36292"/>
    <cellStyle name="Normal 5 2 6 4 3 4" xfId="19558"/>
    <cellStyle name="Normal 5 2 6 4 3 4 2" xfId="45111"/>
    <cellStyle name="Normal 5 2 6 4 3 5" xfId="31048"/>
    <cellStyle name="Normal 5 2 6 4 4" xfId="1889"/>
    <cellStyle name="Normal 5 2 6 4 4 2" xfId="11256"/>
    <cellStyle name="Normal 5 2 6 4 4 2 2" xfId="36811"/>
    <cellStyle name="Normal 5 2 6 4 4 3" xfId="21260"/>
    <cellStyle name="Normal 5 2 6 4 4 3 2" xfId="46813"/>
    <cellStyle name="Normal 5 2 6 4 4 4" xfId="27743"/>
    <cellStyle name="Normal 5 2 6 4 5" xfId="6932"/>
    <cellStyle name="Normal 5 2 6 4 5 2" xfId="15759"/>
    <cellStyle name="Normal 5 2 6 4 5 2 2" xfId="41314"/>
    <cellStyle name="Normal 5 2 6 4 5 3" xfId="26010"/>
    <cellStyle name="Normal 5 2 6 4 5 3 2" xfId="51563"/>
    <cellStyle name="Normal 5 2 6 4 5 4" xfId="32493"/>
    <cellStyle name="Normal 5 2 6 4 6" xfId="8378"/>
    <cellStyle name="Normal 5 2 6 4 6 2" xfId="20768"/>
    <cellStyle name="Normal 5 2 6 4 6 2 2" xfId="46321"/>
    <cellStyle name="Normal 5 2 6 4 6 3" xfId="33935"/>
    <cellStyle name="Normal 5 2 6 4 7" xfId="16253"/>
    <cellStyle name="Normal 5 2 6 4 7 2" xfId="41806"/>
    <cellStyle name="Normal 5 2 6 4 8" xfId="27251"/>
    <cellStyle name="Normal 5 2 6 5" xfId="2782"/>
    <cellStyle name="Normal 5 2 6 5 2" xfId="12099"/>
    <cellStyle name="Normal 5 2 6 5 2 2" xfId="22143"/>
    <cellStyle name="Normal 5 2 6 5 2 2 2" xfId="47696"/>
    <cellStyle name="Normal 5 2 6 5 2 3" xfId="37654"/>
    <cellStyle name="Normal 5 2 6 5 3" xfId="8387"/>
    <cellStyle name="Normal 5 2 6 5 3 2" xfId="33944"/>
    <cellStyle name="Normal 5 2 6 5 4" xfId="17136"/>
    <cellStyle name="Normal 5 2 6 5 4 2" xfId="42689"/>
    <cellStyle name="Normal 5 2 6 5 5" xfId="28626"/>
    <cellStyle name="Normal 5 2 6 6" xfId="4433"/>
    <cellStyle name="Normal 5 2 6 6 2" xfId="13271"/>
    <cellStyle name="Normal 5 2 6 6 2 2" xfId="23522"/>
    <cellStyle name="Normal 5 2 6 6 2 2 2" xfId="49075"/>
    <cellStyle name="Normal 5 2 6 6 2 3" xfId="38826"/>
    <cellStyle name="Normal 5 2 6 6 3" xfId="9692"/>
    <cellStyle name="Normal 5 2 6 6 3 2" xfId="35249"/>
    <cellStyle name="Normal 5 2 6 6 4" xfId="18515"/>
    <cellStyle name="Normal 5 2 6 6 4 2" xfId="44068"/>
    <cellStyle name="Normal 5 2 6 6 5" xfId="30005"/>
    <cellStyle name="Normal 5 2 6 7" xfId="1705"/>
    <cellStyle name="Normal 5 2 6 7 2" xfId="11082"/>
    <cellStyle name="Normal 5 2 6 7 2 2" xfId="36637"/>
    <cellStyle name="Normal 5 2 6 7 3" xfId="21086"/>
    <cellStyle name="Normal 5 2 6 7 3 2" xfId="46639"/>
    <cellStyle name="Normal 5 2 6 7 4" xfId="27569"/>
    <cellStyle name="Normal 5 2 6 8" xfId="5889"/>
    <cellStyle name="Normal 5 2 6 8 2" xfId="14716"/>
    <cellStyle name="Normal 5 2 6 8 2 2" xfId="40271"/>
    <cellStyle name="Normal 5 2 6 8 3" xfId="24967"/>
    <cellStyle name="Normal 5 2 6 8 3 2" xfId="50520"/>
    <cellStyle name="Normal 5 2 6 8 4" xfId="31450"/>
    <cellStyle name="Normal 5 2 6 9" xfId="7333"/>
    <cellStyle name="Normal 5 2 6 9 2" xfId="19742"/>
    <cellStyle name="Normal 5 2 6 9 2 2" xfId="45295"/>
    <cellStyle name="Normal 5 2 6 9 3" xfId="32890"/>
    <cellStyle name="Normal 5 2 6_Degree data" xfId="3917"/>
    <cellStyle name="Normal 5 2 7" xfId="453"/>
    <cellStyle name="Normal 5 2 7 10" xfId="26382"/>
    <cellStyle name="Normal 5 2 7 2" xfId="797"/>
    <cellStyle name="Normal 5 2 7 2 2" xfId="3282"/>
    <cellStyle name="Normal 5 2 7 2 2 2" xfId="12424"/>
    <cellStyle name="Normal 5 2 7 2 2 2 2" xfId="22643"/>
    <cellStyle name="Normal 5 2 7 2 2 2 2 2" xfId="48196"/>
    <cellStyle name="Normal 5 2 7 2 2 2 3" xfId="37979"/>
    <cellStyle name="Normal 5 2 7 2 2 3" xfId="8846"/>
    <cellStyle name="Normal 5 2 7 2 2 3 2" xfId="34403"/>
    <cellStyle name="Normal 5 2 7 2 2 4" xfId="17636"/>
    <cellStyle name="Normal 5 2 7 2 2 4 2" xfId="43189"/>
    <cellStyle name="Normal 5 2 7 2 2 5" xfId="29126"/>
    <cellStyle name="Normal 5 2 7 2 3" xfId="4611"/>
    <cellStyle name="Normal 5 2 7 2 3 2" xfId="13449"/>
    <cellStyle name="Normal 5 2 7 2 3 2 2" xfId="23700"/>
    <cellStyle name="Normal 5 2 7 2 3 2 2 2" xfId="49253"/>
    <cellStyle name="Normal 5 2 7 2 3 2 3" xfId="39004"/>
    <cellStyle name="Normal 5 2 7 2 3 3" xfId="9870"/>
    <cellStyle name="Normal 5 2 7 2 3 3 2" xfId="35427"/>
    <cellStyle name="Normal 5 2 7 2 3 4" xfId="18693"/>
    <cellStyle name="Normal 5 2 7 2 3 4 2" xfId="44246"/>
    <cellStyle name="Normal 5 2 7 2 3 5" xfId="30183"/>
    <cellStyle name="Normal 5 2 7 2 4" xfId="2391"/>
    <cellStyle name="Normal 5 2 7 2 4 2" xfId="11756"/>
    <cellStyle name="Normal 5 2 7 2 4 2 2" xfId="37311"/>
    <cellStyle name="Normal 5 2 7 2 4 3" xfId="21760"/>
    <cellStyle name="Normal 5 2 7 2 4 3 2" xfId="47313"/>
    <cellStyle name="Normal 5 2 7 2 4 4" xfId="28243"/>
    <cellStyle name="Normal 5 2 7 2 5" xfId="6067"/>
    <cellStyle name="Normal 5 2 7 2 5 2" xfId="14894"/>
    <cellStyle name="Normal 5 2 7 2 5 2 2" xfId="40449"/>
    <cellStyle name="Normal 5 2 7 2 5 3" xfId="25145"/>
    <cellStyle name="Normal 5 2 7 2 5 3 2" xfId="50698"/>
    <cellStyle name="Normal 5 2 7 2 5 4" xfId="31628"/>
    <cellStyle name="Normal 5 2 7 2 6" xfId="7512"/>
    <cellStyle name="Normal 5 2 7 2 6 2" xfId="20242"/>
    <cellStyle name="Normal 5 2 7 2 6 2 2" xfId="45795"/>
    <cellStyle name="Normal 5 2 7 2 6 3" xfId="33069"/>
    <cellStyle name="Normal 5 2 7 2 7" xfId="16753"/>
    <cellStyle name="Normal 5 2 7 2 7 2" xfId="42306"/>
    <cellStyle name="Normal 5 2 7 2 8" xfId="26725"/>
    <cellStyle name="Normal 5 2 7 3" xfId="1225"/>
    <cellStyle name="Normal 5 2 7 3 2" xfId="3654"/>
    <cellStyle name="Normal 5 2 7 3 2 2" xfId="12790"/>
    <cellStyle name="Normal 5 2 7 3 2 2 2" xfId="23009"/>
    <cellStyle name="Normal 5 2 7 3 2 2 2 2" xfId="48562"/>
    <cellStyle name="Normal 5 2 7 3 2 2 3" xfId="38345"/>
    <cellStyle name="Normal 5 2 7 3 2 3" xfId="9211"/>
    <cellStyle name="Normal 5 2 7 3 2 3 2" xfId="34768"/>
    <cellStyle name="Normal 5 2 7 3 2 4" xfId="18002"/>
    <cellStyle name="Normal 5 2 7 3 2 4 2" xfId="43555"/>
    <cellStyle name="Normal 5 2 7 3 2 5" xfId="29492"/>
    <cellStyle name="Normal 5 2 7 3 3" xfId="4960"/>
    <cellStyle name="Normal 5 2 7 3 3 2" xfId="13797"/>
    <cellStyle name="Normal 5 2 7 3 3 2 2" xfId="24048"/>
    <cellStyle name="Normal 5 2 7 3 3 2 2 2" xfId="49601"/>
    <cellStyle name="Normal 5 2 7 3 3 2 3" xfId="39352"/>
    <cellStyle name="Normal 5 2 7 3 3 3" xfId="10218"/>
    <cellStyle name="Normal 5 2 7 3 3 3 2" xfId="35775"/>
    <cellStyle name="Normal 5 2 7 3 3 4" xfId="19041"/>
    <cellStyle name="Normal 5 2 7 3 3 4 2" xfId="44594"/>
    <cellStyle name="Normal 5 2 7 3 3 5" xfId="30531"/>
    <cellStyle name="Normal 5 2 7 3 4" xfId="2048"/>
    <cellStyle name="Normal 5 2 7 3 4 2" xfId="11413"/>
    <cellStyle name="Normal 5 2 7 3 4 2 2" xfId="36968"/>
    <cellStyle name="Normal 5 2 7 3 4 3" xfId="21417"/>
    <cellStyle name="Normal 5 2 7 3 4 3 2" xfId="46970"/>
    <cellStyle name="Normal 5 2 7 3 4 4" xfId="27900"/>
    <cellStyle name="Normal 5 2 7 3 5" xfId="6415"/>
    <cellStyle name="Normal 5 2 7 3 5 2" xfId="15242"/>
    <cellStyle name="Normal 5 2 7 3 5 2 2" xfId="40797"/>
    <cellStyle name="Normal 5 2 7 3 5 3" xfId="25493"/>
    <cellStyle name="Normal 5 2 7 3 5 3 2" xfId="51046"/>
    <cellStyle name="Normal 5 2 7 3 5 4" xfId="31976"/>
    <cellStyle name="Normal 5 2 7 3 6" xfId="7861"/>
    <cellStyle name="Normal 5 2 7 3 6 2" xfId="20608"/>
    <cellStyle name="Normal 5 2 7 3 6 2 2" xfId="46161"/>
    <cellStyle name="Normal 5 2 7 3 6 3" xfId="33418"/>
    <cellStyle name="Normal 5 2 7 3 7" xfId="16410"/>
    <cellStyle name="Normal 5 2 7 3 7 2" xfId="41963"/>
    <cellStyle name="Normal 5 2 7 3 8" xfId="27091"/>
    <cellStyle name="Normal 5 2 7 4" xfId="2939"/>
    <cellStyle name="Normal 5 2 7 4 2" xfId="5317"/>
    <cellStyle name="Normal 5 2 7 4 2 2" xfId="14154"/>
    <cellStyle name="Normal 5 2 7 4 2 2 2" xfId="24405"/>
    <cellStyle name="Normal 5 2 7 4 2 2 2 2" xfId="49958"/>
    <cellStyle name="Normal 5 2 7 4 2 2 3" xfId="39709"/>
    <cellStyle name="Normal 5 2 7 4 2 3" xfId="10575"/>
    <cellStyle name="Normal 5 2 7 4 2 3 2" xfId="36132"/>
    <cellStyle name="Normal 5 2 7 4 2 4" xfId="19398"/>
    <cellStyle name="Normal 5 2 7 4 2 4 2" xfId="44951"/>
    <cellStyle name="Normal 5 2 7 4 2 5" xfId="30888"/>
    <cellStyle name="Normal 5 2 7 4 3" xfId="6772"/>
    <cellStyle name="Normal 5 2 7 4 3 2" xfId="15599"/>
    <cellStyle name="Normal 5 2 7 4 3 2 2" xfId="41154"/>
    <cellStyle name="Normal 5 2 7 4 3 3" xfId="25850"/>
    <cellStyle name="Normal 5 2 7 4 3 3 2" xfId="51403"/>
    <cellStyle name="Normal 5 2 7 4 3 4" xfId="32333"/>
    <cellStyle name="Normal 5 2 7 4 4" xfId="8218"/>
    <cellStyle name="Normal 5 2 7 4 4 2" xfId="22300"/>
    <cellStyle name="Normal 5 2 7 4 4 2 2" xfId="47853"/>
    <cellStyle name="Normal 5 2 7 4 4 3" xfId="33775"/>
    <cellStyle name="Normal 5 2 7 4 5" xfId="17293"/>
    <cellStyle name="Normal 5 2 7 4 5 2" xfId="42846"/>
    <cellStyle name="Normal 5 2 7 4 6" xfId="28783"/>
    <cellStyle name="Normal 5 2 7 5" xfId="4273"/>
    <cellStyle name="Normal 5 2 7 5 2" xfId="13111"/>
    <cellStyle name="Normal 5 2 7 5 2 2" xfId="23362"/>
    <cellStyle name="Normal 5 2 7 5 2 2 2" xfId="48915"/>
    <cellStyle name="Normal 5 2 7 5 2 3" xfId="38666"/>
    <cellStyle name="Normal 5 2 7 5 3" xfId="9532"/>
    <cellStyle name="Normal 5 2 7 5 3 2" xfId="35089"/>
    <cellStyle name="Normal 5 2 7 5 4" xfId="18355"/>
    <cellStyle name="Normal 5 2 7 5 4 2" xfId="43908"/>
    <cellStyle name="Normal 5 2 7 5 5" xfId="29845"/>
    <cellStyle name="Normal 5 2 7 6" xfId="1545"/>
    <cellStyle name="Normal 5 2 7 6 2" xfId="10922"/>
    <cellStyle name="Normal 5 2 7 6 2 2" xfId="36477"/>
    <cellStyle name="Normal 5 2 7 6 3" xfId="20926"/>
    <cellStyle name="Normal 5 2 7 6 3 2" xfId="46479"/>
    <cellStyle name="Normal 5 2 7 6 4" xfId="27409"/>
    <cellStyle name="Normal 5 2 7 7" xfId="5729"/>
    <cellStyle name="Normal 5 2 7 7 2" xfId="14556"/>
    <cellStyle name="Normal 5 2 7 7 2 2" xfId="40111"/>
    <cellStyle name="Normal 5 2 7 7 3" xfId="24807"/>
    <cellStyle name="Normal 5 2 7 7 3 2" xfId="50360"/>
    <cellStyle name="Normal 5 2 7 7 4" xfId="31290"/>
    <cellStyle name="Normal 5 2 7 8" xfId="7173"/>
    <cellStyle name="Normal 5 2 7 8 2" xfId="19899"/>
    <cellStyle name="Normal 5 2 7 8 2 2" xfId="45452"/>
    <cellStyle name="Normal 5 2 7 8 3" xfId="32730"/>
    <cellStyle name="Normal 5 2 7 9" xfId="15919"/>
    <cellStyle name="Normal 5 2 7 9 2" xfId="41472"/>
    <cellStyle name="Normal 5 2 7_Degree data" xfId="3819"/>
    <cellStyle name="Normal 5 2 8" xfId="1721"/>
    <cellStyle name="Normal 5 2 8 2" xfId="11095"/>
    <cellStyle name="Normal 5 2 8 2 2" xfId="21099"/>
    <cellStyle name="Normal 5 2 8 2 2 2" xfId="46652"/>
    <cellStyle name="Normal 5 2 8 2 3" xfId="36650"/>
    <cellStyle name="Normal 5 2 8 3" xfId="8438"/>
    <cellStyle name="Normal 5 2 8 3 2" xfId="33995"/>
    <cellStyle name="Normal 5 2 8 4" xfId="16092"/>
    <cellStyle name="Normal 5 2 8 4 2" xfId="41645"/>
    <cellStyle name="Normal 5 2 8 5" xfId="27582"/>
    <cellStyle name="Normal 5 2 9" xfId="2619"/>
    <cellStyle name="Normal 5 2 9 2" xfId="11968"/>
    <cellStyle name="Normal 5 2 9 2 2" xfId="21982"/>
    <cellStyle name="Normal 5 2 9 2 2 2" xfId="47535"/>
    <cellStyle name="Normal 5 2 9 2 3" xfId="37523"/>
    <cellStyle name="Normal 5 2 9 3" xfId="8591"/>
    <cellStyle name="Normal 5 2 9 3 2" xfId="34148"/>
    <cellStyle name="Normal 5 2 9 4" xfId="16975"/>
    <cellStyle name="Normal 5 2 9 4 2" xfId="42528"/>
    <cellStyle name="Normal 5 2 9 5" xfId="28465"/>
    <cellStyle name="Normal 5 3" xfId="96"/>
    <cellStyle name="Normal 5 3 10" xfId="4100"/>
    <cellStyle name="Normal 5 3 10 2" xfId="5558"/>
    <cellStyle name="Normal 5 3 10 2 2" xfId="14385"/>
    <cellStyle name="Normal 5 3 10 2 2 2" xfId="39940"/>
    <cellStyle name="Normal 5 3 10 2 3" xfId="24636"/>
    <cellStyle name="Normal 5 3 10 2 3 2" xfId="50189"/>
    <cellStyle name="Normal 5 3 10 2 4" xfId="31119"/>
    <cellStyle name="Normal 5 3 10 3" xfId="7002"/>
    <cellStyle name="Normal 5 3 10 3 2" xfId="23189"/>
    <cellStyle name="Normal 5 3 10 3 2 2" xfId="48742"/>
    <cellStyle name="Normal 5 3 10 3 3" xfId="32559"/>
    <cellStyle name="Normal 5 3 10 4" xfId="18182"/>
    <cellStyle name="Normal 5 3 10 4 2" xfId="43735"/>
    <cellStyle name="Normal 5 3 10 5" xfId="29672"/>
    <cellStyle name="Normal 5 3 11" xfId="1394"/>
    <cellStyle name="Normal 5 3 11 2" xfId="10771"/>
    <cellStyle name="Normal 5 3 11 2 2" xfId="36326"/>
    <cellStyle name="Normal 5 3 11 3" xfId="20775"/>
    <cellStyle name="Normal 5 3 11 3 2" xfId="46328"/>
    <cellStyle name="Normal 5 3 11 4" xfId="27258"/>
    <cellStyle name="Normal 5 3 12" xfId="5528"/>
    <cellStyle name="Normal 5 3 12 2" xfId="14355"/>
    <cellStyle name="Normal 5 3 12 2 2" xfId="39910"/>
    <cellStyle name="Normal 5 3 12 3" xfId="24606"/>
    <cellStyle name="Normal 5 3 12 3 2" xfId="50159"/>
    <cellStyle name="Normal 5 3 12 4" xfId="31089"/>
    <cellStyle name="Normal 5 3 13" xfId="6972"/>
    <cellStyle name="Normal 5 3 13 2" xfId="19578"/>
    <cellStyle name="Normal 5 3 13 2 2" xfId="45131"/>
    <cellStyle name="Normal 5 3 13 3" xfId="32529"/>
    <cellStyle name="Normal 5 3 14" xfId="15768"/>
    <cellStyle name="Normal 5 3 14 2" xfId="41321"/>
    <cellStyle name="Normal 5 3 15" xfId="26061"/>
    <cellStyle name="Normal 5 3 2" xfId="154"/>
    <cellStyle name="Normal 5 3 2 10" xfId="1419"/>
    <cellStyle name="Normal 5 3 2 10 2" xfId="10796"/>
    <cellStyle name="Normal 5 3 2 10 2 2" xfId="36351"/>
    <cellStyle name="Normal 5 3 2 10 3" xfId="20800"/>
    <cellStyle name="Normal 5 3 2 10 3 2" xfId="46353"/>
    <cellStyle name="Normal 5 3 2 10 4" xfId="27283"/>
    <cellStyle name="Normal 5 3 2 11" xfId="5603"/>
    <cellStyle name="Normal 5 3 2 11 2" xfId="14430"/>
    <cellStyle name="Normal 5 3 2 11 2 2" xfId="39985"/>
    <cellStyle name="Normal 5 3 2 11 3" xfId="24681"/>
    <cellStyle name="Normal 5 3 2 11 3 2" xfId="50234"/>
    <cellStyle name="Normal 5 3 2 11 4" xfId="31164"/>
    <cellStyle name="Normal 5 3 2 12" xfId="7047"/>
    <cellStyle name="Normal 5 3 2 12 2" xfId="19613"/>
    <cellStyle name="Normal 5 3 2 12 2 2" xfId="45166"/>
    <cellStyle name="Normal 5 3 2 12 3" xfId="32604"/>
    <cellStyle name="Normal 5 3 2 13" xfId="15793"/>
    <cellStyle name="Normal 5 3 2 13 2" xfId="41346"/>
    <cellStyle name="Normal 5 3 2 14" xfId="26096"/>
    <cellStyle name="Normal 5 3 2 2" xfId="266"/>
    <cellStyle name="Normal 5 3 2 2 10" xfId="7104"/>
    <cellStyle name="Normal 5 3 2 2 10 2" xfId="19717"/>
    <cellStyle name="Normal 5 3 2 2 10 2 2" xfId="45270"/>
    <cellStyle name="Normal 5 3 2 2 10 3" xfId="32661"/>
    <cellStyle name="Normal 5 3 2 2 11" xfId="15850"/>
    <cellStyle name="Normal 5 3 2 2 11 2" xfId="41403"/>
    <cellStyle name="Normal 5 3 2 2 12" xfId="26200"/>
    <cellStyle name="Normal 5 3 2 2 2" xfId="588"/>
    <cellStyle name="Normal 5 3 2 2 2 10" xfId="26517"/>
    <cellStyle name="Normal 5 3 2 2 2 2" xfId="801"/>
    <cellStyle name="Normal 5 3 2 2 2 2 2" xfId="3286"/>
    <cellStyle name="Normal 5 3 2 2 2 2 2 2" xfId="12428"/>
    <cellStyle name="Normal 5 3 2 2 2 2 2 2 2" xfId="22647"/>
    <cellStyle name="Normal 5 3 2 2 2 2 2 2 2 2" xfId="48200"/>
    <cellStyle name="Normal 5 3 2 2 2 2 2 2 3" xfId="37983"/>
    <cellStyle name="Normal 5 3 2 2 2 2 2 3" xfId="8850"/>
    <cellStyle name="Normal 5 3 2 2 2 2 2 3 2" xfId="34407"/>
    <cellStyle name="Normal 5 3 2 2 2 2 2 4" xfId="17640"/>
    <cellStyle name="Normal 5 3 2 2 2 2 2 4 2" xfId="43193"/>
    <cellStyle name="Normal 5 3 2 2 2 2 2 5" xfId="29130"/>
    <cellStyle name="Normal 5 3 2 2 2 2 3" xfId="4615"/>
    <cellStyle name="Normal 5 3 2 2 2 2 3 2" xfId="13453"/>
    <cellStyle name="Normal 5 3 2 2 2 2 3 2 2" xfId="23704"/>
    <cellStyle name="Normal 5 3 2 2 2 2 3 2 2 2" xfId="49257"/>
    <cellStyle name="Normal 5 3 2 2 2 2 3 2 3" xfId="39008"/>
    <cellStyle name="Normal 5 3 2 2 2 2 3 3" xfId="9874"/>
    <cellStyle name="Normal 5 3 2 2 2 2 3 3 2" xfId="35431"/>
    <cellStyle name="Normal 5 3 2 2 2 2 3 4" xfId="18697"/>
    <cellStyle name="Normal 5 3 2 2 2 2 3 4 2" xfId="44250"/>
    <cellStyle name="Normal 5 3 2 2 2 2 3 5" xfId="30187"/>
    <cellStyle name="Normal 5 3 2 2 2 2 4" xfId="2395"/>
    <cellStyle name="Normal 5 3 2 2 2 2 4 2" xfId="11760"/>
    <cellStyle name="Normal 5 3 2 2 2 2 4 2 2" xfId="37315"/>
    <cellStyle name="Normal 5 3 2 2 2 2 4 3" xfId="21764"/>
    <cellStyle name="Normal 5 3 2 2 2 2 4 3 2" xfId="47317"/>
    <cellStyle name="Normal 5 3 2 2 2 2 4 4" xfId="28247"/>
    <cellStyle name="Normal 5 3 2 2 2 2 5" xfId="6071"/>
    <cellStyle name="Normal 5 3 2 2 2 2 5 2" xfId="14898"/>
    <cellStyle name="Normal 5 3 2 2 2 2 5 2 2" xfId="40453"/>
    <cellStyle name="Normal 5 3 2 2 2 2 5 3" xfId="25149"/>
    <cellStyle name="Normal 5 3 2 2 2 2 5 3 2" xfId="50702"/>
    <cellStyle name="Normal 5 3 2 2 2 2 5 4" xfId="31632"/>
    <cellStyle name="Normal 5 3 2 2 2 2 6" xfId="7516"/>
    <cellStyle name="Normal 5 3 2 2 2 2 6 2" xfId="20246"/>
    <cellStyle name="Normal 5 3 2 2 2 2 6 2 2" xfId="45799"/>
    <cellStyle name="Normal 5 3 2 2 2 2 6 3" xfId="33073"/>
    <cellStyle name="Normal 5 3 2 2 2 2 7" xfId="16757"/>
    <cellStyle name="Normal 5 3 2 2 2 2 7 2" xfId="42310"/>
    <cellStyle name="Normal 5 3 2 2 2 2 8" xfId="26729"/>
    <cellStyle name="Normal 5 3 2 2 2 3" xfId="1360"/>
    <cellStyle name="Normal 5 3 2 2 2 3 2" xfId="3789"/>
    <cellStyle name="Normal 5 3 2 2 2 3 2 2" xfId="12925"/>
    <cellStyle name="Normal 5 3 2 2 2 3 2 2 2" xfId="23144"/>
    <cellStyle name="Normal 5 3 2 2 2 3 2 2 2 2" xfId="48697"/>
    <cellStyle name="Normal 5 3 2 2 2 3 2 2 3" xfId="38480"/>
    <cellStyle name="Normal 5 3 2 2 2 3 2 3" xfId="9346"/>
    <cellStyle name="Normal 5 3 2 2 2 3 2 3 2" xfId="34903"/>
    <cellStyle name="Normal 5 3 2 2 2 3 2 4" xfId="18137"/>
    <cellStyle name="Normal 5 3 2 2 2 3 2 4 2" xfId="43690"/>
    <cellStyle name="Normal 5 3 2 2 2 3 2 5" xfId="29627"/>
    <cellStyle name="Normal 5 3 2 2 2 3 3" xfId="4964"/>
    <cellStyle name="Normal 5 3 2 2 2 3 3 2" xfId="13801"/>
    <cellStyle name="Normal 5 3 2 2 2 3 3 2 2" xfId="24052"/>
    <cellStyle name="Normal 5 3 2 2 2 3 3 2 2 2" xfId="49605"/>
    <cellStyle name="Normal 5 3 2 2 2 3 3 2 3" xfId="39356"/>
    <cellStyle name="Normal 5 3 2 2 2 3 3 3" xfId="10222"/>
    <cellStyle name="Normal 5 3 2 2 2 3 3 3 2" xfId="35779"/>
    <cellStyle name="Normal 5 3 2 2 2 3 3 4" xfId="19045"/>
    <cellStyle name="Normal 5 3 2 2 2 3 3 4 2" xfId="44598"/>
    <cellStyle name="Normal 5 3 2 2 2 3 3 5" xfId="30535"/>
    <cellStyle name="Normal 5 3 2 2 2 3 4" xfId="2183"/>
    <cellStyle name="Normal 5 3 2 2 2 3 4 2" xfId="11548"/>
    <cellStyle name="Normal 5 3 2 2 2 3 4 2 2" xfId="37103"/>
    <cellStyle name="Normal 5 3 2 2 2 3 4 3" xfId="21552"/>
    <cellStyle name="Normal 5 3 2 2 2 3 4 3 2" xfId="47105"/>
    <cellStyle name="Normal 5 3 2 2 2 3 4 4" xfId="28035"/>
    <cellStyle name="Normal 5 3 2 2 2 3 5" xfId="6419"/>
    <cellStyle name="Normal 5 3 2 2 2 3 5 2" xfId="15246"/>
    <cellStyle name="Normal 5 3 2 2 2 3 5 2 2" xfId="40801"/>
    <cellStyle name="Normal 5 3 2 2 2 3 5 3" xfId="25497"/>
    <cellStyle name="Normal 5 3 2 2 2 3 5 3 2" xfId="51050"/>
    <cellStyle name="Normal 5 3 2 2 2 3 5 4" xfId="31980"/>
    <cellStyle name="Normal 5 3 2 2 2 3 6" xfId="7865"/>
    <cellStyle name="Normal 5 3 2 2 2 3 6 2" xfId="20743"/>
    <cellStyle name="Normal 5 3 2 2 2 3 6 2 2" xfId="46296"/>
    <cellStyle name="Normal 5 3 2 2 2 3 6 3" xfId="33422"/>
    <cellStyle name="Normal 5 3 2 2 2 3 7" xfId="16545"/>
    <cellStyle name="Normal 5 3 2 2 2 3 7 2" xfId="42098"/>
    <cellStyle name="Normal 5 3 2 2 2 3 8" xfId="27226"/>
    <cellStyle name="Normal 5 3 2 2 2 4" xfId="3074"/>
    <cellStyle name="Normal 5 3 2 2 2 4 2" xfId="5452"/>
    <cellStyle name="Normal 5 3 2 2 2 4 2 2" xfId="14289"/>
    <cellStyle name="Normal 5 3 2 2 2 4 2 2 2" xfId="24540"/>
    <cellStyle name="Normal 5 3 2 2 2 4 2 2 2 2" xfId="50093"/>
    <cellStyle name="Normal 5 3 2 2 2 4 2 2 3" xfId="39844"/>
    <cellStyle name="Normal 5 3 2 2 2 4 2 3" xfId="10710"/>
    <cellStyle name="Normal 5 3 2 2 2 4 2 3 2" xfId="36267"/>
    <cellStyle name="Normal 5 3 2 2 2 4 2 4" xfId="19533"/>
    <cellStyle name="Normal 5 3 2 2 2 4 2 4 2" xfId="45086"/>
    <cellStyle name="Normal 5 3 2 2 2 4 2 5" xfId="31023"/>
    <cellStyle name="Normal 5 3 2 2 2 4 3" xfId="6907"/>
    <cellStyle name="Normal 5 3 2 2 2 4 3 2" xfId="15734"/>
    <cellStyle name="Normal 5 3 2 2 2 4 3 2 2" xfId="41289"/>
    <cellStyle name="Normal 5 3 2 2 2 4 3 3" xfId="25985"/>
    <cellStyle name="Normal 5 3 2 2 2 4 3 3 2" xfId="51538"/>
    <cellStyle name="Normal 5 3 2 2 2 4 3 4" xfId="32468"/>
    <cellStyle name="Normal 5 3 2 2 2 4 4" xfId="8353"/>
    <cellStyle name="Normal 5 3 2 2 2 4 4 2" xfId="22435"/>
    <cellStyle name="Normal 5 3 2 2 2 4 4 2 2" xfId="47988"/>
    <cellStyle name="Normal 5 3 2 2 2 4 4 3" xfId="33910"/>
    <cellStyle name="Normal 5 3 2 2 2 4 5" xfId="17428"/>
    <cellStyle name="Normal 5 3 2 2 2 4 5 2" xfId="42981"/>
    <cellStyle name="Normal 5 3 2 2 2 4 6" xfId="28918"/>
    <cellStyle name="Normal 5 3 2 2 2 5" xfId="4408"/>
    <cellStyle name="Normal 5 3 2 2 2 5 2" xfId="13246"/>
    <cellStyle name="Normal 5 3 2 2 2 5 2 2" xfId="23497"/>
    <cellStyle name="Normal 5 3 2 2 2 5 2 2 2" xfId="49050"/>
    <cellStyle name="Normal 5 3 2 2 2 5 2 3" xfId="38801"/>
    <cellStyle name="Normal 5 3 2 2 2 5 3" xfId="9667"/>
    <cellStyle name="Normal 5 3 2 2 2 5 3 2" xfId="35224"/>
    <cellStyle name="Normal 5 3 2 2 2 5 4" xfId="18490"/>
    <cellStyle name="Normal 5 3 2 2 2 5 4 2" xfId="44043"/>
    <cellStyle name="Normal 5 3 2 2 2 5 5" xfId="29980"/>
    <cellStyle name="Normal 5 3 2 2 2 6" xfId="1680"/>
    <cellStyle name="Normal 5 3 2 2 2 6 2" xfId="11057"/>
    <cellStyle name="Normal 5 3 2 2 2 6 2 2" xfId="36612"/>
    <cellStyle name="Normal 5 3 2 2 2 6 3" xfId="21061"/>
    <cellStyle name="Normal 5 3 2 2 2 6 3 2" xfId="46614"/>
    <cellStyle name="Normal 5 3 2 2 2 6 4" xfId="27544"/>
    <cellStyle name="Normal 5 3 2 2 2 7" xfId="5864"/>
    <cellStyle name="Normal 5 3 2 2 2 7 2" xfId="14691"/>
    <cellStyle name="Normal 5 3 2 2 2 7 2 2" xfId="40246"/>
    <cellStyle name="Normal 5 3 2 2 2 7 3" xfId="24942"/>
    <cellStyle name="Normal 5 3 2 2 2 7 3 2" xfId="50495"/>
    <cellStyle name="Normal 5 3 2 2 2 7 4" xfId="31425"/>
    <cellStyle name="Normal 5 3 2 2 2 8" xfId="7308"/>
    <cellStyle name="Normal 5 3 2 2 2 8 2" xfId="20034"/>
    <cellStyle name="Normal 5 3 2 2 2 8 2 2" xfId="45587"/>
    <cellStyle name="Normal 5 3 2 2 2 8 3" xfId="32865"/>
    <cellStyle name="Normal 5 3 2 2 2 9" xfId="16054"/>
    <cellStyle name="Normal 5 3 2 2 2 9 2" xfId="41607"/>
    <cellStyle name="Normal 5 3 2 2 2_Degree data" xfId="3869"/>
    <cellStyle name="Normal 5 3 2 2 3" xfId="384"/>
    <cellStyle name="Normal 5 3 2 2 3 2" xfId="2870"/>
    <cellStyle name="Normal 5 3 2 2 3 2 2" xfId="12158"/>
    <cellStyle name="Normal 5 3 2 2 3 2 2 2" xfId="22231"/>
    <cellStyle name="Normal 5 3 2 2 3 2 2 2 2" xfId="47784"/>
    <cellStyle name="Normal 5 3 2 2 3 2 2 3" xfId="37713"/>
    <cellStyle name="Normal 5 3 2 2 3 2 3" xfId="8626"/>
    <cellStyle name="Normal 5 3 2 2 3 2 3 2" xfId="34183"/>
    <cellStyle name="Normal 5 3 2 2 3 2 4" xfId="17224"/>
    <cellStyle name="Normal 5 3 2 2 3 2 4 2" xfId="42777"/>
    <cellStyle name="Normal 5 3 2 2 3 2 5" xfId="28714"/>
    <cellStyle name="Normal 5 3 2 2 3 3" xfId="4614"/>
    <cellStyle name="Normal 5 3 2 2 3 3 2" xfId="13452"/>
    <cellStyle name="Normal 5 3 2 2 3 3 2 2" xfId="23703"/>
    <cellStyle name="Normal 5 3 2 2 3 3 2 2 2" xfId="49256"/>
    <cellStyle name="Normal 5 3 2 2 3 3 2 3" xfId="39007"/>
    <cellStyle name="Normal 5 3 2 2 3 3 3" xfId="9873"/>
    <cellStyle name="Normal 5 3 2 2 3 3 3 2" xfId="35430"/>
    <cellStyle name="Normal 5 3 2 2 3 3 4" xfId="18696"/>
    <cellStyle name="Normal 5 3 2 2 3 3 4 2" xfId="44249"/>
    <cellStyle name="Normal 5 3 2 2 3 3 5" xfId="30186"/>
    <cellStyle name="Normal 5 3 2 2 3 4" xfId="1979"/>
    <cellStyle name="Normal 5 3 2 2 3 4 2" xfId="11344"/>
    <cellStyle name="Normal 5 3 2 2 3 4 2 2" xfId="36899"/>
    <cellStyle name="Normal 5 3 2 2 3 4 3" xfId="21348"/>
    <cellStyle name="Normal 5 3 2 2 3 4 3 2" xfId="46901"/>
    <cellStyle name="Normal 5 3 2 2 3 4 4" xfId="27831"/>
    <cellStyle name="Normal 5 3 2 2 3 5" xfId="6070"/>
    <cellStyle name="Normal 5 3 2 2 3 5 2" xfId="14897"/>
    <cellStyle name="Normal 5 3 2 2 3 5 2 2" xfId="40452"/>
    <cellStyle name="Normal 5 3 2 2 3 5 3" xfId="25148"/>
    <cellStyle name="Normal 5 3 2 2 3 5 3 2" xfId="50701"/>
    <cellStyle name="Normal 5 3 2 2 3 5 4" xfId="31631"/>
    <cellStyle name="Normal 5 3 2 2 3 6" xfId="7515"/>
    <cellStyle name="Normal 5 3 2 2 3 6 2" xfId="19830"/>
    <cellStyle name="Normal 5 3 2 2 3 6 2 2" xfId="45383"/>
    <cellStyle name="Normal 5 3 2 2 3 6 3" xfId="33072"/>
    <cellStyle name="Normal 5 3 2 2 3 7" xfId="16341"/>
    <cellStyle name="Normal 5 3 2 2 3 7 2" xfId="41894"/>
    <cellStyle name="Normal 5 3 2 2 3 8" xfId="26313"/>
    <cellStyle name="Normal 5 3 2 2 4" xfId="800"/>
    <cellStyle name="Normal 5 3 2 2 4 2" xfId="3285"/>
    <cellStyle name="Normal 5 3 2 2 4 2 2" xfId="12427"/>
    <cellStyle name="Normal 5 3 2 2 4 2 2 2" xfId="22646"/>
    <cellStyle name="Normal 5 3 2 2 4 2 2 2 2" xfId="48199"/>
    <cellStyle name="Normal 5 3 2 2 4 2 2 3" xfId="37982"/>
    <cellStyle name="Normal 5 3 2 2 4 2 3" xfId="8849"/>
    <cellStyle name="Normal 5 3 2 2 4 2 3 2" xfId="34406"/>
    <cellStyle name="Normal 5 3 2 2 4 2 4" xfId="17639"/>
    <cellStyle name="Normal 5 3 2 2 4 2 4 2" xfId="43192"/>
    <cellStyle name="Normal 5 3 2 2 4 2 5" xfId="29129"/>
    <cellStyle name="Normal 5 3 2 2 4 3" xfId="4963"/>
    <cellStyle name="Normal 5 3 2 2 4 3 2" xfId="13800"/>
    <cellStyle name="Normal 5 3 2 2 4 3 2 2" xfId="24051"/>
    <cellStyle name="Normal 5 3 2 2 4 3 2 2 2" xfId="49604"/>
    <cellStyle name="Normal 5 3 2 2 4 3 2 3" xfId="39355"/>
    <cellStyle name="Normal 5 3 2 2 4 3 3" xfId="10221"/>
    <cellStyle name="Normal 5 3 2 2 4 3 3 2" xfId="35778"/>
    <cellStyle name="Normal 5 3 2 2 4 3 4" xfId="19044"/>
    <cellStyle name="Normal 5 3 2 2 4 3 4 2" xfId="44597"/>
    <cellStyle name="Normal 5 3 2 2 4 3 5" xfId="30534"/>
    <cellStyle name="Normal 5 3 2 2 4 4" xfId="2394"/>
    <cellStyle name="Normal 5 3 2 2 4 4 2" xfId="11759"/>
    <cellStyle name="Normal 5 3 2 2 4 4 2 2" xfId="37314"/>
    <cellStyle name="Normal 5 3 2 2 4 4 3" xfId="21763"/>
    <cellStyle name="Normal 5 3 2 2 4 4 3 2" xfId="47316"/>
    <cellStyle name="Normal 5 3 2 2 4 4 4" xfId="28246"/>
    <cellStyle name="Normal 5 3 2 2 4 5" xfId="6418"/>
    <cellStyle name="Normal 5 3 2 2 4 5 2" xfId="15245"/>
    <cellStyle name="Normal 5 3 2 2 4 5 2 2" xfId="40800"/>
    <cellStyle name="Normal 5 3 2 2 4 5 3" xfId="25496"/>
    <cellStyle name="Normal 5 3 2 2 4 5 3 2" xfId="51049"/>
    <cellStyle name="Normal 5 3 2 2 4 5 4" xfId="31979"/>
    <cellStyle name="Normal 5 3 2 2 4 6" xfId="7864"/>
    <cellStyle name="Normal 5 3 2 2 4 6 2" xfId="20245"/>
    <cellStyle name="Normal 5 3 2 2 4 6 2 2" xfId="45798"/>
    <cellStyle name="Normal 5 3 2 2 4 6 3" xfId="33421"/>
    <cellStyle name="Normal 5 3 2 2 4 7" xfId="16756"/>
    <cellStyle name="Normal 5 3 2 2 4 7 2" xfId="42309"/>
    <cellStyle name="Normal 5 3 2 2 4 8" xfId="26728"/>
    <cellStyle name="Normal 5 3 2 2 5" xfId="1156"/>
    <cellStyle name="Normal 5 3 2 2 5 2" xfId="3585"/>
    <cellStyle name="Normal 5 3 2 2 5 2 2" xfId="12721"/>
    <cellStyle name="Normal 5 3 2 2 5 2 2 2" xfId="22940"/>
    <cellStyle name="Normal 5 3 2 2 5 2 2 2 2" xfId="48493"/>
    <cellStyle name="Normal 5 3 2 2 5 2 2 3" xfId="38276"/>
    <cellStyle name="Normal 5 3 2 2 5 2 3" xfId="9142"/>
    <cellStyle name="Normal 5 3 2 2 5 2 3 2" xfId="34699"/>
    <cellStyle name="Normal 5 3 2 2 5 2 4" xfId="17933"/>
    <cellStyle name="Normal 5 3 2 2 5 2 4 2" xfId="43486"/>
    <cellStyle name="Normal 5 3 2 2 5 2 5" xfId="29423"/>
    <cellStyle name="Normal 5 3 2 2 5 3" xfId="5248"/>
    <cellStyle name="Normal 5 3 2 2 5 3 2" xfId="14085"/>
    <cellStyle name="Normal 5 3 2 2 5 3 2 2" xfId="24336"/>
    <cellStyle name="Normal 5 3 2 2 5 3 2 2 2" xfId="49889"/>
    <cellStyle name="Normal 5 3 2 2 5 3 2 3" xfId="39640"/>
    <cellStyle name="Normal 5 3 2 2 5 3 3" xfId="10506"/>
    <cellStyle name="Normal 5 3 2 2 5 3 3 2" xfId="36063"/>
    <cellStyle name="Normal 5 3 2 2 5 3 4" xfId="19329"/>
    <cellStyle name="Normal 5 3 2 2 5 3 4 2" xfId="44882"/>
    <cellStyle name="Normal 5 3 2 2 5 3 5" xfId="30819"/>
    <cellStyle name="Normal 5 3 2 2 5 4" xfId="1863"/>
    <cellStyle name="Normal 5 3 2 2 5 4 2" xfId="11231"/>
    <cellStyle name="Normal 5 3 2 2 5 4 2 2" xfId="36786"/>
    <cellStyle name="Normal 5 3 2 2 5 4 3" xfId="21235"/>
    <cellStyle name="Normal 5 3 2 2 5 4 3 2" xfId="46788"/>
    <cellStyle name="Normal 5 3 2 2 5 4 4" xfId="27718"/>
    <cellStyle name="Normal 5 3 2 2 5 5" xfId="6703"/>
    <cellStyle name="Normal 5 3 2 2 5 5 2" xfId="15530"/>
    <cellStyle name="Normal 5 3 2 2 5 5 2 2" xfId="41085"/>
    <cellStyle name="Normal 5 3 2 2 5 5 3" xfId="25781"/>
    <cellStyle name="Normal 5 3 2 2 5 5 3 2" xfId="51334"/>
    <cellStyle name="Normal 5 3 2 2 5 5 4" xfId="32264"/>
    <cellStyle name="Normal 5 3 2 2 5 6" xfId="8149"/>
    <cellStyle name="Normal 5 3 2 2 5 6 2" xfId="20539"/>
    <cellStyle name="Normal 5 3 2 2 5 6 2 2" xfId="46092"/>
    <cellStyle name="Normal 5 3 2 2 5 6 3" xfId="33706"/>
    <cellStyle name="Normal 5 3 2 2 5 7" xfId="16228"/>
    <cellStyle name="Normal 5 3 2 2 5 7 2" xfId="41781"/>
    <cellStyle name="Normal 5 3 2 2 5 8" xfId="27022"/>
    <cellStyle name="Normal 5 3 2 2 6" xfId="2757"/>
    <cellStyle name="Normal 5 3 2 2 6 2" xfId="12074"/>
    <cellStyle name="Normal 5 3 2 2 6 2 2" xfId="22118"/>
    <cellStyle name="Normal 5 3 2 2 6 2 2 2" xfId="47671"/>
    <cellStyle name="Normal 5 3 2 2 6 2 3" xfId="37629"/>
    <cellStyle name="Normal 5 3 2 2 6 3" xfId="6941"/>
    <cellStyle name="Normal 5 3 2 2 6 3 2" xfId="32499"/>
    <cellStyle name="Normal 5 3 2 2 6 4" xfId="17111"/>
    <cellStyle name="Normal 5 3 2 2 6 4 2" xfId="42664"/>
    <cellStyle name="Normal 5 3 2 2 6 5" xfId="28601"/>
    <cellStyle name="Normal 5 3 2 2 7" xfId="4204"/>
    <cellStyle name="Normal 5 3 2 2 7 2" xfId="13042"/>
    <cellStyle name="Normal 5 3 2 2 7 2 2" xfId="23293"/>
    <cellStyle name="Normal 5 3 2 2 7 2 2 2" xfId="48846"/>
    <cellStyle name="Normal 5 3 2 2 7 2 3" xfId="38597"/>
    <cellStyle name="Normal 5 3 2 2 7 3" xfId="9463"/>
    <cellStyle name="Normal 5 3 2 2 7 3 2" xfId="35020"/>
    <cellStyle name="Normal 5 3 2 2 7 4" xfId="18286"/>
    <cellStyle name="Normal 5 3 2 2 7 4 2" xfId="43839"/>
    <cellStyle name="Normal 5 3 2 2 7 5" xfId="29776"/>
    <cellStyle name="Normal 5 3 2 2 8" xfId="1476"/>
    <cellStyle name="Normal 5 3 2 2 8 2" xfId="10853"/>
    <cellStyle name="Normal 5 3 2 2 8 2 2" xfId="36408"/>
    <cellStyle name="Normal 5 3 2 2 8 3" xfId="20857"/>
    <cellStyle name="Normal 5 3 2 2 8 3 2" xfId="46410"/>
    <cellStyle name="Normal 5 3 2 2 8 4" xfId="27340"/>
    <cellStyle name="Normal 5 3 2 2 9" xfId="5660"/>
    <cellStyle name="Normal 5 3 2 2 9 2" xfId="14487"/>
    <cellStyle name="Normal 5 3 2 2 9 2 2" xfId="40042"/>
    <cellStyle name="Normal 5 3 2 2 9 3" xfId="24738"/>
    <cellStyle name="Normal 5 3 2 2 9 3 2" xfId="50291"/>
    <cellStyle name="Normal 5 3 2 2 9 4" xfId="31221"/>
    <cellStyle name="Normal 5 3 2 2_Degree data" xfId="3904"/>
    <cellStyle name="Normal 5 3 2 3" xfId="220"/>
    <cellStyle name="Normal 5 3 2 3 10" xfId="16011"/>
    <cellStyle name="Normal 5 3 2 3 10 2" xfId="41564"/>
    <cellStyle name="Normal 5 3 2 3 11" xfId="26157"/>
    <cellStyle name="Normal 5 3 2 3 2" xfId="545"/>
    <cellStyle name="Normal 5 3 2 3 2 2" xfId="3031"/>
    <cellStyle name="Normal 5 3 2 3 2 2 2" xfId="12219"/>
    <cellStyle name="Normal 5 3 2 3 2 2 2 2" xfId="22392"/>
    <cellStyle name="Normal 5 3 2 3 2 2 2 2 2" xfId="47945"/>
    <cellStyle name="Normal 5 3 2 3 2 2 2 3" xfId="37774"/>
    <cellStyle name="Normal 5 3 2 3 2 2 3" xfId="8507"/>
    <cellStyle name="Normal 5 3 2 3 2 2 3 2" xfId="34064"/>
    <cellStyle name="Normal 5 3 2 3 2 2 4" xfId="17385"/>
    <cellStyle name="Normal 5 3 2 3 2 2 4 2" xfId="42938"/>
    <cellStyle name="Normal 5 3 2 3 2 2 5" xfId="28875"/>
    <cellStyle name="Normal 5 3 2 3 2 3" xfId="4616"/>
    <cellStyle name="Normal 5 3 2 3 2 3 2" xfId="13454"/>
    <cellStyle name="Normal 5 3 2 3 2 3 2 2" xfId="23705"/>
    <cellStyle name="Normal 5 3 2 3 2 3 2 2 2" xfId="49258"/>
    <cellStyle name="Normal 5 3 2 3 2 3 2 3" xfId="39009"/>
    <cellStyle name="Normal 5 3 2 3 2 3 3" xfId="9875"/>
    <cellStyle name="Normal 5 3 2 3 2 3 3 2" xfId="35432"/>
    <cellStyle name="Normal 5 3 2 3 2 3 4" xfId="18698"/>
    <cellStyle name="Normal 5 3 2 3 2 3 4 2" xfId="44251"/>
    <cellStyle name="Normal 5 3 2 3 2 3 5" xfId="30188"/>
    <cellStyle name="Normal 5 3 2 3 2 4" xfId="2140"/>
    <cellStyle name="Normal 5 3 2 3 2 4 2" xfId="11505"/>
    <cellStyle name="Normal 5 3 2 3 2 4 2 2" xfId="37060"/>
    <cellStyle name="Normal 5 3 2 3 2 4 3" xfId="21509"/>
    <cellStyle name="Normal 5 3 2 3 2 4 3 2" xfId="47062"/>
    <cellStyle name="Normal 5 3 2 3 2 4 4" xfId="27992"/>
    <cellStyle name="Normal 5 3 2 3 2 5" xfId="6072"/>
    <cellStyle name="Normal 5 3 2 3 2 5 2" xfId="14899"/>
    <cellStyle name="Normal 5 3 2 3 2 5 2 2" xfId="40454"/>
    <cellStyle name="Normal 5 3 2 3 2 5 3" xfId="25150"/>
    <cellStyle name="Normal 5 3 2 3 2 5 3 2" xfId="50703"/>
    <cellStyle name="Normal 5 3 2 3 2 5 4" xfId="31633"/>
    <cellStyle name="Normal 5 3 2 3 2 6" xfId="7517"/>
    <cellStyle name="Normal 5 3 2 3 2 6 2" xfId="19991"/>
    <cellStyle name="Normal 5 3 2 3 2 6 2 2" xfId="45544"/>
    <cellStyle name="Normal 5 3 2 3 2 6 3" xfId="33074"/>
    <cellStyle name="Normal 5 3 2 3 2 7" xfId="16502"/>
    <cellStyle name="Normal 5 3 2 3 2 7 2" xfId="42055"/>
    <cellStyle name="Normal 5 3 2 3 2 8" xfId="26474"/>
    <cellStyle name="Normal 5 3 2 3 3" xfId="802"/>
    <cellStyle name="Normal 5 3 2 3 3 2" xfId="3287"/>
    <cellStyle name="Normal 5 3 2 3 3 2 2" xfId="12429"/>
    <cellStyle name="Normal 5 3 2 3 3 2 2 2" xfId="22648"/>
    <cellStyle name="Normal 5 3 2 3 3 2 2 2 2" xfId="48201"/>
    <cellStyle name="Normal 5 3 2 3 3 2 2 3" xfId="37984"/>
    <cellStyle name="Normal 5 3 2 3 3 2 3" xfId="8851"/>
    <cellStyle name="Normal 5 3 2 3 3 2 3 2" xfId="34408"/>
    <cellStyle name="Normal 5 3 2 3 3 2 4" xfId="17641"/>
    <cellStyle name="Normal 5 3 2 3 3 2 4 2" xfId="43194"/>
    <cellStyle name="Normal 5 3 2 3 3 2 5" xfId="29131"/>
    <cellStyle name="Normal 5 3 2 3 3 3" xfId="4965"/>
    <cellStyle name="Normal 5 3 2 3 3 3 2" xfId="13802"/>
    <cellStyle name="Normal 5 3 2 3 3 3 2 2" xfId="24053"/>
    <cellStyle name="Normal 5 3 2 3 3 3 2 2 2" xfId="49606"/>
    <cellStyle name="Normal 5 3 2 3 3 3 2 3" xfId="39357"/>
    <cellStyle name="Normal 5 3 2 3 3 3 3" xfId="10223"/>
    <cellStyle name="Normal 5 3 2 3 3 3 3 2" xfId="35780"/>
    <cellStyle name="Normal 5 3 2 3 3 3 4" xfId="19046"/>
    <cellStyle name="Normal 5 3 2 3 3 3 4 2" xfId="44599"/>
    <cellStyle name="Normal 5 3 2 3 3 3 5" xfId="30536"/>
    <cellStyle name="Normal 5 3 2 3 3 4" xfId="2396"/>
    <cellStyle name="Normal 5 3 2 3 3 4 2" xfId="11761"/>
    <cellStyle name="Normal 5 3 2 3 3 4 2 2" xfId="37316"/>
    <cellStyle name="Normal 5 3 2 3 3 4 3" xfId="21765"/>
    <cellStyle name="Normal 5 3 2 3 3 4 3 2" xfId="47318"/>
    <cellStyle name="Normal 5 3 2 3 3 4 4" xfId="28248"/>
    <cellStyle name="Normal 5 3 2 3 3 5" xfId="6420"/>
    <cellStyle name="Normal 5 3 2 3 3 5 2" xfId="15247"/>
    <cellStyle name="Normal 5 3 2 3 3 5 2 2" xfId="40802"/>
    <cellStyle name="Normal 5 3 2 3 3 5 3" xfId="25498"/>
    <cellStyle name="Normal 5 3 2 3 3 5 3 2" xfId="51051"/>
    <cellStyle name="Normal 5 3 2 3 3 5 4" xfId="31981"/>
    <cellStyle name="Normal 5 3 2 3 3 6" xfId="7866"/>
    <cellStyle name="Normal 5 3 2 3 3 6 2" xfId="20247"/>
    <cellStyle name="Normal 5 3 2 3 3 6 2 2" xfId="45800"/>
    <cellStyle name="Normal 5 3 2 3 3 6 3" xfId="33423"/>
    <cellStyle name="Normal 5 3 2 3 3 7" xfId="16758"/>
    <cellStyle name="Normal 5 3 2 3 3 7 2" xfId="42311"/>
    <cellStyle name="Normal 5 3 2 3 3 8" xfId="26730"/>
    <cellStyle name="Normal 5 3 2 3 4" xfId="1317"/>
    <cellStyle name="Normal 5 3 2 3 4 2" xfId="3746"/>
    <cellStyle name="Normal 5 3 2 3 4 2 2" xfId="12882"/>
    <cellStyle name="Normal 5 3 2 3 4 2 2 2" xfId="23101"/>
    <cellStyle name="Normal 5 3 2 3 4 2 2 2 2" xfId="48654"/>
    <cellStyle name="Normal 5 3 2 3 4 2 2 3" xfId="38437"/>
    <cellStyle name="Normal 5 3 2 3 4 2 3" xfId="9303"/>
    <cellStyle name="Normal 5 3 2 3 4 2 3 2" xfId="34860"/>
    <cellStyle name="Normal 5 3 2 3 4 2 4" xfId="18094"/>
    <cellStyle name="Normal 5 3 2 3 4 2 4 2" xfId="43647"/>
    <cellStyle name="Normal 5 3 2 3 4 2 5" xfId="29584"/>
    <cellStyle name="Normal 5 3 2 3 4 3" xfId="5409"/>
    <cellStyle name="Normal 5 3 2 3 4 3 2" xfId="14246"/>
    <cellStyle name="Normal 5 3 2 3 4 3 2 2" xfId="24497"/>
    <cellStyle name="Normal 5 3 2 3 4 3 2 2 2" xfId="50050"/>
    <cellStyle name="Normal 5 3 2 3 4 3 2 3" xfId="39801"/>
    <cellStyle name="Normal 5 3 2 3 4 3 3" xfId="10667"/>
    <cellStyle name="Normal 5 3 2 3 4 3 3 2" xfId="36224"/>
    <cellStyle name="Normal 5 3 2 3 4 3 4" xfId="19490"/>
    <cellStyle name="Normal 5 3 2 3 4 3 4 2" xfId="45043"/>
    <cellStyle name="Normal 5 3 2 3 4 3 5" xfId="30980"/>
    <cellStyle name="Normal 5 3 2 3 4 4" xfId="1820"/>
    <cellStyle name="Normal 5 3 2 3 4 4 2" xfId="11188"/>
    <cellStyle name="Normal 5 3 2 3 4 4 2 2" xfId="36743"/>
    <cellStyle name="Normal 5 3 2 3 4 4 3" xfId="21192"/>
    <cellStyle name="Normal 5 3 2 3 4 4 3 2" xfId="46745"/>
    <cellStyle name="Normal 5 3 2 3 4 4 4" xfId="27675"/>
    <cellStyle name="Normal 5 3 2 3 4 5" xfId="6864"/>
    <cellStyle name="Normal 5 3 2 3 4 5 2" xfId="15691"/>
    <cellStyle name="Normal 5 3 2 3 4 5 2 2" xfId="41246"/>
    <cellStyle name="Normal 5 3 2 3 4 5 3" xfId="25942"/>
    <cellStyle name="Normal 5 3 2 3 4 5 3 2" xfId="51495"/>
    <cellStyle name="Normal 5 3 2 3 4 5 4" xfId="32425"/>
    <cellStyle name="Normal 5 3 2 3 4 6" xfId="8310"/>
    <cellStyle name="Normal 5 3 2 3 4 6 2" xfId="20700"/>
    <cellStyle name="Normal 5 3 2 3 4 6 2 2" xfId="46253"/>
    <cellStyle name="Normal 5 3 2 3 4 6 3" xfId="33867"/>
    <cellStyle name="Normal 5 3 2 3 4 7" xfId="16185"/>
    <cellStyle name="Normal 5 3 2 3 4 7 2" xfId="41738"/>
    <cellStyle name="Normal 5 3 2 3 4 8" xfId="27183"/>
    <cellStyle name="Normal 5 3 2 3 5" xfId="2714"/>
    <cellStyle name="Normal 5 3 2 3 5 2" xfId="12031"/>
    <cellStyle name="Normal 5 3 2 3 5 2 2" xfId="22075"/>
    <cellStyle name="Normal 5 3 2 3 5 2 2 2" xfId="47628"/>
    <cellStyle name="Normal 5 3 2 3 5 2 3" xfId="37586"/>
    <cellStyle name="Normal 5 3 2 3 5 3" xfId="8492"/>
    <cellStyle name="Normal 5 3 2 3 5 3 2" xfId="34049"/>
    <cellStyle name="Normal 5 3 2 3 5 4" xfId="17068"/>
    <cellStyle name="Normal 5 3 2 3 5 4 2" xfId="42621"/>
    <cellStyle name="Normal 5 3 2 3 5 5" xfId="28558"/>
    <cellStyle name="Normal 5 3 2 3 6" xfId="4365"/>
    <cellStyle name="Normal 5 3 2 3 6 2" xfId="13203"/>
    <cellStyle name="Normal 5 3 2 3 6 2 2" xfId="23454"/>
    <cellStyle name="Normal 5 3 2 3 6 2 2 2" xfId="49007"/>
    <cellStyle name="Normal 5 3 2 3 6 2 3" xfId="38758"/>
    <cellStyle name="Normal 5 3 2 3 6 3" xfId="9624"/>
    <cellStyle name="Normal 5 3 2 3 6 3 2" xfId="35181"/>
    <cellStyle name="Normal 5 3 2 3 6 4" xfId="18447"/>
    <cellStyle name="Normal 5 3 2 3 6 4 2" xfId="44000"/>
    <cellStyle name="Normal 5 3 2 3 6 5" xfId="29937"/>
    <cellStyle name="Normal 5 3 2 3 7" xfId="1637"/>
    <cellStyle name="Normal 5 3 2 3 7 2" xfId="11014"/>
    <cellStyle name="Normal 5 3 2 3 7 2 2" xfId="36569"/>
    <cellStyle name="Normal 5 3 2 3 7 3" xfId="21018"/>
    <cellStyle name="Normal 5 3 2 3 7 3 2" xfId="46571"/>
    <cellStyle name="Normal 5 3 2 3 7 4" xfId="27501"/>
    <cellStyle name="Normal 5 3 2 3 8" xfId="5821"/>
    <cellStyle name="Normal 5 3 2 3 8 2" xfId="14648"/>
    <cellStyle name="Normal 5 3 2 3 8 2 2" xfId="40203"/>
    <cellStyle name="Normal 5 3 2 3 8 3" xfId="24899"/>
    <cellStyle name="Normal 5 3 2 3 8 3 2" xfId="50452"/>
    <cellStyle name="Normal 5 3 2 3 8 4" xfId="31382"/>
    <cellStyle name="Normal 5 3 2 3 9" xfId="7265"/>
    <cellStyle name="Normal 5 3 2 3 9 2" xfId="19674"/>
    <cellStyle name="Normal 5 3 2 3 9 2 2" xfId="45227"/>
    <cellStyle name="Normal 5 3 2 3 9 3" xfId="32822"/>
    <cellStyle name="Normal 5 3 2 3_Degree data" xfId="3863"/>
    <cellStyle name="Normal 5 3 2 4" xfId="484"/>
    <cellStyle name="Normal 5 3 2 4 10" xfId="26413"/>
    <cellStyle name="Normal 5 3 2 4 2" xfId="803"/>
    <cellStyle name="Normal 5 3 2 4 2 2" xfId="3288"/>
    <cellStyle name="Normal 5 3 2 4 2 2 2" xfId="12430"/>
    <cellStyle name="Normal 5 3 2 4 2 2 2 2" xfId="22649"/>
    <cellStyle name="Normal 5 3 2 4 2 2 2 2 2" xfId="48202"/>
    <cellStyle name="Normal 5 3 2 4 2 2 2 3" xfId="37985"/>
    <cellStyle name="Normal 5 3 2 4 2 2 3" xfId="8852"/>
    <cellStyle name="Normal 5 3 2 4 2 2 3 2" xfId="34409"/>
    <cellStyle name="Normal 5 3 2 4 2 2 4" xfId="17642"/>
    <cellStyle name="Normal 5 3 2 4 2 2 4 2" xfId="43195"/>
    <cellStyle name="Normal 5 3 2 4 2 2 5" xfId="29132"/>
    <cellStyle name="Normal 5 3 2 4 2 3" xfId="4617"/>
    <cellStyle name="Normal 5 3 2 4 2 3 2" xfId="13455"/>
    <cellStyle name="Normal 5 3 2 4 2 3 2 2" xfId="23706"/>
    <cellStyle name="Normal 5 3 2 4 2 3 2 2 2" xfId="49259"/>
    <cellStyle name="Normal 5 3 2 4 2 3 2 3" xfId="39010"/>
    <cellStyle name="Normal 5 3 2 4 2 3 3" xfId="9876"/>
    <cellStyle name="Normal 5 3 2 4 2 3 3 2" xfId="35433"/>
    <cellStyle name="Normal 5 3 2 4 2 3 4" xfId="18699"/>
    <cellStyle name="Normal 5 3 2 4 2 3 4 2" xfId="44252"/>
    <cellStyle name="Normal 5 3 2 4 2 3 5" xfId="30189"/>
    <cellStyle name="Normal 5 3 2 4 2 4" xfId="2397"/>
    <cellStyle name="Normal 5 3 2 4 2 4 2" xfId="11762"/>
    <cellStyle name="Normal 5 3 2 4 2 4 2 2" xfId="37317"/>
    <cellStyle name="Normal 5 3 2 4 2 4 3" xfId="21766"/>
    <cellStyle name="Normal 5 3 2 4 2 4 3 2" xfId="47319"/>
    <cellStyle name="Normal 5 3 2 4 2 4 4" xfId="28249"/>
    <cellStyle name="Normal 5 3 2 4 2 5" xfId="6073"/>
    <cellStyle name="Normal 5 3 2 4 2 5 2" xfId="14900"/>
    <cellStyle name="Normal 5 3 2 4 2 5 2 2" xfId="40455"/>
    <cellStyle name="Normal 5 3 2 4 2 5 3" xfId="25151"/>
    <cellStyle name="Normal 5 3 2 4 2 5 3 2" xfId="50704"/>
    <cellStyle name="Normal 5 3 2 4 2 5 4" xfId="31634"/>
    <cellStyle name="Normal 5 3 2 4 2 6" xfId="7518"/>
    <cellStyle name="Normal 5 3 2 4 2 6 2" xfId="20248"/>
    <cellStyle name="Normal 5 3 2 4 2 6 2 2" xfId="45801"/>
    <cellStyle name="Normal 5 3 2 4 2 6 3" xfId="33075"/>
    <cellStyle name="Normal 5 3 2 4 2 7" xfId="16759"/>
    <cellStyle name="Normal 5 3 2 4 2 7 2" xfId="42312"/>
    <cellStyle name="Normal 5 3 2 4 2 8" xfId="26731"/>
    <cellStyle name="Normal 5 3 2 4 3" xfId="1256"/>
    <cellStyle name="Normal 5 3 2 4 3 2" xfId="3685"/>
    <cellStyle name="Normal 5 3 2 4 3 2 2" xfId="12821"/>
    <cellStyle name="Normal 5 3 2 4 3 2 2 2" xfId="23040"/>
    <cellStyle name="Normal 5 3 2 4 3 2 2 2 2" xfId="48593"/>
    <cellStyle name="Normal 5 3 2 4 3 2 2 3" xfId="38376"/>
    <cellStyle name="Normal 5 3 2 4 3 2 3" xfId="9242"/>
    <cellStyle name="Normal 5 3 2 4 3 2 3 2" xfId="34799"/>
    <cellStyle name="Normal 5 3 2 4 3 2 4" xfId="18033"/>
    <cellStyle name="Normal 5 3 2 4 3 2 4 2" xfId="43586"/>
    <cellStyle name="Normal 5 3 2 4 3 2 5" xfId="29523"/>
    <cellStyle name="Normal 5 3 2 4 3 3" xfId="4966"/>
    <cellStyle name="Normal 5 3 2 4 3 3 2" xfId="13803"/>
    <cellStyle name="Normal 5 3 2 4 3 3 2 2" xfId="24054"/>
    <cellStyle name="Normal 5 3 2 4 3 3 2 2 2" xfId="49607"/>
    <cellStyle name="Normal 5 3 2 4 3 3 2 3" xfId="39358"/>
    <cellStyle name="Normal 5 3 2 4 3 3 3" xfId="10224"/>
    <cellStyle name="Normal 5 3 2 4 3 3 3 2" xfId="35781"/>
    <cellStyle name="Normal 5 3 2 4 3 3 4" xfId="19047"/>
    <cellStyle name="Normal 5 3 2 4 3 3 4 2" xfId="44600"/>
    <cellStyle name="Normal 5 3 2 4 3 3 5" xfId="30537"/>
    <cellStyle name="Normal 5 3 2 4 3 4" xfId="2079"/>
    <cellStyle name="Normal 5 3 2 4 3 4 2" xfId="11444"/>
    <cellStyle name="Normal 5 3 2 4 3 4 2 2" xfId="36999"/>
    <cellStyle name="Normal 5 3 2 4 3 4 3" xfId="21448"/>
    <cellStyle name="Normal 5 3 2 4 3 4 3 2" xfId="47001"/>
    <cellStyle name="Normal 5 3 2 4 3 4 4" xfId="27931"/>
    <cellStyle name="Normal 5 3 2 4 3 5" xfId="6421"/>
    <cellStyle name="Normal 5 3 2 4 3 5 2" xfId="15248"/>
    <cellStyle name="Normal 5 3 2 4 3 5 2 2" xfId="40803"/>
    <cellStyle name="Normal 5 3 2 4 3 5 3" xfId="25499"/>
    <cellStyle name="Normal 5 3 2 4 3 5 3 2" xfId="51052"/>
    <cellStyle name="Normal 5 3 2 4 3 5 4" xfId="31982"/>
    <cellStyle name="Normal 5 3 2 4 3 6" xfId="7867"/>
    <cellStyle name="Normal 5 3 2 4 3 6 2" xfId="20639"/>
    <cellStyle name="Normal 5 3 2 4 3 6 2 2" xfId="46192"/>
    <cellStyle name="Normal 5 3 2 4 3 6 3" xfId="33424"/>
    <cellStyle name="Normal 5 3 2 4 3 7" xfId="16441"/>
    <cellStyle name="Normal 5 3 2 4 3 7 2" xfId="41994"/>
    <cellStyle name="Normal 5 3 2 4 3 8" xfId="27122"/>
    <cellStyle name="Normal 5 3 2 4 4" xfId="2970"/>
    <cellStyle name="Normal 5 3 2 4 4 2" xfId="5348"/>
    <cellStyle name="Normal 5 3 2 4 4 2 2" xfId="14185"/>
    <cellStyle name="Normal 5 3 2 4 4 2 2 2" xfId="24436"/>
    <cellStyle name="Normal 5 3 2 4 4 2 2 2 2" xfId="49989"/>
    <cellStyle name="Normal 5 3 2 4 4 2 2 3" xfId="39740"/>
    <cellStyle name="Normal 5 3 2 4 4 2 3" xfId="10606"/>
    <cellStyle name="Normal 5 3 2 4 4 2 3 2" xfId="36163"/>
    <cellStyle name="Normal 5 3 2 4 4 2 4" xfId="19429"/>
    <cellStyle name="Normal 5 3 2 4 4 2 4 2" xfId="44982"/>
    <cellStyle name="Normal 5 3 2 4 4 2 5" xfId="30919"/>
    <cellStyle name="Normal 5 3 2 4 4 3" xfId="6803"/>
    <cellStyle name="Normal 5 3 2 4 4 3 2" xfId="15630"/>
    <cellStyle name="Normal 5 3 2 4 4 3 2 2" xfId="41185"/>
    <cellStyle name="Normal 5 3 2 4 4 3 3" xfId="25881"/>
    <cellStyle name="Normal 5 3 2 4 4 3 3 2" xfId="51434"/>
    <cellStyle name="Normal 5 3 2 4 4 3 4" xfId="32364"/>
    <cellStyle name="Normal 5 3 2 4 4 4" xfId="8249"/>
    <cellStyle name="Normal 5 3 2 4 4 4 2" xfId="22331"/>
    <cellStyle name="Normal 5 3 2 4 4 4 2 2" xfId="47884"/>
    <cellStyle name="Normal 5 3 2 4 4 4 3" xfId="33806"/>
    <cellStyle name="Normal 5 3 2 4 4 5" xfId="17324"/>
    <cellStyle name="Normal 5 3 2 4 4 5 2" xfId="42877"/>
    <cellStyle name="Normal 5 3 2 4 4 6" xfId="28814"/>
    <cellStyle name="Normal 5 3 2 4 5" xfId="4304"/>
    <cellStyle name="Normal 5 3 2 4 5 2" xfId="13142"/>
    <cellStyle name="Normal 5 3 2 4 5 2 2" xfId="23393"/>
    <cellStyle name="Normal 5 3 2 4 5 2 2 2" xfId="48946"/>
    <cellStyle name="Normal 5 3 2 4 5 2 3" xfId="38697"/>
    <cellStyle name="Normal 5 3 2 4 5 3" xfId="9563"/>
    <cellStyle name="Normal 5 3 2 4 5 3 2" xfId="35120"/>
    <cellStyle name="Normal 5 3 2 4 5 4" xfId="18386"/>
    <cellStyle name="Normal 5 3 2 4 5 4 2" xfId="43939"/>
    <cellStyle name="Normal 5 3 2 4 5 5" xfId="29876"/>
    <cellStyle name="Normal 5 3 2 4 6" xfId="1576"/>
    <cellStyle name="Normal 5 3 2 4 6 2" xfId="10953"/>
    <cellStyle name="Normal 5 3 2 4 6 2 2" xfId="36508"/>
    <cellStyle name="Normal 5 3 2 4 6 3" xfId="20957"/>
    <cellStyle name="Normal 5 3 2 4 6 3 2" xfId="46510"/>
    <cellStyle name="Normal 5 3 2 4 6 4" xfId="27440"/>
    <cellStyle name="Normal 5 3 2 4 7" xfId="5760"/>
    <cellStyle name="Normal 5 3 2 4 7 2" xfId="14587"/>
    <cellStyle name="Normal 5 3 2 4 7 2 2" xfId="40142"/>
    <cellStyle name="Normal 5 3 2 4 7 3" xfId="24838"/>
    <cellStyle name="Normal 5 3 2 4 7 3 2" xfId="50391"/>
    <cellStyle name="Normal 5 3 2 4 7 4" xfId="31321"/>
    <cellStyle name="Normal 5 3 2 4 8" xfId="7204"/>
    <cellStyle name="Normal 5 3 2 4 8 2" xfId="19930"/>
    <cellStyle name="Normal 5 3 2 4 8 2 2" xfId="45483"/>
    <cellStyle name="Normal 5 3 2 4 8 3" xfId="32761"/>
    <cellStyle name="Normal 5 3 2 4 9" xfId="15950"/>
    <cellStyle name="Normal 5 3 2 4 9 2" xfId="41503"/>
    <cellStyle name="Normal 5 3 2 4_Degree data" xfId="3881"/>
    <cellStyle name="Normal 5 3 2 5" xfId="327"/>
    <cellStyle name="Normal 5 3 2 5 2" xfId="2813"/>
    <cellStyle name="Normal 5 3 2 5 2 2" xfId="12113"/>
    <cellStyle name="Normal 5 3 2 5 2 2 2" xfId="22174"/>
    <cellStyle name="Normal 5 3 2 5 2 2 2 2" xfId="47727"/>
    <cellStyle name="Normal 5 3 2 5 2 2 3" xfId="37668"/>
    <cellStyle name="Normal 5 3 2 5 2 3" xfId="8393"/>
    <cellStyle name="Normal 5 3 2 5 2 3 2" xfId="33950"/>
    <cellStyle name="Normal 5 3 2 5 2 4" xfId="17167"/>
    <cellStyle name="Normal 5 3 2 5 2 4 2" xfId="42720"/>
    <cellStyle name="Normal 5 3 2 5 2 5" xfId="28657"/>
    <cellStyle name="Normal 5 3 2 5 3" xfId="4613"/>
    <cellStyle name="Normal 5 3 2 5 3 2" xfId="13451"/>
    <cellStyle name="Normal 5 3 2 5 3 2 2" xfId="23702"/>
    <cellStyle name="Normal 5 3 2 5 3 2 2 2" xfId="49255"/>
    <cellStyle name="Normal 5 3 2 5 3 2 3" xfId="39006"/>
    <cellStyle name="Normal 5 3 2 5 3 3" xfId="9872"/>
    <cellStyle name="Normal 5 3 2 5 3 3 2" xfId="35429"/>
    <cellStyle name="Normal 5 3 2 5 3 4" xfId="18695"/>
    <cellStyle name="Normal 5 3 2 5 3 4 2" xfId="44248"/>
    <cellStyle name="Normal 5 3 2 5 3 5" xfId="30185"/>
    <cellStyle name="Normal 5 3 2 5 4" xfId="1922"/>
    <cellStyle name="Normal 5 3 2 5 4 2" xfId="11287"/>
    <cellStyle name="Normal 5 3 2 5 4 2 2" xfId="36842"/>
    <cellStyle name="Normal 5 3 2 5 4 3" xfId="21291"/>
    <cellStyle name="Normal 5 3 2 5 4 3 2" xfId="46844"/>
    <cellStyle name="Normal 5 3 2 5 4 4" xfId="27774"/>
    <cellStyle name="Normal 5 3 2 5 5" xfId="6069"/>
    <cellStyle name="Normal 5 3 2 5 5 2" xfId="14896"/>
    <cellStyle name="Normal 5 3 2 5 5 2 2" xfId="40451"/>
    <cellStyle name="Normal 5 3 2 5 5 3" xfId="25147"/>
    <cellStyle name="Normal 5 3 2 5 5 3 2" xfId="50700"/>
    <cellStyle name="Normal 5 3 2 5 5 4" xfId="31630"/>
    <cellStyle name="Normal 5 3 2 5 6" xfId="7514"/>
    <cellStyle name="Normal 5 3 2 5 6 2" xfId="19773"/>
    <cellStyle name="Normal 5 3 2 5 6 2 2" xfId="45326"/>
    <cellStyle name="Normal 5 3 2 5 6 3" xfId="33071"/>
    <cellStyle name="Normal 5 3 2 5 7" xfId="16284"/>
    <cellStyle name="Normal 5 3 2 5 7 2" xfId="41837"/>
    <cellStyle name="Normal 5 3 2 5 8" xfId="26256"/>
    <cellStyle name="Normal 5 3 2 6" xfId="799"/>
    <cellStyle name="Normal 5 3 2 6 2" xfId="3284"/>
    <cellStyle name="Normal 5 3 2 6 2 2" xfId="12426"/>
    <cellStyle name="Normal 5 3 2 6 2 2 2" xfId="22645"/>
    <cellStyle name="Normal 5 3 2 6 2 2 2 2" xfId="48198"/>
    <cellStyle name="Normal 5 3 2 6 2 2 3" xfId="37981"/>
    <cellStyle name="Normal 5 3 2 6 2 3" xfId="8848"/>
    <cellStyle name="Normal 5 3 2 6 2 3 2" xfId="34405"/>
    <cellStyle name="Normal 5 3 2 6 2 4" xfId="17638"/>
    <cellStyle name="Normal 5 3 2 6 2 4 2" xfId="43191"/>
    <cellStyle name="Normal 5 3 2 6 2 5" xfId="29128"/>
    <cellStyle name="Normal 5 3 2 6 3" xfId="4962"/>
    <cellStyle name="Normal 5 3 2 6 3 2" xfId="13799"/>
    <cellStyle name="Normal 5 3 2 6 3 2 2" xfId="24050"/>
    <cellStyle name="Normal 5 3 2 6 3 2 2 2" xfId="49603"/>
    <cellStyle name="Normal 5 3 2 6 3 2 3" xfId="39354"/>
    <cellStyle name="Normal 5 3 2 6 3 3" xfId="10220"/>
    <cellStyle name="Normal 5 3 2 6 3 3 2" xfId="35777"/>
    <cellStyle name="Normal 5 3 2 6 3 4" xfId="19043"/>
    <cellStyle name="Normal 5 3 2 6 3 4 2" xfId="44596"/>
    <cellStyle name="Normal 5 3 2 6 3 5" xfId="30533"/>
    <cellStyle name="Normal 5 3 2 6 4" xfId="2393"/>
    <cellStyle name="Normal 5 3 2 6 4 2" xfId="11758"/>
    <cellStyle name="Normal 5 3 2 6 4 2 2" xfId="37313"/>
    <cellStyle name="Normal 5 3 2 6 4 3" xfId="21762"/>
    <cellStyle name="Normal 5 3 2 6 4 3 2" xfId="47315"/>
    <cellStyle name="Normal 5 3 2 6 4 4" xfId="28245"/>
    <cellStyle name="Normal 5 3 2 6 5" xfId="6417"/>
    <cellStyle name="Normal 5 3 2 6 5 2" xfId="15244"/>
    <cellStyle name="Normal 5 3 2 6 5 2 2" xfId="40799"/>
    <cellStyle name="Normal 5 3 2 6 5 3" xfId="25495"/>
    <cellStyle name="Normal 5 3 2 6 5 3 2" xfId="51048"/>
    <cellStyle name="Normal 5 3 2 6 5 4" xfId="31978"/>
    <cellStyle name="Normal 5 3 2 6 6" xfId="7863"/>
    <cellStyle name="Normal 5 3 2 6 6 2" xfId="20244"/>
    <cellStyle name="Normal 5 3 2 6 6 2 2" xfId="45797"/>
    <cellStyle name="Normal 5 3 2 6 6 3" xfId="33420"/>
    <cellStyle name="Normal 5 3 2 6 7" xfId="16755"/>
    <cellStyle name="Normal 5 3 2 6 7 2" xfId="42308"/>
    <cellStyle name="Normal 5 3 2 6 8" xfId="26727"/>
    <cellStyle name="Normal 5 3 2 7" xfId="1099"/>
    <cellStyle name="Normal 5 3 2 7 2" xfId="3528"/>
    <cellStyle name="Normal 5 3 2 7 2 2" xfId="12664"/>
    <cellStyle name="Normal 5 3 2 7 2 2 2" xfId="22883"/>
    <cellStyle name="Normal 5 3 2 7 2 2 2 2" xfId="48436"/>
    <cellStyle name="Normal 5 3 2 7 2 2 3" xfId="38219"/>
    <cellStyle name="Normal 5 3 2 7 2 3" xfId="9085"/>
    <cellStyle name="Normal 5 3 2 7 2 3 2" xfId="34642"/>
    <cellStyle name="Normal 5 3 2 7 2 4" xfId="17876"/>
    <cellStyle name="Normal 5 3 2 7 2 4 2" xfId="43429"/>
    <cellStyle name="Normal 5 3 2 7 2 5" xfId="29366"/>
    <cellStyle name="Normal 5 3 2 7 3" xfId="5191"/>
    <cellStyle name="Normal 5 3 2 7 3 2" xfId="14028"/>
    <cellStyle name="Normal 5 3 2 7 3 2 2" xfId="24279"/>
    <cellStyle name="Normal 5 3 2 7 3 2 2 2" xfId="49832"/>
    <cellStyle name="Normal 5 3 2 7 3 2 3" xfId="39583"/>
    <cellStyle name="Normal 5 3 2 7 3 3" xfId="10449"/>
    <cellStyle name="Normal 5 3 2 7 3 3 2" xfId="36006"/>
    <cellStyle name="Normal 5 3 2 7 3 4" xfId="19272"/>
    <cellStyle name="Normal 5 3 2 7 3 4 2" xfId="44825"/>
    <cellStyle name="Normal 5 3 2 7 3 5" xfId="30762"/>
    <cellStyle name="Normal 5 3 2 7 4" xfId="1756"/>
    <cellStyle name="Normal 5 3 2 7 4 2" xfId="11127"/>
    <cellStyle name="Normal 5 3 2 7 4 2 2" xfId="36682"/>
    <cellStyle name="Normal 5 3 2 7 4 3" xfId="21131"/>
    <cellStyle name="Normal 5 3 2 7 4 3 2" xfId="46684"/>
    <cellStyle name="Normal 5 3 2 7 4 4" xfId="27614"/>
    <cellStyle name="Normal 5 3 2 7 5" xfId="6646"/>
    <cellStyle name="Normal 5 3 2 7 5 2" xfId="15473"/>
    <cellStyle name="Normal 5 3 2 7 5 2 2" xfId="41028"/>
    <cellStyle name="Normal 5 3 2 7 5 3" xfId="25724"/>
    <cellStyle name="Normal 5 3 2 7 5 3 2" xfId="51277"/>
    <cellStyle name="Normal 5 3 2 7 5 4" xfId="32207"/>
    <cellStyle name="Normal 5 3 2 7 6" xfId="8092"/>
    <cellStyle name="Normal 5 3 2 7 6 2" xfId="20482"/>
    <cellStyle name="Normal 5 3 2 7 6 2 2" xfId="46035"/>
    <cellStyle name="Normal 5 3 2 7 6 3" xfId="33649"/>
    <cellStyle name="Normal 5 3 2 7 7" xfId="16124"/>
    <cellStyle name="Normal 5 3 2 7 7 2" xfId="41677"/>
    <cellStyle name="Normal 5 3 2 7 8" xfId="26965"/>
    <cellStyle name="Normal 5 3 2 8" xfId="2653"/>
    <cellStyle name="Normal 5 3 2 8 2" xfId="11974"/>
    <cellStyle name="Normal 5 3 2 8 2 2" xfId="22014"/>
    <cellStyle name="Normal 5 3 2 8 2 2 2" xfId="47567"/>
    <cellStyle name="Normal 5 3 2 8 2 3" xfId="37529"/>
    <cellStyle name="Normal 5 3 2 8 3" xfId="8414"/>
    <cellStyle name="Normal 5 3 2 8 3 2" xfId="33971"/>
    <cellStyle name="Normal 5 3 2 8 4" xfId="17007"/>
    <cellStyle name="Normal 5 3 2 8 4 2" xfId="42560"/>
    <cellStyle name="Normal 5 3 2 8 5" xfId="28497"/>
    <cellStyle name="Normal 5 3 2 9" xfId="4145"/>
    <cellStyle name="Normal 5 3 2 9 2" xfId="12983"/>
    <cellStyle name="Normal 5 3 2 9 2 2" xfId="23234"/>
    <cellStyle name="Normal 5 3 2 9 2 2 2" xfId="48787"/>
    <cellStyle name="Normal 5 3 2 9 2 3" xfId="38538"/>
    <cellStyle name="Normal 5 3 2 9 3" xfId="9404"/>
    <cellStyle name="Normal 5 3 2 9 3 2" xfId="34961"/>
    <cellStyle name="Normal 5 3 2 9 4" xfId="18227"/>
    <cellStyle name="Normal 5 3 2 9 4 2" xfId="43780"/>
    <cellStyle name="Normal 5 3 2 9 5" xfId="29717"/>
    <cellStyle name="Normal 5 3 2_Degree data" xfId="3867"/>
    <cellStyle name="Normal 5 3 3" xfId="201"/>
    <cellStyle name="Normal 5 3 3 10" xfId="7147"/>
    <cellStyle name="Normal 5 3 3 10 2" xfId="19656"/>
    <cellStyle name="Normal 5 3 3 10 2 2" xfId="45209"/>
    <cellStyle name="Normal 5 3 3 10 3" xfId="32704"/>
    <cellStyle name="Normal 5 3 3 11" xfId="15893"/>
    <cellStyle name="Normal 5 3 3 11 2" xfId="41446"/>
    <cellStyle name="Normal 5 3 3 12" xfId="26139"/>
    <cellStyle name="Normal 5 3 3 2" xfId="527"/>
    <cellStyle name="Normal 5 3 3 2 10" xfId="26456"/>
    <cellStyle name="Normal 5 3 3 2 2" xfId="805"/>
    <cellStyle name="Normal 5 3 3 2 2 2" xfId="3290"/>
    <cellStyle name="Normal 5 3 3 2 2 2 2" xfId="12432"/>
    <cellStyle name="Normal 5 3 3 2 2 2 2 2" xfId="22651"/>
    <cellStyle name="Normal 5 3 3 2 2 2 2 2 2" xfId="48204"/>
    <cellStyle name="Normal 5 3 3 2 2 2 2 3" xfId="37987"/>
    <cellStyle name="Normal 5 3 3 2 2 2 3" xfId="8854"/>
    <cellStyle name="Normal 5 3 3 2 2 2 3 2" xfId="34411"/>
    <cellStyle name="Normal 5 3 3 2 2 2 4" xfId="17644"/>
    <cellStyle name="Normal 5 3 3 2 2 2 4 2" xfId="43197"/>
    <cellStyle name="Normal 5 3 3 2 2 2 5" xfId="29134"/>
    <cellStyle name="Normal 5 3 3 2 2 3" xfId="4619"/>
    <cellStyle name="Normal 5 3 3 2 2 3 2" xfId="13457"/>
    <cellStyle name="Normal 5 3 3 2 2 3 2 2" xfId="23708"/>
    <cellStyle name="Normal 5 3 3 2 2 3 2 2 2" xfId="49261"/>
    <cellStyle name="Normal 5 3 3 2 2 3 2 3" xfId="39012"/>
    <cellStyle name="Normal 5 3 3 2 2 3 3" xfId="9878"/>
    <cellStyle name="Normal 5 3 3 2 2 3 3 2" xfId="35435"/>
    <cellStyle name="Normal 5 3 3 2 2 3 4" xfId="18701"/>
    <cellStyle name="Normal 5 3 3 2 2 3 4 2" xfId="44254"/>
    <cellStyle name="Normal 5 3 3 2 2 3 5" xfId="30191"/>
    <cellStyle name="Normal 5 3 3 2 2 4" xfId="2399"/>
    <cellStyle name="Normal 5 3 3 2 2 4 2" xfId="11764"/>
    <cellStyle name="Normal 5 3 3 2 2 4 2 2" xfId="37319"/>
    <cellStyle name="Normal 5 3 3 2 2 4 3" xfId="21768"/>
    <cellStyle name="Normal 5 3 3 2 2 4 3 2" xfId="47321"/>
    <cellStyle name="Normal 5 3 3 2 2 4 4" xfId="28251"/>
    <cellStyle name="Normal 5 3 3 2 2 5" xfId="6075"/>
    <cellStyle name="Normal 5 3 3 2 2 5 2" xfId="14902"/>
    <cellStyle name="Normal 5 3 3 2 2 5 2 2" xfId="40457"/>
    <cellStyle name="Normal 5 3 3 2 2 5 3" xfId="25153"/>
    <cellStyle name="Normal 5 3 3 2 2 5 3 2" xfId="50706"/>
    <cellStyle name="Normal 5 3 3 2 2 5 4" xfId="31636"/>
    <cellStyle name="Normal 5 3 3 2 2 6" xfId="7520"/>
    <cellStyle name="Normal 5 3 3 2 2 6 2" xfId="20250"/>
    <cellStyle name="Normal 5 3 3 2 2 6 2 2" xfId="45803"/>
    <cellStyle name="Normal 5 3 3 2 2 6 3" xfId="33077"/>
    <cellStyle name="Normal 5 3 3 2 2 7" xfId="16761"/>
    <cellStyle name="Normal 5 3 3 2 2 7 2" xfId="42314"/>
    <cellStyle name="Normal 5 3 3 2 2 8" xfId="26733"/>
    <cellStyle name="Normal 5 3 3 2 3" xfId="1299"/>
    <cellStyle name="Normal 5 3 3 2 3 2" xfId="3728"/>
    <cellStyle name="Normal 5 3 3 2 3 2 2" xfId="12864"/>
    <cellStyle name="Normal 5 3 3 2 3 2 2 2" xfId="23083"/>
    <cellStyle name="Normal 5 3 3 2 3 2 2 2 2" xfId="48636"/>
    <cellStyle name="Normal 5 3 3 2 3 2 2 3" xfId="38419"/>
    <cellStyle name="Normal 5 3 3 2 3 2 3" xfId="9285"/>
    <cellStyle name="Normal 5 3 3 2 3 2 3 2" xfId="34842"/>
    <cellStyle name="Normal 5 3 3 2 3 2 4" xfId="18076"/>
    <cellStyle name="Normal 5 3 3 2 3 2 4 2" xfId="43629"/>
    <cellStyle name="Normal 5 3 3 2 3 2 5" xfId="29566"/>
    <cellStyle name="Normal 5 3 3 2 3 3" xfId="4968"/>
    <cellStyle name="Normal 5 3 3 2 3 3 2" xfId="13805"/>
    <cellStyle name="Normal 5 3 3 2 3 3 2 2" xfId="24056"/>
    <cellStyle name="Normal 5 3 3 2 3 3 2 2 2" xfId="49609"/>
    <cellStyle name="Normal 5 3 3 2 3 3 2 3" xfId="39360"/>
    <cellStyle name="Normal 5 3 3 2 3 3 3" xfId="10226"/>
    <cellStyle name="Normal 5 3 3 2 3 3 3 2" xfId="35783"/>
    <cellStyle name="Normal 5 3 3 2 3 3 4" xfId="19049"/>
    <cellStyle name="Normal 5 3 3 2 3 3 4 2" xfId="44602"/>
    <cellStyle name="Normal 5 3 3 2 3 3 5" xfId="30539"/>
    <cellStyle name="Normal 5 3 3 2 3 4" xfId="2122"/>
    <cellStyle name="Normal 5 3 3 2 3 4 2" xfId="11487"/>
    <cellStyle name="Normal 5 3 3 2 3 4 2 2" xfId="37042"/>
    <cellStyle name="Normal 5 3 3 2 3 4 3" xfId="21491"/>
    <cellStyle name="Normal 5 3 3 2 3 4 3 2" xfId="47044"/>
    <cellStyle name="Normal 5 3 3 2 3 4 4" xfId="27974"/>
    <cellStyle name="Normal 5 3 3 2 3 5" xfId="6423"/>
    <cellStyle name="Normal 5 3 3 2 3 5 2" xfId="15250"/>
    <cellStyle name="Normal 5 3 3 2 3 5 2 2" xfId="40805"/>
    <cellStyle name="Normal 5 3 3 2 3 5 3" xfId="25501"/>
    <cellStyle name="Normal 5 3 3 2 3 5 3 2" xfId="51054"/>
    <cellStyle name="Normal 5 3 3 2 3 5 4" xfId="31984"/>
    <cellStyle name="Normal 5 3 3 2 3 6" xfId="7869"/>
    <cellStyle name="Normal 5 3 3 2 3 6 2" xfId="20682"/>
    <cellStyle name="Normal 5 3 3 2 3 6 2 2" xfId="46235"/>
    <cellStyle name="Normal 5 3 3 2 3 6 3" xfId="33426"/>
    <cellStyle name="Normal 5 3 3 2 3 7" xfId="16484"/>
    <cellStyle name="Normal 5 3 3 2 3 7 2" xfId="42037"/>
    <cellStyle name="Normal 5 3 3 2 3 8" xfId="27165"/>
    <cellStyle name="Normal 5 3 3 2 4" xfId="3013"/>
    <cellStyle name="Normal 5 3 3 2 4 2" xfId="5391"/>
    <cellStyle name="Normal 5 3 3 2 4 2 2" xfId="14228"/>
    <cellStyle name="Normal 5 3 3 2 4 2 2 2" xfId="24479"/>
    <cellStyle name="Normal 5 3 3 2 4 2 2 2 2" xfId="50032"/>
    <cellStyle name="Normal 5 3 3 2 4 2 2 3" xfId="39783"/>
    <cellStyle name="Normal 5 3 3 2 4 2 3" xfId="10649"/>
    <cellStyle name="Normal 5 3 3 2 4 2 3 2" xfId="36206"/>
    <cellStyle name="Normal 5 3 3 2 4 2 4" xfId="19472"/>
    <cellStyle name="Normal 5 3 3 2 4 2 4 2" xfId="45025"/>
    <cellStyle name="Normal 5 3 3 2 4 2 5" xfId="30962"/>
    <cellStyle name="Normal 5 3 3 2 4 3" xfId="6846"/>
    <cellStyle name="Normal 5 3 3 2 4 3 2" xfId="15673"/>
    <cellStyle name="Normal 5 3 3 2 4 3 2 2" xfId="41228"/>
    <cellStyle name="Normal 5 3 3 2 4 3 3" xfId="25924"/>
    <cellStyle name="Normal 5 3 3 2 4 3 3 2" xfId="51477"/>
    <cellStyle name="Normal 5 3 3 2 4 3 4" xfId="32407"/>
    <cellStyle name="Normal 5 3 3 2 4 4" xfId="8292"/>
    <cellStyle name="Normal 5 3 3 2 4 4 2" xfId="22374"/>
    <cellStyle name="Normal 5 3 3 2 4 4 2 2" xfId="47927"/>
    <cellStyle name="Normal 5 3 3 2 4 4 3" xfId="33849"/>
    <cellStyle name="Normal 5 3 3 2 4 5" xfId="17367"/>
    <cellStyle name="Normal 5 3 3 2 4 5 2" xfId="42920"/>
    <cellStyle name="Normal 5 3 3 2 4 6" xfId="28857"/>
    <cellStyle name="Normal 5 3 3 2 5" xfId="4347"/>
    <cellStyle name="Normal 5 3 3 2 5 2" xfId="13185"/>
    <cellStyle name="Normal 5 3 3 2 5 2 2" xfId="23436"/>
    <cellStyle name="Normal 5 3 3 2 5 2 2 2" xfId="48989"/>
    <cellStyle name="Normal 5 3 3 2 5 2 3" xfId="38740"/>
    <cellStyle name="Normal 5 3 3 2 5 3" xfId="9606"/>
    <cellStyle name="Normal 5 3 3 2 5 3 2" xfId="35163"/>
    <cellStyle name="Normal 5 3 3 2 5 4" xfId="18429"/>
    <cellStyle name="Normal 5 3 3 2 5 4 2" xfId="43982"/>
    <cellStyle name="Normal 5 3 3 2 5 5" xfId="29919"/>
    <cellStyle name="Normal 5 3 3 2 6" xfId="1619"/>
    <cellStyle name="Normal 5 3 3 2 6 2" xfId="10996"/>
    <cellStyle name="Normal 5 3 3 2 6 2 2" xfId="36551"/>
    <cellStyle name="Normal 5 3 3 2 6 3" xfId="21000"/>
    <cellStyle name="Normal 5 3 3 2 6 3 2" xfId="46553"/>
    <cellStyle name="Normal 5 3 3 2 6 4" xfId="27483"/>
    <cellStyle name="Normal 5 3 3 2 7" xfId="5803"/>
    <cellStyle name="Normal 5 3 3 2 7 2" xfId="14630"/>
    <cellStyle name="Normal 5 3 3 2 7 2 2" xfId="40185"/>
    <cellStyle name="Normal 5 3 3 2 7 3" xfId="24881"/>
    <cellStyle name="Normal 5 3 3 2 7 3 2" xfId="50434"/>
    <cellStyle name="Normal 5 3 3 2 7 4" xfId="31364"/>
    <cellStyle name="Normal 5 3 3 2 8" xfId="7247"/>
    <cellStyle name="Normal 5 3 3 2 8 2" xfId="19973"/>
    <cellStyle name="Normal 5 3 3 2 8 2 2" xfId="45526"/>
    <cellStyle name="Normal 5 3 3 2 8 3" xfId="32804"/>
    <cellStyle name="Normal 5 3 3 2 9" xfId="15993"/>
    <cellStyle name="Normal 5 3 3 2 9 2" xfId="41546"/>
    <cellStyle name="Normal 5 3 3 2_Degree data" xfId="3825"/>
    <cellStyle name="Normal 5 3 3 3" xfId="427"/>
    <cellStyle name="Normal 5 3 3 3 2" xfId="2913"/>
    <cellStyle name="Normal 5 3 3 3 2 2" xfId="12201"/>
    <cellStyle name="Normal 5 3 3 3 2 2 2" xfId="22274"/>
    <cellStyle name="Normal 5 3 3 3 2 2 2 2" xfId="47827"/>
    <cellStyle name="Normal 5 3 3 3 2 2 3" xfId="37756"/>
    <cellStyle name="Normal 5 3 3 3 2 3" xfId="8512"/>
    <cellStyle name="Normal 5 3 3 3 2 3 2" xfId="34069"/>
    <cellStyle name="Normal 5 3 3 3 2 4" xfId="17267"/>
    <cellStyle name="Normal 5 3 3 3 2 4 2" xfId="42820"/>
    <cellStyle name="Normal 5 3 3 3 2 5" xfId="28757"/>
    <cellStyle name="Normal 5 3 3 3 3" xfId="4618"/>
    <cellStyle name="Normal 5 3 3 3 3 2" xfId="13456"/>
    <cellStyle name="Normal 5 3 3 3 3 2 2" xfId="23707"/>
    <cellStyle name="Normal 5 3 3 3 3 2 2 2" xfId="49260"/>
    <cellStyle name="Normal 5 3 3 3 3 2 3" xfId="39011"/>
    <cellStyle name="Normal 5 3 3 3 3 3" xfId="9877"/>
    <cellStyle name="Normal 5 3 3 3 3 3 2" xfId="35434"/>
    <cellStyle name="Normal 5 3 3 3 3 4" xfId="18700"/>
    <cellStyle name="Normal 5 3 3 3 3 4 2" xfId="44253"/>
    <cellStyle name="Normal 5 3 3 3 3 5" xfId="30190"/>
    <cellStyle name="Normal 5 3 3 3 4" xfId="2022"/>
    <cellStyle name="Normal 5 3 3 3 4 2" xfId="11387"/>
    <cellStyle name="Normal 5 3 3 3 4 2 2" xfId="36942"/>
    <cellStyle name="Normal 5 3 3 3 4 3" xfId="21391"/>
    <cellStyle name="Normal 5 3 3 3 4 3 2" xfId="46944"/>
    <cellStyle name="Normal 5 3 3 3 4 4" xfId="27874"/>
    <cellStyle name="Normal 5 3 3 3 5" xfId="6074"/>
    <cellStyle name="Normal 5 3 3 3 5 2" xfId="14901"/>
    <cellStyle name="Normal 5 3 3 3 5 2 2" xfId="40456"/>
    <cellStyle name="Normal 5 3 3 3 5 3" xfId="25152"/>
    <cellStyle name="Normal 5 3 3 3 5 3 2" xfId="50705"/>
    <cellStyle name="Normal 5 3 3 3 5 4" xfId="31635"/>
    <cellStyle name="Normal 5 3 3 3 6" xfId="7519"/>
    <cellStyle name="Normal 5 3 3 3 6 2" xfId="19873"/>
    <cellStyle name="Normal 5 3 3 3 6 2 2" xfId="45426"/>
    <cellStyle name="Normal 5 3 3 3 6 3" xfId="33076"/>
    <cellStyle name="Normal 5 3 3 3 7" xfId="16384"/>
    <cellStyle name="Normal 5 3 3 3 7 2" xfId="41937"/>
    <cellStyle name="Normal 5 3 3 3 8" xfId="26356"/>
    <cellStyle name="Normal 5 3 3 4" xfId="804"/>
    <cellStyle name="Normal 5 3 3 4 2" xfId="3289"/>
    <cellStyle name="Normal 5 3 3 4 2 2" xfId="12431"/>
    <cellStyle name="Normal 5 3 3 4 2 2 2" xfId="22650"/>
    <cellStyle name="Normal 5 3 3 4 2 2 2 2" xfId="48203"/>
    <cellStyle name="Normal 5 3 3 4 2 2 3" xfId="37986"/>
    <cellStyle name="Normal 5 3 3 4 2 3" xfId="8853"/>
    <cellStyle name="Normal 5 3 3 4 2 3 2" xfId="34410"/>
    <cellStyle name="Normal 5 3 3 4 2 4" xfId="17643"/>
    <cellStyle name="Normal 5 3 3 4 2 4 2" xfId="43196"/>
    <cellStyle name="Normal 5 3 3 4 2 5" xfId="29133"/>
    <cellStyle name="Normal 5 3 3 4 3" xfId="4967"/>
    <cellStyle name="Normal 5 3 3 4 3 2" xfId="13804"/>
    <cellStyle name="Normal 5 3 3 4 3 2 2" xfId="24055"/>
    <cellStyle name="Normal 5 3 3 4 3 2 2 2" xfId="49608"/>
    <cellStyle name="Normal 5 3 3 4 3 2 3" xfId="39359"/>
    <cellStyle name="Normal 5 3 3 4 3 3" xfId="10225"/>
    <cellStyle name="Normal 5 3 3 4 3 3 2" xfId="35782"/>
    <cellStyle name="Normal 5 3 3 4 3 4" xfId="19048"/>
    <cellStyle name="Normal 5 3 3 4 3 4 2" xfId="44601"/>
    <cellStyle name="Normal 5 3 3 4 3 5" xfId="30538"/>
    <cellStyle name="Normal 5 3 3 4 4" xfId="2398"/>
    <cellStyle name="Normal 5 3 3 4 4 2" xfId="11763"/>
    <cellStyle name="Normal 5 3 3 4 4 2 2" xfId="37318"/>
    <cellStyle name="Normal 5 3 3 4 4 3" xfId="21767"/>
    <cellStyle name="Normal 5 3 3 4 4 3 2" xfId="47320"/>
    <cellStyle name="Normal 5 3 3 4 4 4" xfId="28250"/>
    <cellStyle name="Normal 5 3 3 4 5" xfId="6422"/>
    <cellStyle name="Normal 5 3 3 4 5 2" xfId="15249"/>
    <cellStyle name="Normal 5 3 3 4 5 2 2" xfId="40804"/>
    <cellStyle name="Normal 5 3 3 4 5 3" xfId="25500"/>
    <cellStyle name="Normal 5 3 3 4 5 3 2" xfId="51053"/>
    <cellStyle name="Normal 5 3 3 4 5 4" xfId="31983"/>
    <cellStyle name="Normal 5 3 3 4 6" xfId="7868"/>
    <cellStyle name="Normal 5 3 3 4 6 2" xfId="20249"/>
    <cellStyle name="Normal 5 3 3 4 6 2 2" xfId="45802"/>
    <cellStyle name="Normal 5 3 3 4 6 3" xfId="33425"/>
    <cellStyle name="Normal 5 3 3 4 7" xfId="16760"/>
    <cellStyle name="Normal 5 3 3 4 7 2" xfId="42313"/>
    <cellStyle name="Normal 5 3 3 4 8" xfId="26732"/>
    <cellStyle name="Normal 5 3 3 5" xfId="1199"/>
    <cellStyle name="Normal 5 3 3 5 2" xfId="3628"/>
    <cellStyle name="Normal 5 3 3 5 2 2" xfId="12764"/>
    <cellStyle name="Normal 5 3 3 5 2 2 2" xfId="22983"/>
    <cellStyle name="Normal 5 3 3 5 2 2 2 2" xfId="48536"/>
    <cellStyle name="Normal 5 3 3 5 2 2 3" xfId="38319"/>
    <cellStyle name="Normal 5 3 3 5 2 3" xfId="9185"/>
    <cellStyle name="Normal 5 3 3 5 2 3 2" xfId="34742"/>
    <cellStyle name="Normal 5 3 3 5 2 4" xfId="17976"/>
    <cellStyle name="Normal 5 3 3 5 2 4 2" xfId="43529"/>
    <cellStyle name="Normal 5 3 3 5 2 5" xfId="29466"/>
    <cellStyle name="Normal 5 3 3 5 3" xfId="5291"/>
    <cellStyle name="Normal 5 3 3 5 3 2" xfId="14128"/>
    <cellStyle name="Normal 5 3 3 5 3 2 2" xfId="24379"/>
    <cellStyle name="Normal 5 3 3 5 3 2 2 2" xfId="49932"/>
    <cellStyle name="Normal 5 3 3 5 3 2 3" xfId="39683"/>
    <cellStyle name="Normal 5 3 3 5 3 3" xfId="10549"/>
    <cellStyle name="Normal 5 3 3 5 3 3 2" xfId="36106"/>
    <cellStyle name="Normal 5 3 3 5 3 4" xfId="19372"/>
    <cellStyle name="Normal 5 3 3 5 3 4 2" xfId="44925"/>
    <cellStyle name="Normal 5 3 3 5 3 5" xfId="30862"/>
    <cellStyle name="Normal 5 3 3 5 4" xfId="1802"/>
    <cellStyle name="Normal 5 3 3 5 4 2" xfId="11170"/>
    <cellStyle name="Normal 5 3 3 5 4 2 2" xfId="36725"/>
    <cellStyle name="Normal 5 3 3 5 4 3" xfId="21174"/>
    <cellStyle name="Normal 5 3 3 5 4 3 2" xfId="46727"/>
    <cellStyle name="Normal 5 3 3 5 4 4" xfId="27657"/>
    <cellStyle name="Normal 5 3 3 5 5" xfId="6746"/>
    <cellStyle name="Normal 5 3 3 5 5 2" xfId="15573"/>
    <cellStyle name="Normal 5 3 3 5 5 2 2" xfId="41128"/>
    <cellStyle name="Normal 5 3 3 5 5 3" xfId="25824"/>
    <cellStyle name="Normal 5 3 3 5 5 3 2" xfId="51377"/>
    <cellStyle name="Normal 5 3 3 5 5 4" xfId="32307"/>
    <cellStyle name="Normal 5 3 3 5 6" xfId="8192"/>
    <cellStyle name="Normal 5 3 3 5 6 2" xfId="20582"/>
    <cellStyle name="Normal 5 3 3 5 6 2 2" xfId="46135"/>
    <cellStyle name="Normal 5 3 3 5 6 3" xfId="33749"/>
    <cellStyle name="Normal 5 3 3 5 7" xfId="16167"/>
    <cellStyle name="Normal 5 3 3 5 7 2" xfId="41720"/>
    <cellStyle name="Normal 5 3 3 5 8" xfId="27065"/>
    <cellStyle name="Normal 5 3 3 6" xfId="2696"/>
    <cellStyle name="Normal 5 3 3 6 2" xfId="12013"/>
    <cellStyle name="Normal 5 3 3 6 2 2" xfId="22057"/>
    <cellStyle name="Normal 5 3 3 6 2 2 2" xfId="47610"/>
    <cellStyle name="Normal 5 3 3 6 2 3" xfId="37568"/>
    <cellStyle name="Normal 5 3 3 6 3" xfId="8555"/>
    <cellStyle name="Normal 5 3 3 6 3 2" xfId="34112"/>
    <cellStyle name="Normal 5 3 3 6 4" xfId="17050"/>
    <cellStyle name="Normal 5 3 3 6 4 2" xfId="42603"/>
    <cellStyle name="Normal 5 3 3 6 5" xfId="28540"/>
    <cellStyle name="Normal 5 3 3 7" xfId="4247"/>
    <cellStyle name="Normal 5 3 3 7 2" xfId="13085"/>
    <cellStyle name="Normal 5 3 3 7 2 2" xfId="23336"/>
    <cellStyle name="Normal 5 3 3 7 2 2 2" xfId="48889"/>
    <cellStyle name="Normal 5 3 3 7 2 3" xfId="38640"/>
    <cellStyle name="Normal 5 3 3 7 3" xfId="9506"/>
    <cellStyle name="Normal 5 3 3 7 3 2" xfId="35063"/>
    <cellStyle name="Normal 5 3 3 7 4" xfId="18329"/>
    <cellStyle name="Normal 5 3 3 7 4 2" xfId="43882"/>
    <cellStyle name="Normal 5 3 3 7 5" xfId="29819"/>
    <cellStyle name="Normal 5 3 3 8" xfId="1519"/>
    <cellStyle name="Normal 5 3 3 8 2" xfId="10896"/>
    <cellStyle name="Normal 5 3 3 8 2 2" xfId="36451"/>
    <cellStyle name="Normal 5 3 3 8 3" xfId="20900"/>
    <cellStyle name="Normal 5 3 3 8 3 2" xfId="46453"/>
    <cellStyle name="Normal 5 3 3 8 4" xfId="27383"/>
    <cellStyle name="Normal 5 3 3 9" xfId="5703"/>
    <cellStyle name="Normal 5 3 3 9 2" xfId="14530"/>
    <cellStyle name="Normal 5 3 3 9 2 2" xfId="40085"/>
    <cellStyle name="Normal 5 3 3 9 3" xfId="24781"/>
    <cellStyle name="Normal 5 3 3 9 3 2" xfId="50334"/>
    <cellStyle name="Normal 5 3 3 9 4" xfId="31264"/>
    <cellStyle name="Normal 5 3 3_Degree data" xfId="3845"/>
    <cellStyle name="Normal 5 3 4" xfId="231"/>
    <cellStyle name="Normal 5 3 4 10" xfId="7069"/>
    <cellStyle name="Normal 5 3 4 10 2" xfId="19683"/>
    <cellStyle name="Normal 5 3 4 10 2 2" xfId="45236"/>
    <cellStyle name="Normal 5 3 4 10 3" xfId="32626"/>
    <cellStyle name="Normal 5 3 4 11" xfId="15815"/>
    <cellStyle name="Normal 5 3 4 11 2" xfId="41368"/>
    <cellStyle name="Normal 5 3 4 12" xfId="26166"/>
    <cellStyle name="Normal 5 3 4 2" xfId="554"/>
    <cellStyle name="Normal 5 3 4 2 10" xfId="26483"/>
    <cellStyle name="Normal 5 3 4 2 2" xfId="807"/>
    <cellStyle name="Normal 5 3 4 2 2 2" xfId="3292"/>
    <cellStyle name="Normal 5 3 4 2 2 2 2" xfId="12434"/>
    <cellStyle name="Normal 5 3 4 2 2 2 2 2" xfId="22653"/>
    <cellStyle name="Normal 5 3 4 2 2 2 2 2 2" xfId="48206"/>
    <cellStyle name="Normal 5 3 4 2 2 2 2 3" xfId="37989"/>
    <cellStyle name="Normal 5 3 4 2 2 2 3" xfId="8856"/>
    <cellStyle name="Normal 5 3 4 2 2 2 3 2" xfId="34413"/>
    <cellStyle name="Normal 5 3 4 2 2 2 4" xfId="17646"/>
    <cellStyle name="Normal 5 3 4 2 2 2 4 2" xfId="43199"/>
    <cellStyle name="Normal 5 3 4 2 2 2 5" xfId="29136"/>
    <cellStyle name="Normal 5 3 4 2 2 3" xfId="4621"/>
    <cellStyle name="Normal 5 3 4 2 2 3 2" xfId="13459"/>
    <cellStyle name="Normal 5 3 4 2 2 3 2 2" xfId="23710"/>
    <cellStyle name="Normal 5 3 4 2 2 3 2 2 2" xfId="49263"/>
    <cellStyle name="Normal 5 3 4 2 2 3 2 3" xfId="39014"/>
    <cellStyle name="Normal 5 3 4 2 2 3 3" xfId="9880"/>
    <cellStyle name="Normal 5 3 4 2 2 3 3 2" xfId="35437"/>
    <cellStyle name="Normal 5 3 4 2 2 3 4" xfId="18703"/>
    <cellStyle name="Normal 5 3 4 2 2 3 4 2" xfId="44256"/>
    <cellStyle name="Normal 5 3 4 2 2 3 5" xfId="30193"/>
    <cellStyle name="Normal 5 3 4 2 2 4" xfId="2401"/>
    <cellStyle name="Normal 5 3 4 2 2 4 2" xfId="11766"/>
    <cellStyle name="Normal 5 3 4 2 2 4 2 2" xfId="37321"/>
    <cellStyle name="Normal 5 3 4 2 2 4 3" xfId="21770"/>
    <cellStyle name="Normal 5 3 4 2 2 4 3 2" xfId="47323"/>
    <cellStyle name="Normal 5 3 4 2 2 4 4" xfId="28253"/>
    <cellStyle name="Normal 5 3 4 2 2 5" xfId="6077"/>
    <cellStyle name="Normal 5 3 4 2 2 5 2" xfId="14904"/>
    <cellStyle name="Normal 5 3 4 2 2 5 2 2" xfId="40459"/>
    <cellStyle name="Normal 5 3 4 2 2 5 3" xfId="25155"/>
    <cellStyle name="Normal 5 3 4 2 2 5 3 2" xfId="50708"/>
    <cellStyle name="Normal 5 3 4 2 2 5 4" xfId="31638"/>
    <cellStyle name="Normal 5 3 4 2 2 6" xfId="7522"/>
    <cellStyle name="Normal 5 3 4 2 2 6 2" xfId="20252"/>
    <cellStyle name="Normal 5 3 4 2 2 6 2 2" xfId="45805"/>
    <cellStyle name="Normal 5 3 4 2 2 6 3" xfId="33079"/>
    <cellStyle name="Normal 5 3 4 2 2 7" xfId="16763"/>
    <cellStyle name="Normal 5 3 4 2 2 7 2" xfId="42316"/>
    <cellStyle name="Normal 5 3 4 2 2 8" xfId="26735"/>
    <cellStyle name="Normal 5 3 4 2 3" xfId="1326"/>
    <cellStyle name="Normal 5 3 4 2 3 2" xfId="3755"/>
    <cellStyle name="Normal 5 3 4 2 3 2 2" xfId="12891"/>
    <cellStyle name="Normal 5 3 4 2 3 2 2 2" xfId="23110"/>
    <cellStyle name="Normal 5 3 4 2 3 2 2 2 2" xfId="48663"/>
    <cellStyle name="Normal 5 3 4 2 3 2 2 3" xfId="38446"/>
    <cellStyle name="Normal 5 3 4 2 3 2 3" xfId="9312"/>
    <cellStyle name="Normal 5 3 4 2 3 2 3 2" xfId="34869"/>
    <cellStyle name="Normal 5 3 4 2 3 2 4" xfId="18103"/>
    <cellStyle name="Normal 5 3 4 2 3 2 4 2" xfId="43656"/>
    <cellStyle name="Normal 5 3 4 2 3 2 5" xfId="29593"/>
    <cellStyle name="Normal 5 3 4 2 3 3" xfId="4970"/>
    <cellStyle name="Normal 5 3 4 2 3 3 2" xfId="13807"/>
    <cellStyle name="Normal 5 3 4 2 3 3 2 2" xfId="24058"/>
    <cellStyle name="Normal 5 3 4 2 3 3 2 2 2" xfId="49611"/>
    <cellStyle name="Normal 5 3 4 2 3 3 2 3" xfId="39362"/>
    <cellStyle name="Normal 5 3 4 2 3 3 3" xfId="10228"/>
    <cellStyle name="Normal 5 3 4 2 3 3 3 2" xfId="35785"/>
    <cellStyle name="Normal 5 3 4 2 3 3 4" xfId="19051"/>
    <cellStyle name="Normal 5 3 4 2 3 3 4 2" xfId="44604"/>
    <cellStyle name="Normal 5 3 4 2 3 3 5" xfId="30541"/>
    <cellStyle name="Normal 5 3 4 2 3 4" xfId="2149"/>
    <cellStyle name="Normal 5 3 4 2 3 4 2" xfId="11514"/>
    <cellStyle name="Normal 5 3 4 2 3 4 2 2" xfId="37069"/>
    <cellStyle name="Normal 5 3 4 2 3 4 3" xfId="21518"/>
    <cellStyle name="Normal 5 3 4 2 3 4 3 2" xfId="47071"/>
    <cellStyle name="Normal 5 3 4 2 3 4 4" xfId="28001"/>
    <cellStyle name="Normal 5 3 4 2 3 5" xfId="6425"/>
    <cellStyle name="Normal 5 3 4 2 3 5 2" xfId="15252"/>
    <cellStyle name="Normal 5 3 4 2 3 5 2 2" xfId="40807"/>
    <cellStyle name="Normal 5 3 4 2 3 5 3" xfId="25503"/>
    <cellStyle name="Normal 5 3 4 2 3 5 3 2" xfId="51056"/>
    <cellStyle name="Normal 5 3 4 2 3 5 4" xfId="31986"/>
    <cellStyle name="Normal 5 3 4 2 3 6" xfId="7871"/>
    <cellStyle name="Normal 5 3 4 2 3 6 2" xfId="20709"/>
    <cellStyle name="Normal 5 3 4 2 3 6 2 2" xfId="46262"/>
    <cellStyle name="Normal 5 3 4 2 3 6 3" xfId="33428"/>
    <cellStyle name="Normal 5 3 4 2 3 7" xfId="16511"/>
    <cellStyle name="Normal 5 3 4 2 3 7 2" xfId="42064"/>
    <cellStyle name="Normal 5 3 4 2 3 8" xfId="27192"/>
    <cellStyle name="Normal 5 3 4 2 4" xfId="3040"/>
    <cellStyle name="Normal 5 3 4 2 4 2" xfId="5418"/>
    <cellStyle name="Normal 5 3 4 2 4 2 2" xfId="14255"/>
    <cellStyle name="Normal 5 3 4 2 4 2 2 2" xfId="24506"/>
    <cellStyle name="Normal 5 3 4 2 4 2 2 2 2" xfId="50059"/>
    <cellStyle name="Normal 5 3 4 2 4 2 2 3" xfId="39810"/>
    <cellStyle name="Normal 5 3 4 2 4 2 3" xfId="10676"/>
    <cellStyle name="Normal 5 3 4 2 4 2 3 2" xfId="36233"/>
    <cellStyle name="Normal 5 3 4 2 4 2 4" xfId="19499"/>
    <cellStyle name="Normal 5 3 4 2 4 2 4 2" xfId="45052"/>
    <cellStyle name="Normal 5 3 4 2 4 2 5" xfId="30989"/>
    <cellStyle name="Normal 5 3 4 2 4 3" xfId="6873"/>
    <cellStyle name="Normal 5 3 4 2 4 3 2" xfId="15700"/>
    <cellStyle name="Normal 5 3 4 2 4 3 2 2" xfId="41255"/>
    <cellStyle name="Normal 5 3 4 2 4 3 3" xfId="25951"/>
    <cellStyle name="Normal 5 3 4 2 4 3 3 2" xfId="51504"/>
    <cellStyle name="Normal 5 3 4 2 4 3 4" xfId="32434"/>
    <cellStyle name="Normal 5 3 4 2 4 4" xfId="8319"/>
    <cellStyle name="Normal 5 3 4 2 4 4 2" xfId="22401"/>
    <cellStyle name="Normal 5 3 4 2 4 4 2 2" xfId="47954"/>
    <cellStyle name="Normal 5 3 4 2 4 4 3" xfId="33876"/>
    <cellStyle name="Normal 5 3 4 2 4 5" xfId="17394"/>
    <cellStyle name="Normal 5 3 4 2 4 5 2" xfId="42947"/>
    <cellStyle name="Normal 5 3 4 2 4 6" xfId="28884"/>
    <cellStyle name="Normal 5 3 4 2 5" xfId="4374"/>
    <cellStyle name="Normal 5 3 4 2 5 2" xfId="13212"/>
    <cellStyle name="Normal 5 3 4 2 5 2 2" xfId="23463"/>
    <cellStyle name="Normal 5 3 4 2 5 2 2 2" xfId="49016"/>
    <cellStyle name="Normal 5 3 4 2 5 2 3" xfId="38767"/>
    <cellStyle name="Normal 5 3 4 2 5 3" xfId="9633"/>
    <cellStyle name="Normal 5 3 4 2 5 3 2" xfId="35190"/>
    <cellStyle name="Normal 5 3 4 2 5 4" xfId="18456"/>
    <cellStyle name="Normal 5 3 4 2 5 4 2" xfId="44009"/>
    <cellStyle name="Normal 5 3 4 2 5 5" xfId="29946"/>
    <cellStyle name="Normal 5 3 4 2 6" xfId="1646"/>
    <cellStyle name="Normal 5 3 4 2 6 2" xfId="11023"/>
    <cellStyle name="Normal 5 3 4 2 6 2 2" xfId="36578"/>
    <cellStyle name="Normal 5 3 4 2 6 3" xfId="21027"/>
    <cellStyle name="Normal 5 3 4 2 6 3 2" xfId="46580"/>
    <cellStyle name="Normal 5 3 4 2 6 4" xfId="27510"/>
    <cellStyle name="Normal 5 3 4 2 7" xfId="5830"/>
    <cellStyle name="Normal 5 3 4 2 7 2" xfId="14657"/>
    <cellStyle name="Normal 5 3 4 2 7 2 2" xfId="40212"/>
    <cellStyle name="Normal 5 3 4 2 7 3" xfId="24908"/>
    <cellStyle name="Normal 5 3 4 2 7 3 2" xfId="50461"/>
    <cellStyle name="Normal 5 3 4 2 7 4" xfId="31391"/>
    <cellStyle name="Normal 5 3 4 2 8" xfId="7274"/>
    <cellStyle name="Normal 5 3 4 2 8 2" xfId="20000"/>
    <cellStyle name="Normal 5 3 4 2 8 2 2" xfId="45553"/>
    <cellStyle name="Normal 5 3 4 2 8 3" xfId="32831"/>
    <cellStyle name="Normal 5 3 4 2 9" xfId="16020"/>
    <cellStyle name="Normal 5 3 4 2 9 2" xfId="41573"/>
    <cellStyle name="Normal 5 3 4 2_Degree data" xfId="3914"/>
    <cellStyle name="Normal 5 3 4 3" xfId="349"/>
    <cellStyle name="Normal 5 3 4 3 2" xfId="2835"/>
    <cellStyle name="Normal 5 3 4 3 2 2" xfId="12123"/>
    <cellStyle name="Normal 5 3 4 3 2 2 2" xfId="22196"/>
    <cellStyle name="Normal 5 3 4 3 2 2 2 2" xfId="47749"/>
    <cellStyle name="Normal 5 3 4 3 2 2 3" xfId="37678"/>
    <cellStyle name="Normal 5 3 4 3 2 3" xfId="8528"/>
    <cellStyle name="Normal 5 3 4 3 2 3 2" xfId="34085"/>
    <cellStyle name="Normal 5 3 4 3 2 4" xfId="17189"/>
    <cellStyle name="Normal 5 3 4 3 2 4 2" xfId="42742"/>
    <cellStyle name="Normal 5 3 4 3 2 5" xfId="28679"/>
    <cellStyle name="Normal 5 3 4 3 3" xfId="4620"/>
    <cellStyle name="Normal 5 3 4 3 3 2" xfId="13458"/>
    <cellStyle name="Normal 5 3 4 3 3 2 2" xfId="23709"/>
    <cellStyle name="Normal 5 3 4 3 3 2 2 2" xfId="49262"/>
    <cellStyle name="Normal 5 3 4 3 3 2 3" xfId="39013"/>
    <cellStyle name="Normal 5 3 4 3 3 3" xfId="9879"/>
    <cellStyle name="Normal 5 3 4 3 3 3 2" xfId="35436"/>
    <cellStyle name="Normal 5 3 4 3 3 4" xfId="18702"/>
    <cellStyle name="Normal 5 3 4 3 3 4 2" xfId="44255"/>
    <cellStyle name="Normal 5 3 4 3 3 5" xfId="30192"/>
    <cellStyle name="Normal 5 3 4 3 4" xfId="1944"/>
    <cellStyle name="Normal 5 3 4 3 4 2" xfId="11309"/>
    <cellStyle name="Normal 5 3 4 3 4 2 2" xfId="36864"/>
    <cellStyle name="Normal 5 3 4 3 4 3" xfId="21313"/>
    <cellStyle name="Normal 5 3 4 3 4 3 2" xfId="46866"/>
    <cellStyle name="Normal 5 3 4 3 4 4" xfId="27796"/>
    <cellStyle name="Normal 5 3 4 3 5" xfId="6076"/>
    <cellStyle name="Normal 5 3 4 3 5 2" xfId="14903"/>
    <cellStyle name="Normal 5 3 4 3 5 2 2" xfId="40458"/>
    <cellStyle name="Normal 5 3 4 3 5 3" xfId="25154"/>
    <cellStyle name="Normal 5 3 4 3 5 3 2" xfId="50707"/>
    <cellStyle name="Normal 5 3 4 3 5 4" xfId="31637"/>
    <cellStyle name="Normal 5 3 4 3 6" xfId="7521"/>
    <cellStyle name="Normal 5 3 4 3 6 2" xfId="19795"/>
    <cellStyle name="Normal 5 3 4 3 6 2 2" xfId="45348"/>
    <cellStyle name="Normal 5 3 4 3 6 3" xfId="33078"/>
    <cellStyle name="Normal 5 3 4 3 7" xfId="16306"/>
    <cellStyle name="Normal 5 3 4 3 7 2" xfId="41859"/>
    <cellStyle name="Normal 5 3 4 3 8" xfId="26278"/>
    <cellStyle name="Normal 5 3 4 4" xfId="806"/>
    <cellStyle name="Normal 5 3 4 4 2" xfId="3291"/>
    <cellStyle name="Normal 5 3 4 4 2 2" xfId="12433"/>
    <cellStyle name="Normal 5 3 4 4 2 2 2" xfId="22652"/>
    <cellStyle name="Normal 5 3 4 4 2 2 2 2" xfId="48205"/>
    <cellStyle name="Normal 5 3 4 4 2 2 3" xfId="37988"/>
    <cellStyle name="Normal 5 3 4 4 2 3" xfId="8855"/>
    <cellStyle name="Normal 5 3 4 4 2 3 2" xfId="34412"/>
    <cellStyle name="Normal 5 3 4 4 2 4" xfId="17645"/>
    <cellStyle name="Normal 5 3 4 4 2 4 2" xfId="43198"/>
    <cellStyle name="Normal 5 3 4 4 2 5" xfId="29135"/>
    <cellStyle name="Normal 5 3 4 4 3" xfId="4969"/>
    <cellStyle name="Normal 5 3 4 4 3 2" xfId="13806"/>
    <cellStyle name="Normal 5 3 4 4 3 2 2" xfId="24057"/>
    <cellStyle name="Normal 5 3 4 4 3 2 2 2" xfId="49610"/>
    <cellStyle name="Normal 5 3 4 4 3 2 3" xfId="39361"/>
    <cellStyle name="Normal 5 3 4 4 3 3" xfId="10227"/>
    <cellStyle name="Normal 5 3 4 4 3 3 2" xfId="35784"/>
    <cellStyle name="Normal 5 3 4 4 3 4" xfId="19050"/>
    <cellStyle name="Normal 5 3 4 4 3 4 2" xfId="44603"/>
    <cellStyle name="Normal 5 3 4 4 3 5" xfId="30540"/>
    <cellStyle name="Normal 5 3 4 4 4" xfId="2400"/>
    <cellStyle name="Normal 5 3 4 4 4 2" xfId="11765"/>
    <cellStyle name="Normal 5 3 4 4 4 2 2" xfId="37320"/>
    <cellStyle name="Normal 5 3 4 4 4 3" xfId="21769"/>
    <cellStyle name="Normal 5 3 4 4 4 3 2" xfId="47322"/>
    <cellStyle name="Normal 5 3 4 4 4 4" xfId="28252"/>
    <cellStyle name="Normal 5 3 4 4 5" xfId="6424"/>
    <cellStyle name="Normal 5 3 4 4 5 2" xfId="15251"/>
    <cellStyle name="Normal 5 3 4 4 5 2 2" xfId="40806"/>
    <cellStyle name="Normal 5 3 4 4 5 3" xfId="25502"/>
    <cellStyle name="Normal 5 3 4 4 5 3 2" xfId="51055"/>
    <cellStyle name="Normal 5 3 4 4 5 4" xfId="31985"/>
    <cellStyle name="Normal 5 3 4 4 6" xfId="7870"/>
    <cellStyle name="Normal 5 3 4 4 6 2" xfId="20251"/>
    <cellStyle name="Normal 5 3 4 4 6 2 2" xfId="45804"/>
    <cellStyle name="Normal 5 3 4 4 6 3" xfId="33427"/>
    <cellStyle name="Normal 5 3 4 4 7" xfId="16762"/>
    <cellStyle name="Normal 5 3 4 4 7 2" xfId="42315"/>
    <cellStyle name="Normal 5 3 4 4 8" xfId="26734"/>
    <cellStyle name="Normal 5 3 4 5" xfId="1121"/>
    <cellStyle name="Normal 5 3 4 5 2" xfId="3550"/>
    <cellStyle name="Normal 5 3 4 5 2 2" xfId="12686"/>
    <cellStyle name="Normal 5 3 4 5 2 2 2" xfId="22905"/>
    <cellStyle name="Normal 5 3 4 5 2 2 2 2" xfId="48458"/>
    <cellStyle name="Normal 5 3 4 5 2 2 3" xfId="38241"/>
    <cellStyle name="Normal 5 3 4 5 2 3" xfId="9107"/>
    <cellStyle name="Normal 5 3 4 5 2 3 2" xfId="34664"/>
    <cellStyle name="Normal 5 3 4 5 2 4" xfId="17898"/>
    <cellStyle name="Normal 5 3 4 5 2 4 2" xfId="43451"/>
    <cellStyle name="Normal 5 3 4 5 2 5" xfId="29388"/>
    <cellStyle name="Normal 5 3 4 5 3" xfId="5213"/>
    <cellStyle name="Normal 5 3 4 5 3 2" xfId="14050"/>
    <cellStyle name="Normal 5 3 4 5 3 2 2" xfId="24301"/>
    <cellStyle name="Normal 5 3 4 5 3 2 2 2" xfId="49854"/>
    <cellStyle name="Normal 5 3 4 5 3 2 3" xfId="39605"/>
    <cellStyle name="Normal 5 3 4 5 3 3" xfId="10471"/>
    <cellStyle name="Normal 5 3 4 5 3 3 2" xfId="36028"/>
    <cellStyle name="Normal 5 3 4 5 3 4" xfId="19294"/>
    <cellStyle name="Normal 5 3 4 5 3 4 2" xfId="44847"/>
    <cellStyle name="Normal 5 3 4 5 3 5" xfId="30784"/>
    <cellStyle name="Normal 5 3 4 5 4" xfId="1829"/>
    <cellStyle name="Normal 5 3 4 5 4 2" xfId="11197"/>
    <cellStyle name="Normal 5 3 4 5 4 2 2" xfId="36752"/>
    <cellStyle name="Normal 5 3 4 5 4 3" xfId="21201"/>
    <cellStyle name="Normal 5 3 4 5 4 3 2" xfId="46754"/>
    <cellStyle name="Normal 5 3 4 5 4 4" xfId="27684"/>
    <cellStyle name="Normal 5 3 4 5 5" xfId="6668"/>
    <cellStyle name="Normal 5 3 4 5 5 2" xfId="15495"/>
    <cellStyle name="Normal 5 3 4 5 5 2 2" xfId="41050"/>
    <cellStyle name="Normal 5 3 4 5 5 3" xfId="25746"/>
    <cellStyle name="Normal 5 3 4 5 5 3 2" xfId="51299"/>
    <cellStyle name="Normal 5 3 4 5 5 4" xfId="32229"/>
    <cellStyle name="Normal 5 3 4 5 6" xfId="8114"/>
    <cellStyle name="Normal 5 3 4 5 6 2" xfId="20504"/>
    <cellStyle name="Normal 5 3 4 5 6 2 2" xfId="46057"/>
    <cellStyle name="Normal 5 3 4 5 6 3" xfId="33671"/>
    <cellStyle name="Normal 5 3 4 5 7" xfId="16194"/>
    <cellStyle name="Normal 5 3 4 5 7 2" xfId="41747"/>
    <cellStyle name="Normal 5 3 4 5 8" xfId="26987"/>
    <cellStyle name="Normal 5 3 4 6" xfId="2723"/>
    <cellStyle name="Normal 5 3 4 6 2" xfId="12040"/>
    <cellStyle name="Normal 5 3 4 6 2 2" xfId="22084"/>
    <cellStyle name="Normal 5 3 4 6 2 2 2" xfId="47637"/>
    <cellStyle name="Normal 5 3 4 6 2 3" xfId="37595"/>
    <cellStyle name="Normal 5 3 4 6 3" xfId="8635"/>
    <cellStyle name="Normal 5 3 4 6 3 2" xfId="34192"/>
    <cellStyle name="Normal 5 3 4 6 4" xfId="17077"/>
    <cellStyle name="Normal 5 3 4 6 4 2" xfId="42630"/>
    <cellStyle name="Normal 5 3 4 6 5" xfId="28567"/>
    <cellStyle name="Normal 5 3 4 7" xfId="4169"/>
    <cellStyle name="Normal 5 3 4 7 2" xfId="13007"/>
    <cellStyle name="Normal 5 3 4 7 2 2" xfId="23258"/>
    <cellStyle name="Normal 5 3 4 7 2 2 2" xfId="48811"/>
    <cellStyle name="Normal 5 3 4 7 2 3" xfId="38562"/>
    <cellStyle name="Normal 5 3 4 7 3" xfId="9428"/>
    <cellStyle name="Normal 5 3 4 7 3 2" xfId="34985"/>
    <cellStyle name="Normal 5 3 4 7 4" xfId="18251"/>
    <cellStyle name="Normal 5 3 4 7 4 2" xfId="43804"/>
    <cellStyle name="Normal 5 3 4 7 5" xfId="29741"/>
    <cellStyle name="Normal 5 3 4 8" xfId="1441"/>
    <cellStyle name="Normal 5 3 4 8 2" xfId="10818"/>
    <cellStyle name="Normal 5 3 4 8 2 2" xfId="36373"/>
    <cellStyle name="Normal 5 3 4 8 3" xfId="20822"/>
    <cellStyle name="Normal 5 3 4 8 3 2" xfId="46375"/>
    <cellStyle name="Normal 5 3 4 8 4" xfId="27305"/>
    <cellStyle name="Normal 5 3 4 9" xfId="5625"/>
    <cellStyle name="Normal 5 3 4 9 2" xfId="14452"/>
    <cellStyle name="Normal 5 3 4 9 2 2" xfId="40007"/>
    <cellStyle name="Normal 5 3 4 9 3" xfId="24703"/>
    <cellStyle name="Normal 5 3 4 9 3 2" xfId="50256"/>
    <cellStyle name="Normal 5 3 4 9 4" xfId="31186"/>
    <cellStyle name="Normal 5 3 4_Degree data" xfId="3873"/>
    <cellStyle name="Normal 5 3 5" xfId="449"/>
    <cellStyle name="Normal 5 3 5 10" xfId="26378"/>
    <cellStyle name="Normal 5 3 5 2" xfId="808"/>
    <cellStyle name="Normal 5 3 5 2 2" xfId="3293"/>
    <cellStyle name="Normal 5 3 5 2 2 2" xfId="12435"/>
    <cellStyle name="Normal 5 3 5 2 2 2 2" xfId="22654"/>
    <cellStyle name="Normal 5 3 5 2 2 2 2 2" xfId="48207"/>
    <cellStyle name="Normal 5 3 5 2 2 2 3" xfId="37990"/>
    <cellStyle name="Normal 5 3 5 2 2 3" xfId="8857"/>
    <cellStyle name="Normal 5 3 5 2 2 3 2" xfId="34414"/>
    <cellStyle name="Normal 5 3 5 2 2 4" xfId="17647"/>
    <cellStyle name="Normal 5 3 5 2 2 4 2" xfId="43200"/>
    <cellStyle name="Normal 5 3 5 2 2 5" xfId="29137"/>
    <cellStyle name="Normal 5 3 5 2 3" xfId="4622"/>
    <cellStyle name="Normal 5 3 5 2 3 2" xfId="13460"/>
    <cellStyle name="Normal 5 3 5 2 3 2 2" xfId="23711"/>
    <cellStyle name="Normal 5 3 5 2 3 2 2 2" xfId="49264"/>
    <cellStyle name="Normal 5 3 5 2 3 2 3" xfId="39015"/>
    <cellStyle name="Normal 5 3 5 2 3 3" xfId="9881"/>
    <cellStyle name="Normal 5 3 5 2 3 3 2" xfId="35438"/>
    <cellStyle name="Normal 5 3 5 2 3 4" xfId="18704"/>
    <cellStyle name="Normal 5 3 5 2 3 4 2" xfId="44257"/>
    <cellStyle name="Normal 5 3 5 2 3 5" xfId="30194"/>
    <cellStyle name="Normal 5 3 5 2 4" xfId="2402"/>
    <cellStyle name="Normal 5 3 5 2 4 2" xfId="11767"/>
    <cellStyle name="Normal 5 3 5 2 4 2 2" xfId="37322"/>
    <cellStyle name="Normal 5 3 5 2 4 3" xfId="21771"/>
    <cellStyle name="Normal 5 3 5 2 4 3 2" xfId="47324"/>
    <cellStyle name="Normal 5 3 5 2 4 4" xfId="28254"/>
    <cellStyle name="Normal 5 3 5 2 5" xfId="6078"/>
    <cellStyle name="Normal 5 3 5 2 5 2" xfId="14905"/>
    <cellStyle name="Normal 5 3 5 2 5 2 2" xfId="40460"/>
    <cellStyle name="Normal 5 3 5 2 5 3" xfId="25156"/>
    <cellStyle name="Normal 5 3 5 2 5 3 2" xfId="50709"/>
    <cellStyle name="Normal 5 3 5 2 5 4" xfId="31639"/>
    <cellStyle name="Normal 5 3 5 2 6" xfId="7523"/>
    <cellStyle name="Normal 5 3 5 2 6 2" xfId="20253"/>
    <cellStyle name="Normal 5 3 5 2 6 2 2" xfId="45806"/>
    <cellStyle name="Normal 5 3 5 2 6 3" xfId="33080"/>
    <cellStyle name="Normal 5 3 5 2 7" xfId="16764"/>
    <cellStyle name="Normal 5 3 5 2 7 2" xfId="42317"/>
    <cellStyle name="Normal 5 3 5 2 8" xfId="26736"/>
    <cellStyle name="Normal 5 3 5 3" xfId="1221"/>
    <cellStyle name="Normal 5 3 5 3 2" xfId="3650"/>
    <cellStyle name="Normal 5 3 5 3 2 2" xfId="12786"/>
    <cellStyle name="Normal 5 3 5 3 2 2 2" xfId="23005"/>
    <cellStyle name="Normal 5 3 5 3 2 2 2 2" xfId="48558"/>
    <cellStyle name="Normal 5 3 5 3 2 2 3" xfId="38341"/>
    <cellStyle name="Normal 5 3 5 3 2 3" xfId="9207"/>
    <cellStyle name="Normal 5 3 5 3 2 3 2" xfId="34764"/>
    <cellStyle name="Normal 5 3 5 3 2 4" xfId="17998"/>
    <cellStyle name="Normal 5 3 5 3 2 4 2" xfId="43551"/>
    <cellStyle name="Normal 5 3 5 3 2 5" xfId="29488"/>
    <cellStyle name="Normal 5 3 5 3 3" xfId="4971"/>
    <cellStyle name="Normal 5 3 5 3 3 2" xfId="13808"/>
    <cellStyle name="Normal 5 3 5 3 3 2 2" xfId="24059"/>
    <cellStyle name="Normal 5 3 5 3 3 2 2 2" xfId="49612"/>
    <cellStyle name="Normal 5 3 5 3 3 2 3" xfId="39363"/>
    <cellStyle name="Normal 5 3 5 3 3 3" xfId="10229"/>
    <cellStyle name="Normal 5 3 5 3 3 3 2" xfId="35786"/>
    <cellStyle name="Normal 5 3 5 3 3 4" xfId="19052"/>
    <cellStyle name="Normal 5 3 5 3 3 4 2" xfId="44605"/>
    <cellStyle name="Normal 5 3 5 3 3 5" xfId="30542"/>
    <cellStyle name="Normal 5 3 5 3 4" xfId="2044"/>
    <cellStyle name="Normal 5 3 5 3 4 2" xfId="11409"/>
    <cellStyle name="Normal 5 3 5 3 4 2 2" xfId="36964"/>
    <cellStyle name="Normal 5 3 5 3 4 3" xfId="21413"/>
    <cellStyle name="Normal 5 3 5 3 4 3 2" xfId="46966"/>
    <cellStyle name="Normal 5 3 5 3 4 4" xfId="27896"/>
    <cellStyle name="Normal 5 3 5 3 5" xfId="6426"/>
    <cellStyle name="Normal 5 3 5 3 5 2" xfId="15253"/>
    <cellStyle name="Normal 5 3 5 3 5 2 2" xfId="40808"/>
    <cellStyle name="Normal 5 3 5 3 5 3" xfId="25504"/>
    <cellStyle name="Normal 5 3 5 3 5 3 2" xfId="51057"/>
    <cellStyle name="Normal 5 3 5 3 5 4" xfId="31987"/>
    <cellStyle name="Normal 5 3 5 3 6" xfId="7872"/>
    <cellStyle name="Normal 5 3 5 3 6 2" xfId="20604"/>
    <cellStyle name="Normal 5 3 5 3 6 2 2" xfId="46157"/>
    <cellStyle name="Normal 5 3 5 3 6 3" xfId="33429"/>
    <cellStyle name="Normal 5 3 5 3 7" xfId="16406"/>
    <cellStyle name="Normal 5 3 5 3 7 2" xfId="41959"/>
    <cellStyle name="Normal 5 3 5 3 8" xfId="27087"/>
    <cellStyle name="Normal 5 3 5 4" xfId="2935"/>
    <cellStyle name="Normal 5 3 5 4 2" xfId="5313"/>
    <cellStyle name="Normal 5 3 5 4 2 2" xfId="14150"/>
    <cellStyle name="Normal 5 3 5 4 2 2 2" xfId="24401"/>
    <cellStyle name="Normal 5 3 5 4 2 2 2 2" xfId="49954"/>
    <cellStyle name="Normal 5 3 5 4 2 2 3" xfId="39705"/>
    <cellStyle name="Normal 5 3 5 4 2 3" xfId="10571"/>
    <cellStyle name="Normal 5 3 5 4 2 3 2" xfId="36128"/>
    <cellStyle name="Normal 5 3 5 4 2 4" xfId="19394"/>
    <cellStyle name="Normal 5 3 5 4 2 4 2" xfId="44947"/>
    <cellStyle name="Normal 5 3 5 4 2 5" xfId="30884"/>
    <cellStyle name="Normal 5 3 5 4 3" xfId="6768"/>
    <cellStyle name="Normal 5 3 5 4 3 2" xfId="15595"/>
    <cellStyle name="Normal 5 3 5 4 3 2 2" xfId="41150"/>
    <cellStyle name="Normal 5 3 5 4 3 3" xfId="25846"/>
    <cellStyle name="Normal 5 3 5 4 3 3 2" xfId="51399"/>
    <cellStyle name="Normal 5 3 5 4 3 4" xfId="32329"/>
    <cellStyle name="Normal 5 3 5 4 4" xfId="8214"/>
    <cellStyle name="Normal 5 3 5 4 4 2" xfId="22296"/>
    <cellStyle name="Normal 5 3 5 4 4 2 2" xfId="47849"/>
    <cellStyle name="Normal 5 3 5 4 4 3" xfId="33771"/>
    <cellStyle name="Normal 5 3 5 4 5" xfId="17289"/>
    <cellStyle name="Normal 5 3 5 4 5 2" xfId="42842"/>
    <cellStyle name="Normal 5 3 5 4 6" xfId="28779"/>
    <cellStyle name="Normal 5 3 5 5" xfId="4269"/>
    <cellStyle name="Normal 5 3 5 5 2" xfId="13107"/>
    <cellStyle name="Normal 5 3 5 5 2 2" xfId="23358"/>
    <cellStyle name="Normal 5 3 5 5 2 2 2" xfId="48911"/>
    <cellStyle name="Normal 5 3 5 5 2 3" xfId="38662"/>
    <cellStyle name="Normal 5 3 5 5 3" xfId="9528"/>
    <cellStyle name="Normal 5 3 5 5 3 2" xfId="35085"/>
    <cellStyle name="Normal 5 3 5 5 4" xfId="18351"/>
    <cellStyle name="Normal 5 3 5 5 4 2" xfId="43904"/>
    <cellStyle name="Normal 5 3 5 5 5" xfId="29841"/>
    <cellStyle name="Normal 5 3 5 6" xfId="1541"/>
    <cellStyle name="Normal 5 3 5 6 2" xfId="10918"/>
    <cellStyle name="Normal 5 3 5 6 2 2" xfId="36473"/>
    <cellStyle name="Normal 5 3 5 6 3" xfId="20922"/>
    <cellStyle name="Normal 5 3 5 6 3 2" xfId="46475"/>
    <cellStyle name="Normal 5 3 5 6 4" xfId="27405"/>
    <cellStyle name="Normal 5 3 5 7" xfId="5725"/>
    <cellStyle name="Normal 5 3 5 7 2" xfId="14552"/>
    <cellStyle name="Normal 5 3 5 7 2 2" xfId="40107"/>
    <cellStyle name="Normal 5 3 5 7 3" xfId="24803"/>
    <cellStyle name="Normal 5 3 5 7 3 2" xfId="50356"/>
    <cellStyle name="Normal 5 3 5 7 4" xfId="31286"/>
    <cellStyle name="Normal 5 3 5 8" xfId="7169"/>
    <cellStyle name="Normal 5 3 5 8 2" xfId="19895"/>
    <cellStyle name="Normal 5 3 5 8 2 2" xfId="45448"/>
    <cellStyle name="Normal 5 3 5 8 3" xfId="32726"/>
    <cellStyle name="Normal 5 3 5 9" xfId="15915"/>
    <cellStyle name="Normal 5 3 5 9 2" xfId="41468"/>
    <cellStyle name="Normal 5 3 5_Degree data" xfId="3877"/>
    <cellStyle name="Normal 5 3 6" xfId="302"/>
    <cellStyle name="Normal 5 3 6 10" xfId="26231"/>
    <cellStyle name="Normal 5 3 6 2" xfId="809"/>
    <cellStyle name="Normal 5 3 6 2 2" xfId="3294"/>
    <cellStyle name="Normal 5 3 6 2 2 2" xfId="12436"/>
    <cellStyle name="Normal 5 3 6 2 2 2 2" xfId="22655"/>
    <cellStyle name="Normal 5 3 6 2 2 2 2 2" xfId="48208"/>
    <cellStyle name="Normal 5 3 6 2 2 2 3" xfId="37991"/>
    <cellStyle name="Normal 5 3 6 2 2 3" xfId="8858"/>
    <cellStyle name="Normal 5 3 6 2 2 3 2" xfId="34415"/>
    <cellStyle name="Normal 5 3 6 2 2 4" xfId="17648"/>
    <cellStyle name="Normal 5 3 6 2 2 4 2" xfId="43201"/>
    <cellStyle name="Normal 5 3 6 2 2 5" xfId="29138"/>
    <cellStyle name="Normal 5 3 6 2 3" xfId="4623"/>
    <cellStyle name="Normal 5 3 6 2 3 2" xfId="13461"/>
    <cellStyle name="Normal 5 3 6 2 3 2 2" xfId="23712"/>
    <cellStyle name="Normal 5 3 6 2 3 2 2 2" xfId="49265"/>
    <cellStyle name="Normal 5 3 6 2 3 2 3" xfId="39016"/>
    <cellStyle name="Normal 5 3 6 2 3 3" xfId="9882"/>
    <cellStyle name="Normal 5 3 6 2 3 3 2" xfId="35439"/>
    <cellStyle name="Normal 5 3 6 2 3 4" xfId="18705"/>
    <cellStyle name="Normal 5 3 6 2 3 4 2" xfId="44258"/>
    <cellStyle name="Normal 5 3 6 2 3 5" xfId="30195"/>
    <cellStyle name="Normal 5 3 6 2 4" xfId="2403"/>
    <cellStyle name="Normal 5 3 6 2 4 2" xfId="11768"/>
    <cellStyle name="Normal 5 3 6 2 4 2 2" xfId="37323"/>
    <cellStyle name="Normal 5 3 6 2 4 3" xfId="21772"/>
    <cellStyle name="Normal 5 3 6 2 4 3 2" xfId="47325"/>
    <cellStyle name="Normal 5 3 6 2 4 4" xfId="28255"/>
    <cellStyle name="Normal 5 3 6 2 5" xfId="6079"/>
    <cellStyle name="Normal 5 3 6 2 5 2" xfId="14906"/>
    <cellStyle name="Normal 5 3 6 2 5 2 2" xfId="40461"/>
    <cellStyle name="Normal 5 3 6 2 5 3" xfId="25157"/>
    <cellStyle name="Normal 5 3 6 2 5 3 2" xfId="50710"/>
    <cellStyle name="Normal 5 3 6 2 5 4" xfId="31640"/>
    <cellStyle name="Normal 5 3 6 2 6" xfId="7524"/>
    <cellStyle name="Normal 5 3 6 2 6 2" xfId="20254"/>
    <cellStyle name="Normal 5 3 6 2 6 2 2" xfId="45807"/>
    <cellStyle name="Normal 5 3 6 2 6 3" xfId="33081"/>
    <cellStyle name="Normal 5 3 6 2 7" xfId="16765"/>
    <cellStyle name="Normal 5 3 6 2 7 2" xfId="42318"/>
    <cellStyle name="Normal 5 3 6 2 8" xfId="26737"/>
    <cellStyle name="Normal 5 3 6 3" xfId="1074"/>
    <cellStyle name="Normal 5 3 6 3 2" xfId="3503"/>
    <cellStyle name="Normal 5 3 6 3 2 2" xfId="12639"/>
    <cellStyle name="Normal 5 3 6 3 2 2 2" xfId="22858"/>
    <cellStyle name="Normal 5 3 6 3 2 2 2 2" xfId="48411"/>
    <cellStyle name="Normal 5 3 6 3 2 2 3" xfId="38194"/>
    <cellStyle name="Normal 5 3 6 3 2 3" xfId="9061"/>
    <cellStyle name="Normal 5 3 6 3 2 3 2" xfId="34618"/>
    <cellStyle name="Normal 5 3 6 3 2 4" xfId="17851"/>
    <cellStyle name="Normal 5 3 6 3 2 4 2" xfId="43404"/>
    <cellStyle name="Normal 5 3 6 3 2 5" xfId="29341"/>
    <cellStyle name="Normal 5 3 6 3 3" xfId="4972"/>
    <cellStyle name="Normal 5 3 6 3 3 2" xfId="13809"/>
    <cellStyle name="Normal 5 3 6 3 3 2 2" xfId="24060"/>
    <cellStyle name="Normal 5 3 6 3 3 2 2 2" xfId="49613"/>
    <cellStyle name="Normal 5 3 6 3 3 2 3" xfId="39364"/>
    <cellStyle name="Normal 5 3 6 3 3 3" xfId="10230"/>
    <cellStyle name="Normal 5 3 6 3 3 3 2" xfId="35787"/>
    <cellStyle name="Normal 5 3 6 3 3 4" xfId="19053"/>
    <cellStyle name="Normal 5 3 6 3 3 4 2" xfId="44606"/>
    <cellStyle name="Normal 5 3 6 3 3 5" xfId="30543"/>
    <cellStyle name="Normal 5 3 6 3 4" xfId="1707"/>
    <cellStyle name="Normal 5 3 6 3 4 2" xfId="11084"/>
    <cellStyle name="Normal 5 3 6 3 4 2 2" xfId="36639"/>
    <cellStyle name="Normal 5 3 6 3 4 3" xfId="21088"/>
    <cellStyle name="Normal 5 3 6 3 4 3 2" xfId="46641"/>
    <cellStyle name="Normal 5 3 6 3 4 4" xfId="27571"/>
    <cellStyle name="Normal 5 3 6 3 5" xfId="6427"/>
    <cellStyle name="Normal 5 3 6 3 5 2" xfId="15254"/>
    <cellStyle name="Normal 5 3 6 3 5 2 2" xfId="40809"/>
    <cellStyle name="Normal 5 3 6 3 5 3" xfId="25505"/>
    <cellStyle name="Normal 5 3 6 3 5 3 2" xfId="51058"/>
    <cellStyle name="Normal 5 3 6 3 5 4" xfId="31988"/>
    <cellStyle name="Normal 5 3 6 3 6" xfId="7873"/>
    <cellStyle name="Normal 5 3 6 3 6 2" xfId="20457"/>
    <cellStyle name="Normal 5 3 6 3 6 2 2" xfId="46010"/>
    <cellStyle name="Normal 5 3 6 3 6 3" xfId="33430"/>
    <cellStyle name="Normal 5 3 6 3 7" xfId="16081"/>
    <cellStyle name="Normal 5 3 6 3 7 2" xfId="41634"/>
    <cellStyle name="Normal 5 3 6 3 8" xfId="26940"/>
    <cellStyle name="Normal 5 3 6 4" xfId="2788"/>
    <cellStyle name="Normal 5 3 6 4 2" xfId="5166"/>
    <cellStyle name="Normal 5 3 6 4 2 2" xfId="14003"/>
    <cellStyle name="Normal 5 3 6 4 2 2 2" xfId="24254"/>
    <cellStyle name="Normal 5 3 6 4 2 2 2 2" xfId="49807"/>
    <cellStyle name="Normal 5 3 6 4 2 2 3" xfId="39558"/>
    <cellStyle name="Normal 5 3 6 4 2 3" xfId="10424"/>
    <cellStyle name="Normal 5 3 6 4 2 3 2" xfId="35981"/>
    <cellStyle name="Normal 5 3 6 4 2 4" xfId="19247"/>
    <cellStyle name="Normal 5 3 6 4 2 4 2" xfId="44800"/>
    <cellStyle name="Normal 5 3 6 4 2 5" xfId="30737"/>
    <cellStyle name="Normal 5 3 6 4 3" xfId="6621"/>
    <cellStyle name="Normal 5 3 6 4 3 2" xfId="15448"/>
    <cellStyle name="Normal 5 3 6 4 3 2 2" xfId="41003"/>
    <cellStyle name="Normal 5 3 6 4 3 3" xfId="25699"/>
    <cellStyle name="Normal 5 3 6 4 3 3 2" xfId="51252"/>
    <cellStyle name="Normal 5 3 6 4 3 4" xfId="32182"/>
    <cellStyle name="Normal 5 3 6 4 4" xfId="8067"/>
    <cellStyle name="Normal 5 3 6 4 4 2" xfId="22149"/>
    <cellStyle name="Normal 5 3 6 4 4 2 2" xfId="47702"/>
    <cellStyle name="Normal 5 3 6 4 4 3" xfId="33624"/>
    <cellStyle name="Normal 5 3 6 4 5" xfId="17142"/>
    <cellStyle name="Normal 5 3 6 4 5 2" xfId="42695"/>
    <cellStyle name="Normal 5 3 6 4 6" xfId="28632"/>
    <cellStyle name="Normal 5 3 6 5" xfId="4120"/>
    <cellStyle name="Normal 5 3 6 5 2" xfId="12958"/>
    <cellStyle name="Normal 5 3 6 5 2 2" xfId="23209"/>
    <cellStyle name="Normal 5 3 6 5 2 2 2" xfId="48762"/>
    <cellStyle name="Normal 5 3 6 5 2 3" xfId="38513"/>
    <cellStyle name="Normal 5 3 6 5 3" xfId="9379"/>
    <cellStyle name="Normal 5 3 6 5 3 2" xfId="34936"/>
    <cellStyle name="Normal 5 3 6 5 4" xfId="18202"/>
    <cellStyle name="Normal 5 3 6 5 4 2" xfId="43755"/>
    <cellStyle name="Normal 5 3 6 5 5" xfId="29692"/>
    <cellStyle name="Normal 5 3 6 6" xfId="1897"/>
    <cellStyle name="Normal 5 3 6 6 2" xfId="11262"/>
    <cellStyle name="Normal 5 3 6 6 2 2" xfId="36817"/>
    <cellStyle name="Normal 5 3 6 6 3" xfId="21266"/>
    <cellStyle name="Normal 5 3 6 6 3 2" xfId="46819"/>
    <cellStyle name="Normal 5 3 6 6 4" xfId="27749"/>
    <cellStyle name="Normal 5 3 6 7" xfId="5578"/>
    <cellStyle name="Normal 5 3 6 7 2" xfId="14405"/>
    <cellStyle name="Normal 5 3 6 7 2 2" xfId="39960"/>
    <cellStyle name="Normal 5 3 6 7 3" xfId="24656"/>
    <cellStyle name="Normal 5 3 6 7 3 2" xfId="50209"/>
    <cellStyle name="Normal 5 3 6 7 4" xfId="31139"/>
    <cellStyle name="Normal 5 3 6 8" xfId="7022"/>
    <cellStyle name="Normal 5 3 6 8 2" xfId="19748"/>
    <cellStyle name="Normal 5 3 6 8 2 2" xfId="45301"/>
    <cellStyle name="Normal 5 3 6 8 3" xfId="32579"/>
    <cellStyle name="Normal 5 3 6 9" xfId="16259"/>
    <cellStyle name="Normal 5 3 6 9 2" xfId="41812"/>
    <cellStyle name="Normal 5 3 6_Degree data" xfId="3905"/>
    <cellStyle name="Normal 5 3 7" xfId="798"/>
    <cellStyle name="Normal 5 3 7 2" xfId="3283"/>
    <cellStyle name="Normal 5 3 7 2 2" xfId="12425"/>
    <cellStyle name="Normal 5 3 7 2 2 2" xfId="22644"/>
    <cellStyle name="Normal 5 3 7 2 2 2 2" xfId="48197"/>
    <cellStyle name="Normal 5 3 7 2 2 3" xfId="37980"/>
    <cellStyle name="Normal 5 3 7 2 3" xfId="8847"/>
    <cellStyle name="Normal 5 3 7 2 3 2" xfId="34404"/>
    <cellStyle name="Normal 5 3 7 2 4" xfId="17637"/>
    <cellStyle name="Normal 5 3 7 2 4 2" xfId="43190"/>
    <cellStyle name="Normal 5 3 7 2 5" xfId="29127"/>
    <cellStyle name="Normal 5 3 7 3" xfId="4612"/>
    <cellStyle name="Normal 5 3 7 3 2" xfId="13450"/>
    <cellStyle name="Normal 5 3 7 3 2 2" xfId="23701"/>
    <cellStyle name="Normal 5 3 7 3 2 2 2" xfId="49254"/>
    <cellStyle name="Normal 5 3 7 3 2 3" xfId="39005"/>
    <cellStyle name="Normal 5 3 7 3 3" xfId="9871"/>
    <cellStyle name="Normal 5 3 7 3 3 2" xfId="35428"/>
    <cellStyle name="Normal 5 3 7 3 4" xfId="18694"/>
    <cellStyle name="Normal 5 3 7 3 4 2" xfId="44247"/>
    <cellStyle name="Normal 5 3 7 3 5" xfId="30184"/>
    <cellStyle name="Normal 5 3 7 4" xfId="2392"/>
    <cellStyle name="Normal 5 3 7 4 2" xfId="11757"/>
    <cellStyle name="Normal 5 3 7 4 2 2" xfId="37312"/>
    <cellStyle name="Normal 5 3 7 4 3" xfId="21761"/>
    <cellStyle name="Normal 5 3 7 4 3 2" xfId="47314"/>
    <cellStyle name="Normal 5 3 7 4 4" xfId="28244"/>
    <cellStyle name="Normal 5 3 7 5" xfId="6068"/>
    <cellStyle name="Normal 5 3 7 5 2" xfId="14895"/>
    <cellStyle name="Normal 5 3 7 5 2 2" xfId="40450"/>
    <cellStyle name="Normal 5 3 7 5 3" xfId="25146"/>
    <cellStyle name="Normal 5 3 7 5 3 2" xfId="50699"/>
    <cellStyle name="Normal 5 3 7 5 4" xfId="31629"/>
    <cellStyle name="Normal 5 3 7 6" xfId="7513"/>
    <cellStyle name="Normal 5 3 7 6 2" xfId="20243"/>
    <cellStyle name="Normal 5 3 7 6 2 2" xfId="45796"/>
    <cellStyle name="Normal 5 3 7 6 3" xfId="33070"/>
    <cellStyle name="Normal 5 3 7 7" xfId="16754"/>
    <cellStyle name="Normal 5 3 7 7 2" xfId="42307"/>
    <cellStyle name="Normal 5 3 7 8" xfId="26726"/>
    <cellStyle name="Normal 5 3 8" xfId="1054"/>
    <cellStyle name="Normal 5 3 8 2" xfId="3483"/>
    <cellStyle name="Normal 5 3 8 2 2" xfId="12619"/>
    <cellStyle name="Normal 5 3 8 2 2 2" xfId="22838"/>
    <cellStyle name="Normal 5 3 8 2 2 2 2" xfId="48391"/>
    <cellStyle name="Normal 5 3 8 2 2 3" xfId="38174"/>
    <cellStyle name="Normal 5 3 8 2 3" xfId="9041"/>
    <cellStyle name="Normal 5 3 8 2 3 2" xfId="34598"/>
    <cellStyle name="Normal 5 3 8 2 4" xfId="17831"/>
    <cellStyle name="Normal 5 3 8 2 4 2" xfId="43384"/>
    <cellStyle name="Normal 5 3 8 2 5" xfId="29321"/>
    <cellStyle name="Normal 5 3 8 3" xfId="4961"/>
    <cellStyle name="Normal 5 3 8 3 2" xfId="13798"/>
    <cellStyle name="Normal 5 3 8 3 2 2" xfId="24049"/>
    <cellStyle name="Normal 5 3 8 3 2 2 2" xfId="49602"/>
    <cellStyle name="Normal 5 3 8 3 2 3" xfId="39353"/>
    <cellStyle name="Normal 5 3 8 3 3" xfId="10219"/>
    <cellStyle name="Normal 5 3 8 3 3 2" xfId="35776"/>
    <cellStyle name="Normal 5 3 8 3 4" xfId="19042"/>
    <cellStyle name="Normal 5 3 8 3 4 2" xfId="44595"/>
    <cellStyle name="Normal 5 3 8 3 5" xfId="30532"/>
    <cellStyle name="Normal 5 3 8 4" xfId="1717"/>
    <cellStyle name="Normal 5 3 8 4 2" xfId="11091"/>
    <cellStyle name="Normal 5 3 8 4 2 2" xfId="36646"/>
    <cellStyle name="Normal 5 3 8 4 3" xfId="21095"/>
    <cellStyle name="Normal 5 3 8 4 3 2" xfId="46648"/>
    <cellStyle name="Normal 5 3 8 4 4" xfId="27578"/>
    <cellStyle name="Normal 5 3 8 5" xfId="6416"/>
    <cellStyle name="Normal 5 3 8 5 2" xfId="15243"/>
    <cellStyle name="Normal 5 3 8 5 2 2" xfId="40798"/>
    <cellStyle name="Normal 5 3 8 5 3" xfId="25494"/>
    <cellStyle name="Normal 5 3 8 5 3 2" xfId="51047"/>
    <cellStyle name="Normal 5 3 8 5 4" xfId="31977"/>
    <cellStyle name="Normal 5 3 8 6" xfId="7862"/>
    <cellStyle name="Normal 5 3 8 6 2" xfId="20437"/>
    <cellStyle name="Normal 5 3 8 6 2 2" xfId="45990"/>
    <cellStyle name="Normal 5 3 8 6 3" xfId="33419"/>
    <cellStyle name="Normal 5 3 8 7" xfId="16088"/>
    <cellStyle name="Normal 5 3 8 7 2" xfId="41641"/>
    <cellStyle name="Normal 5 3 8 8" xfId="26920"/>
    <cellStyle name="Normal 5 3 9" xfId="2615"/>
    <cellStyle name="Normal 5 3 9 2" xfId="5146"/>
    <cellStyle name="Normal 5 3 9 2 2" xfId="13983"/>
    <cellStyle name="Normal 5 3 9 2 2 2" xfId="24234"/>
    <cellStyle name="Normal 5 3 9 2 2 2 2" xfId="49787"/>
    <cellStyle name="Normal 5 3 9 2 2 3" xfId="39538"/>
    <cellStyle name="Normal 5 3 9 2 3" xfId="10404"/>
    <cellStyle name="Normal 5 3 9 2 3 2" xfId="35961"/>
    <cellStyle name="Normal 5 3 9 2 4" xfId="19227"/>
    <cellStyle name="Normal 5 3 9 2 4 2" xfId="44780"/>
    <cellStyle name="Normal 5 3 9 2 5" xfId="30717"/>
    <cellStyle name="Normal 5 3 9 3" xfId="6601"/>
    <cellStyle name="Normal 5 3 9 3 2" xfId="15428"/>
    <cellStyle name="Normal 5 3 9 3 2 2" xfId="40983"/>
    <cellStyle name="Normal 5 3 9 3 3" xfId="25679"/>
    <cellStyle name="Normal 5 3 9 3 3 2" xfId="51232"/>
    <cellStyle name="Normal 5 3 9 3 4" xfId="32162"/>
    <cellStyle name="Normal 5 3 9 4" xfId="8047"/>
    <cellStyle name="Normal 5 3 9 4 2" xfId="21978"/>
    <cellStyle name="Normal 5 3 9 4 2 2" xfId="47531"/>
    <cellStyle name="Normal 5 3 9 4 3" xfId="33604"/>
    <cellStyle name="Normal 5 3 9 5" xfId="16971"/>
    <cellStyle name="Normal 5 3 9 5 2" xfId="42524"/>
    <cellStyle name="Normal 5 3 9 6" xfId="28461"/>
    <cellStyle name="Normal 5 3_Degree data" xfId="3894"/>
    <cellStyle name="Normal 5 4" xfId="148"/>
    <cellStyle name="Normal 5 4 10" xfId="1416"/>
    <cellStyle name="Normal 5 4 10 2" xfId="10793"/>
    <cellStyle name="Normal 5 4 10 2 2" xfId="36348"/>
    <cellStyle name="Normal 5 4 10 3" xfId="20797"/>
    <cellStyle name="Normal 5 4 10 3 2" xfId="46350"/>
    <cellStyle name="Normal 5 4 10 4" xfId="27280"/>
    <cellStyle name="Normal 5 4 11" xfId="5527"/>
    <cellStyle name="Normal 5 4 11 2" xfId="14354"/>
    <cellStyle name="Normal 5 4 11 2 2" xfId="39909"/>
    <cellStyle name="Normal 5 4 11 3" xfId="24605"/>
    <cellStyle name="Normal 5 4 11 3 2" xfId="50158"/>
    <cellStyle name="Normal 5 4 11 4" xfId="31088"/>
    <cellStyle name="Normal 5 4 12" xfId="6968"/>
    <cellStyle name="Normal 5 4 12 2" xfId="19612"/>
    <cellStyle name="Normal 5 4 12 2 2" xfId="45165"/>
    <cellStyle name="Normal 5 4 12 3" xfId="32526"/>
    <cellStyle name="Normal 5 4 13" xfId="15790"/>
    <cellStyle name="Normal 5 4 13 2" xfId="41343"/>
    <cellStyle name="Normal 5 4 14" xfId="26095"/>
    <cellStyle name="Normal 5 4 2" xfId="198"/>
    <cellStyle name="Normal 5 4 2 10" xfId="7146"/>
    <cellStyle name="Normal 5 4 2 10 2" xfId="19655"/>
    <cellStyle name="Normal 5 4 2 10 2 2" xfId="45208"/>
    <cellStyle name="Normal 5 4 2 10 3" xfId="32703"/>
    <cellStyle name="Normal 5 4 2 11" xfId="15892"/>
    <cellStyle name="Normal 5 4 2 11 2" xfId="41445"/>
    <cellStyle name="Normal 5 4 2 12" xfId="26138"/>
    <cellStyle name="Normal 5 4 2 2" xfId="526"/>
    <cellStyle name="Normal 5 4 2 2 10" xfId="26455"/>
    <cellStyle name="Normal 5 4 2 2 2" xfId="812"/>
    <cellStyle name="Normal 5 4 2 2 2 2" xfId="3297"/>
    <cellStyle name="Normal 5 4 2 2 2 2 2" xfId="12439"/>
    <cellStyle name="Normal 5 4 2 2 2 2 2 2" xfId="22658"/>
    <cellStyle name="Normal 5 4 2 2 2 2 2 2 2" xfId="48211"/>
    <cellStyle name="Normal 5 4 2 2 2 2 2 3" xfId="37994"/>
    <cellStyle name="Normal 5 4 2 2 2 2 3" xfId="8861"/>
    <cellStyle name="Normal 5 4 2 2 2 2 3 2" xfId="34418"/>
    <cellStyle name="Normal 5 4 2 2 2 2 4" xfId="17651"/>
    <cellStyle name="Normal 5 4 2 2 2 2 4 2" xfId="43204"/>
    <cellStyle name="Normal 5 4 2 2 2 2 5" xfId="29141"/>
    <cellStyle name="Normal 5 4 2 2 2 3" xfId="4626"/>
    <cellStyle name="Normal 5 4 2 2 2 3 2" xfId="13464"/>
    <cellStyle name="Normal 5 4 2 2 2 3 2 2" xfId="23715"/>
    <cellStyle name="Normal 5 4 2 2 2 3 2 2 2" xfId="49268"/>
    <cellStyle name="Normal 5 4 2 2 2 3 2 3" xfId="39019"/>
    <cellStyle name="Normal 5 4 2 2 2 3 3" xfId="9885"/>
    <cellStyle name="Normal 5 4 2 2 2 3 3 2" xfId="35442"/>
    <cellStyle name="Normal 5 4 2 2 2 3 4" xfId="18708"/>
    <cellStyle name="Normal 5 4 2 2 2 3 4 2" xfId="44261"/>
    <cellStyle name="Normal 5 4 2 2 2 3 5" xfId="30198"/>
    <cellStyle name="Normal 5 4 2 2 2 4" xfId="2406"/>
    <cellStyle name="Normal 5 4 2 2 2 4 2" xfId="11771"/>
    <cellStyle name="Normal 5 4 2 2 2 4 2 2" xfId="37326"/>
    <cellStyle name="Normal 5 4 2 2 2 4 3" xfId="21775"/>
    <cellStyle name="Normal 5 4 2 2 2 4 3 2" xfId="47328"/>
    <cellStyle name="Normal 5 4 2 2 2 4 4" xfId="28258"/>
    <cellStyle name="Normal 5 4 2 2 2 5" xfId="6082"/>
    <cellStyle name="Normal 5 4 2 2 2 5 2" xfId="14909"/>
    <cellStyle name="Normal 5 4 2 2 2 5 2 2" xfId="40464"/>
    <cellStyle name="Normal 5 4 2 2 2 5 3" xfId="25160"/>
    <cellStyle name="Normal 5 4 2 2 2 5 3 2" xfId="50713"/>
    <cellStyle name="Normal 5 4 2 2 2 5 4" xfId="31643"/>
    <cellStyle name="Normal 5 4 2 2 2 6" xfId="7527"/>
    <cellStyle name="Normal 5 4 2 2 2 6 2" xfId="20257"/>
    <cellStyle name="Normal 5 4 2 2 2 6 2 2" xfId="45810"/>
    <cellStyle name="Normal 5 4 2 2 2 6 3" xfId="33084"/>
    <cellStyle name="Normal 5 4 2 2 2 7" xfId="16768"/>
    <cellStyle name="Normal 5 4 2 2 2 7 2" xfId="42321"/>
    <cellStyle name="Normal 5 4 2 2 2 8" xfId="26740"/>
    <cellStyle name="Normal 5 4 2 2 3" xfId="1298"/>
    <cellStyle name="Normal 5 4 2 2 3 2" xfId="3727"/>
    <cellStyle name="Normal 5 4 2 2 3 2 2" xfId="12863"/>
    <cellStyle name="Normal 5 4 2 2 3 2 2 2" xfId="23082"/>
    <cellStyle name="Normal 5 4 2 2 3 2 2 2 2" xfId="48635"/>
    <cellStyle name="Normal 5 4 2 2 3 2 2 3" xfId="38418"/>
    <cellStyle name="Normal 5 4 2 2 3 2 3" xfId="9284"/>
    <cellStyle name="Normal 5 4 2 2 3 2 3 2" xfId="34841"/>
    <cellStyle name="Normal 5 4 2 2 3 2 4" xfId="18075"/>
    <cellStyle name="Normal 5 4 2 2 3 2 4 2" xfId="43628"/>
    <cellStyle name="Normal 5 4 2 2 3 2 5" xfId="29565"/>
    <cellStyle name="Normal 5 4 2 2 3 3" xfId="4975"/>
    <cellStyle name="Normal 5 4 2 2 3 3 2" xfId="13812"/>
    <cellStyle name="Normal 5 4 2 2 3 3 2 2" xfId="24063"/>
    <cellStyle name="Normal 5 4 2 2 3 3 2 2 2" xfId="49616"/>
    <cellStyle name="Normal 5 4 2 2 3 3 2 3" xfId="39367"/>
    <cellStyle name="Normal 5 4 2 2 3 3 3" xfId="10233"/>
    <cellStyle name="Normal 5 4 2 2 3 3 3 2" xfId="35790"/>
    <cellStyle name="Normal 5 4 2 2 3 3 4" xfId="19056"/>
    <cellStyle name="Normal 5 4 2 2 3 3 4 2" xfId="44609"/>
    <cellStyle name="Normal 5 4 2 2 3 3 5" xfId="30546"/>
    <cellStyle name="Normal 5 4 2 2 3 4" xfId="2121"/>
    <cellStyle name="Normal 5 4 2 2 3 4 2" xfId="11486"/>
    <cellStyle name="Normal 5 4 2 2 3 4 2 2" xfId="37041"/>
    <cellStyle name="Normal 5 4 2 2 3 4 3" xfId="21490"/>
    <cellStyle name="Normal 5 4 2 2 3 4 3 2" xfId="47043"/>
    <cellStyle name="Normal 5 4 2 2 3 4 4" xfId="27973"/>
    <cellStyle name="Normal 5 4 2 2 3 5" xfId="6430"/>
    <cellStyle name="Normal 5 4 2 2 3 5 2" xfId="15257"/>
    <cellStyle name="Normal 5 4 2 2 3 5 2 2" xfId="40812"/>
    <cellStyle name="Normal 5 4 2 2 3 5 3" xfId="25508"/>
    <cellStyle name="Normal 5 4 2 2 3 5 3 2" xfId="51061"/>
    <cellStyle name="Normal 5 4 2 2 3 5 4" xfId="31991"/>
    <cellStyle name="Normal 5 4 2 2 3 6" xfId="7876"/>
    <cellStyle name="Normal 5 4 2 2 3 6 2" xfId="20681"/>
    <cellStyle name="Normal 5 4 2 2 3 6 2 2" xfId="46234"/>
    <cellStyle name="Normal 5 4 2 2 3 6 3" xfId="33433"/>
    <cellStyle name="Normal 5 4 2 2 3 7" xfId="16483"/>
    <cellStyle name="Normal 5 4 2 2 3 7 2" xfId="42036"/>
    <cellStyle name="Normal 5 4 2 2 3 8" xfId="27164"/>
    <cellStyle name="Normal 5 4 2 2 4" xfId="3012"/>
    <cellStyle name="Normal 5 4 2 2 4 2" xfId="5390"/>
    <cellStyle name="Normal 5 4 2 2 4 2 2" xfId="14227"/>
    <cellStyle name="Normal 5 4 2 2 4 2 2 2" xfId="24478"/>
    <cellStyle name="Normal 5 4 2 2 4 2 2 2 2" xfId="50031"/>
    <cellStyle name="Normal 5 4 2 2 4 2 2 3" xfId="39782"/>
    <cellStyle name="Normal 5 4 2 2 4 2 3" xfId="10648"/>
    <cellStyle name="Normal 5 4 2 2 4 2 3 2" xfId="36205"/>
    <cellStyle name="Normal 5 4 2 2 4 2 4" xfId="19471"/>
    <cellStyle name="Normal 5 4 2 2 4 2 4 2" xfId="45024"/>
    <cellStyle name="Normal 5 4 2 2 4 2 5" xfId="30961"/>
    <cellStyle name="Normal 5 4 2 2 4 3" xfId="6845"/>
    <cellStyle name="Normal 5 4 2 2 4 3 2" xfId="15672"/>
    <cellStyle name="Normal 5 4 2 2 4 3 2 2" xfId="41227"/>
    <cellStyle name="Normal 5 4 2 2 4 3 3" xfId="25923"/>
    <cellStyle name="Normal 5 4 2 2 4 3 3 2" xfId="51476"/>
    <cellStyle name="Normal 5 4 2 2 4 3 4" xfId="32406"/>
    <cellStyle name="Normal 5 4 2 2 4 4" xfId="8291"/>
    <cellStyle name="Normal 5 4 2 2 4 4 2" xfId="22373"/>
    <cellStyle name="Normal 5 4 2 2 4 4 2 2" xfId="47926"/>
    <cellStyle name="Normal 5 4 2 2 4 4 3" xfId="33848"/>
    <cellStyle name="Normal 5 4 2 2 4 5" xfId="17366"/>
    <cellStyle name="Normal 5 4 2 2 4 5 2" xfId="42919"/>
    <cellStyle name="Normal 5 4 2 2 4 6" xfId="28856"/>
    <cellStyle name="Normal 5 4 2 2 5" xfId="4346"/>
    <cellStyle name="Normal 5 4 2 2 5 2" xfId="13184"/>
    <cellStyle name="Normal 5 4 2 2 5 2 2" xfId="23435"/>
    <cellStyle name="Normal 5 4 2 2 5 2 2 2" xfId="48988"/>
    <cellStyle name="Normal 5 4 2 2 5 2 3" xfId="38739"/>
    <cellStyle name="Normal 5 4 2 2 5 3" xfId="9605"/>
    <cellStyle name="Normal 5 4 2 2 5 3 2" xfId="35162"/>
    <cellStyle name="Normal 5 4 2 2 5 4" xfId="18428"/>
    <cellStyle name="Normal 5 4 2 2 5 4 2" xfId="43981"/>
    <cellStyle name="Normal 5 4 2 2 5 5" xfId="29918"/>
    <cellStyle name="Normal 5 4 2 2 6" xfId="1618"/>
    <cellStyle name="Normal 5 4 2 2 6 2" xfId="10995"/>
    <cellStyle name="Normal 5 4 2 2 6 2 2" xfId="36550"/>
    <cellStyle name="Normal 5 4 2 2 6 3" xfId="20999"/>
    <cellStyle name="Normal 5 4 2 2 6 3 2" xfId="46552"/>
    <cellStyle name="Normal 5 4 2 2 6 4" xfId="27482"/>
    <cellStyle name="Normal 5 4 2 2 7" xfId="5802"/>
    <cellStyle name="Normal 5 4 2 2 7 2" xfId="14629"/>
    <cellStyle name="Normal 5 4 2 2 7 2 2" xfId="40184"/>
    <cellStyle name="Normal 5 4 2 2 7 3" xfId="24880"/>
    <cellStyle name="Normal 5 4 2 2 7 3 2" xfId="50433"/>
    <cellStyle name="Normal 5 4 2 2 7 4" xfId="31363"/>
    <cellStyle name="Normal 5 4 2 2 8" xfId="7246"/>
    <cellStyle name="Normal 5 4 2 2 8 2" xfId="19972"/>
    <cellStyle name="Normal 5 4 2 2 8 2 2" xfId="45525"/>
    <cellStyle name="Normal 5 4 2 2 8 3" xfId="32803"/>
    <cellStyle name="Normal 5 4 2 2 9" xfId="15992"/>
    <cellStyle name="Normal 5 4 2 2 9 2" xfId="41545"/>
    <cellStyle name="Normal 5 4 2 2_Degree data" xfId="3861"/>
    <cellStyle name="Normal 5 4 2 3" xfId="426"/>
    <cellStyle name="Normal 5 4 2 3 2" xfId="2912"/>
    <cellStyle name="Normal 5 4 2 3 2 2" xfId="12200"/>
    <cellStyle name="Normal 5 4 2 3 2 2 2" xfId="22273"/>
    <cellStyle name="Normal 5 4 2 3 2 2 2 2" xfId="47826"/>
    <cellStyle name="Normal 5 4 2 3 2 2 3" xfId="37755"/>
    <cellStyle name="Normal 5 4 2 3 2 3" xfId="8622"/>
    <cellStyle name="Normal 5 4 2 3 2 3 2" xfId="34179"/>
    <cellStyle name="Normal 5 4 2 3 2 4" xfId="17266"/>
    <cellStyle name="Normal 5 4 2 3 2 4 2" xfId="42819"/>
    <cellStyle name="Normal 5 4 2 3 2 5" xfId="28756"/>
    <cellStyle name="Normal 5 4 2 3 3" xfId="4625"/>
    <cellStyle name="Normal 5 4 2 3 3 2" xfId="13463"/>
    <cellStyle name="Normal 5 4 2 3 3 2 2" xfId="23714"/>
    <cellStyle name="Normal 5 4 2 3 3 2 2 2" xfId="49267"/>
    <cellStyle name="Normal 5 4 2 3 3 2 3" xfId="39018"/>
    <cellStyle name="Normal 5 4 2 3 3 3" xfId="9884"/>
    <cellStyle name="Normal 5 4 2 3 3 3 2" xfId="35441"/>
    <cellStyle name="Normal 5 4 2 3 3 4" xfId="18707"/>
    <cellStyle name="Normal 5 4 2 3 3 4 2" xfId="44260"/>
    <cellStyle name="Normal 5 4 2 3 3 5" xfId="30197"/>
    <cellStyle name="Normal 5 4 2 3 4" xfId="2021"/>
    <cellStyle name="Normal 5 4 2 3 4 2" xfId="11386"/>
    <cellStyle name="Normal 5 4 2 3 4 2 2" xfId="36941"/>
    <cellStyle name="Normal 5 4 2 3 4 3" xfId="21390"/>
    <cellStyle name="Normal 5 4 2 3 4 3 2" xfId="46943"/>
    <cellStyle name="Normal 5 4 2 3 4 4" xfId="27873"/>
    <cellStyle name="Normal 5 4 2 3 5" xfId="6081"/>
    <cellStyle name="Normal 5 4 2 3 5 2" xfId="14908"/>
    <cellStyle name="Normal 5 4 2 3 5 2 2" xfId="40463"/>
    <cellStyle name="Normal 5 4 2 3 5 3" xfId="25159"/>
    <cellStyle name="Normal 5 4 2 3 5 3 2" xfId="50712"/>
    <cellStyle name="Normal 5 4 2 3 5 4" xfId="31642"/>
    <cellStyle name="Normal 5 4 2 3 6" xfId="7526"/>
    <cellStyle name="Normal 5 4 2 3 6 2" xfId="19872"/>
    <cellStyle name="Normal 5 4 2 3 6 2 2" xfId="45425"/>
    <cellStyle name="Normal 5 4 2 3 6 3" xfId="33083"/>
    <cellStyle name="Normal 5 4 2 3 7" xfId="16383"/>
    <cellStyle name="Normal 5 4 2 3 7 2" xfId="41936"/>
    <cellStyle name="Normal 5 4 2 3 8" xfId="26355"/>
    <cellStyle name="Normal 5 4 2 4" xfId="811"/>
    <cellStyle name="Normal 5 4 2 4 2" xfId="3296"/>
    <cellStyle name="Normal 5 4 2 4 2 2" xfId="12438"/>
    <cellStyle name="Normal 5 4 2 4 2 2 2" xfId="22657"/>
    <cellStyle name="Normal 5 4 2 4 2 2 2 2" xfId="48210"/>
    <cellStyle name="Normal 5 4 2 4 2 2 3" xfId="37993"/>
    <cellStyle name="Normal 5 4 2 4 2 3" xfId="8860"/>
    <cellStyle name="Normal 5 4 2 4 2 3 2" xfId="34417"/>
    <cellStyle name="Normal 5 4 2 4 2 4" xfId="17650"/>
    <cellStyle name="Normal 5 4 2 4 2 4 2" xfId="43203"/>
    <cellStyle name="Normal 5 4 2 4 2 5" xfId="29140"/>
    <cellStyle name="Normal 5 4 2 4 3" xfId="4974"/>
    <cellStyle name="Normal 5 4 2 4 3 2" xfId="13811"/>
    <cellStyle name="Normal 5 4 2 4 3 2 2" xfId="24062"/>
    <cellStyle name="Normal 5 4 2 4 3 2 2 2" xfId="49615"/>
    <cellStyle name="Normal 5 4 2 4 3 2 3" xfId="39366"/>
    <cellStyle name="Normal 5 4 2 4 3 3" xfId="10232"/>
    <cellStyle name="Normal 5 4 2 4 3 3 2" xfId="35789"/>
    <cellStyle name="Normal 5 4 2 4 3 4" xfId="19055"/>
    <cellStyle name="Normal 5 4 2 4 3 4 2" xfId="44608"/>
    <cellStyle name="Normal 5 4 2 4 3 5" xfId="30545"/>
    <cellStyle name="Normal 5 4 2 4 4" xfId="2405"/>
    <cellStyle name="Normal 5 4 2 4 4 2" xfId="11770"/>
    <cellStyle name="Normal 5 4 2 4 4 2 2" xfId="37325"/>
    <cellStyle name="Normal 5 4 2 4 4 3" xfId="21774"/>
    <cellStyle name="Normal 5 4 2 4 4 3 2" xfId="47327"/>
    <cellStyle name="Normal 5 4 2 4 4 4" xfId="28257"/>
    <cellStyle name="Normal 5 4 2 4 5" xfId="6429"/>
    <cellStyle name="Normal 5 4 2 4 5 2" xfId="15256"/>
    <cellStyle name="Normal 5 4 2 4 5 2 2" xfId="40811"/>
    <cellStyle name="Normal 5 4 2 4 5 3" xfId="25507"/>
    <cellStyle name="Normal 5 4 2 4 5 3 2" xfId="51060"/>
    <cellStyle name="Normal 5 4 2 4 5 4" xfId="31990"/>
    <cellStyle name="Normal 5 4 2 4 6" xfId="7875"/>
    <cellStyle name="Normal 5 4 2 4 6 2" xfId="20256"/>
    <cellStyle name="Normal 5 4 2 4 6 2 2" xfId="45809"/>
    <cellStyle name="Normal 5 4 2 4 6 3" xfId="33432"/>
    <cellStyle name="Normal 5 4 2 4 7" xfId="16767"/>
    <cellStyle name="Normal 5 4 2 4 7 2" xfId="42320"/>
    <cellStyle name="Normal 5 4 2 4 8" xfId="26739"/>
    <cellStyle name="Normal 5 4 2 5" xfId="1198"/>
    <cellStyle name="Normal 5 4 2 5 2" xfId="3627"/>
    <cellStyle name="Normal 5 4 2 5 2 2" xfId="12763"/>
    <cellStyle name="Normal 5 4 2 5 2 2 2" xfId="22982"/>
    <cellStyle name="Normal 5 4 2 5 2 2 2 2" xfId="48535"/>
    <cellStyle name="Normal 5 4 2 5 2 2 3" xfId="38318"/>
    <cellStyle name="Normal 5 4 2 5 2 3" xfId="9184"/>
    <cellStyle name="Normal 5 4 2 5 2 3 2" xfId="34741"/>
    <cellStyle name="Normal 5 4 2 5 2 4" xfId="17975"/>
    <cellStyle name="Normal 5 4 2 5 2 4 2" xfId="43528"/>
    <cellStyle name="Normal 5 4 2 5 2 5" xfId="29465"/>
    <cellStyle name="Normal 5 4 2 5 3" xfId="5290"/>
    <cellStyle name="Normal 5 4 2 5 3 2" xfId="14127"/>
    <cellStyle name="Normal 5 4 2 5 3 2 2" xfId="24378"/>
    <cellStyle name="Normal 5 4 2 5 3 2 2 2" xfId="49931"/>
    <cellStyle name="Normal 5 4 2 5 3 2 3" xfId="39682"/>
    <cellStyle name="Normal 5 4 2 5 3 3" xfId="10548"/>
    <cellStyle name="Normal 5 4 2 5 3 3 2" xfId="36105"/>
    <cellStyle name="Normal 5 4 2 5 3 4" xfId="19371"/>
    <cellStyle name="Normal 5 4 2 5 3 4 2" xfId="44924"/>
    <cellStyle name="Normal 5 4 2 5 3 5" xfId="30861"/>
    <cellStyle name="Normal 5 4 2 5 4" xfId="1800"/>
    <cellStyle name="Normal 5 4 2 5 4 2" xfId="11169"/>
    <cellStyle name="Normal 5 4 2 5 4 2 2" xfId="36724"/>
    <cellStyle name="Normal 5 4 2 5 4 3" xfId="21173"/>
    <cellStyle name="Normal 5 4 2 5 4 3 2" xfId="46726"/>
    <cellStyle name="Normal 5 4 2 5 4 4" xfId="27656"/>
    <cellStyle name="Normal 5 4 2 5 5" xfId="6745"/>
    <cellStyle name="Normal 5 4 2 5 5 2" xfId="15572"/>
    <cellStyle name="Normal 5 4 2 5 5 2 2" xfId="41127"/>
    <cellStyle name="Normal 5 4 2 5 5 3" xfId="25823"/>
    <cellStyle name="Normal 5 4 2 5 5 3 2" xfId="51376"/>
    <cellStyle name="Normal 5 4 2 5 5 4" xfId="32306"/>
    <cellStyle name="Normal 5 4 2 5 6" xfId="8191"/>
    <cellStyle name="Normal 5 4 2 5 6 2" xfId="20581"/>
    <cellStyle name="Normal 5 4 2 5 6 2 2" xfId="46134"/>
    <cellStyle name="Normal 5 4 2 5 6 3" xfId="33748"/>
    <cellStyle name="Normal 5 4 2 5 7" xfId="16166"/>
    <cellStyle name="Normal 5 4 2 5 7 2" xfId="41719"/>
    <cellStyle name="Normal 5 4 2 5 8" xfId="27064"/>
    <cellStyle name="Normal 5 4 2 6" xfId="2695"/>
    <cellStyle name="Normal 5 4 2 6 2" xfId="12012"/>
    <cellStyle name="Normal 5 4 2 6 2 2" xfId="22056"/>
    <cellStyle name="Normal 5 4 2 6 2 2 2" xfId="47609"/>
    <cellStyle name="Normal 5 4 2 6 2 3" xfId="37567"/>
    <cellStyle name="Normal 5 4 2 6 3" xfId="8610"/>
    <cellStyle name="Normal 5 4 2 6 3 2" xfId="34167"/>
    <cellStyle name="Normal 5 4 2 6 4" xfId="17049"/>
    <cellStyle name="Normal 5 4 2 6 4 2" xfId="42602"/>
    <cellStyle name="Normal 5 4 2 6 5" xfId="28539"/>
    <cellStyle name="Normal 5 4 2 7" xfId="4246"/>
    <cellStyle name="Normal 5 4 2 7 2" xfId="13084"/>
    <cellStyle name="Normal 5 4 2 7 2 2" xfId="23335"/>
    <cellStyle name="Normal 5 4 2 7 2 2 2" xfId="48888"/>
    <cellStyle name="Normal 5 4 2 7 2 3" xfId="38639"/>
    <cellStyle name="Normal 5 4 2 7 3" xfId="9505"/>
    <cellStyle name="Normal 5 4 2 7 3 2" xfId="35062"/>
    <cellStyle name="Normal 5 4 2 7 4" xfId="18328"/>
    <cellStyle name="Normal 5 4 2 7 4 2" xfId="43881"/>
    <cellStyle name="Normal 5 4 2 7 5" xfId="29818"/>
    <cellStyle name="Normal 5 4 2 8" xfId="1518"/>
    <cellStyle name="Normal 5 4 2 8 2" xfId="10895"/>
    <cellStyle name="Normal 5 4 2 8 2 2" xfId="36450"/>
    <cellStyle name="Normal 5 4 2 8 3" xfId="20899"/>
    <cellStyle name="Normal 5 4 2 8 3 2" xfId="46452"/>
    <cellStyle name="Normal 5 4 2 8 4" xfId="27382"/>
    <cellStyle name="Normal 5 4 2 9" xfId="5702"/>
    <cellStyle name="Normal 5 4 2 9 2" xfId="14529"/>
    <cellStyle name="Normal 5 4 2 9 2 2" xfId="40084"/>
    <cellStyle name="Normal 5 4 2 9 3" xfId="24780"/>
    <cellStyle name="Normal 5 4 2 9 3 2" xfId="50333"/>
    <cellStyle name="Normal 5 4 2 9 4" xfId="31263"/>
    <cellStyle name="Normal 5 4 2_Degree data" xfId="3856"/>
    <cellStyle name="Normal 5 4 3" xfId="264"/>
    <cellStyle name="Normal 5 4 3 10" xfId="7103"/>
    <cellStyle name="Normal 5 4 3 10 2" xfId="19716"/>
    <cellStyle name="Normal 5 4 3 10 2 2" xfId="45269"/>
    <cellStyle name="Normal 5 4 3 10 3" xfId="32660"/>
    <cellStyle name="Normal 5 4 3 11" xfId="15849"/>
    <cellStyle name="Normal 5 4 3 11 2" xfId="41402"/>
    <cellStyle name="Normal 5 4 3 12" xfId="26199"/>
    <cellStyle name="Normal 5 4 3 2" xfId="587"/>
    <cellStyle name="Normal 5 4 3 2 10" xfId="26516"/>
    <cellStyle name="Normal 5 4 3 2 2" xfId="814"/>
    <cellStyle name="Normal 5 4 3 2 2 2" xfId="3299"/>
    <cellStyle name="Normal 5 4 3 2 2 2 2" xfId="12441"/>
    <cellStyle name="Normal 5 4 3 2 2 2 2 2" xfId="22660"/>
    <cellStyle name="Normal 5 4 3 2 2 2 2 2 2" xfId="48213"/>
    <cellStyle name="Normal 5 4 3 2 2 2 2 3" xfId="37996"/>
    <cellStyle name="Normal 5 4 3 2 2 2 3" xfId="8863"/>
    <cellStyle name="Normal 5 4 3 2 2 2 3 2" xfId="34420"/>
    <cellStyle name="Normal 5 4 3 2 2 2 4" xfId="17653"/>
    <cellStyle name="Normal 5 4 3 2 2 2 4 2" xfId="43206"/>
    <cellStyle name="Normal 5 4 3 2 2 2 5" xfId="29143"/>
    <cellStyle name="Normal 5 4 3 2 2 3" xfId="4628"/>
    <cellStyle name="Normal 5 4 3 2 2 3 2" xfId="13466"/>
    <cellStyle name="Normal 5 4 3 2 2 3 2 2" xfId="23717"/>
    <cellStyle name="Normal 5 4 3 2 2 3 2 2 2" xfId="49270"/>
    <cellStyle name="Normal 5 4 3 2 2 3 2 3" xfId="39021"/>
    <cellStyle name="Normal 5 4 3 2 2 3 3" xfId="9887"/>
    <cellStyle name="Normal 5 4 3 2 2 3 3 2" xfId="35444"/>
    <cellStyle name="Normal 5 4 3 2 2 3 4" xfId="18710"/>
    <cellStyle name="Normal 5 4 3 2 2 3 4 2" xfId="44263"/>
    <cellStyle name="Normal 5 4 3 2 2 3 5" xfId="30200"/>
    <cellStyle name="Normal 5 4 3 2 2 4" xfId="2408"/>
    <cellStyle name="Normal 5 4 3 2 2 4 2" xfId="11773"/>
    <cellStyle name="Normal 5 4 3 2 2 4 2 2" xfId="37328"/>
    <cellStyle name="Normal 5 4 3 2 2 4 3" xfId="21777"/>
    <cellStyle name="Normal 5 4 3 2 2 4 3 2" xfId="47330"/>
    <cellStyle name="Normal 5 4 3 2 2 4 4" xfId="28260"/>
    <cellStyle name="Normal 5 4 3 2 2 5" xfId="6084"/>
    <cellStyle name="Normal 5 4 3 2 2 5 2" xfId="14911"/>
    <cellStyle name="Normal 5 4 3 2 2 5 2 2" xfId="40466"/>
    <cellStyle name="Normal 5 4 3 2 2 5 3" xfId="25162"/>
    <cellStyle name="Normal 5 4 3 2 2 5 3 2" xfId="50715"/>
    <cellStyle name="Normal 5 4 3 2 2 5 4" xfId="31645"/>
    <cellStyle name="Normal 5 4 3 2 2 6" xfId="7529"/>
    <cellStyle name="Normal 5 4 3 2 2 6 2" xfId="20259"/>
    <cellStyle name="Normal 5 4 3 2 2 6 2 2" xfId="45812"/>
    <cellStyle name="Normal 5 4 3 2 2 6 3" xfId="33086"/>
    <cellStyle name="Normal 5 4 3 2 2 7" xfId="16770"/>
    <cellStyle name="Normal 5 4 3 2 2 7 2" xfId="42323"/>
    <cellStyle name="Normal 5 4 3 2 2 8" xfId="26742"/>
    <cellStyle name="Normal 5 4 3 2 3" xfId="1359"/>
    <cellStyle name="Normal 5 4 3 2 3 2" xfId="3788"/>
    <cellStyle name="Normal 5 4 3 2 3 2 2" xfId="12924"/>
    <cellStyle name="Normal 5 4 3 2 3 2 2 2" xfId="23143"/>
    <cellStyle name="Normal 5 4 3 2 3 2 2 2 2" xfId="48696"/>
    <cellStyle name="Normal 5 4 3 2 3 2 2 3" xfId="38479"/>
    <cellStyle name="Normal 5 4 3 2 3 2 3" xfId="9345"/>
    <cellStyle name="Normal 5 4 3 2 3 2 3 2" xfId="34902"/>
    <cellStyle name="Normal 5 4 3 2 3 2 4" xfId="18136"/>
    <cellStyle name="Normal 5 4 3 2 3 2 4 2" xfId="43689"/>
    <cellStyle name="Normal 5 4 3 2 3 2 5" xfId="29626"/>
    <cellStyle name="Normal 5 4 3 2 3 3" xfId="4977"/>
    <cellStyle name="Normal 5 4 3 2 3 3 2" xfId="13814"/>
    <cellStyle name="Normal 5 4 3 2 3 3 2 2" xfId="24065"/>
    <cellStyle name="Normal 5 4 3 2 3 3 2 2 2" xfId="49618"/>
    <cellStyle name="Normal 5 4 3 2 3 3 2 3" xfId="39369"/>
    <cellStyle name="Normal 5 4 3 2 3 3 3" xfId="10235"/>
    <cellStyle name="Normal 5 4 3 2 3 3 3 2" xfId="35792"/>
    <cellStyle name="Normal 5 4 3 2 3 3 4" xfId="19058"/>
    <cellStyle name="Normal 5 4 3 2 3 3 4 2" xfId="44611"/>
    <cellStyle name="Normal 5 4 3 2 3 3 5" xfId="30548"/>
    <cellStyle name="Normal 5 4 3 2 3 4" xfId="2182"/>
    <cellStyle name="Normal 5 4 3 2 3 4 2" xfId="11547"/>
    <cellStyle name="Normal 5 4 3 2 3 4 2 2" xfId="37102"/>
    <cellStyle name="Normal 5 4 3 2 3 4 3" xfId="21551"/>
    <cellStyle name="Normal 5 4 3 2 3 4 3 2" xfId="47104"/>
    <cellStyle name="Normal 5 4 3 2 3 4 4" xfId="28034"/>
    <cellStyle name="Normal 5 4 3 2 3 5" xfId="6432"/>
    <cellStyle name="Normal 5 4 3 2 3 5 2" xfId="15259"/>
    <cellStyle name="Normal 5 4 3 2 3 5 2 2" xfId="40814"/>
    <cellStyle name="Normal 5 4 3 2 3 5 3" xfId="25510"/>
    <cellStyle name="Normal 5 4 3 2 3 5 3 2" xfId="51063"/>
    <cellStyle name="Normal 5 4 3 2 3 5 4" xfId="31993"/>
    <cellStyle name="Normal 5 4 3 2 3 6" xfId="7878"/>
    <cellStyle name="Normal 5 4 3 2 3 6 2" xfId="20742"/>
    <cellStyle name="Normal 5 4 3 2 3 6 2 2" xfId="46295"/>
    <cellStyle name="Normal 5 4 3 2 3 6 3" xfId="33435"/>
    <cellStyle name="Normal 5 4 3 2 3 7" xfId="16544"/>
    <cellStyle name="Normal 5 4 3 2 3 7 2" xfId="42097"/>
    <cellStyle name="Normal 5 4 3 2 3 8" xfId="27225"/>
    <cellStyle name="Normal 5 4 3 2 4" xfId="3073"/>
    <cellStyle name="Normal 5 4 3 2 4 2" xfId="5451"/>
    <cellStyle name="Normal 5 4 3 2 4 2 2" xfId="14288"/>
    <cellStyle name="Normal 5 4 3 2 4 2 2 2" xfId="24539"/>
    <cellStyle name="Normal 5 4 3 2 4 2 2 2 2" xfId="50092"/>
    <cellStyle name="Normal 5 4 3 2 4 2 2 3" xfId="39843"/>
    <cellStyle name="Normal 5 4 3 2 4 2 3" xfId="10709"/>
    <cellStyle name="Normal 5 4 3 2 4 2 3 2" xfId="36266"/>
    <cellStyle name="Normal 5 4 3 2 4 2 4" xfId="19532"/>
    <cellStyle name="Normal 5 4 3 2 4 2 4 2" xfId="45085"/>
    <cellStyle name="Normal 5 4 3 2 4 2 5" xfId="31022"/>
    <cellStyle name="Normal 5 4 3 2 4 3" xfId="6906"/>
    <cellStyle name="Normal 5 4 3 2 4 3 2" xfId="15733"/>
    <cellStyle name="Normal 5 4 3 2 4 3 2 2" xfId="41288"/>
    <cellStyle name="Normal 5 4 3 2 4 3 3" xfId="25984"/>
    <cellStyle name="Normal 5 4 3 2 4 3 3 2" xfId="51537"/>
    <cellStyle name="Normal 5 4 3 2 4 3 4" xfId="32467"/>
    <cellStyle name="Normal 5 4 3 2 4 4" xfId="8352"/>
    <cellStyle name="Normal 5 4 3 2 4 4 2" xfId="22434"/>
    <cellStyle name="Normal 5 4 3 2 4 4 2 2" xfId="47987"/>
    <cellStyle name="Normal 5 4 3 2 4 4 3" xfId="33909"/>
    <cellStyle name="Normal 5 4 3 2 4 5" xfId="17427"/>
    <cellStyle name="Normal 5 4 3 2 4 5 2" xfId="42980"/>
    <cellStyle name="Normal 5 4 3 2 4 6" xfId="28917"/>
    <cellStyle name="Normal 5 4 3 2 5" xfId="4407"/>
    <cellStyle name="Normal 5 4 3 2 5 2" xfId="13245"/>
    <cellStyle name="Normal 5 4 3 2 5 2 2" xfId="23496"/>
    <cellStyle name="Normal 5 4 3 2 5 2 2 2" xfId="49049"/>
    <cellStyle name="Normal 5 4 3 2 5 2 3" xfId="38800"/>
    <cellStyle name="Normal 5 4 3 2 5 3" xfId="9666"/>
    <cellStyle name="Normal 5 4 3 2 5 3 2" xfId="35223"/>
    <cellStyle name="Normal 5 4 3 2 5 4" xfId="18489"/>
    <cellStyle name="Normal 5 4 3 2 5 4 2" xfId="44042"/>
    <cellStyle name="Normal 5 4 3 2 5 5" xfId="29979"/>
    <cellStyle name="Normal 5 4 3 2 6" xfId="1679"/>
    <cellStyle name="Normal 5 4 3 2 6 2" xfId="11056"/>
    <cellStyle name="Normal 5 4 3 2 6 2 2" xfId="36611"/>
    <cellStyle name="Normal 5 4 3 2 6 3" xfId="21060"/>
    <cellStyle name="Normal 5 4 3 2 6 3 2" xfId="46613"/>
    <cellStyle name="Normal 5 4 3 2 6 4" xfId="27543"/>
    <cellStyle name="Normal 5 4 3 2 7" xfId="5863"/>
    <cellStyle name="Normal 5 4 3 2 7 2" xfId="14690"/>
    <cellStyle name="Normal 5 4 3 2 7 2 2" xfId="40245"/>
    <cellStyle name="Normal 5 4 3 2 7 3" xfId="24941"/>
    <cellStyle name="Normal 5 4 3 2 7 3 2" xfId="50494"/>
    <cellStyle name="Normal 5 4 3 2 7 4" xfId="31424"/>
    <cellStyle name="Normal 5 4 3 2 8" xfId="7307"/>
    <cellStyle name="Normal 5 4 3 2 8 2" xfId="20033"/>
    <cellStyle name="Normal 5 4 3 2 8 2 2" xfId="45586"/>
    <cellStyle name="Normal 5 4 3 2 8 3" xfId="32864"/>
    <cellStyle name="Normal 5 4 3 2 9" xfId="16053"/>
    <cellStyle name="Normal 5 4 3 2 9 2" xfId="41606"/>
    <cellStyle name="Normal 5 4 3 2_Degree data" xfId="3465"/>
    <cellStyle name="Normal 5 4 3 3" xfId="383"/>
    <cellStyle name="Normal 5 4 3 3 2" xfId="2869"/>
    <cellStyle name="Normal 5 4 3 3 2 2" xfId="12157"/>
    <cellStyle name="Normal 5 4 3 3 2 2 2" xfId="22230"/>
    <cellStyle name="Normal 5 4 3 3 2 2 2 2" xfId="47783"/>
    <cellStyle name="Normal 5 4 3 3 2 2 3" xfId="37712"/>
    <cellStyle name="Normal 5 4 3 3 2 3" xfId="8460"/>
    <cellStyle name="Normal 5 4 3 3 2 3 2" xfId="34017"/>
    <cellStyle name="Normal 5 4 3 3 2 4" xfId="17223"/>
    <cellStyle name="Normal 5 4 3 3 2 4 2" xfId="42776"/>
    <cellStyle name="Normal 5 4 3 3 2 5" xfId="28713"/>
    <cellStyle name="Normal 5 4 3 3 3" xfId="4627"/>
    <cellStyle name="Normal 5 4 3 3 3 2" xfId="13465"/>
    <cellStyle name="Normal 5 4 3 3 3 2 2" xfId="23716"/>
    <cellStyle name="Normal 5 4 3 3 3 2 2 2" xfId="49269"/>
    <cellStyle name="Normal 5 4 3 3 3 2 3" xfId="39020"/>
    <cellStyle name="Normal 5 4 3 3 3 3" xfId="9886"/>
    <cellStyle name="Normal 5 4 3 3 3 3 2" xfId="35443"/>
    <cellStyle name="Normal 5 4 3 3 3 4" xfId="18709"/>
    <cellStyle name="Normal 5 4 3 3 3 4 2" xfId="44262"/>
    <cellStyle name="Normal 5 4 3 3 3 5" xfId="30199"/>
    <cellStyle name="Normal 5 4 3 3 4" xfId="1978"/>
    <cellStyle name="Normal 5 4 3 3 4 2" xfId="11343"/>
    <cellStyle name="Normal 5 4 3 3 4 2 2" xfId="36898"/>
    <cellStyle name="Normal 5 4 3 3 4 3" xfId="21347"/>
    <cellStyle name="Normal 5 4 3 3 4 3 2" xfId="46900"/>
    <cellStyle name="Normal 5 4 3 3 4 4" xfId="27830"/>
    <cellStyle name="Normal 5 4 3 3 5" xfId="6083"/>
    <cellStyle name="Normal 5 4 3 3 5 2" xfId="14910"/>
    <cellStyle name="Normal 5 4 3 3 5 2 2" xfId="40465"/>
    <cellStyle name="Normal 5 4 3 3 5 3" xfId="25161"/>
    <cellStyle name="Normal 5 4 3 3 5 3 2" xfId="50714"/>
    <cellStyle name="Normal 5 4 3 3 5 4" xfId="31644"/>
    <cellStyle name="Normal 5 4 3 3 6" xfId="7528"/>
    <cellStyle name="Normal 5 4 3 3 6 2" xfId="19829"/>
    <cellStyle name="Normal 5 4 3 3 6 2 2" xfId="45382"/>
    <cellStyle name="Normal 5 4 3 3 6 3" xfId="33085"/>
    <cellStyle name="Normal 5 4 3 3 7" xfId="16340"/>
    <cellStyle name="Normal 5 4 3 3 7 2" xfId="41893"/>
    <cellStyle name="Normal 5 4 3 3 8" xfId="26312"/>
    <cellStyle name="Normal 5 4 3 4" xfId="813"/>
    <cellStyle name="Normal 5 4 3 4 2" xfId="3298"/>
    <cellStyle name="Normal 5 4 3 4 2 2" xfId="12440"/>
    <cellStyle name="Normal 5 4 3 4 2 2 2" xfId="22659"/>
    <cellStyle name="Normal 5 4 3 4 2 2 2 2" xfId="48212"/>
    <cellStyle name="Normal 5 4 3 4 2 2 3" xfId="37995"/>
    <cellStyle name="Normal 5 4 3 4 2 3" xfId="8862"/>
    <cellStyle name="Normal 5 4 3 4 2 3 2" xfId="34419"/>
    <cellStyle name="Normal 5 4 3 4 2 4" xfId="17652"/>
    <cellStyle name="Normal 5 4 3 4 2 4 2" xfId="43205"/>
    <cellStyle name="Normal 5 4 3 4 2 5" xfId="29142"/>
    <cellStyle name="Normal 5 4 3 4 3" xfId="4976"/>
    <cellStyle name="Normal 5 4 3 4 3 2" xfId="13813"/>
    <cellStyle name="Normal 5 4 3 4 3 2 2" xfId="24064"/>
    <cellStyle name="Normal 5 4 3 4 3 2 2 2" xfId="49617"/>
    <cellStyle name="Normal 5 4 3 4 3 2 3" xfId="39368"/>
    <cellStyle name="Normal 5 4 3 4 3 3" xfId="10234"/>
    <cellStyle name="Normal 5 4 3 4 3 3 2" xfId="35791"/>
    <cellStyle name="Normal 5 4 3 4 3 4" xfId="19057"/>
    <cellStyle name="Normal 5 4 3 4 3 4 2" xfId="44610"/>
    <cellStyle name="Normal 5 4 3 4 3 5" xfId="30547"/>
    <cellStyle name="Normal 5 4 3 4 4" xfId="2407"/>
    <cellStyle name="Normal 5 4 3 4 4 2" xfId="11772"/>
    <cellStyle name="Normal 5 4 3 4 4 2 2" xfId="37327"/>
    <cellStyle name="Normal 5 4 3 4 4 3" xfId="21776"/>
    <cellStyle name="Normal 5 4 3 4 4 3 2" xfId="47329"/>
    <cellStyle name="Normal 5 4 3 4 4 4" xfId="28259"/>
    <cellStyle name="Normal 5 4 3 4 5" xfId="6431"/>
    <cellStyle name="Normal 5 4 3 4 5 2" xfId="15258"/>
    <cellStyle name="Normal 5 4 3 4 5 2 2" xfId="40813"/>
    <cellStyle name="Normal 5 4 3 4 5 3" xfId="25509"/>
    <cellStyle name="Normal 5 4 3 4 5 3 2" xfId="51062"/>
    <cellStyle name="Normal 5 4 3 4 5 4" xfId="31992"/>
    <cellStyle name="Normal 5 4 3 4 6" xfId="7877"/>
    <cellStyle name="Normal 5 4 3 4 6 2" xfId="20258"/>
    <cellStyle name="Normal 5 4 3 4 6 2 2" xfId="45811"/>
    <cellStyle name="Normal 5 4 3 4 6 3" xfId="33434"/>
    <cellStyle name="Normal 5 4 3 4 7" xfId="16769"/>
    <cellStyle name="Normal 5 4 3 4 7 2" xfId="42322"/>
    <cellStyle name="Normal 5 4 3 4 8" xfId="26741"/>
    <cellStyle name="Normal 5 4 3 5" xfId="1155"/>
    <cellStyle name="Normal 5 4 3 5 2" xfId="3584"/>
    <cellStyle name="Normal 5 4 3 5 2 2" xfId="12720"/>
    <cellStyle name="Normal 5 4 3 5 2 2 2" xfId="22939"/>
    <cellStyle name="Normal 5 4 3 5 2 2 2 2" xfId="48492"/>
    <cellStyle name="Normal 5 4 3 5 2 2 3" xfId="38275"/>
    <cellStyle name="Normal 5 4 3 5 2 3" xfId="9141"/>
    <cellStyle name="Normal 5 4 3 5 2 3 2" xfId="34698"/>
    <cellStyle name="Normal 5 4 3 5 2 4" xfId="17932"/>
    <cellStyle name="Normal 5 4 3 5 2 4 2" xfId="43485"/>
    <cellStyle name="Normal 5 4 3 5 2 5" xfId="29422"/>
    <cellStyle name="Normal 5 4 3 5 3" xfId="5247"/>
    <cellStyle name="Normal 5 4 3 5 3 2" xfId="14084"/>
    <cellStyle name="Normal 5 4 3 5 3 2 2" xfId="24335"/>
    <cellStyle name="Normal 5 4 3 5 3 2 2 2" xfId="49888"/>
    <cellStyle name="Normal 5 4 3 5 3 2 3" xfId="39639"/>
    <cellStyle name="Normal 5 4 3 5 3 3" xfId="10505"/>
    <cellStyle name="Normal 5 4 3 5 3 3 2" xfId="36062"/>
    <cellStyle name="Normal 5 4 3 5 3 4" xfId="19328"/>
    <cellStyle name="Normal 5 4 3 5 3 4 2" xfId="44881"/>
    <cellStyle name="Normal 5 4 3 5 3 5" xfId="30818"/>
    <cellStyle name="Normal 5 4 3 5 4" xfId="1862"/>
    <cellStyle name="Normal 5 4 3 5 4 2" xfId="11230"/>
    <cellStyle name="Normal 5 4 3 5 4 2 2" xfId="36785"/>
    <cellStyle name="Normal 5 4 3 5 4 3" xfId="21234"/>
    <cellStyle name="Normal 5 4 3 5 4 3 2" xfId="46787"/>
    <cellStyle name="Normal 5 4 3 5 4 4" xfId="27717"/>
    <cellStyle name="Normal 5 4 3 5 5" xfId="6702"/>
    <cellStyle name="Normal 5 4 3 5 5 2" xfId="15529"/>
    <cellStyle name="Normal 5 4 3 5 5 2 2" xfId="41084"/>
    <cellStyle name="Normal 5 4 3 5 5 3" xfId="25780"/>
    <cellStyle name="Normal 5 4 3 5 5 3 2" xfId="51333"/>
    <cellStyle name="Normal 5 4 3 5 5 4" xfId="32263"/>
    <cellStyle name="Normal 5 4 3 5 6" xfId="8148"/>
    <cellStyle name="Normal 5 4 3 5 6 2" xfId="20538"/>
    <cellStyle name="Normal 5 4 3 5 6 2 2" xfId="46091"/>
    <cellStyle name="Normal 5 4 3 5 6 3" xfId="33705"/>
    <cellStyle name="Normal 5 4 3 5 7" xfId="16227"/>
    <cellStyle name="Normal 5 4 3 5 7 2" xfId="41780"/>
    <cellStyle name="Normal 5 4 3 5 8" xfId="27021"/>
    <cellStyle name="Normal 5 4 3 6" xfId="2756"/>
    <cellStyle name="Normal 5 4 3 6 2" xfId="12073"/>
    <cellStyle name="Normal 5 4 3 6 2 2" xfId="22117"/>
    <cellStyle name="Normal 5 4 3 6 2 2 2" xfId="47670"/>
    <cellStyle name="Normal 5 4 3 6 2 3" xfId="37628"/>
    <cellStyle name="Normal 5 4 3 6 3" xfId="8381"/>
    <cellStyle name="Normal 5 4 3 6 3 2" xfId="33938"/>
    <cellStyle name="Normal 5 4 3 6 4" xfId="17110"/>
    <cellStyle name="Normal 5 4 3 6 4 2" xfId="42663"/>
    <cellStyle name="Normal 5 4 3 6 5" xfId="28600"/>
    <cellStyle name="Normal 5 4 3 7" xfId="4203"/>
    <cellStyle name="Normal 5 4 3 7 2" xfId="13041"/>
    <cellStyle name="Normal 5 4 3 7 2 2" xfId="23292"/>
    <cellStyle name="Normal 5 4 3 7 2 2 2" xfId="48845"/>
    <cellStyle name="Normal 5 4 3 7 2 3" xfId="38596"/>
    <cellStyle name="Normal 5 4 3 7 3" xfId="9462"/>
    <cellStyle name="Normal 5 4 3 7 3 2" xfId="35019"/>
    <cellStyle name="Normal 5 4 3 7 4" xfId="18285"/>
    <cellStyle name="Normal 5 4 3 7 4 2" xfId="43838"/>
    <cellStyle name="Normal 5 4 3 7 5" xfId="29775"/>
    <cellStyle name="Normal 5 4 3 8" xfId="1475"/>
    <cellStyle name="Normal 5 4 3 8 2" xfId="10852"/>
    <cellStyle name="Normal 5 4 3 8 2 2" xfId="36407"/>
    <cellStyle name="Normal 5 4 3 8 3" xfId="20856"/>
    <cellStyle name="Normal 5 4 3 8 3 2" xfId="46409"/>
    <cellStyle name="Normal 5 4 3 8 4" xfId="27339"/>
    <cellStyle name="Normal 5 4 3 9" xfId="5659"/>
    <cellStyle name="Normal 5 4 3 9 2" xfId="14486"/>
    <cellStyle name="Normal 5 4 3 9 2 2" xfId="40041"/>
    <cellStyle name="Normal 5 4 3 9 3" xfId="24737"/>
    <cellStyle name="Normal 5 4 3 9 3 2" xfId="50290"/>
    <cellStyle name="Normal 5 4 3 9 4" xfId="31220"/>
    <cellStyle name="Normal 5 4 3_Degree data" xfId="3838"/>
    <cellStyle name="Normal 5 4 4" xfId="483"/>
    <cellStyle name="Normal 5 4 4 10" xfId="26412"/>
    <cellStyle name="Normal 5 4 4 2" xfId="815"/>
    <cellStyle name="Normal 5 4 4 2 2" xfId="3300"/>
    <cellStyle name="Normal 5 4 4 2 2 2" xfId="12442"/>
    <cellStyle name="Normal 5 4 4 2 2 2 2" xfId="22661"/>
    <cellStyle name="Normal 5 4 4 2 2 2 2 2" xfId="48214"/>
    <cellStyle name="Normal 5 4 4 2 2 2 3" xfId="37997"/>
    <cellStyle name="Normal 5 4 4 2 2 3" xfId="8864"/>
    <cellStyle name="Normal 5 4 4 2 2 3 2" xfId="34421"/>
    <cellStyle name="Normal 5 4 4 2 2 4" xfId="17654"/>
    <cellStyle name="Normal 5 4 4 2 2 4 2" xfId="43207"/>
    <cellStyle name="Normal 5 4 4 2 2 5" xfId="29144"/>
    <cellStyle name="Normal 5 4 4 2 3" xfId="4629"/>
    <cellStyle name="Normal 5 4 4 2 3 2" xfId="13467"/>
    <cellStyle name="Normal 5 4 4 2 3 2 2" xfId="23718"/>
    <cellStyle name="Normal 5 4 4 2 3 2 2 2" xfId="49271"/>
    <cellStyle name="Normal 5 4 4 2 3 2 3" xfId="39022"/>
    <cellStyle name="Normal 5 4 4 2 3 3" xfId="9888"/>
    <cellStyle name="Normal 5 4 4 2 3 3 2" xfId="35445"/>
    <cellStyle name="Normal 5 4 4 2 3 4" xfId="18711"/>
    <cellStyle name="Normal 5 4 4 2 3 4 2" xfId="44264"/>
    <cellStyle name="Normal 5 4 4 2 3 5" xfId="30201"/>
    <cellStyle name="Normal 5 4 4 2 4" xfId="2409"/>
    <cellStyle name="Normal 5 4 4 2 4 2" xfId="11774"/>
    <cellStyle name="Normal 5 4 4 2 4 2 2" xfId="37329"/>
    <cellStyle name="Normal 5 4 4 2 4 3" xfId="21778"/>
    <cellStyle name="Normal 5 4 4 2 4 3 2" xfId="47331"/>
    <cellStyle name="Normal 5 4 4 2 4 4" xfId="28261"/>
    <cellStyle name="Normal 5 4 4 2 5" xfId="6085"/>
    <cellStyle name="Normal 5 4 4 2 5 2" xfId="14912"/>
    <cellStyle name="Normal 5 4 4 2 5 2 2" xfId="40467"/>
    <cellStyle name="Normal 5 4 4 2 5 3" xfId="25163"/>
    <cellStyle name="Normal 5 4 4 2 5 3 2" xfId="50716"/>
    <cellStyle name="Normal 5 4 4 2 5 4" xfId="31646"/>
    <cellStyle name="Normal 5 4 4 2 6" xfId="7530"/>
    <cellStyle name="Normal 5 4 4 2 6 2" xfId="20260"/>
    <cellStyle name="Normal 5 4 4 2 6 2 2" xfId="45813"/>
    <cellStyle name="Normal 5 4 4 2 6 3" xfId="33087"/>
    <cellStyle name="Normal 5 4 4 2 7" xfId="16771"/>
    <cellStyle name="Normal 5 4 4 2 7 2" xfId="42324"/>
    <cellStyle name="Normal 5 4 4 2 8" xfId="26743"/>
    <cellStyle name="Normal 5 4 4 3" xfId="1255"/>
    <cellStyle name="Normal 5 4 4 3 2" xfId="3684"/>
    <cellStyle name="Normal 5 4 4 3 2 2" xfId="12820"/>
    <cellStyle name="Normal 5 4 4 3 2 2 2" xfId="23039"/>
    <cellStyle name="Normal 5 4 4 3 2 2 2 2" xfId="48592"/>
    <cellStyle name="Normal 5 4 4 3 2 2 3" xfId="38375"/>
    <cellStyle name="Normal 5 4 4 3 2 3" xfId="9241"/>
    <cellStyle name="Normal 5 4 4 3 2 3 2" xfId="34798"/>
    <cellStyle name="Normal 5 4 4 3 2 4" xfId="18032"/>
    <cellStyle name="Normal 5 4 4 3 2 4 2" xfId="43585"/>
    <cellStyle name="Normal 5 4 4 3 2 5" xfId="29522"/>
    <cellStyle name="Normal 5 4 4 3 3" xfId="4978"/>
    <cellStyle name="Normal 5 4 4 3 3 2" xfId="13815"/>
    <cellStyle name="Normal 5 4 4 3 3 2 2" xfId="24066"/>
    <cellStyle name="Normal 5 4 4 3 3 2 2 2" xfId="49619"/>
    <cellStyle name="Normal 5 4 4 3 3 2 3" xfId="39370"/>
    <cellStyle name="Normal 5 4 4 3 3 3" xfId="10236"/>
    <cellStyle name="Normal 5 4 4 3 3 3 2" xfId="35793"/>
    <cellStyle name="Normal 5 4 4 3 3 4" xfId="19059"/>
    <cellStyle name="Normal 5 4 4 3 3 4 2" xfId="44612"/>
    <cellStyle name="Normal 5 4 4 3 3 5" xfId="30549"/>
    <cellStyle name="Normal 5 4 4 3 4" xfId="2078"/>
    <cellStyle name="Normal 5 4 4 3 4 2" xfId="11443"/>
    <cellStyle name="Normal 5 4 4 3 4 2 2" xfId="36998"/>
    <cellStyle name="Normal 5 4 4 3 4 3" xfId="21447"/>
    <cellStyle name="Normal 5 4 4 3 4 3 2" xfId="47000"/>
    <cellStyle name="Normal 5 4 4 3 4 4" xfId="27930"/>
    <cellStyle name="Normal 5 4 4 3 5" xfId="6433"/>
    <cellStyle name="Normal 5 4 4 3 5 2" xfId="15260"/>
    <cellStyle name="Normal 5 4 4 3 5 2 2" xfId="40815"/>
    <cellStyle name="Normal 5 4 4 3 5 3" xfId="25511"/>
    <cellStyle name="Normal 5 4 4 3 5 3 2" xfId="51064"/>
    <cellStyle name="Normal 5 4 4 3 5 4" xfId="31994"/>
    <cellStyle name="Normal 5 4 4 3 6" xfId="7879"/>
    <cellStyle name="Normal 5 4 4 3 6 2" xfId="20638"/>
    <cellStyle name="Normal 5 4 4 3 6 2 2" xfId="46191"/>
    <cellStyle name="Normal 5 4 4 3 6 3" xfId="33436"/>
    <cellStyle name="Normal 5 4 4 3 7" xfId="16440"/>
    <cellStyle name="Normal 5 4 4 3 7 2" xfId="41993"/>
    <cellStyle name="Normal 5 4 4 3 8" xfId="27121"/>
    <cellStyle name="Normal 5 4 4 4" xfId="2969"/>
    <cellStyle name="Normal 5 4 4 4 2" xfId="5347"/>
    <cellStyle name="Normal 5 4 4 4 2 2" xfId="14184"/>
    <cellStyle name="Normal 5 4 4 4 2 2 2" xfId="24435"/>
    <cellStyle name="Normal 5 4 4 4 2 2 2 2" xfId="49988"/>
    <cellStyle name="Normal 5 4 4 4 2 2 3" xfId="39739"/>
    <cellStyle name="Normal 5 4 4 4 2 3" xfId="10605"/>
    <cellStyle name="Normal 5 4 4 4 2 3 2" xfId="36162"/>
    <cellStyle name="Normal 5 4 4 4 2 4" xfId="19428"/>
    <cellStyle name="Normal 5 4 4 4 2 4 2" xfId="44981"/>
    <cellStyle name="Normal 5 4 4 4 2 5" xfId="30918"/>
    <cellStyle name="Normal 5 4 4 4 3" xfId="6802"/>
    <cellStyle name="Normal 5 4 4 4 3 2" xfId="15629"/>
    <cellStyle name="Normal 5 4 4 4 3 2 2" xfId="41184"/>
    <cellStyle name="Normal 5 4 4 4 3 3" xfId="25880"/>
    <cellStyle name="Normal 5 4 4 4 3 3 2" xfId="51433"/>
    <cellStyle name="Normal 5 4 4 4 3 4" xfId="32363"/>
    <cellStyle name="Normal 5 4 4 4 4" xfId="8248"/>
    <cellStyle name="Normal 5 4 4 4 4 2" xfId="22330"/>
    <cellStyle name="Normal 5 4 4 4 4 2 2" xfId="47883"/>
    <cellStyle name="Normal 5 4 4 4 4 3" xfId="33805"/>
    <cellStyle name="Normal 5 4 4 4 5" xfId="17323"/>
    <cellStyle name="Normal 5 4 4 4 5 2" xfId="42876"/>
    <cellStyle name="Normal 5 4 4 4 6" xfId="28813"/>
    <cellStyle name="Normal 5 4 4 5" xfId="4303"/>
    <cellStyle name="Normal 5 4 4 5 2" xfId="13141"/>
    <cellStyle name="Normal 5 4 4 5 2 2" xfId="23392"/>
    <cellStyle name="Normal 5 4 4 5 2 2 2" xfId="48945"/>
    <cellStyle name="Normal 5 4 4 5 2 3" xfId="38696"/>
    <cellStyle name="Normal 5 4 4 5 3" xfId="9562"/>
    <cellStyle name="Normal 5 4 4 5 3 2" xfId="35119"/>
    <cellStyle name="Normal 5 4 4 5 4" xfId="18385"/>
    <cellStyle name="Normal 5 4 4 5 4 2" xfId="43938"/>
    <cellStyle name="Normal 5 4 4 5 5" xfId="29875"/>
    <cellStyle name="Normal 5 4 4 6" xfId="1575"/>
    <cellStyle name="Normal 5 4 4 6 2" xfId="10952"/>
    <cellStyle name="Normal 5 4 4 6 2 2" xfId="36507"/>
    <cellStyle name="Normal 5 4 4 6 3" xfId="20956"/>
    <cellStyle name="Normal 5 4 4 6 3 2" xfId="46509"/>
    <cellStyle name="Normal 5 4 4 6 4" xfId="27439"/>
    <cellStyle name="Normal 5 4 4 7" xfId="5759"/>
    <cellStyle name="Normal 5 4 4 7 2" xfId="14586"/>
    <cellStyle name="Normal 5 4 4 7 2 2" xfId="40141"/>
    <cellStyle name="Normal 5 4 4 7 3" xfId="24837"/>
    <cellStyle name="Normal 5 4 4 7 3 2" xfId="50390"/>
    <cellStyle name="Normal 5 4 4 7 4" xfId="31320"/>
    <cellStyle name="Normal 5 4 4 8" xfId="7203"/>
    <cellStyle name="Normal 5 4 4 8 2" xfId="19929"/>
    <cellStyle name="Normal 5 4 4 8 2 2" xfId="45482"/>
    <cellStyle name="Normal 5 4 4 8 3" xfId="32760"/>
    <cellStyle name="Normal 5 4 4 9" xfId="15949"/>
    <cellStyle name="Normal 5 4 4 9 2" xfId="41502"/>
    <cellStyle name="Normal 5 4 4_Degree data" xfId="3844"/>
    <cellStyle name="Normal 5 4 5" xfId="324"/>
    <cellStyle name="Normal 5 4 5 10" xfId="26253"/>
    <cellStyle name="Normal 5 4 5 2" xfId="816"/>
    <cellStyle name="Normal 5 4 5 2 2" xfId="3301"/>
    <cellStyle name="Normal 5 4 5 2 2 2" xfId="12443"/>
    <cellStyle name="Normal 5 4 5 2 2 2 2" xfId="22662"/>
    <cellStyle name="Normal 5 4 5 2 2 2 2 2" xfId="48215"/>
    <cellStyle name="Normal 5 4 5 2 2 2 3" xfId="37998"/>
    <cellStyle name="Normal 5 4 5 2 2 3" xfId="8865"/>
    <cellStyle name="Normal 5 4 5 2 2 3 2" xfId="34422"/>
    <cellStyle name="Normal 5 4 5 2 2 4" xfId="17655"/>
    <cellStyle name="Normal 5 4 5 2 2 4 2" xfId="43208"/>
    <cellStyle name="Normal 5 4 5 2 2 5" xfId="29145"/>
    <cellStyle name="Normal 5 4 5 2 3" xfId="4630"/>
    <cellStyle name="Normal 5 4 5 2 3 2" xfId="13468"/>
    <cellStyle name="Normal 5 4 5 2 3 2 2" xfId="23719"/>
    <cellStyle name="Normal 5 4 5 2 3 2 2 2" xfId="49272"/>
    <cellStyle name="Normal 5 4 5 2 3 2 3" xfId="39023"/>
    <cellStyle name="Normal 5 4 5 2 3 3" xfId="9889"/>
    <cellStyle name="Normal 5 4 5 2 3 3 2" xfId="35446"/>
    <cellStyle name="Normal 5 4 5 2 3 4" xfId="18712"/>
    <cellStyle name="Normal 5 4 5 2 3 4 2" xfId="44265"/>
    <cellStyle name="Normal 5 4 5 2 3 5" xfId="30202"/>
    <cellStyle name="Normal 5 4 5 2 4" xfId="2410"/>
    <cellStyle name="Normal 5 4 5 2 4 2" xfId="11775"/>
    <cellStyle name="Normal 5 4 5 2 4 2 2" xfId="37330"/>
    <cellStyle name="Normal 5 4 5 2 4 3" xfId="21779"/>
    <cellStyle name="Normal 5 4 5 2 4 3 2" xfId="47332"/>
    <cellStyle name="Normal 5 4 5 2 4 4" xfId="28262"/>
    <cellStyle name="Normal 5 4 5 2 5" xfId="6086"/>
    <cellStyle name="Normal 5 4 5 2 5 2" xfId="14913"/>
    <cellStyle name="Normal 5 4 5 2 5 2 2" xfId="40468"/>
    <cellStyle name="Normal 5 4 5 2 5 3" xfId="25164"/>
    <cellStyle name="Normal 5 4 5 2 5 3 2" xfId="50717"/>
    <cellStyle name="Normal 5 4 5 2 5 4" xfId="31647"/>
    <cellStyle name="Normal 5 4 5 2 6" xfId="7531"/>
    <cellStyle name="Normal 5 4 5 2 6 2" xfId="20261"/>
    <cellStyle name="Normal 5 4 5 2 6 2 2" xfId="45814"/>
    <cellStyle name="Normal 5 4 5 2 6 3" xfId="33088"/>
    <cellStyle name="Normal 5 4 5 2 7" xfId="16772"/>
    <cellStyle name="Normal 5 4 5 2 7 2" xfId="42325"/>
    <cellStyle name="Normal 5 4 5 2 8" xfId="26744"/>
    <cellStyle name="Normal 5 4 5 3" xfId="1096"/>
    <cellStyle name="Normal 5 4 5 3 2" xfId="3525"/>
    <cellStyle name="Normal 5 4 5 3 2 2" xfId="12661"/>
    <cellStyle name="Normal 5 4 5 3 2 2 2" xfId="22880"/>
    <cellStyle name="Normal 5 4 5 3 2 2 2 2" xfId="48433"/>
    <cellStyle name="Normal 5 4 5 3 2 2 3" xfId="38216"/>
    <cellStyle name="Normal 5 4 5 3 2 3" xfId="9083"/>
    <cellStyle name="Normal 5 4 5 3 2 3 2" xfId="34640"/>
    <cellStyle name="Normal 5 4 5 3 2 4" xfId="17873"/>
    <cellStyle name="Normal 5 4 5 3 2 4 2" xfId="43426"/>
    <cellStyle name="Normal 5 4 5 3 2 5" xfId="29363"/>
    <cellStyle name="Normal 5 4 5 3 3" xfId="4979"/>
    <cellStyle name="Normal 5 4 5 3 3 2" xfId="13816"/>
    <cellStyle name="Normal 5 4 5 3 3 2 2" xfId="24067"/>
    <cellStyle name="Normal 5 4 5 3 3 2 2 2" xfId="49620"/>
    <cellStyle name="Normal 5 4 5 3 3 2 3" xfId="39371"/>
    <cellStyle name="Normal 5 4 5 3 3 3" xfId="10237"/>
    <cellStyle name="Normal 5 4 5 3 3 3 2" xfId="35794"/>
    <cellStyle name="Normal 5 4 5 3 3 4" xfId="19060"/>
    <cellStyle name="Normal 5 4 5 3 3 4 2" xfId="44613"/>
    <cellStyle name="Normal 5 4 5 3 3 5" xfId="30550"/>
    <cellStyle name="Normal 5 4 5 3 4" xfId="2578"/>
    <cellStyle name="Normal 5 4 5 3 4 2" xfId="11942"/>
    <cellStyle name="Normal 5 4 5 3 4 2 2" xfId="37497"/>
    <cellStyle name="Normal 5 4 5 3 4 3" xfId="21946"/>
    <cellStyle name="Normal 5 4 5 3 4 3 2" xfId="47499"/>
    <cellStyle name="Normal 5 4 5 3 4 4" xfId="28429"/>
    <cellStyle name="Normal 5 4 5 3 5" xfId="6434"/>
    <cellStyle name="Normal 5 4 5 3 5 2" xfId="15261"/>
    <cellStyle name="Normal 5 4 5 3 5 2 2" xfId="40816"/>
    <cellStyle name="Normal 5 4 5 3 5 3" xfId="25512"/>
    <cellStyle name="Normal 5 4 5 3 5 3 2" xfId="51065"/>
    <cellStyle name="Normal 5 4 5 3 5 4" xfId="31995"/>
    <cellStyle name="Normal 5 4 5 3 6" xfId="7880"/>
    <cellStyle name="Normal 5 4 5 3 6 2" xfId="20479"/>
    <cellStyle name="Normal 5 4 5 3 6 2 2" xfId="46032"/>
    <cellStyle name="Normal 5 4 5 3 6 3" xfId="33437"/>
    <cellStyle name="Normal 5 4 5 3 7" xfId="16939"/>
    <cellStyle name="Normal 5 4 5 3 7 2" xfId="42492"/>
    <cellStyle name="Normal 5 4 5 3 8" xfId="26962"/>
    <cellStyle name="Normal 5 4 5 4" xfId="2810"/>
    <cellStyle name="Normal 5 4 5 4 2" xfId="5188"/>
    <cellStyle name="Normal 5 4 5 4 2 2" xfId="14025"/>
    <cellStyle name="Normal 5 4 5 4 2 2 2" xfId="24276"/>
    <cellStyle name="Normal 5 4 5 4 2 2 2 2" xfId="49829"/>
    <cellStyle name="Normal 5 4 5 4 2 2 3" xfId="39580"/>
    <cellStyle name="Normal 5 4 5 4 2 3" xfId="10446"/>
    <cellStyle name="Normal 5 4 5 4 2 3 2" xfId="36003"/>
    <cellStyle name="Normal 5 4 5 4 2 4" xfId="19269"/>
    <cellStyle name="Normal 5 4 5 4 2 4 2" xfId="44822"/>
    <cellStyle name="Normal 5 4 5 4 2 5" xfId="30759"/>
    <cellStyle name="Normal 5 4 5 4 3" xfId="6643"/>
    <cellStyle name="Normal 5 4 5 4 3 2" xfId="15470"/>
    <cellStyle name="Normal 5 4 5 4 3 2 2" xfId="41025"/>
    <cellStyle name="Normal 5 4 5 4 3 3" xfId="25721"/>
    <cellStyle name="Normal 5 4 5 4 3 3 2" xfId="51274"/>
    <cellStyle name="Normal 5 4 5 4 3 4" xfId="32204"/>
    <cellStyle name="Normal 5 4 5 4 4" xfId="8089"/>
    <cellStyle name="Normal 5 4 5 4 4 2" xfId="22171"/>
    <cellStyle name="Normal 5 4 5 4 4 2 2" xfId="47724"/>
    <cellStyle name="Normal 5 4 5 4 4 3" xfId="33646"/>
    <cellStyle name="Normal 5 4 5 4 5" xfId="17164"/>
    <cellStyle name="Normal 5 4 5 4 5 2" xfId="42717"/>
    <cellStyle name="Normal 5 4 5 4 6" xfId="28654"/>
    <cellStyle name="Normal 5 4 5 5" xfId="4142"/>
    <cellStyle name="Normal 5 4 5 5 2" xfId="12980"/>
    <cellStyle name="Normal 5 4 5 5 2 2" xfId="23231"/>
    <cellStyle name="Normal 5 4 5 5 2 2 2" xfId="48784"/>
    <cellStyle name="Normal 5 4 5 5 2 3" xfId="38535"/>
    <cellStyle name="Normal 5 4 5 5 3" xfId="9401"/>
    <cellStyle name="Normal 5 4 5 5 3 2" xfId="34958"/>
    <cellStyle name="Normal 5 4 5 5 4" xfId="18224"/>
    <cellStyle name="Normal 5 4 5 5 4 2" xfId="43777"/>
    <cellStyle name="Normal 5 4 5 5 5" xfId="29714"/>
    <cellStyle name="Normal 5 4 5 6" xfId="1919"/>
    <cellStyle name="Normal 5 4 5 6 2" xfId="11284"/>
    <cellStyle name="Normal 5 4 5 6 2 2" xfId="36839"/>
    <cellStyle name="Normal 5 4 5 6 3" xfId="21288"/>
    <cellStyle name="Normal 5 4 5 6 3 2" xfId="46841"/>
    <cellStyle name="Normal 5 4 5 6 4" xfId="27771"/>
    <cellStyle name="Normal 5 4 5 7" xfId="5600"/>
    <cellStyle name="Normal 5 4 5 7 2" xfId="14427"/>
    <cellStyle name="Normal 5 4 5 7 2 2" xfId="39982"/>
    <cellStyle name="Normal 5 4 5 7 3" xfId="24678"/>
    <cellStyle name="Normal 5 4 5 7 3 2" xfId="50231"/>
    <cellStyle name="Normal 5 4 5 7 4" xfId="31161"/>
    <cellStyle name="Normal 5 4 5 8" xfId="7044"/>
    <cellStyle name="Normal 5 4 5 8 2" xfId="19770"/>
    <cellStyle name="Normal 5 4 5 8 2 2" xfId="45323"/>
    <cellStyle name="Normal 5 4 5 8 3" xfId="32601"/>
    <cellStyle name="Normal 5 4 5 9" xfId="16281"/>
    <cellStyle name="Normal 5 4 5 9 2" xfId="41834"/>
    <cellStyle name="Normal 5 4 5_Degree data" xfId="3923"/>
    <cellStyle name="Normal 5 4 6" xfId="810"/>
    <cellStyle name="Normal 5 4 6 2" xfId="3295"/>
    <cellStyle name="Normal 5 4 6 2 2" xfId="12437"/>
    <cellStyle name="Normal 5 4 6 2 2 2" xfId="22656"/>
    <cellStyle name="Normal 5 4 6 2 2 2 2" xfId="48209"/>
    <cellStyle name="Normal 5 4 6 2 2 3" xfId="37992"/>
    <cellStyle name="Normal 5 4 6 2 3" xfId="8859"/>
    <cellStyle name="Normal 5 4 6 2 3 2" xfId="34416"/>
    <cellStyle name="Normal 5 4 6 2 4" xfId="17649"/>
    <cellStyle name="Normal 5 4 6 2 4 2" xfId="43202"/>
    <cellStyle name="Normal 5 4 6 2 5" xfId="29139"/>
    <cellStyle name="Normal 5 4 6 3" xfId="4624"/>
    <cellStyle name="Normal 5 4 6 3 2" xfId="13462"/>
    <cellStyle name="Normal 5 4 6 3 2 2" xfId="23713"/>
    <cellStyle name="Normal 5 4 6 3 2 2 2" xfId="49266"/>
    <cellStyle name="Normal 5 4 6 3 2 3" xfId="39017"/>
    <cellStyle name="Normal 5 4 6 3 3" xfId="9883"/>
    <cellStyle name="Normal 5 4 6 3 3 2" xfId="35440"/>
    <cellStyle name="Normal 5 4 6 3 4" xfId="18706"/>
    <cellStyle name="Normal 5 4 6 3 4 2" xfId="44259"/>
    <cellStyle name="Normal 5 4 6 3 5" xfId="30196"/>
    <cellStyle name="Normal 5 4 6 4" xfId="2404"/>
    <cellStyle name="Normal 5 4 6 4 2" xfId="11769"/>
    <cellStyle name="Normal 5 4 6 4 2 2" xfId="37324"/>
    <cellStyle name="Normal 5 4 6 4 3" xfId="21773"/>
    <cellStyle name="Normal 5 4 6 4 3 2" xfId="47326"/>
    <cellStyle name="Normal 5 4 6 4 4" xfId="28256"/>
    <cellStyle name="Normal 5 4 6 5" xfId="6080"/>
    <cellStyle name="Normal 5 4 6 5 2" xfId="14907"/>
    <cellStyle name="Normal 5 4 6 5 2 2" xfId="40462"/>
    <cellStyle name="Normal 5 4 6 5 3" xfId="25158"/>
    <cellStyle name="Normal 5 4 6 5 3 2" xfId="50711"/>
    <cellStyle name="Normal 5 4 6 5 4" xfId="31641"/>
    <cellStyle name="Normal 5 4 6 6" xfId="7525"/>
    <cellStyle name="Normal 5 4 6 6 2" xfId="20255"/>
    <cellStyle name="Normal 5 4 6 6 2 2" xfId="45808"/>
    <cellStyle name="Normal 5 4 6 6 3" xfId="33082"/>
    <cellStyle name="Normal 5 4 6 7" xfId="16766"/>
    <cellStyle name="Normal 5 4 6 7 2" xfId="42319"/>
    <cellStyle name="Normal 5 4 6 8" xfId="26738"/>
    <cellStyle name="Normal 5 4 7" xfId="1053"/>
    <cellStyle name="Normal 5 4 7 2" xfId="3482"/>
    <cellStyle name="Normal 5 4 7 2 2" xfId="12618"/>
    <cellStyle name="Normal 5 4 7 2 2 2" xfId="22837"/>
    <cellStyle name="Normal 5 4 7 2 2 2 2" xfId="48390"/>
    <cellStyle name="Normal 5 4 7 2 2 3" xfId="38173"/>
    <cellStyle name="Normal 5 4 7 2 3" xfId="9040"/>
    <cellStyle name="Normal 5 4 7 2 3 2" xfId="34597"/>
    <cellStyle name="Normal 5 4 7 2 4" xfId="17830"/>
    <cellStyle name="Normal 5 4 7 2 4 2" xfId="43383"/>
    <cellStyle name="Normal 5 4 7 2 5" xfId="29320"/>
    <cellStyle name="Normal 5 4 7 3" xfId="4973"/>
    <cellStyle name="Normal 5 4 7 3 2" xfId="13810"/>
    <cellStyle name="Normal 5 4 7 3 2 2" xfId="24061"/>
    <cellStyle name="Normal 5 4 7 3 2 2 2" xfId="49614"/>
    <cellStyle name="Normal 5 4 7 3 2 3" xfId="39365"/>
    <cellStyle name="Normal 5 4 7 3 3" xfId="10231"/>
    <cellStyle name="Normal 5 4 7 3 3 2" xfId="35788"/>
    <cellStyle name="Normal 5 4 7 3 4" xfId="19054"/>
    <cellStyle name="Normal 5 4 7 3 4 2" xfId="44607"/>
    <cellStyle name="Normal 5 4 7 3 5" xfId="30544"/>
    <cellStyle name="Normal 5 4 7 4" xfId="1754"/>
    <cellStyle name="Normal 5 4 7 4 2" xfId="11125"/>
    <cellStyle name="Normal 5 4 7 4 2 2" xfId="36680"/>
    <cellStyle name="Normal 5 4 7 4 3" xfId="21129"/>
    <cellStyle name="Normal 5 4 7 4 3 2" xfId="46682"/>
    <cellStyle name="Normal 5 4 7 4 4" xfId="27612"/>
    <cellStyle name="Normal 5 4 7 5" xfId="6428"/>
    <cellStyle name="Normal 5 4 7 5 2" xfId="15255"/>
    <cellStyle name="Normal 5 4 7 5 2 2" xfId="40810"/>
    <cellStyle name="Normal 5 4 7 5 3" xfId="25506"/>
    <cellStyle name="Normal 5 4 7 5 3 2" xfId="51059"/>
    <cellStyle name="Normal 5 4 7 5 4" xfId="31989"/>
    <cellStyle name="Normal 5 4 7 6" xfId="7874"/>
    <cellStyle name="Normal 5 4 7 6 2" xfId="20436"/>
    <cellStyle name="Normal 5 4 7 6 2 2" xfId="45989"/>
    <cellStyle name="Normal 5 4 7 6 3" xfId="33431"/>
    <cellStyle name="Normal 5 4 7 7" xfId="16122"/>
    <cellStyle name="Normal 5 4 7 7 2" xfId="41675"/>
    <cellStyle name="Normal 5 4 7 8" xfId="26919"/>
    <cellStyle name="Normal 5 4 8" xfId="2652"/>
    <cellStyle name="Normal 5 4 8 2" xfId="5145"/>
    <cellStyle name="Normal 5 4 8 2 2" xfId="13982"/>
    <cellStyle name="Normal 5 4 8 2 2 2" xfId="24233"/>
    <cellStyle name="Normal 5 4 8 2 2 2 2" xfId="49786"/>
    <cellStyle name="Normal 5 4 8 2 2 3" xfId="39537"/>
    <cellStyle name="Normal 5 4 8 2 3" xfId="10403"/>
    <cellStyle name="Normal 5 4 8 2 3 2" xfId="35960"/>
    <cellStyle name="Normal 5 4 8 2 4" xfId="19226"/>
    <cellStyle name="Normal 5 4 8 2 4 2" xfId="44779"/>
    <cellStyle name="Normal 5 4 8 2 5" xfId="30716"/>
    <cellStyle name="Normal 5 4 8 3" xfId="6600"/>
    <cellStyle name="Normal 5 4 8 3 2" xfId="15427"/>
    <cellStyle name="Normal 5 4 8 3 2 2" xfId="40982"/>
    <cellStyle name="Normal 5 4 8 3 3" xfId="25678"/>
    <cellStyle name="Normal 5 4 8 3 3 2" xfId="51231"/>
    <cellStyle name="Normal 5 4 8 3 4" xfId="32161"/>
    <cellStyle name="Normal 5 4 8 4" xfId="8046"/>
    <cellStyle name="Normal 5 4 8 4 2" xfId="22013"/>
    <cellStyle name="Normal 5 4 8 4 2 2" xfId="47566"/>
    <cellStyle name="Normal 5 4 8 4 3" xfId="33603"/>
    <cellStyle name="Normal 5 4 8 5" xfId="17006"/>
    <cellStyle name="Normal 5 4 8 5 2" xfId="42559"/>
    <cellStyle name="Normal 5 4 8 6" xfId="28496"/>
    <cellStyle name="Normal 5 4 9" xfId="4099"/>
    <cellStyle name="Normal 5 4 9 2" xfId="5557"/>
    <cellStyle name="Normal 5 4 9 2 2" xfId="14384"/>
    <cellStyle name="Normal 5 4 9 2 2 2" xfId="39939"/>
    <cellStyle name="Normal 5 4 9 2 3" xfId="24635"/>
    <cellStyle name="Normal 5 4 9 2 3 2" xfId="50188"/>
    <cellStyle name="Normal 5 4 9 2 4" xfId="31118"/>
    <cellStyle name="Normal 5 4 9 3" xfId="7001"/>
    <cellStyle name="Normal 5 4 9 3 2" xfId="23188"/>
    <cellStyle name="Normal 5 4 9 3 2 2" xfId="48741"/>
    <cellStyle name="Normal 5 4 9 3 3" xfId="32558"/>
    <cellStyle name="Normal 5 4 9 4" xfId="18181"/>
    <cellStyle name="Normal 5 4 9 4 2" xfId="43734"/>
    <cellStyle name="Normal 5 4 9 5" xfId="29671"/>
    <cellStyle name="Normal 5 4_Degree data" xfId="3822"/>
    <cellStyle name="Normal 5 5" xfId="136"/>
    <cellStyle name="Normal 5 5 10" xfId="1404"/>
    <cellStyle name="Normal 5 5 10 2" xfId="10781"/>
    <cellStyle name="Normal 5 5 10 2 2" xfId="36336"/>
    <cellStyle name="Normal 5 5 10 3" xfId="20785"/>
    <cellStyle name="Normal 5 5 10 3 2" xfId="46338"/>
    <cellStyle name="Normal 5 5 10 4" xfId="27268"/>
    <cellStyle name="Normal 5 5 11" xfId="5515"/>
    <cellStyle name="Normal 5 5 11 2" xfId="14342"/>
    <cellStyle name="Normal 5 5 11 2 2" xfId="39897"/>
    <cellStyle name="Normal 5 5 11 3" xfId="24593"/>
    <cellStyle name="Normal 5 5 11 3 2" xfId="50146"/>
    <cellStyle name="Normal 5 5 11 4" xfId="31076"/>
    <cellStyle name="Normal 5 5 12" xfId="6955"/>
    <cellStyle name="Normal 5 5 12 2" xfId="19600"/>
    <cellStyle name="Normal 5 5 12 2 2" xfId="45153"/>
    <cellStyle name="Normal 5 5 12 3" xfId="32513"/>
    <cellStyle name="Normal 5 5 13" xfId="15778"/>
    <cellStyle name="Normal 5 5 13 2" xfId="41331"/>
    <cellStyle name="Normal 5 5 14" xfId="26083"/>
    <cellStyle name="Normal 5 5 2" xfId="186"/>
    <cellStyle name="Normal 5 5 2 10" xfId="7134"/>
    <cellStyle name="Normal 5 5 2 10 2" xfId="19643"/>
    <cellStyle name="Normal 5 5 2 10 2 2" xfId="45196"/>
    <cellStyle name="Normal 5 5 2 10 3" xfId="32691"/>
    <cellStyle name="Normal 5 5 2 11" xfId="15880"/>
    <cellStyle name="Normal 5 5 2 11 2" xfId="41433"/>
    <cellStyle name="Normal 5 5 2 12" xfId="26126"/>
    <cellStyle name="Normal 5 5 2 2" xfId="514"/>
    <cellStyle name="Normal 5 5 2 2 10" xfId="26443"/>
    <cellStyle name="Normal 5 5 2 2 2" xfId="819"/>
    <cellStyle name="Normal 5 5 2 2 2 2" xfId="3304"/>
    <cellStyle name="Normal 5 5 2 2 2 2 2" xfId="12446"/>
    <cellStyle name="Normal 5 5 2 2 2 2 2 2" xfId="22665"/>
    <cellStyle name="Normal 5 5 2 2 2 2 2 2 2" xfId="48218"/>
    <cellStyle name="Normal 5 5 2 2 2 2 2 3" xfId="38001"/>
    <cellStyle name="Normal 5 5 2 2 2 2 3" xfId="8868"/>
    <cellStyle name="Normal 5 5 2 2 2 2 3 2" xfId="34425"/>
    <cellStyle name="Normal 5 5 2 2 2 2 4" xfId="17658"/>
    <cellStyle name="Normal 5 5 2 2 2 2 4 2" xfId="43211"/>
    <cellStyle name="Normal 5 5 2 2 2 2 5" xfId="29148"/>
    <cellStyle name="Normal 5 5 2 2 2 3" xfId="4633"/>
    <cellStyle name="Normal 5 5 2 2 2 3 2" xfId="13471"/>
    <cellStyle name="Normal 5 5 2 2 2 3 2 2" xfId="23722"/>
    <cellStyle name="Normal 5 5 2 2 2 3 2 2 2" xfId="49275"/>
    <cellStyle name="Normal 5 5 2 2 2 3 2 3" xfId="39026"/>
    <cellStyle name="Normal 5 5 2 2 2 3 3" xfId="9892"/>
    <cellStyle name="Normal 5 5 2 2 2 3 3 2" xfId="35449"/>
    <cellStyle name="Normal 5 5 2 2 2 3 4" xfId="18715"/>
    <cellStyle name="Normal 5 5 2 2 2 3 4 2" xfId="44268"/>
    <cellStyle name="Normal 5 5 2 2 2 3 5" xfId="30205"/>
    <cellStyle name="Normal 5 5 2 2 2 4" xfId="2413"/>
    <cellStyle name="Normal 5 5 2 2 2 4 2" xfId="11778"/>
    <cellStyle name="Normal 5 5 2 2 2 4 2 2" xfId="37333"/>
    <cellStyle name="Normal 5 5 2 2 2 4 3" xfId="21782"/>
    <cellStyle name="Normal 5 5 2 2 2 4 3 2" xfId="47335"/>
    <cellStyle name="Normal 5 5 2 2 2 4 4" xfId="28265"/>
    <cellStyle name="Normal 5 5 2 2 2 5" xfId="6089"/>
    <cellStyle name="Normal 5 5 2 2 2 5 2" xfId="14916"/>
    <cellStyle name="Normal 5 5 2 2 2 5 2 2" xfId="40471"/>
    <cellStyle name="Normal 5 5 2 2 2 5 3" xfId="25167"/>
    <cellStyle name="Normal 5 5 2 2 2 5 3 2" xfId="50720"/>
    <cellStyle name="Normal 5 5 2 2 2 5 4" xfId="31650"/>
    <cellStyle name="Normal 5 5 2 2 2 6" xfId="7534"/>
    <cellStyle name="Normal 5 5 2 2 2 6 2" xfId="20264"/>
    <cellStyle name="Normal 5 5 2 2 2 6 2 2" xfId="45817"/>
    <cellStyle name="Normal 5 5 2 2 2 6 3" xfId="33091"/>
    <cellStyle name="Normal 5 5 2 2 2 7" xfId="16775"/>
    <cellStyle name="Normal 5 5 2 2 2 7 2" xfId="42328"/>
    <cellStyle name="Normal 5 5 2 2 2 8" xfId="26747"/>
    <cellStyle name="Normal 5 5 2 2 3" xfId="1286"/>
    <cellStyle name="Normal 5 5 2 2 3 2" xfId="3715"/>
    <cellStyle name="Normal 5 5 2 2 3 2 2" xfId="12851"/>
    <cellStyle name="Normal 5 5 2 2 3 2 2 2" xfId="23070"/>
    <cellStyle name="Normal 5 5 2 2 3 2 2 2 2" xfId="48623"/>
    <cellStyle name="Normal 5 5 2 2 3 2 2 3" xfId="38406"/>
    <cellStyle name="Normal 5 5 2 2 3 2 3" xfId="9272"/>
    <cellStyle name="Normal 5 5 2 2 3 2 3 2" xfId="34829"/>
    <cellStyle name="Normal 5 5 2 2 3 2 4" xfId="18063"/>
    <cellStyle name="Normal 5 5 2 2 3 2 4 2" xfId="43616"/>
    <cellStyle name="Normal 5 5 2 2 3 2 5" xfId="29553"/>
    <cellStyle name="Normal 5 5 2 2 3 3" xfId="4982"/>
    <cellStyle name="Normal 5 5 2 2 3 3 2" xfId="13819"/>
    <cellStyle name="Normal 5 5 2 2 3 3 2 2" xfId="24070"/>
    <cellStyle name="Normal 5 5 2 2 3 3 2 2 2" xfId="49623"/>
    <cellStyle name="Normal 5 5 2 2 3 3 2 3" xfId="39374"/>
    <cellStyle name="Normal 5 5 2 2 3 3 3" xfId="10240"/>
    <cellStyle name="Normal 5 5 2 2 3 3 3 2" xfId="35797"/>
    <cellStyle name="Normal 5 5 2 2 3 3 4" xfId="19063"/>
    <cellStyle name="Normal 5 5 2 2 3 3 4 2" xfId="44616"/>
    <cellStyle name="Normal 5 5 2 2 3 3 5" xfId="30553"/>
    <cellStyle name="Normal 5 5 2 2 3 4" xfId="2109"/>
    <cellStyle name="Normal 5 5 2 2 3 4 2" xfId="11474"/>
    <cellStyle name="Normal 5 5 2 2 3 4 2 2" xfId="37029"/>
    <cellStyle name="Normal 5 5 2 2 3 4 3" xfId="21478"/>
    <cellStyle name="Normal 5 5 2 2 3 4 3 2" xfId="47031"/>
    <cellStyle name="Normal 5 5 2 2 3 4 4" xfId="27961"/>
    <cellStyle name="Normal 5 5 2 2 3 5" xfId="6437"/>
    <cellStyle name="Normal 5 5 2 2 3 5 2" xfId="15264"/>
    <cellStyle name="Normal 5 5 2 2 3 5 2 2" xfId="40819"/>
    <cellStyle name="Normal 5 5 2 2 3 5 3" xfId="25515"/>
    <cellStyle name="Normal 5 5 2 2 3 5 3 2" xfId="51068"/>
    <cellStyle name="Normal 5 5 2 2 3 5 4" xfId="31998"/>
    <cellStyle name="Normal 5 5 2 2 3 6" xfId="7883"/>
    <cellStyle name="Normal 5 5 2 2 3 6 2" xfId="20669"/>
    <cellStyle name="Normal 5 5 2 2 3 6 2 2" xfId="46222"/>
    <cellStyle name="Normal 5 5 2 2 3 6 3" xfId="33440"/>
    <cellStyle name="Normal 5 5 2 2 3 7" xfId="16471"/>
    <cellStyle name="Normal 5 5 2 2 3 7 2" xfId="42024"/>
    <cellStyle name="Normal 5 5 2 2 3 8" xfId="27152"/>
    <cellStyle name="Normal 5 5 2 2 4" xfId="3000"/>
    <cellStyle name="Normal 5 5 2 2 4 2" xfId="5378"/>
    <cellStyle name="Normal 5 5 2 2 4 2 2" xfId="14215"/>
    <cellStyle name="Normal 5 5 2 2 4 2 2 2" xfId="24466"/>
    <cellStyle name="Normal 5 5 2 2 4 2 2 2 2" xfId="50019"/>
    <cellStyle name="Normal 5 5 2 2 4 2 2 3" xfId="39770"/>
    <cellStyle name="Normal 5 5 2 2 4 2 3" xfId="10636"/>
    <cellStyle name="Normal 5 5 2 2 4 2 3 2" xfId="36193"/>
    <cellStyle name="Normal 5 5 2 2 4 2 4" xfId="19459"/>
    <cellStyle name="Normal 5 5 2 2 4 2 4 2" xfId="45012"/>
    <cellStyle name="Normal 5 5 2 2 4 2 5" xfId="30949"/>
    <cellStyle name="Normal 5 5 2 2 4 3" xfId="6833"/>
    <cellStyle name="Normal 5 5 2 2 4 3 2" xfId="15660"/>
    <cellStyle name="Normal 5 5 2 2 4 3 2 2" xfId="41215"/>
    <cellStyle name="Normal 5 5 2 2 4 3 3" xfId="25911"/>
    <cellStyle name="Normal 5 5 2 2 4 3 3 2" xfId="51464"/>
    <cellStyle name="Normal 5 5 2 2 4 3 4" xfId="32394"/>
    <cellStyle name="Normal 5 5 2 2 4 4" xfId="8279"/>
    <cellStyle name="Normal 5 5 2 2 4 4 2" xfId="22361"/>
    <cellStyle name="Normal 5 5 2 2 4 4 2 2" xfId="47914"/>
    <cellStyle name="Normal 5 5 2 2 4 4 3" xfId="33836"/>
    <cellStyle name="Normal 5 5 2 2 4 5" xfId="17354"/>
    <cellStyle name="Normal 5 5 2 2 4 5 2" xfId="42907"/>
    <cellStyle name="Normal 5 5 2 2 4 6" xfId="28844"/>
    <cellStyle name="Normal 5 5 2 2 5" xfId="4334"/>
    <cellStyle name="Normal 5 5 2 2 5 2" xfId="13172"/>
    <cellStyle name="Normal 5 5 2 2 5 2 2" xfId="23423"/>
    <cellStyle name="Normal 5 5 2 2 5 2 2 2" xfId="48976"/>
    <cellStyle name="Normal 5 5 2 2 5 2 3" xfId="38727"/>
    <cellStyle name="Normal 5 5 2 2 5 3" xfId="9593"/>
    <cellStyle name="Normal 5 5 2 2 5 3 2" xfId="35150"/>
    <cellStyle name="Normal 5 5 2 2 5 4" xfId="18416"/>
    <cellStyle name="Normal 5 5 2 2 5 4 2" xfId="43969"/>
    <cellStyle name="Normal 5 5 2 2 5 5" xfId="29906"/>
    <cellStyle name="Normal 5 5 2 2 6" xfId="1606"/>
    <cellStyle name="Normal 5 5 2 2 6 2" xfId="10983"/>
    <cellStyle name="Normal 5 5 2 2 6 2 2" xfId="36538"/>
    <cellStyle name="Normal 5 5 2 2 6 3" xfId="20987"/>
    <cellStyle name="Normal 5 5 2 2 6 3 2" xfId="46540"/>
    <cellStyle name="Normal 5 5 2 2 6 4" xfId="27470"/>
    <cellStyle name="Normal 5 5 2 2 7" xfId="5790"/>
    <cellStyle name="Normal 5 5 2 2 7 2" xfId="14617"/>
    <cellStyle name="Normal 5 5 2 2 7 2 2" xfId="40172"/>
    <cellStyle name="Normal 5 5 2 2 7 3" xfId="24868"/>
    <cellStyle name="Normal 5 5 2 2 7 3 2" xfId="50421"/>
    <cellStyle name="Normal 5 5 2 2 7 4" xfId="31351"/>
    <cellStyle name="Normal 5 5 2 2 8" xfId="7234"/>
    <cellStyle name="Normal 5 5 2 2 8 2" xfId="19960"/>
    <cellStyle name="Normal 5 5 2 2 8 2 2" xfId="45513"/>
    <cellStyle name="Normal 5 5 2 2 8 3" xfId="32791"/>
    <cellStyle name="Normal 5 5 2 2 9" xfId="15980"/>
    <cellStyle name="Normal 5 5 2 2 9 2" xfId="41533"/>
    <cellStyle name="Normal 5 5 2 2_Degree data" xfId="3898"/>
    <cellStyle name="Normal 5 5 2 3" xfId="414"/>
    <cellStyle name="Normal 5 5 2 3 2" xfId="2900"/>
    <cellStyle name="Normal 5 5 2 3 2 2" xfId="12188"/>
    <cellStyle name="Normal 5 5 2 3 2 2 2" xfId="22261"/>
    <cellStyle name="Normal 5 5 2 3 2 2 2 2" xfId="47814"/>
    <cellStyle name="Normal 5 5 2 3 2 2 3" xfId="37743"/>
    <cellStyle name="Normal 5 5 2 3 2 3" xfId="8444"/>
    <cellStyle name="Normal 5 5 2 3 2 3 2" xfId="34001"/>
    <cellStyle name="Normal 5 5 2 3 2 4" xfId="17254"/>
    <cellStyle name="Normal 5 5 2 3 2 4 2" xfId="42807"/>
    <cellStyle name="Normal 5 5 2 3 2 5" xfId="28744"/>
    <cellStyle name="Normal 5 5 2 3 3" xfId="4632"/>
    <cellStyle name="Normal 5 5 2 3 3 2" xfId="13470"/>
    <cellStyle name="Normal 5 5 2 3 3 2 2" xfId="23721"/>
    <cellStyle name="Normal 5 5 2 3 3 2 2 2" xfId="49274"/>
    <cellStyle name="Normal 5 5 2 3 3 2 3" xfId="39025"/>
    <cellStyle name="Normal 5 5 2 3 3 3" xfId="9891"/>
    <cellStyle name="Normal 5 5 2 3 3 3 2" xfId="35448"/>
    <cellStyle name="Normal 5 5 2 3 3 4" xfId="18714"/>
    <cellStyle name="Normal 5 5 2 3 3 4 2" xfId="44267"/>
    <cellStyle name="Normal 5 5 2 3 3 5" xfId="30204"/>
    <cellStyle name="Normal 5 5 2 3 4" xfId="2009"/>
    <cellStyle name="Normal 5 5 2 3 4 2" xfId="11374"/>
    <cellStyle name="Normal 5 5 2 3 4 2 2" xfId="36929"/>
    <cellStyle name="Normal 5 5 2 3 4 3" xfId="21378"/>
    <cellStyle name="Normal 5 5 2 3 4 3 2" xfId="46931"/>
    <cellStyle name="Normal 5 5 2 3 4 4" xfId="27861"/>
    <cellStyle name="Normal 5 5 2 3 5" xfId="6088"/>
    <cellStyle name="Normal 5 5 2 3 5 2" xfId="14915"/>
    <cellStyle name="Normal 5 5 2 3 5 2 2" xfId="40470"/>
    <cellStyle name="Normal 5 5 2 3 5 3" xfId="25166"/>
    <cellStyle name="Normal 5 5 2 3 5 3 2" xfId="50719"/>
    <cellStyle name="Normal 5 5 2 3 5 4" xfId="31649"/>
    <cellStyle name="Normal 5 5 2 3 6" xfId="7533"/>
    <cellStyle name="Normal 5 5 2 3 6 2" xfId="19860"/>
    <cellStyle name="Normal 5 5 2 3 6 2 2" xfId="45413"/>
    <cellStyle name="Normal 5 5 2 3 6 3" xfId="33090"/>
    <cellStyle name="Normal 5 5 2 3 7" xfId="16371"/>
    <cellStyle name="Normal 5 5 2 3 7 2" xfId="41924"/>
    <cellStyle name="Normal 5 5 2 3 8" xfId="26343"/>
    <cellStyle name="Normal 5 5 2 4" xfId="818"/>
    <cellStyle name="Normal 5 5 2 4 2" xfId="3303"/>
    <cellStyle name="Normal 5 5 2 4 2 2" xfId="12445"/>
    <cellStyle name="Normal 5 5 2 4 2 2 2" xfId="22664"/>
    <cellStyle name="Normal 5 5 2 4 2 2 2 2" xfId="48217"/>
    <cellStyle name="Normal 5 5 2 4 2 2 3" xfId="38000"/>
    <cellStyle name="Normal 5 5 2 4 2 3" xfId="8867"/>
    <cellStyle name="Normal 5 5 2 4 2 3 2" xfId="34424"/>
    <cellStyle name="Normal 5 5 2 4 2 4" xfId="17657"/>
    <cellStyle name="Normal 5 5 2 4 2 4 2" xfId="43210"/>
    <cellStyle name="Normal 5 5 2 4 2 5" xfId="29147"/>
    <cellStyle name="Normal 5 5 2 4 3" xfId="4981"/>
    <cellStyle name="Normal 5 5 2 4 3 2" xfId="13818"/>
    <cellStyle name="Normal 5 5 2 4 3 2 2" xfId="24069"/>
    <cellStyle name="Normal 5 5 2 4 3 2 2 2" xfId="49622"/>
    <cellStyle name="Normal 5 5 2 4 3 2 3" xfId="39373"/>
    <cellStyle name="Normal 5 5 2 4 3 3" xfId="10239"/>
    <cellStyle name="Normal 5 5 2 4 3 3 2" xfId="35796"/>
    <cellStyle name="Normal 5 5 2 4 3 4" xfId="19062"/>
    <cellStyle name="Normal 5 5 2 4 3 4 2" xfId="44615"/>
    <cellStyle name="Normal 5 5 2 4 3 5" xfId="30552"/>
    <cellStyle name="Normal 5 5 2 4 4" xfId="2412"/>
    <cellStyle name="Normal 5 5 2 4 4 2" xfId="11777"/>
    <cellStyle name="Normal 5 5 2 4 4 2 2" xfId="37332"/>
    <cellStyle name="Normal 5 5 2 4 4 3" xfId="21781"/>
    <cellStyle name="Normal 5 5 2 4 4 3 2" xfId="47334"/>
    <cellStyle name="Normal 5 5 2 4 4 4" xfId="28264"/>
    <cellStyle name="Normal 5 5 2 4 5" xfId="6436"/>
    <cellStyle name="Normal 5 5 2 4 5 2" xfId="15263"/>
    <cellStyle name="Normal 5 5 2 4 5 2 2" xfId="40818"/>
    <cellStyle name="Normal 5 5 2 4 5 3" xfId="25514"/>
    <cellStyle name="Normal 5 5 2 4 5 3 2" xfId="51067"/>
    <cellStyle name="Normal 5 5 2 4 5 4" xfId="31997"/>
    <cellStyle name="Normal 5 5 2 4 6" xfId="7882"/>
    <cellStyle name="Normal 5 5 2 4 6 2" xfId="20263"/>
    <cellStyle name="Normal 5 5 2 4 6 2 2" xfId="45816"/>
    <cellStyle name="Normal 5 5 2 4 6 3" xfId="33439"/>
    <cellStyle name="Normal 5 5 2 4 7" xfId="16774"/>
    <cellStyle name="Normal 5 5 2 4 7 2" xfId="42327"/>
    <cellStyle name="Normal 5 5 2 4 8" xfId="26746"/>
    <cellStyle name="Normal 5 5 2 5" xfId="1186"/>
    <cellStyle name="Normal 5 5 2 5 2" xfId="3615"/>
    <cellStyle name="Normal 5 5 2 5 2 2" xfId="12751"/>
    <cellStyle name="Normal 5 5 2 5 2 2 2" xfId="22970"/>
    <cellStyle name="Normal 5 5 2 5 2 2 2 2" xfId="48523"/>
    <cellStyle name="Normal 5 5 2 5 2 2 3" xfId="38306"/>
    <cellStyle name="Normal 5 5 2 5 2 3" xfId="9172"/>
    <cellStyle name="Normal 5 5 2 5 2 3 2" xfId="34729"/>
    <cellStyle name="Normal 5 5 2 5 2 4" xfId="17963"/>
    <cellStyle name="Normal 5 5 2 5 2 4 2" xfId="43516"/>
    <cellStyle name="Normal 5 5 2 5 2 5" xfId="29453"/>
    <cellStyle name="Normal 5 5 2 5 3" xfId="5278"/>
    <cellStyle name="Normal 5 5 2 5 3 2" xfId="14115"/>
    <cellStyle name="Normal 5 5 2 5 3 2 2" xfId="24366"/>
    <cellStyle name="Normal 5 5 2 5 3 2 2 2" xfId="49919"/>
    <cellStyle name="Normal 5 5 2 5 3 2 3" xfId="39670"/>
    <cellStyle name="Normal 5 5 2 5 3 3" xfId="10536"/>
    <cellStyle name="Normal 5 5 2 5 3 3 2" xfId="36093"/>
    <cellStyle name="Normal 5 5 2 5 3 4" xfId="19359"/>
    <cellStyle name="Normal 5 5 2 5 3 4 2" xfId="44912"/>
    <cellStyle name="Normal 5 5 2 5 3 5" xfId="30849"/>
    <cellStyle name="Normal 5 5 2 5 4" xfId="1788"/>
    <cellStyle name="Normal 5 5 2 5 4 2" xfId="11157"/>
    <cellStyle name="Normal 5 5 2 5 4 2 2" xfId="36712"/>
    <cellStyle name="Normal 5 5 2 5 4 3" xfId="21161"/>
    <cellStyle name="Normal 5 5 2 5 4 3 2" xfId="46714"/>
    <cellStyle name="Normal 5 5 2 5 4 4" xfId="27644"/>
    <cellStyle name="Normal 5 5 2 5 5" xfId="6733"/>
    <cellStyle name="Normal 5 5 2 5 5 2" xfId="15560"/>
    <cellStyle name="Normal 5 5 2 5 5 2 2" xfId="41115"/>
    <cellStyle name="Normal 5 5 2 5 5 3" xfId="25811"/>
    <cellStyle name="Normal 5 5 2 5 5 3 2" xfId="51364"/>
    <cellStyle name="Normal 5 5 2 5 5 4" xfId="32294"/>
    <cellStyle name="Normal 5 5 2 5 6" xfId="8179"/>
    <cellStyle name="Normal 5 5 2 5 6 2" xfId="20569"/>
    <cellStyle name="Normal 5 5 2 5 6 2 2" xfId="46122"/>
    <cellStyle name="Normal 5 5 2 5 6 3" xfId="33736"/>
    <cellStyle name="Normal 5 5 2 5 7" xfId="16154"/>
    <cellStyle name="Normal 5 5 2 5 7 2" xfId="41707"/>
    <cellStyle name="Normal 5 5 2 5 8" xfId="27052"/>
    <cellStyle name="Normal 5 5 2 6" xfId="2683"/>
    <cellStyle name="Normal 5 5 2 6 2" xfId="12000"/>
    <cellStyle name="Normal 5 5 2 6 2 2" xfId="22044"/>
    <cellStyle name="Normal 5 5 2 6 2 2 2" xfId="47597"/>
    <cellStyle name="Normal 5 5 2 6 2 3" xfId="37555"/>
    <cellStyle name="Normal 5 5 2 6 3" xfId="8420"/>
    <cellStyle name="Normal 5 5 2 6 3 2" xfId="33977"/>
    <cellStyle name="Normal 5 5 2 6 4" xfId="17037"/>
    <cellStyle name="Normal 5 5 2 6 4 2" xfId="42590"/>
    <cellStyle name="Normal 5 5 2 6 5" xfId="28527"/>
    <cellStyle name="Normal 5 5 2 7" xfId="4234"/>
    <cellStyle name="Normal 5 5 2 7 2" xfId="13072"/>
    <cellStyle name="Normal 5 5 2 7 2 2" xfId="23323"/>
    <cellStyle name="Normal 5 5 2 7 2 2 2" xfId="48876"/>
    <cellStyle name="Normal 5 5 2 7 2 3" xfId="38627"/>
    <cellStyle name="Normal 5 5 2 7 3" xfId="9493"/>
    <cellStyle name="Normal 5 5 2 7 3 2" xfId="35050"/>
    <cellStyle name="Normal 5 5 2 7 4" xfId="18316"/>
    <cellStyle name="Normal 5 5 2 7 4 2" xfId="43869"/>
    <cellStyle name="Normal 5 5 2 7 5" xfId="29806"/>
    <cellStyle name="Normal 5 5 2 8" xfId="1506"/>
    <cellStyle name="Normal 5 5 2 8 2" xfId="10883"/>
    <cellStyle name="Normal 5 5 2 8 2 2" xfId="36438"/>
    <cellStyle name="Normal 5 5 2 8 3" xfId="20887"/>
    <cellStyle name="Normal 5 5 2 8 3 2" xfId="46440"/>
    <cellStyle name="Normal 5 5 2 8 4" xfId="27370"/>
    <cellStyle name="Normal 5 5 2 9" xfId="5690"/>
    <cellStyle name="Normal 5 5 2 9 2" xfId="14517"/>
    <cellStyle name="Normal 5 5 2 9 2 2" xfId="40072"/>
    <cellStyle name="Normal 5 5 2 9 3" xfId="24768"/>
    <cellStyle name="Normal 5 5 2 9 3 2" xfId="50321"/>
    <cellStyle name="Normal 5 5 2 9 4" xfId="31251"/>
    <cellStyle name="Normal 5 5 2_Degree data" xfId="3884"/>
    <cellStyle name="Normal 5 5 3" xfId="253"/>
    <cellStyle name="Normal 5 5 3 10" xfId="7091"/>
    <cellStyle name="Normal 5 5 3 10 2" xfId="19705"/>
    <cellStyle name="Normal 5 5 3 10 2 2" xfId="45258"/>
    <cellStyle name="Normal 5 5 3 10 3" xfId="32648"/>
    <cellStyle name="Normal 5 5 3 11" xfId="15837"/>
    <cellStyle name="Normal 5 5 3 11 2" xfId="41390"/>
    <cellStyle name="Normal 5 5 3 12" xfId="26188"/>
    <cellStyle name="Normal 5 5 3 2" xfId="576"/>
    <cellStyle name="Normal 5 5 3 2 10" xfId="26505"/>
    <cellStyle name="Normal 5 5 3 2 2" xfId="821"/>
    <cellStyle name="Normal 5 5 3 2 2 2" xfId="3306"/>
    <cellStyle name="Normal 5 5 3 2 2 2 2" xfId="12448"/>
    <cellStyle name="Normal 5 5 3 2 2 2 2 2" xfId="22667"/>
    <cellStyle name="Normal 5 5 3 2 2 2 2 2 2" xfId="48220"/>
    <cellStyle name="Normal 5 5 3 2 2 2 2 3" xfId="38003"/>
    <cellStyle name="Normal 5 5 3 2 2 2 3" xfId="8870"/>
    <cellStyle name="Normal 5 5 3 2 2 2 3 2" xfId="34427"/>
    <cellStyle name="Normal 5 5 3 2 2 2 4" xfId="17660"/>
    <cellStyle name="Normal 5 5 3 2 2 2 4 2" xfId="43213"/>
    <cellStyle name="Normal 5 5 3 2 2 2 5" xfId="29150"/>
    <cellStyle name="Normal 5 5 3 2 2 3" xfId="4635"/>
    <cellStyle name="Normal 5 5 3 2 2 3 2" xfId="13473"/>
    <cellStyle name="Normal 5 5 3 2 2 3 2 2" xfId="23724"/>
    <cellStyle name="Normal 5 5 3 2 2 3 2 2 2" xfId="49277"/>
    <cellStyle name="Normal 5 5 3 2 2 3 2 3" xfId="39028"/>
    <cellStyle name="Normal 5 5 3 2 2 3 3" xfId="9894"/>
    <cellStyle name="Normal 5 5 3 2 2 3 3 2" xfId="35451"/>
    <cellStyle name="Normal 5 5 3 2 2 3 4" xfId="18717"/>
    <cellStyle name="Normal 5 5 3 2 2 3 4 2" xfId="44270"/>
    <cellStyle name="Normal 5 5 3 2 2 3 5" xfId="30207"/>
    <cellStyle name="Normal 5 5 3 2 2 4" xfId="2415"/>
    <cellStyle name="Normal 5 5 3 2 2 4 2" xfId="11780"/>
    <cellStyle name="Normal 5 5 3 2 2 4 2 2" xfId="37335"/>
    <cellStyle name="Normal 5 5 3 2 2 4 3" xfId="21784"/>
    <cellStyle name="Normal 5 5 3 2 2 4 3 2" xfId="47337"/>
    <cellStyle name="Normal 5 5 3 2 2 4 4" xfId="28267"/>
    <cellStyle name="Normal 5 5 3 2 2 5" xfId="6091"/>
    <cellStyle name="Normal 5 5 3 2 2 5 2" xfId="14918"/>
    <cellStyle name="Normal 5 5 3 2 2 5 2 2" xfId="40473"/>
    <cellStyle name="Normal 5 5 3 2 2 5 3" xfId="25169"/>
    <cellStyle name="Normal 5 5 3 2 2 5 3 2" xfId="50722"/>
    <cellStyle name="Normal 5 5 3 2 2 5 4" xfId="31652"/>
    <cellStyle name="Normal 5 5 3 2 2 6" xfId="7536"/>
    <cellStyle name="Normal 5 5 3 2 2 6 2" xfId="20266"/>
    <cellStyle name="Normal 5 5 3 2 2 6 2 2" xfId="45819"/>
    <cellStyle name="Normal 5 5 3 2 2 6 3" xfId="33093"/>
    <cellStyle name="Normal 5 5 3 2 2 7" xfId="16777"/>
    <cellStyle name="Normal 5 5 3 2 2 7 2" xfId="42330"/>
    <cellStyle name="Normal 5 5 3 2 2 8" xfId="26749"/>
    <cellStyle name="Normal 5 5 3 2 3" xfId="1348"/>
    <cellStyle name="Normal 5 5 3 2 3 2" xfId="3777"/>
    <cellStyle name="Normal 5 5 3 2 3 2 2" xfId="12913"/>
    <cellStyle name="Normal 5 5 3 2 3 2 2 2" xfId="23132"/>
    <cellStyle name="Normal 5 5 3 2 3 2 2 2 2" xfId="48685"/>
    <cellStyle name="Normal 5 5 3 2 3 2 2 3" xfId="38468"/>
    <cellStyle name="Normal 5 5 3 2 3 2 3" xfId="9334"/>
    <cellStyle name="Normal 5 5 3 2 3 2 3 2" xfId="34891"/>
    <cellStyle name="Normal 5 5 3 2 3 2 4" xfId="18125"/>
    <cellStyle name="Normal 5 5 3 2 3 2 4 2" xfId="43678"/>
    <cellStyle name="Normal 5 5 3 2 3 2 5" xfId="29615"/>
    <cellStyle name="Normal 5 5 3 2 3 3" xfId="4984"/>
    <cellStyle name="Normal 5 5 3 2 3 3 2" xfId="13821"/>
    <cellStyle name="Normal 5 5 3 2 3 3 2 2" xfId="24072"/>
    <cellStyle name="Normal 5 5 3 2 3 3 2 2 2" xfId="49625"/>
    <cellStyle name="Normal 5 5 3 2 3 3 2 3" xfId="39376"/>
    <cellStyle name="Normal 5 5 3 2 3 3 3" xfId="10242"/>
    <cellStyle name="Normal 5 5 3 2 3 3 3 2" xfId="35799"/>
    <cellStyle name="Normal 5 5 3 2 3 3 4" xfId="19065"/>
    <cellStyle name="Normal 5 5 3 2 3 3 4 2" xfId="44618"/>
    <cellStyle name="Normal 5 5 3 2 3 3 5" xfId="30555"/>
    <cellStyle name="Normal 5 5 3 2 3 4" xfId="2171"/>
    <cellStyle name="Normal 5 5 3 2 3 4 2" xfId="11536"/>
    <cellStyle name="Normal 5 5 3 2 3 4 2 2" xfId="37091"/>
    <cellStyle name="Normal 5 5 3 2 3 4 3" xfId="21540"/>
    <cellStyle name="Normal 5 5 3 2 3 4 3 2" xfId="47093"/>
    <cellStyle name="Normal 5 5 3 2 3 4 4" xfId="28023"/>
    <cellStyle name="Normal 5 5 3 2 3 5" xfId="6439"/>
    <cellStyle name="Normal 5 5 3 2 3 5 2" xfId="15266"/>
    <cellStyle name="Normal 5 5 3 2 3 5 2 2" xfId="40821"/>
    <cellStyle name="Normal 5 5 3 2 3 5 3" xfId="25517"/>
    <cellStyle name="Normal 5 5 3 2 3 5 3 2" xfId="51070"/>
    <cellStyle name="Normal 5 5 3 2 3 5 4" xfId="32000"/>
    <cellStyle name="Normal 5 5 3 2 3 6" xfId="7885"/>
    <cellStyle name="Normal 5 5 3 2 3 6 2" xfId="20731"/>
    <cellStyle name="Normal 5 5 3 2 3 6 2 2" xfId="46284"/>
    <cellStyle name="Normal 5 5 3 2 3 6 3" xfId="33442"/>
    <cellStyle name="Normal 5 5 3 2 3 7" xfId="16533"/>
    <cellStyle name="Normal 5 5 3 2 3 7 2" xfId="42086"/>
    <cellStyle name="Normal 5 5 3 2 3 8" xfId="27214"/>
    <cellStyle name="Normal 5 5 3 2 4" xfId="3062"/>
    <cellStyle name="Normal 5 5 3 2 4 2" xfId="5440"/>
    <cellStyle name="Normal 5 5 3 2 4 2 2" xfId="14277"/>
    <cellStyle name="Normal 5 5 3 2 4 2 2 2" xfId="24528"/>
    <cellStyle name="Normal 5 5 3 2 4 2 2 2 2" xfId="50081"/>
    <cellStyle name="Normal 5 5 3 2 4 2 2 3" xfId="39832"/>
    <cellStyle name="Normal 5 5 3 2 4 2 3" xfId="10698"/>
    <cellStyle name="Normal 5 5 3 2 4 2 3 2" xfId="36255"/>
    <cellStyle name="Normal 5 5 3 2 4 2 4" xfId="19521"/>
    <cellStyle name="Normal 5 5 3 2 4 2 4 2" xfId="45074"/>
    <cellStyle name="Normal 5 5 3 2 4 2 5" xfId="31011"/>
    <cellStyle name="Normal 5 5 3 2 4 3" xfId="6895"/>
    <cellStyle name="Normal 5 5 3 2 4 3 2" xfId="15722"/>
    <cellStyle name="Normal 5 5 3 2 4 3 2 2" xfId="41277"/>
    <cellStyle name="Normal 5 5 3 2 4 3 3" xfId="25973"/>
    <cellStyle name="Normal 5 5 3 2 4 3 3 2" xfId="51526"/>
    <cellStyle name="Normal 5 5 3 2 4 3 4" xfId="32456"/>
    <cellStyle name="Normal 5 5 3 2 4 4" xfId="8341"/>
    <cellStyle name="Normal 5 5 3 2 4 4 2" xfId="22423"/>
    <cellStyle name="Normal 5 5 3 2 4 4 2 2" xfId="47976"/>
    <cellStyle name="Normal 5 5 3 2 4 4 3" xfId="33898"/>
    <cellStyle name="Normal 5 5 3 2 4 5" xfId="17416"/>
    <cellStyle name="Normal 5 5 3 2 4 5 2" xfId="42969"/>
    <cellStyle name="Normal 5 5 3 2 4 6" xfId="28906"/>
    <cellStyle name="Normal 5 5 3 2 5" xfId="4396"/>
    <cellStyle name="Normal 5 5 3 2 5 2" xfId="13234"/>
    <cellStyle name="Normal 5 5 3 2 5 2 2" xfId="23485"/>
    <cellStyle name="Normal 5 5 3 2 5 2 2 2" xfId="49038"/>
    <cellStyle name="Normal 5 5 3 2 5 2 3" xfId="38789"/>
    <cellStyle name="Normal 5 5 3 2 5 3" xfId="9655"/>
    <cellStyle name="Normal 5 5 3 2 5 3 2" xfId="35212"/>
    <cellStyle name="Normal 5 5 3 2 5 4" xfId="18478"/>
    <cellStyle name="Normal 5 5 3 2 5 4 2" xfId="44031"/>
    <cellStyle name="Normal 5 5 3 2 5 5" xfId="29968"/>
    <cellStyle name="Normal 5 5 3 2 6" xfId="1668"/>
    <cellStyle name="Normal 5 5 3 2 6 2" xfId="11045"/>
    <cellStyle name="Normal 5 5 3 2 6 2 2" xfId="36600"/>
    <cellStyle name="Normal 5 5 3 2 6 3" xfId="21049"/>
    <cellStyle name="Normal 5 5 3 2 6 3 2" xfId="46602"/>
    <cellStyle name="Normal 5 5 3 2 6 4" xfId="27532"/>
    <cellStyle name="Normal 5 5 3 2 7" xfId="5852"/>
    <cellStyle name="Normal 5 5 3 2 7 2" xfId="14679"/>
    <cellStyle name="Normal 5 5 3 2 7 2 2" xfId="40234"/>
    <cellStyle name="Normal 5 5 3 2 7 3" xfId="24930"/>
    <cellStyle name="Normal 5 5 3 2 7 3 2" xfId="50483"/>
    <cellStyle name="Normal 5 5 3 2 7 4" xfId="31413"/>
    <cellStyle name="Normal 5 5 3 2 8" xfId="7296"/>
    <cellStyle name="Normal 5 5 3 2 8 2" xfId="20022"/>
    <cellStyle name="Normal 5 5 3 2 8 2 2" xfId="45575"/>
    <cellStyle name="Normal 5 5 3 2 8 3" xfId="32853"/>
    <cellStyle name="Normal 5 5 3 2 9" xfId="16042"/>
    <cellStyle name="Normal 5 5 3 2 9 2" xfId="41595"/>
    <cellStyle name="Normal 5 5 3 2_Degree data" xfId="3853"/>
    <cellStyle name="Normal 5 5 3 3" xfId="371"/>
    <cellStyle name="Normal 5 5 3 3 2" xfId="2857"/>
    <cellStyle name="Normal 5 5 3 3 2 2" xfId="12145"/>
    <cellStyle name="Normal 5 5 3 3 2 2 2" xfId="22218"/>
    <cellStyle name="Normal 5 5 3 3 2 2 2 2" xfId="47771"/>
    <cellStyle name="Normal 5 5 3 3 2 2 3" xfId="37700"/>
    <cellStyle name="Normal 5 5 3 3 2 3" xfId="8464"/>
    <cellStyle name="Normal 5 5 3 3 2 3 2" xfId="34021"/>
    <cellStyle name="Normal 5 5 3 3 2 4" xfId="17211"/>
    <cellStyle name="Normal 5 5 3 3 2 4 2" xfId="42764"/>
    <cellStyle name="Normal 5 5 3 3 2 5" xfId="28701"/>
    <cellStyle name="Normal 5 5 3 3 3" xfId="4634"/>
    <cellStyle name="Normal 5 5 3 3 3 2" xfId="13472"/>
    <cellStyle name="Normal 5 5 3 3 3 2 2" xfId="23723"/>
    <cellStyle name="Normal 5 5 3 3 3 2 2 2" xfId="49276"/>
    <cellStyle name="Normal 5 5 3 3 3 2 3" xfId="39027"/>
    <cellStyle name="Normal 5 5 3 3 3 3" xfId="9893"/>
    <cellStyle name="Normal 5 5 3 3 3 3 2" xfId="35450"/>
    <cellStyle name="Normal 5 5 3 3 3 4" xfId="18716"/>
    <cellStyle name="Normal 5 5 3 3 3 4 2" xfId="44269"/>
    <cellStyle name="Normal 5 5 3 3 3 5" xfId="30206"/>
    <cellStyle name="Normal 5 5 3 3 4" xfId="1966"/>
    <cellStyle name="Normal 5 5 3 3 4 2" xfId="11331"/>
    <cellStyle name="Normal 5 5 3 3 4 2 2" xfId="36886"/>
    <cellStyle name="Normal 5 5 3 3 4 3" xfId="21335"/>
    <cellStyle name="Normal 5 5 3 3 4 3 2" xfId="46888"/>
    <cellStyle name="Normal 5 5 3 3 4 4" xfId="27818"/>
    <cellStyle name="Normal 5 5 3 3 5" xfId="6090"/>
    <cellStyle name="Normal 5 5 3 3 5 2" xfId="14917"/>
    <cellStyle name="Normal 5 5 3 3 5 2 2" xfId="40472"/>
    <cellStyle name="Normal 5 5 3 3 5 3" xfId="25168"/>
    <cellStyle name="Normal 5 5 3 3 5 3 2" xfId="50721"/>
    <cellStyle name="Normal 5 5 3 3 5 4" xfId="31651"/>
    <cellStyle name="Normal 5 5 3 3 6" xfId="7535"/>
    <cellStyle name="Normal 5 5 3 3 6 2" xfId="19817"/>
    <cellStyle name="Normal 5 5 3 3 6 2 2" xfId="45370"/>
    <cellStyle name="Normal 5 5 3 3 6 3" xfId="33092"/>
    <cellStyle name="Normal 5 5 3 3 7" xfId="16328"/>
    <cellStyle name="Normal 5 5 3 3 7 2" xfId="41881"/>
    <cellStyle name="Normal 5 5 3 3 8" xfId="26300"/>
    <cellStyle name="Normal 5 5 3 4" xfId="820"/>
    <cellStyle name="Normal 5 5 3 4 2" xfId="3305"/>
    <cellStyle name="Normal 5 5 3 4 2 2" xfId="12447"/>
    <cellStyle name="Normal 5 5 3 4 2 2 2" xfId="22666"/>
    <cellStyle name="Normal 5 5 3 4 2 2 2 2" xfId="48219"/>
    <cellStyle name="Normal 5 5 3 4 2 2 3" xfId="38002"/>
    <cellStyle name="Normal 5 5 3 4 2 3" xfId="8869"/>
    <cellStyle name="Normal 5 5 3 4 2 3 2" xfId="34426"/>
    <cellStyle name="Normal 5 5 3 4 2 4" xfId="17659"/>
    <cellStyle name="Normal 5 5 3 4 2 4 2" xfId="43212"/>
    <cellStyle name="Normal 5 5 3 4 2 5" xfId="29149"/>
    <cellStyle name="Normal 5 5 3 4 3" xfId="4983"/>
    <cellStyle name="Normal 5 5 3 4 3 2" xfId="13820"/>
    <cellStyle name="Normal 5 5 3 4 3 2 2" xfId="24071"/>
    <cellStyle name="Normal 5 5 3 4 3 2 2 2" xfId="49624"/>
    <cellStyle name="Normal 5 5 3 4 3 2 3" xfId="39375"/>
    <cellStyle name="Normal 5 5 3 4 3 3" xfId="10241"/>
    <cellStyle name="Normal 5 5 3 4 3 3 2" xfId="35798"/>
    <cellStyle name="Normal 5 5 3 4 3 4" xfId="19064"/>
    <cellStyle name="Normal 5 5 3 4 3 4 2" xfId="44617"/>
    <cellStyle name="Normal 5 5 3 4 3 5" xfId="30554"/>
    <cellStyle name="Normal 5 5 3 4 4" xfId="2414"/>
    <cellStyle name="Normal 5 5 3 4 4 2" xfId="11779"/>
    <cellStyle name="Normal 5 5 3 4 4 2 2" xfId="37334"/>
    <cellStyle name="Normal 5 5 3 4 4 3" xfId="21783"/>
    <cellStyle name="Normal 5 5 3 4 4 3 2" xfId="47336"/>
    <cellStyle name="Normal 5 5 3 4 4 4" xfId="28266"/>
    <cellStyle name="Normal 5 5 3 4 5" xfId="6438"/>
    <cellStyle name="Normal 5 5 3 4 5 2" xfId="15265"/>
    <cellStyle name="Normal 5 5 3 4 5 2 2" xfId="40820"/>
    <cellStyle name="Normal 5 5 3 4 5 3" xfId="25516"/>
    <cellStyle name="Normal 5 5 3 4 5 3 2" xfId="51069"/>
    <cellStyle name="Normal 5 5 3 4 5 4" xfId="31999"/>
    <cellStyle name="Normal 5 5 3 4 6" xfId="7884"/>
    <cellStyle name="Normal 5 5 3 4 6 2" xfId="20265"/>
    <cellStyle name="Normal 5 5 3 4 6 2 2" xfId="45818"/>
    <cellStyle name="Normal 5 5 3 4 6 3" xfId="33441"/>
    <cellStyle name="Normal 5 5 3 4 7" xfId="16776"/>
    <cellStyle name="Normal 5 5 3 4 7 2" xfId="42329"/>
    <cellStyle name="Normal 5 5 3 4 8" xfId="26748"/>
    <cellStyle name="Normal 5 5 3 5" xfId="1143"/>
    <cellStyle name="Normal 5 5 3 5 2" xfId="3572"/>
    <cellStyle name="Normal 5 5 3 5 2 2" xfId="12708"/>
    <cellStyle name="Normal 5 5 3 5 2 2 2" xfId="22927"/>
    <cellStyle name="Normal 5 5 3 5 2 2 2 2" xfId="48480"/>
    <cellStyle name="Normal 5 5 3 5 2 2 3" xfId="38263"/>
    <cellStyle name="Normal 5 5 3 5 2 3" xfId="9129"/>
    <cellStyle name="Normal 5 5 3 5 2 3 2" xfId="34686"/>
    <cellStyle name="Normal 5 5 3 5 2 4" xfId="17920"/>
    <cellStyle name="Normal 5 5 3 5 2 4 2" xfId="43473"/>
    <cellStyle name="Normal 5 5 3 5 2 5" xfId="29410"/>
    <cellStyle name="Normal 5 5 3 5 3" xfId="5235"/>
    <cellStyle name="Normal 5 5 3 5 3 2" xfId="14072"/>
    <cellStyle name="Normal 5 5 3 5 3 2 2" xfId="24323"/>
    <cellStyle name="Normal 5 5 3 5 3 2 2 2" xfId="49876"/>
    <cellStyle name="Normal 5 5 3 5 3 2 3" xfId="39627"/>
    <cellStyle name="Normal 5 5 3 5 3 3" xfId="10493"/>
    <cellStyle name="Normal 5 5 3 5 3 3 2" xfId="36050"/>
    <cellStyle name="Normal 5 5 3 5 3 4" xfId="19316"/>
    <cellStyle name="Normal 5 5 3 5 3 4 2" xfId="44869"/>
    <cellStyle name="Normal 5 5 3 5 3 5" xfId="30806"/>
    <cellStyle name="Normal 5 5 3 5 4" xfId="1851"/>
    <cellStyle name="Normal 5 5 3 5 4 2" xfId="11219"/>
    <cellStyle name="Normal 5 5 3 5 4 2 2" xfId="36774"/>
    <cellStyle name="Normal 5 5 3 5 4 3" xfId="21223"/>
    <cellStyle name="Normal 5 5 3 5 4 3 2" xfId="46776"/>
    <cellStyle name="Normal 5 5 3 5 4 4" xfId="27706"/>
    <cellStyle name="Normal 5 5 3 5 5" xfId="6690"/>
    <cellStyle name="Normal 5 5 3 5 5 2" xfId="15517"/>
    <cellStyle name="Normal 5 5 3 5 5 2 2" xfId="41072"/>
    <cellStyle name="Normal 5 5 3 5 5 3" xfId="25768"/>
    <cellStyle name="Normal 5 5 3 5 5 3 2" xfId="51321"/>
    <cellStyle name="Normal 5 5 3 5 5 4" xfId="32251"/>
    <cellStyle name="Normal 5 5 3 5 6" xfId="8136"/>
    <cellStyle name="Normal 5 5 3 5 6 2" xfId="20526"/>
    <cellStyle name="Normal 5 5 3 5 6 2 2" xfId="46079"/>
    <cellStyle name="Normal 5 5 3 5 6 3" xfId="33693"/>
    <cellStyle name="Normal 5 5 3 5 7" xfId="16216"/>
    <cellStyle name="Normal 5 5 3 5 7 2" xfId="41769"/>
    <cellStyle name="Normal 5 5 3 5 8" xfId="27009"/>
    <cellStyle name="Normal 5 5 3 6" xfId="2745"/>
    <cellStyle name="Normal 5 5 3 6 2" xfId="12062"/>
    <cellStyle name="Normal 5 5 3 6 2 2" xfId="22106"/>
    <cellStyle name="Normal 5 5 3 6 2 2 2" xfId="47659"/>
    <cellStyle name="Normal 5 5 3 6 2 3" xfId="37617"/>
    <cellStyle name="Normal 5 5 3 6 3" xfId="8485"/>
    <cellStyle name="Normal 5 5 3 6 3 2" xfId="34042"/>
    <cellStyle name="Normal 5 5 3 6 4" xfId="17099"/>
    <cellStyle name="Normal 5 5 3 6 4 2" xfId="42652"/>
    <cellStyle name="Normal 5 5 3 6 5" xfId="28589"/>
    <cellStyle name="Normal 5 5 3 7" xfId="4191"/>
    <cellStyle name="Normal 5 5 3 7 2" xfId="13029"/>
    <cellStyle name="Normal 5 5 3 7 2 2" xfId="23280"/>
    <cellStyle name="Normal 5 5 3 7 2 2 2" xfId="48833"/>
    <cellStyle name="Normal 5 5 3 7 2 3" xfId="38584"/>
    <cellStyle name="Normal 5 5 3 7 3" xfId="9450"/>
    <cellStyle name="Normal 5 5 3 7 3 2" xfId="35007"/>
    <cellStyle name="Normal 5 5 3 7 4" xfId="18273"/>
    <cellStyle name="Normal 5 5 3 7 4 2" xfId="43826"/>
    <cellStyle name="Normal 5 5 3 7 5" xfId="29763"/>
    <cellStyle name="Normal 5 5 3 8" xfId="1463"/>
    <cellStyle name="Normal 5 5 3 8 2" xfId="10840"/>
    <cellStyle name="Normal 5 5 3 8 2 2" xfId="36395"/>
    <cellStyle name="Normal 5 5 3 8 3" xfId="20844"/>
    <cellStyle name="Normal 5 5 3 8 3 2" xfId="46397"/>
    <cellStyle name="Normal 5 5 3 8 4" xfId="27327"/>
    <cellStyle name="Normal 5 5 3 9" xfId="5647"/>
    <cellStyle name="Normal 5 5 3 9 2" xfId="14474"/>
    <cellStyle name="Normal 5 5 3 9 2 2" xfId="40029"/>
    <cellStyle name="Normal 5 5 3 9 3" xfId="24725"/>
    <cellStyle name="Normal 5 5 3 9 3 2" xfId="50278"/>
    <cellStyle name="Normal 5 5 3 9 4" xfId="31208"/>
    <cellStyle name="Normal 5 5 3_Degree data" xfId="3882"/>
    <cellStyle name="Normal 5 5 4" xfId="471"/>
    <cellStyle name="Normal 5 5 4 10" xfId="26400"/>
    <cellStyle name="Normal 5 5 4 2" xfId="822"/>
    <cellStyle name="Normal 5 5 4 2 2" xfId="3307"/>
    <cellStyle name="Normal 5 5 4 2 2 2" xfId="12449"/>
    <cellStyle name="Normal 5 5 4 2 2 2 2" xfId="22668"/>
    <cellStyle name="Normal 5 5 4 2 2 2 2 2" xfId="48221"/>
    <cellStyle name="Normal 5 5 4 2 2 2 3" xfId="38004"/>
    <cellStyle name="Normal 5 5 4 2 2 3" xfId="8871"/>
    <cellStyle name="Normal 5 5 4 2 2 3 2" xfId="34428"/>
    <cellStyle name="Normal 5 5 4 2 2 4" xfId="17661"/>
    <cellStyle name="Normal 5 5 4 2 2 4 2" xfId="43214"/>
    <cellStyle name="Normal 5 5 4 2 2 5" xfId="29151"/>
    <cellStyle name="Normal 5 5 4 2 3" xfId="4636"/>
    <cellStyle name="Normal 5 5 4 2 3 2" xfId="13474"/>
    <cellStyle name="Normal 5 5 4 2 3 2 2" xfId="23725"/>
    <cellStyle name="Normal 5 5 4 2 3 2 2 2" xfId="49278"/>
    <cellStyle name="Normal 5 5 4 2 3 2 3" xfId="39029"/>
    <cellStyle name="Normal 5 5 4 2 3 3" xfId="9895"/>
    <cellStyle name="Normal 5 5 4 2 3 3 2" xfId="35452"/>
    <cellStyle name="Normal 5 5 4 2 3 4" xfId="18718"/>
    <cellStyle name="Normal 5 5 4 2 3 4 2" xfId="44271"/>
    <cellStyle name="Normal 5 5 4 2 3 5" xfId="30208"/>
    <cellStyle name="Normal 5 5 4 2 4" xfId="2416"/>
    <cellStyle name="Normal 5 5 4 2 4 2" xfId="11781"/>
    <cellStyle name="Normal 5 5 4 2 4 2 2" xfId="37336"/>
    <cellStyle name="Normal 5 5 4 2 4 3" xfId="21785"/>
    <cellStyle name="Normal 5 5 4 2 4 3 2" xfId="47338"/>
    <cellStyle name="Normal 5 5 4 2 4 4" xfId="28268"/>
    <cellStyle name="Normal 5 5 4 2 5" xfId="6092"/>
    <cellStyle name="Normal 5 5 4 2 5 2" xfId="14919"/>
    <cellStyle name="Normal 5 5 4 2 5 2 2" xfId="40474"/>
    <cellStyle name="Normal 5 5 4 2 5 3" xfId="25170"/>
    <cellStyle name="Normal 5 5 4 2 5 3 2" xfId="50723"/>
    <cellStyle name="Normal 5 5 4 2 5 4" xfId="31653"/>
    <cellStyle name="Normal 5 5 4 2 6" xfId="7537"/>
    <cellStyle name="Normal 5 5 4 2 6 2" xfId="20267"/>
    <cellStyle name="Normal 5 5 4 2 6 2 2" xfId="45820"/>
    <cellStyle name="Normal 5 5 4 2 6 3" xfId="33094"/>
    <cellStyle name="Normal 5 5 4 2 7" xfId="16778"/>
    <cellStyle name="Normal 5 5 4 2 7 2" xfId="42331"/>
    <cellStyle name="Normal 5 5 4 2 8" xfId="26750"/>
    <cellStyle name="Normal 5 5 4 3" xfId="1243"/>
    <cellStyle name="Normal 5 5 4 3 2" xfId="3672"/>
    <cellStyle name="Normal 5 5 4 3 2 2" xfId="12808"/>
    <cellStyle name="Normal 5 5 4 3 2 2 2" xfId="23027"/>
    <cellStyle name="Normal 5 5 4 3 2 2 2 2" xfId="48580"/>
    <cellStyle name="Normal 5 5 4 3 2 2 3" xfId="38363"/>
    <cellStyle name="Normal 5 5 4 3 2 3" xfId="9229"/>
    <cellStyle name="Normal 5 5 4 3 2 3 2" xfId="34786"/>
    <cellStyle name="Normal 5 5 4 3 2 4" xfId="18020"/>
    <cellStyle name="Normal 5 5 4 3 2 4 2" xfId="43573"/>
    <cellStyle name="Normal 5 5 4 3 2 5" xfId="29510"/>
    <cellStyle name="Normal 5 5 4 3 3" xfId="4985"/>
    <cellStyle name="Normal 5 5 4 3 3 2" xfId="13822"/>
    <cellStyle name="Normal 5 5 4 3 3 2 2" xfId="24073"/>
    <cellStyle name="Normal 5 5 4 3 3 2 2 2" xfId="49626"/>
    <cellStyle name="Normal 5 5 4 3 3 2 3" xfId="39377"/>
    <cellStyle name="Normal 5 5 4 3 3 3" xfId="10243"/>
    <cellStyle name="Normal 5 5 4 3 3 3 2" xfId="35800"/>
    <cellStyle name="Normal 5 5 4 3 3 4" xfId="19066"/>
    <cellStyle name="Normal 5 5 4 3 3 4 2" xfId="44619"/>
    <cellStyle name="Normal 5 5 4 3 3 5" xfId="30556"/>
    <cellStyle name="Normal 5 5 4 3 4" xfId="2066"/>
    <cellStyle name="Normal 5 5 4 3 4 2" xfId="11431"/>
    <cellStyle name="Normal 5 5 4 3 4 2 2" xfId="36986"/>
    <cellStyle name="Normal 5 5 4 3 4 3" xfId="21435"/>
    <cellStyle name="Normal 5 5 4 3 4 3 2" xfId="46988"/>
    <cellStyle name="Normal 5 5 4 3 4 4" xfId="27918"/>
    <cellStyle name="Normal 5 5 4 3 5" xfId="6440"/>
    <cellStyle name="Normal 5 5 4 3 5 2" xfId="15267"/>
    <cellStyle name="Normal 5 5 4 3 5 2 2" xfId="40822"/>
    <cellStyle name="Normal 5 5 4 3 5 3" xfId="25518"/>
    <cellStyle name="Normal 5 5 4 3 5 3 2" xfId="51071"/>
    <cellStyle name="Normal 5 5 4 3 5 4" xfId="32001"/>
    <cellStyle name="Normal 5 5 4 3 6" xfId="7886"/>
    <cellStyle name="Normal 5 5 4 3 6 2" xfId="20626"/>
    <cellStyle name="Normal 5 5 4 3 6 2 2" xfId="46179"/>
    <cellStyle name="Normal 5 5 4 3 6 3" xfId="33443"/>
    <cellStyle name="Normal 5 5 4 3 7" xfId="16428"/>
    <cellStyle name="Normal 5 5 4 3 7 2" xfId="41981"/>
    <cellStyle name="Normal 5 5 4 3 8" xfId="27109"/>
    <cellStyle name="Normal 5 5 4 4" xfId="2957"/>
    <cellStyle name="Normal 5 5 4 4 2" xfId="5335"/>
    <cellStyle name="Normal 5 5 4 4 2 2" xfId="14172"/>
    <cellStyle name="Normal 5 5 4 4 2 2 2" xfId="24423"/>
    <cellStyle name="Normal 5 5 4 4 2 2 2 2" xfId="49976"/>
    <cellStyle name="Normal 5 5 4 4 2 2 3" xfId="39727"/>
    <cellStyle name="Normal 5 5 4 4 2 3" xfId="10593"/>
    <cellStyle name="Normal 5 5 4 4 2 3 2" xfId="36150"/>
    <cellStyle name="Normal 5 5 4 4 2 4" xfId="19416"/>
    <cellStyle name="Normal 5 5 4 4 2 4 2" xfId="44969"/>
    <cellStyle name="Normal 5 5 4 4 2 5" xfId="30906"/>
    <cellStyle name="Normal 5 5 4 4 3" xfId="6790"/>
    <cellStyle name="Normal 5 5 4 4 3 2" xfId="15617"/>
    <cellStyle name="Normal 5 5 4 4 3 2 2" xfId="41172"/>
    <cellStyle name="Normal 5 5 4 4 3 3" xfId="25868"/>
    <cellStyle name="Normal 5 5 4 4 3 3 2" xfId="51421"/>
    <cellStyle name="Normal 5 5 4 4 3 4" xfId="32351"/>
    <cellStyle name="Normal 5 5 4 4 4" xfId="8236"/>
    <cellStyle name="Normal 5 5 4 4 4 2" xfId="22318"/>
    <cellStyle name="Normal 5 5 4 4 4 2 2" xfId="47871"/>
    <cellStyle name="Normal 5 5 4 4 4 3" xfId="33793"/>
    <cellStyle name="Normal 5 5 4 4 5" xfId="17311"/>
    <cellStyle name="Normal 5 5 4 4 5 2" xfId="42864"/>
    <cellStyle name="Normal 5 5 4 4 6" xfId="28801"/>
    <cellStyle name="Normal 5 5 4 5" xfId="4291"/>
    <cellStyle name="Normal 5 5 4 5 2" xfId="13129"/>
    <cellStyle name="Normal 5 5 4 5 2 2" xfId="23380"/>
    <cellStyle name="Normal 5 5 4 5 2 2 2" xfId="48933"/>
    <cellStyle name="Normal 5 5 4 5 2 3" xfId="38684"/>
    <cellStyle name="Normal 5 5 4 5 3" xfId="9550"/>
    <cellStyle name="Normal 5 5 4 5 3 2" xfId="35107"/>
    <cellStyle name="Normal 5 5 4 5 4" xfId="18373"/>
    <cellStyle name="Normal 5 5 4 5 4 2" xfId="43926"/>
    <cellStyle name="Normal 5 5 4 5 5" xfId="29863"/>
    <cellStyle name="Normal 5 5 4 6" xfId="1563"/>
    <cellStyle name="Normal 5 5 4 6 2" xfId="10940"/>
    <cellStyle name="Normal 5 5 4 6 2 2" xfId="36495"/>
    <cellStyle name="Normal 5 5 4 6 3" xfId="20944"/>
    <cellStyle name="Normal 5 5 4 6 3 2" xfId="46497"/>
    <cellStyle name="Normal 5 5 4 6 4" xfId="27427"/>
    <cellStyle name="Normal 5 5 4 7" xfId="5747"/>
    <cellStyle name="Normal 5 5 4 7 2" xfId="14574"/>
    <cellStyle name="Normal 5 5 4 7 2 2" xfId="40129"/>
    <cellStyle name="Normal 5 5 4 7 3" xfId="24825"/>
    <cellStyle name="Normal 5 5 4 7 3 2" xfId="50378"/>
    <cellStyle name="Normal 5 5 4 7 4" xfId="31308"/>
    <cellStyle name="Normal 5 5 4 8" xfId="7191"/>
    <cellStyle name="Normal 5 5 4 8 2" xfId="19917"/>
    <cellStyle name="Normal 5 5 4 8 2 2" xfId="45470"/>
    <cellStyle name="Normal 5 5 4 8 3" xfId="32748"/>
    <cellStyle name="Normal 5 5 4 9" xfId="15937"/>
    <cellStyle name="Normal 5 5 4 9 2" xfId="41490"/>
    <cellStyle name="Normal 5 5 4_Degree data" xfId="3891"/>
    <cellStyle name="Normal 5 5 5" xfId="312"/>
    <cellStyle name="Normal 5 5 5 2" xfId="2798"/>
    <cellStyle name="Normal 5 5 5 2 2" xfId="12102"/>
    <cellStyle name="Normal 5 5 5 2 2 2" xfId="22159"/>
    <cellStyle name="Normal 5 5 5 2 2 2 2" xfId="47712"/>
    <cellStyle name="Normal 5 5 5 2 2 3" xfId="37657"/>
    <cellStyle name="Normal 5 5 5 2 3" xfId="8606"/>
    <cellStyle name="Normal 5 5 5 2 3 2" xfId="34163"/>
    <cellStyle name="Normal 5 5 5 2 4" xfId="17152"/>
    <cellStyle name="Normal 5 5 5 2 4 2" xfId="42705"/>
    <cellStyle name="Normal 5 5 5 2 5" xfId="28642"/>
    <cellStyle name="Normal 5 5 5 3" xfId="4631"/>
    <cellStyle name="Normal 5 5 5 3 2" xfId="13469"/>
    <cellStyle name="Normal 5 5 5 3 2 2" xfId="23720"/>
    <cellStyle name="Normal 5 5 5 3 2 2 2" xfId="49273"/>
    <cellStyle name="Normal 5 5 5 3 2 3" xfId="39024"/>
    <cellStyle name="Normal 5 5 5 3 3" xfId="9890"/>
    <cellStyle name="Normal 5 5 5 3 3 2" xfId="35447"/>
    <cellStyle name="Normal 5 5 5 3 4" xfId="18713"/>
    <cellStyle name="Normal 5 5 5 3 4 2" xfId="44266"/>
    <cellStyle name="Normal 5 5 5 3 5" xfId="30203"/>
    <cellStyle name="Normal 5 5 5 4" xfId="1907"/>
    <cellStyle name="Normal 5 5 5 4 2" xfId="11272"/>
    <cellStyle name="Normal 5 5 5 4 2 2" xfId="36827"/>
    <cellStyle name="Normal 5 5 5 4 3" xfId="21276"/>
    <cellStyle name="Normal 5 5 5 4 3 2" xfId="46829"/>
    <cellStyle name="Normal 5 5 5 4 4" xfId="27759"/>
    <cellStyle name="Normal 5 5 5 5" xfId="6087"/>
    <cellStyle name="Normal 5 5 5 5 2" xfId="14914"/>
    <cellStyle name="Normal 5 5 5 5 2 2" xfId="40469"/>
    <cellStyle name="Normal 5 5 5 5 3" xfId="25165"/>
    <cellStyle name="Normal 5 5 5 5 3 2" xfId="50718"/>
    <cellStyle name="Normal 5 5 5 5 4" xfId="31648"/>
    <cellStyle name="Normal 5 5 5 6" xfId="7532"/>
    <cellStyle name="Normal 5 5 5 6 2" xfId="19758"/>
    <cellStyle name="Normal 5 5 5 6 2 2" xfId="45311"/>
    <cellStyle name="Normal 5 5 5 6 3" xfId="33089"/>
    <cellStyle name="Normal 5 5 5 7" xfId="16269"/>
    <cellStyle name="Normal 5 5 5 7 2" xfId="41822"/>
    <cellStyle name="Normal 5 5 5 8" xfId="26241"/>
    <cellStyle name="Normal 5 5 6" xfId="817"/>
    <cellStyle name="Normal 5 5 6 2" xfId="3302"/>
    <cellStyle name="Normal 5 5 6 2 2" xfId="12444"/>
    <cellStyle name="Normal 5 5 6 2 2 2" xfId="22663"/>
    <cellStyle name="Normal 5 5 6 2 2 2 2" xfId="48216"/>
    <cellStyle name="Normal 5 5 6 2 2 3" xfId="37999"/>
    <cellStyle name="Normal 5 5 6 2 3" xfId="8866"/>
    <cellStyle name="Normal 5 5 6 2 3 2" xfId="34423"/>
    <cellStyle name="Normal 5 5 6 2 4" xfId="17656"/>
    <cellStyle name="Normal 5 5 6 2 4 2" xfId="43209"/>
    <cellStyle name="Normal 5 5 6 2 5" xfId="29146"/>
    <cellStyle name="Normal 5 5 6 3" xfId="4980"/>
    <cellStyle name="Normal 5 5 6 3 2" xfId="13817"/>
    <cellStyle name="Normal 5 5 6 3 2 2" xfId="24068"/>
    <cellStyle name="Normal 5 5 6 3 2 2 2" xfId="49621"/>
    <cellStyle name="Normal 5 5 6 3 2 3" xfId="39372"/>
    <cellStyle name="Normal 5 5 6 3 3" xfId="10238"/>
    <cellStyle name="Normal 5 5 6 3 3 2" xfId="35795"/>
    <cellStyle name="Normal 5 5 6 3 4" xfId="19061"/>
    <cellStyle name="Normal 5 5 6 3 4 2" xfId="44614"/>
    <cellStyle name="Normal 5 5 6 3 5" xfId="30551"/>
    <cellStyle name="Normal 5 5 6 4" xfId="2411"/>
    <cellStyle name="Normal 5 5 6 4 2" xfId="11776"/>
    <cellStyle name="Normal 5 5 6 4 2 2" xfId="37331"/>
    <cellStyle name="Normal 5 5 6 4 3" xfId="21780"/>
    <cellStyle name="Normal 5 5 6 4 3 2" xfId="47333"/>
    <cellStyle name="Normal 5 5 6 4 4" xfId="28263"/>
    <cellStyle name="Normal 5 5 6 5" xfId="6435"/>
    <cellStyle name="Normal 5 5 6 5 2" xfId="15262"/>
    <cellStyle name="Normal 5 5 6 5 2 2" xfId="40817"/>
    <cellStyle name="Normal 5 5 6 5 3" xfId="25513"/>
    <cellStyle name="Normal 5 5 6 5 3 2" xfId="51066"/>
    <cellStyle name="Normal 5 5 6 5 4" xfId="31996"/>
    <cellStyle name="Normal 5 5 6 6" xfId="7881"/>
    <cellStyle name="Normal 5 5 6 6 2" xfId="20262"/>
    <cellStyle name="Normal 5 5 6 6 2 2" xfId="45815"/>
    <cellStyle name="Normal 5 5 6 6 3" xfId="33438"/>
    <cellStyle name="Normal 5 5 6 7" xfId="16773"/>
    <cellStyle name="Normal 5 5 6 7 2" xfId="42326"/>
    <cellStyle name="Normal 5 5 6 8" xfId="26745"/>
    <cellStyle name="Normal 5 5 7" xfId="1084"/>
    <cellStyle name="Normal 5 5 7 2" xfId="3513"/>
    <cellStyle name="Normal 5 5 7 2 2" xfId="12649"/>
    <cellStyle name="Normal 5 5 7 2 2 2" xfId="22868"/>
    <cellStyle name="Normal 5 5 7 2 2 2 2" xfId="48421"/>
    <cellStyle name="Normal 5 5 7 2 2 3" xfId="38204"/>
    <cellStyle name="Normal 5 5 7 2 3" xfId="9071"/>
    <cellStyle name="Normal 5 5 7 2 3 2" xfId="34628"/>
    <cellStyle name="Normal 5 5 7 2 4" xfId="17861"/>
    <cellStyle name="Normal 5 5 7 2 4 2" xfId="43414"/>
    <cellStyle name="Normal 5 5 7 2 5" xfId="29351"/>
    <cellStyle name="Normal 5 5 7 3" xfId="5176"/>
    <cellStyle name="Normal 5 5 7 3 2" xfId="14013"/>
    <cellStyle name="Normal 5 5 7 3 2 2" xfId="24264"/>
    <cellStyle name="Normal 5 5 7 3 2 2 2" xfId="49817"/>
    <cellStyle name="Normal 5 5 7 3 2 3" xfId="39568"/>
    <cellStyle name="Normal 5 5 7 3 3" xfId="10434"/>
    <cellStyle name="Normal 5 5 7 3 3 2" xfId="35991"/>
    <cellStyle name="Normal 5 5 7 3 4" xfId="19257"/>
    <cellStyle name="Normal 5 5 7 3 4 2" xfId="44810"/>
    <cellStyle name="Normal 5 5 7 3 5" xfId="30747"/>
    <cellStyle name="Normal 5 5 7 4" xfId="1742"/>
    <cellStyle name="Normal 5 5 7 4 2" xfId="11113"/>
    <cellStyle name="Normal 5 5 7 4 2 2" xfId="36668"/>
    <cellStyle name="Normal 5 5 7 4 3" xfId="21117"/>
    <cellStyle name="Normal 5 5 7 4 3 2" xfId="46670"/>
    <cellStyle name="Normal 5 5 7 4 4" xfId="27600"/>
    <cellStyle name="Normal 5 5 7 5" xfId="6631"/>
    <cellStyle name="Normal 5 5 7 5 2" xfId="15458"/>
    <cellStyle name="Normal 5 5 7 5 2 2" xfId="41013"/>
    <cellStyle name="Normal 5 5 7 5 3" xfId="25709"/>
    <cellStyle name="Normal 5 5 7 5 3 2" xfId="51262"/>
    <cellStyle name="Normal 5 5 7 5 4" xfId="32192"/>
    <cellStyle name="Normal 5 5 7 6" xfId="8077"/>
    <cellStyle name="Normal 5 5 7 6 2" xfId="20467"/>
    <cellStyle name="Normal 5 5 7 6 2 2" xfId="46020"/>
    <cellStyle name="Normal 5 5 7 6 3" xfId="33634"/>
    <cellStyle name="Normal 5 5 7 7" xfId="16110"/>
    <cellStyle name="Normal 5 5 7 7 2" xfId="41663"/>
    <cellStyle name="Normal 5 5 7 8" xfId="26950"/>
    <cellStyle name="Normal 5 5 8" xfId="2640"/>
    <cellStyle name="Normal 5 5 8 2" xfId="5588"/>
    <cellStyle name="Normal 5 5 8 2 2" xfId="14415"/>
    <cellStyle name="Normal 5 5 8 2 2 2" xfId="39970"/>
    <cellStyle name="Normal 5 5 8 2 3" xfId="24666"/>
    <cellStyle name="Normal 5 5 8 2 3 2" xfId="50219"/>
    <cellStyle name="Normal 5 5 8 2 4" xfId="31149"/>
    <cellStyle name="Normal 5 5 8 3" xfId="7032"/>
    <cellStyle name="Normal 5 5 8 3 2" xfId="22001"/>
    <cellStyle name="Normal 5 5 8 3 2 2" xfId="47554"/>
    <cellStyle name="Normal 5 5 8 3 3" xfId="32589"/>
    <cellStyle name="Normal 5 5 8 4" xfId="16994"/>
    <cellStyle name="Normal 5 5 8 4 2" xfId="42547"/>
    <cellStyle name="Normal 5 5 8 5" xfId="28484"/>
    <cellStyle name="Normal 5 5 9" xfId="4130"/>
    <cellStyle name="Normal 5 5 9 2" xfId="12968"/>
    <cellStyle name="Normal 5 5 9 2 2" xfId="23219"/>
    <cellStyle name="Normal 5 5 9 2 2 2" xfId="48772"/>
    <cellStyle name="Normal 5 5 9 2 3" xfId="38523"/>
    <cellStyle name="Normal 5 5 9 3" xfId="9389"/>
    <cellStyle name="Normal 5 5 9 3 2" xfId="34946"/>
    <cellStyle name="Normal 5 5 9 4" xfId="18212"/>
    <cellStyle name="Normal 5 5 9 4 2" xfId="43765"/>
    <cellStyle name="Normal 5 5 9 5" xfId="29702"/>
    <cellStyle name="Normal 5 5_Degree data" xfId="3826"/>
    <cellStyle name="Normal 5 6" xfId="177"/>
    <cellStyle name="Normal 5 6 10" xfId="7125"/>
    <cellStyle name="Normal 5 6 10 2" xfId="19634"/>
    <cellStyle name="Normal 5 6 10 2 2" xfId="45187"/>
    <cellStyle name="Normal 5 6 10 3" xfId="32682"/>
    <cellStyle name="Normal 5 6 11" xfId="15871"/>
    <cellStyle name="Normal 5 6 11 2" xfId="41424"/>
    <cellStyle name="Normal 5 6 12" xfId="26117"/>
    <cellStyle name="Normal 5 6 2" xfId="505"/>
    <cellStyle name="Normal 5 6 2 10" xfId="26434"/>
    <cellStyle name="Normal 5 6 2 2" xfId="824"/>
    <cellStyle name="Normal 5 6 2 2 2" xfId="3309"/>
    <cellStyle name="Normal 5 6 2 2 2 2" xfId="12451"/>
    <cellStyle name="Normal 5 6 2 2 2 2 2" xfId="22670"/>
    <cellStyle name="Normal 5 6 2 2 2 2 2 2" xfId="48223"/>
    <cellStyle name="Normal 5 6 2 2 2 2 3" xfId="38006"/>
    <cellStyle name="Normal 5 6 2 2 2 3" xfId="8873"/>
    <cellStyle name="Normal 5 6 2 2 2 3 2" xfId="34430"/>
    <cellStyle name="Normal 5 6 2 2 2 4" xfId="17663"/>
    <cellStyle name="Normal 5 6 2 2 2 4 2" xfId="43216"/>
    <cellStyle name="Normal 5 6 2 2 2 5" xfId="29153"/>
    <cellStyle name="Normal 5 6 2 2 3" xfId="4638"/>
    <cellStyle name="Normal 5 6 2 2 3 2" xfId="13476"/>
    <cellStyle name="Normal 5 6 2 2 3 2 2" xfId="23727"/>
    <cellStyle name="Normal 5 6 2 2 3 2 2 2" xfId="49280"/>
    <cellStyle name="Normal 5 6 2 2 3 2 3" xfId="39031"/>
    <cellStyle name="Normal 5 6 2 2 3 3" xfId="9897"/>
    <cellStyle name="Normal 5 6 2 2 3 3 2" xfId="35454"/>
    <cellStyle name="Normal 5 6 2 2 3 4" xfId="18720"/>
    <cellStyle name="Normal 5 6 2 2 3 4 2" xfId="44273"/>
    <cellStyle name="Normal 5 6 2 2 3 5" xfId="30210"/>
    <cellStyle name="Normal 5 6 2 2 4" xfId="2418"/>
    <cellStyle name="Normal 5 6 2 2 4 2" xfId="11783"/>
    <cellStyle name="Normal 5 6 2 2 4 2 2" xfId="37338"/>
    <cellStyle name="Normal 5 6 2 2 4 3" xfId="21787"/>
    <cellStyle name="Normal 5 6 2 2 4 3 2" xfId="47340"/>
    <cellStyle name="Normal 5 6 2 2 4 4" xfId="28270"/>
    <cellStyle name="Normal 5 6 2 2 5" xfId="6094"/>
    <cellStyle name="Normal 5 6 2 2 5 2" xfId="14921"/>
    <cellStyle name="Normal 5 6 2 2 5 2 2" xfId="40476"/>
    <cellStyle name="Normal 5 6 2 2 5 3" xfId="25172"/>
    <cellStyle name="Normal 5 6 2 2 5 3 2" xfId="50725"/>
    <cellStyle name="Normal 5 6 2 2 5 4" xfId="31655"/>
    <cellStyle name="Normal 5 6 2 2 6" xfId="7539"/>
    <cellStyle name="Normal 5 6 2 2 6 2" xfId="20269"/>
    <cellStyle name="Normal 5 6 2 2 6 2 2" xfId="45822"/>
    <cellStyle name="Normal 5 6 2 2 6 3" xfId="33096"/>
    <cellStyle name="Normal 5 6 2 2 7" xfId="16780"/>
    <cellStyle name="Normal 5 6 2 2 7 2" xfId="42333"/>
    <cellStyle name="Normal 5 6 2 2 8" xfId="26752"/>
    <cellStyle name="Normal 5 6 2 3" xfId="1277"/>
    <cellStyle name="Normal 5 6 2 3 2" xfId="3706"/>
    <cellStyle name="Normal 5 6 2 3 2 2" xfId="12842"/>
    <cellStyle name="Normal 5 6 2 3 2 2 2" xfId="23061"/>
    <cellStyle name="Normal 5 6 2 3 2 2 2 2" xfId="48614"/>
    <cellStyle name="Normal 5 6 2 3 2 2 3" xfId="38397"/>
    <cellStyle name="Normal 5 6 2 3 2 3" xfId="9263"/>
    <cellStyle name="Normal 5 6 2 3 2 3 2" xfId="34820"/>
    <cellStyle name="Normal 5 6 2 3 2 4" xfId="18054"/>
    <cellStyle name="Normal 5 6 2 3 2 4 2" xfId="43607"/>
    <cellStyle name="Normal 5 6 2 3 2 5" xfId="29544"/>
    <cellStyle name="Normal 5 6 2 3 3" xfId="4987"/>
    <cellStyle name="Normal 5 6 2 3 3 2" xfId="13824"/>
    <cellStyle name="Normal 5 6 2 3 3 2 2" xfId="24075"/>
    <cellStyle name="Normal 5 6 2 3 3 2 2 2" xfId="49628"/>
    <cellStyle name="Normal 5 6 2 3 3 2 3" xfId="39379"/>
    <cellStyle name="Normal 5 6 2 3 3 3" xfId="10245"/>
    <cellStyle name="Normal 5 6 2 3 3 3 2" xfId="35802"/>
    <cellStyle name="Normal 5 6 2 3 3 4" xfId="19068"/>
    <cellStyle name="Normal 5 6 2 3 3 4 2" xfId="44621"/>
    <cellStyle name="Normal 5 6 2 3 3 5" xfId="30558"/>
    <cellStyle name="Normal 5 6 2 3 4" xfId="2100"/>
    <cellStyle name="Normal 5 6 2 3 4 2" xfId="11465"/>
    <cellStyle name="Normal 5 6 2 3 4 2 2" xfId="37020"/>
    <cellStyle name="Normal 5 6 2 3 4 3" xfId="21469"/>
    <cellStyle name="Normal 5 6 2 3 4 3 2" xfId="47022"/>
    <cellStyle name="Normal 5 6 2 3 4 4" xfId="27952"/>
    <cellStyle name="Normal 5 6 2 3 5" xfId="6442"/>
    <cellStyle name="Normal 5 6 2 3 5 2" xfId="15269"/>
    <cellStyle name="Normal 5 6 2 3 5 2 2" xfId="40824"/>
    <cellStyle name="Normal 5 6 2 3 5 3" xfId="25520"/>
    <cellStyle name="Normal 5 6 2 3 5 3 2" xfId="51073"/>
    <cellStyle name="Normal 5 6 2 3 5 4" xfId="32003"/>
    <cellStyle name="Normal 5 6 2 3 6" xfId="7888"/>
    <cellStyle name="Normal 5 6 2 3 6 2" xfId="20660"/>
    <cellStyle name="Normal 5 6 2 3 6 2 2" xfId="46213"/>
    <cellStyle name="Normal 5 6 2 3 6 3" xfId="33445"/>
    <cellStyle name="Normal 5 6 2 3 7" xfId="16462"/>
    <cellStyle name="Normal 5 6 2 3 7 2" xfId="42015"/>
    <cellStyle name="Normal 5 6 2 3 8" xfId="27143"/>
    <cellStyle name="Normal 5 6 2 4" xfId="2991"/>
    <cellStyle name="Normal 5 6 2 4 2" xfId="5369"/>
    <cellStyle name="Normal 5 6 2 4 2 2" xfId="14206"/>
    <cellStyle name="Normal 5 6 2 4 2 2 2" xfId="24457"/>
    <cellStyle name="Normal 5 6 2 4 2 2 2 2" xfId="50010"/>
    <cellStyle name="Normal 5 6 2 4 2 2 3" xfId="39761"/>
    <cellStyle name="Normal 5 6 2 4 2 3" xfId="10627"/>
    <cellStyle name="Normal 5 6 2 4 2 3 2" xfId="36184"/>
    <cellStyle name="Normal 5 6 2 4 2 4" xfId="19450"/>
    <cellStyle name="Normal 5 6 2 4 2 4 2" xfId="45003"/>
    <cellStyle name="Normal 5 6 2 4 2 5" xfId="30940"/>
    <cellStyle name="Normal 5 6 2 4 3" xfId="6824"/>
    <cellStyle name="Normal 5 6 2 4 3 2" xfId="15651"/>
    <cellStyle name="Normal 5 6 2 4 3 2 2" xfId="41206"/>
    <cellStyle name="Normal 5 6 2 4 3 3" xfId="25902"/>
    <cellStyle name="Normal 5 6 2 4 3 3 2" xfId="51455"/>
    <cellStyle name="Normal 5 6 2 4 3 4" xfId="32385"/>
    <cellStyle name="Normal 5 6 2 4 4" xfId="8270"/>
    <cellStyle name="Normal 5 6 2 4 4 2" xfId="22352"/>
    <cellStyle name="Normal 5 6 2 4 4 2 2" xfId="47905"/>
    <cellStyle name="Normal 5 6 2 4 4 3" xfId="33827"/>
    <cellStyle name="Normal 5 6 2 4 5" xfId="17345"/>
    <cellStyle name="Normal 5 6 2 4 5 2" xfId="42898"/>
    <cellStyle name="Normal 5 6 2 4 6" xfId="28835"/>
    <cellStyle name="Normal 5 6 2 5" xfId="4325"/>
    <cellStyle name="Normal 5 6 2 5 2" xfId="13163"/>
    <cellStyle name="Normal 5 6 2 5 2 2" xfId="23414"/>
    <cellStyle name="Normal 5 6 2 5 2 2 2" xfId="48967"/>
    <cellStyle name="Normal 5 6 2 5 2 3" xfId="38718"/>
    <cellStyle name="Normal 5 6 2 5 3" xfId="9584"/>
    <cellStyle name="Normal 5 6 2 5 3 2" xfId="35141"/>
    <cellStyle name="Normal 5 6 2 5 4" xfId="18407"/>
    <cellStyle name="Normal 5 6 2 5 4 2" xfId="43960"/>
    <cellStyle name="Normal 5 6 2 5 5" xfId="29897"/>
    <cellStyle name="Normal 5 6 2 6" xfId="1597"/>
    <cellStyle name="Normal 5 6 2 6 2" xfId="10974"/>
    <cellStyle name="Normal 5 6 2 6 2 2" xfId="36529"/>
    <cellStyle name="Normal 5 6 2 6 3" xfId="20978"/>
    <cellStyle name="Normal 5 6 2 6 3 2" xfId="46531"/>
    <cellStyle name="Normal 5 6 2 6 4" xfId="27461"/>
    <cellStyle name="Normal 5 6 2 7" xfId="5781"/>
    <cellStyle name="Normal 5 6 2 7 2" xfId="14608"/>
    <cellStyle name="Normal 5 6 2 7 2 2" xfId="40163"/>
    <cellStyle name="Normal 5 6 2 7 3" xfId="24859"/>
    <cellStyle name="Normal 5 6 2 7 3 2" xfId="50412"/>
    <cellStyle name="Normal 5 6 2 7 4" xfId="31342"/>
    <cellStyle name="Normal 5 6 2 8" xfId="7225"/>
    <cellStyle name="Normal 5 6 2 8 2" xfId="19951"/>
    <cellStyle name="Normal 5 6 2 8 2 2" xfId="45504"/>
    <cellStyle name="Normal 5 6 2 8 3" xfId="32782"/>
    <cellStyle name="Normal 5 6 2 9" xfId="15971"/>
    <cellStyle name="Normal 5 6 2 9 2" xfId="41524"/>
    <cellStyle name="Normal 5 6 2_Degree data" xfId="3862"/>
    <cellStyle name="Normal 5 6 3" xfId="405"/>
    <cellStyle name="Normal 5 6 3 2" xfId="2891"/>
    <cellStyle name="Normal 5 6 3 2 2" xfId="12179"/>
    <cellStyle name="Normal 5 6 3 2 2 2" xfId="22252"/>
    <cellStyle name="Normal 5 6 3 2 2 2 2" xfId="47805"/>
    <cellStyle name="Normal 5 6 3 2 2 3" xfId="37734"/>
    <cellStyle name="Normal 5 6 3 2 3" xfId="8455"/>
    <cellStyle name="Normal 5 6 3 2 3 2" xfId="34012"/>
    <cellStyle name="Normal 5 6 3 2 4" xfId="17245"/>
    <cellStyle name="Normal 5 6 3 2 4 2" xfId="42798"/>
    <cellStyle name="Normal 5 6 3 2 5" xfId="28735"/>
    <cellStyle name="Normal 5 6 3 3" xfId="4637"/>
    <cellStyle name="Normal 5 6 3 3 2" xfId="13475"/>
    <cellStyle name="Normal 5 6 3 3 2 2" xfId="23726"/>
    <cellStyle name="Normal 5 6 3 3 2 2 2" xfId="49279"/>
    <cellStyle name="Normal 5 6 3 3 2 3" xfId="39030"/>
    <cellStyle name="Normal 5 6 3 3 3" xfId="9896"/>
    <cellStyle name="Normal 5 6 3 3 3 2" xfId="35453"/>
    <cellStyle name="Normal 5 6 3 3 4" xfId="18719"/>
    <cellStyle name="Normal 5 6 3 3 4 2" xfId="44272"/>
    <cellStyle name="Normal 5 6 3 3 5" xfId="30209"/>
    <cellStyle name="Normal 5 6 3 4" xfId="2000"/>
    <cellStyle name="Normal 5 6 3 4 2" xfId="11365"/>
    <cellStyle name="Normal 5 6 3 4 2 2" xfId="36920"/>
    <cellStyle name="Normal 5 6 3 4 3" xfId="21369"/>
    <cellStyle name="Normal 5 6 3 4 3 2" xfId="46922"/>
    <cellStyle name="Normal 5 6 3 4 4" xfId="27852"/>
    <cellStyle name="Normal 5 6 3 5" xfId="6093"/>
    <cellStyle name="Normal 5 6 3 5 2" xfId="14920"/>
    <cellStyle name="Normal 5 6 3 5 2 2" xfId="40475"/>
    <cellStyle name="Normal 5 6 3 5 3" xfId="25171"/>
    <cellStyle name="Normal 5 6 3 5 3 2" xfId="50724"/>
    <cellStyle name="Normal 5 6 3 5 4" xfId="31654"/>
    <cellStyle name="Normal 5 6 3 6" xfId="7538"/>
    <cellStyle name="Normal 5 6 3 6 2" xfId="19851"/>
    <cellStyle name="Normal 5 6 3 6 2 2" xfId="45404"/>
    <cellStyle name="Normal 5 6 3 6 3" xfId="33095"/>
    <cellStyle name="Normal 5 6 3 7" xfId="16362"/>
    <cellStyle name="Normal 5 6 3 7 2" xfId="41915"/>
    <cellStyle name="Normal 5 6 3 8" xfId="26334"/>
    <cellStyle name="Normal 5 6 4" xfId="823"/>
    <cellStyle name="Normal 5 6 4 2" xfId="3308"/>
    <cellStyle name="Normal 5 6 4 2 2" xfId="12450"/>
    <cellStyle name="Normal 5 6 4 2 2 2" xfId="22669"/>
    <cellStyle name="Normal 5 6 4 2 2 2 2" xfId="48222"/>
    <cellStyle name="Normal 5 6 4 2 2 3" xfId="38005"/>
    <cellStyle name="Normal 5 6 4 2 3" xfId="8872"/>
    <cellStyle name="Normal 5 6 4 2 3 2" xfId="34429"/>
    <cellStyle name="Normal 5 6 4 2 4" xfId="17662"/>
    <cellStyle name="Normal 5 6 4 2 4 2" xfId="43215"/>
    <cellStyle name="Normal 5 6 4 2 5" xfId="29152"/>
    <cellStyle name="Normal 5 6 4 3" xfId="4986"/>
    <cellStyle name="Normal 5 6 4 3 2" xfId="13823"/>
    <cellStyle name="Normal 5 6 4 3 2 2" xfId="24074"/>
    <cellStyle name="Normal 5 6 4 3 2 2 2" xfId="49627"/>
    <cellStyle name="Normal 5 6 4 3 2 3" xfId="39378"/>
    <cellStyle name="Normal 5 6 4 3 3" xfId="10244"/>
    <cellStyle name="Normal 5 6 4 3 3 2" xfId="35801"/>
    <cellStyle name="Normal 5 6 4 3 4" xfId="19067"/>
    <cellStyle name="Normal 5 6 4 3 4 2" xfId="44620"/>
    <cellStyle name="Normal 5 6 4 3 5" xfId="30557"/>
    <cellStyle name="Normal 5 6 4 4" xfId="2417"/>
    <cellStyle name="Normal 5 6 4 4 2" xfId="11782"/>
    <cellStyle name="Normal 5 6 4 4 2 2" xfId="37337"/>
    <cellStyle name="Normal 5 6 4 4 3" xfId="21786"/>
    <cellStyle name="Normal 5 6 4 4 3 2" xfId="47339"/>
    <cellStyle name="Normal 5 6 4 4 4" xfId="28269"/>
    <cellStyle name="Normal 5 6 4 5" xfId="6441"/>
    <cellStyle name="Normal 5 6 4 5 2" xfId="15268"/>
    <cellStyle name="Normal 5 6 4 5 2 2" xfId="40823"/>
    <cellStyle name="Normal 5 6 4 5 3" xfId="25519"/>
    <cellStyle name="Normal 5 6 4 5 3 2" xfId="51072"/>
    <cellStyle name="Normal 5 6 4 5 4" xfId="32002"/>
    <cellStyle name="Normal 5 6 4 6" xfId="7887"/>
    <cellStyle name="Normal 5 6 4 6 2" xfId="20268"/>
    <cellStyle name="Normal 5 6 4 6 2 2" xfId="45821"/>
    <cellStyle name="Normal 5 6 4 6 3" xfId="33444"/>
    <cellStyle name="Normal 5 6 4 7" xfId="16779"/>
    <cellStyle name="Normal 5 6 4 7 2" xfId="42332"/>
    <cellStyle name="Normal 5 6 4 8" xfId="26751"/>
    <cellStyle name="Normal 5 6 5" xfId="1177"/>
    <cellStyle name="Normal 5 6 5 2" xfId="3606"/>
    <cellStyle name="Normal 5 6 5 2 2" xfId="12742"/>
    <cellStyle name="Normal 5 6 5 2 2 2" xfId="22961"/>
    <cellStyle name="Normal 5 6 5 2 2 2 2" xfId="48514"/>
    <cellStyle name="Normal 5 6 5 2 2 3" xfId="38297"/>
    <cellStyle name="Normal 5 6 5 2 3" xfId="9163"/>
    <cellStyle name="Normal 5 6 5 2 3 2" xfId="34720"/>
    <cellStyle name="Normal 5 6 5 2 4" xfId="17954"/>
    <cellStyle name="Normal 5 6 5 2 4 2" xfId="43507"/>
    <cellStyle name="Normal 5 6 5 2 5" xfId="29444"/>
    <cellStyle name="Normal 5 6 5 3" xfId="5269"/>
    <cellStyle name="Normal 5 6 5 3 2" xfId="14106"/>
    <cellStyle name="Normal 5 6 5 3 2 2" xfId="24357"/>
    <cellStyle name="Normal 5 6 5 3 2 2 2" xfId="49910"/>
    <cellStyle name="Normal 5 6 5 3 2 3" xfId="39661"/>
    <cellStyle name="Normal 5 6 5 3 3" xfId="10527"/>
    <cellStyle name="Normal 5 6 5 3 3 2" xfId="36084"/>
    <cellStyle name="Normal 5 6 5 3 4" xfId="19350"/>
    <cellStyle name="Normal 5 6 5 3 4 2" xfId="44903"/>
    <cellStyle name="Normal 5 6 5 3 5" xfId="30840"/>
    <cellStyle name="Normal 5 6 5 4" xfId="1779"/>
    <cellStyle name="Normal 5 6 5 4 2" xfId="11148"/>
    <cellStyle name="Normal 5 6 5 4 2 2" xfId="36703"/>
    <cellStyle name="Normal 5 6 5 4 3" xfId="21152"/>
    <cellStyle name="Normal 5 6 5 4 3 2" xfId="46705"/>
    <cellStyle name="Normal 5 6 5 4 4" xfId="27635"/>
    <cellStyle name="Normal 5 6 5 5" xfId="6724"/>
    <cellStyle name="Normal 5 6 5 5 2" xfId="15551"/>
    <cellStyle name="Normal 5 6 5 5 2 2" xfId="41106"/>
    <cellStyle name="Normal 5 6 5 5 3" xfId="25802"/>
    <cellStyle name="Normal 5 6 5 5 3 2" xfId="51355"/>
    <cellStyle name="Normal 5 6 5 5 4" xfId="32285"/>
    <cellStyle name="Normal 5 6 5 6" xfId="8170"/>
    <cellStyle name="Normal 5 6 5 6 2" xfId="20560"/>
    <cellStyle name="Normal 5 6 5 6 2 2" xfId="46113"/>
    <cellStyle name="Normal 5 6 5 6 3" xfId="33727"/>
    <cellStyle name="Normal 5 6 5 7" xfId="16145"/>
    <cellStyle name="Normal 5 6 5 7 2" xfId="41698"/>
    <cellStyle name="Normal 5 6 5 8" xfId="27043"/>
    <cellStyle name="Normal 5 6 6" xfId="2674"/>
    <cellStyle name="Normal 5 6 6 2" xfId="11991"/>
    <cellStyle name="Normal 5 6 6 2 2" xfId="22035"/>
    <cellStyle name="Normal 5 6 6 2 2 2" xfId="47588"/>
    <cellStyle name="Normal 5 6 6 2 3" xfId="37546"/>
    <cellStyle name="Normal 5 6 6 3" xfId="8568"/>
    <cellStyle name="Normal 5 6 6 3 2" xfId="34125"/>
    <cellStyle name="Normal 5 6 6 4" xfId="17028"/>
    <cellStyle name="Normal 5 6 6 4 2" xfId="42581"/>
    <cellStyle name="Normal 5 6 6 5" xfId="28518"/>
    <cellStyle name="Normal 5 6 7" xfId="4225"/>
    <cellStyle name="Normal 5 6 7 2" xfId="13063"/>
    <cellStyle name="Normal 5 6 7 2 2" xfId="23314"/>
    <cellStyle name="Normal 5 6 7 2 2 2" xfId="48867"/>
    <cellStyle name="Normal 5 6 7 2 3" xfId="38618"/>
    <cellStyle name="Normal 5 6 7 3" xfId="9484"/>
    <cellStyle name="Normal 5 6 7 3 2" xfId="35041"/>
    <cellStyle name="Normal 5 6 7 4" xfId="18307"/>
    <cellStyle name="Normal 5 6 7 4 2" xfId="43860"/>
    <cellStyle name="Normal 5 6 7 5" xfId="29797"/>
    <cellStyle name="Normal 5 6 8" xfId="1497"/>
    <cellStyle name="Normal 5 6 8 2" xfId="10874"/>
    <cellStyle name="Normal 5 6 8 2 2" xfId="36429"/>
    <cellStyle name="Normal 5 6 8 3" xfId="20878"/>
    <cellStyle name="Normal 5 6 8 3 2" xfId="46431"/>
    <cellStyle name="Normal 5 6 8 4" xfId="27361"/>
    <cellStyle name="Normal 5 6 9" xfId="5681"/>
    <cellStyle name="Normal 5 6 9 2" xfId="14508"/>
    <cellStyle name="Normal 5 6 9 2 2" xfId="40063"/>
    <cellStyle name="Normal 5 6 9 3" xfId="24759"/>
    <cellStyle name="Normal 5 6 9 3 2" xfId="50312"/>
    <cellStyle name="Normal 5 6 9 4" xfId="31242"/>
    <cellStyle name="Normal 5 6_Degree data" xfId="3855"/>
    <cellStyle name="Normal 5 7" xfId="289"/>
    <cellStyle name="Normal 5 7 10" xfId="16076"/>
    <cellStyle name="Normal 5 7 10 2" xfId="41629"/>
    <cellStyle name="Normal 5 7 11" xfId="26222"/>
    <cellStyle name="Normal 5 7 2" xfId="610"/>
    <cellStyle name="Normal 5 7 2 2" xfId="3096"/>
    <cellStyle name="Normal 5 7 2 2 2" xfId="12239"/>
    <cellStyle name="Normal 5 7 2 2 2 2" xfId="22457"/>
    <cellStyle name="Normal 5 7 2 2 2 2 2" xfId="48010"/>
    <cellStyle name="Normal 5 7 2 2 2 3" xfId="37794"/>
    <cellStyle name="Normal 5 7 2 2 3" xfId="8661"/>
    <cellStyle name="Normal 5 7 2 2 3 2" xfId="34218"/>
    <cellStyle name="Normal 5 7 2 2 4" xfId="17450"/>
    <cellStyle name="Normal 5 7 2 2 4 2" xfId="43003"/>
    <cellStyle name="Normal 5 7 2 2 5" xfId="28940"/>
    <cellStyle name="Normal 5 7 2 3" xfId="4639"/>
    <cellStyle name="Normal 5 7 2 3 2" xfId="13477"/>
    <cellStyle name="Normal 5 7 2 3 2 2" xfId="23728"/>
    <cellStyle name="Normal 5 7 2 3 2 2 2" xfId="49281"/>
    <cellStyle name="Normal 5 7 2 3 2 3" xfId="39032"/>
    <cellStyle name="Normal 5 7 2 3 3" xfId="9898"/>
    <cellStyle name="Normal 5 7 2 3 3 2" xfId="35455"/>
    <cellStyle name="Normal 5 7 2 3 4" xfId="18721"/>
    <cellStyle name="Normal 5 7 2 3 4 2" xfId="44274"/>
    <cellStyle name="Normal 5 7 2 3 5" xfId="30211"/>
    <cellStyle name="Normal 5 7 2 4" xfId="2205"/>
    <cellStyle name="Normal 5 7 2 4 2" xfId="11570"/>
    <cellStyle name="Normal 5 7 2 4 2 2" xfId="37125"/>
    <cellStyle name="Normal 5 7 2 4 3" xfId="21574"/>
    <cellStyle name="Normal 5 7 2 4 3 2" xfId="47127"/>
    <cellStyle name="Normal 5 7 2 4 4" xfId="28057"/>
    <cellStyle name="Normal 5 7 2 5" xfId="6095"/>
    <cellStyle name="Normal 5 7 2 5 2" xfId="14922"/>
    <cellStyle name="Normal 5 7 2 5 2 2" xfId="40477"/>
    <cellStyle name="Normal 5 7 2 5 3" xfId="25173"/>
    <cellStyle name="Normal 5 7 2 5 3 2" xfId="50726"/>
    <cellStyle name="Normal 5 7 2 5 4" xfId="31656"/>
    <cellStyle name="Normal 5 7 2 6" xfId="7540"/>
    <cellStyle name="Normal 5 7 2 6 2" xfId="20056"/>
    <cellStyle name="Normal 5 7 2 6 2 2" xfId="45609"/>
    <cellStyle name="Normal 5 7 2 6 3" xfId="33097"/>
    <cellStyle name="Normal 5 7 2 7" xfId="16567"/>
    <cellStyle name="Normal 5 7 2 7 2" xfId="42120"/>
    <cellStyle name="Normal 5 7 2 8" xfId="26539"/>
    <cellStyle name="Normal 5 7 3" xfId="825"/>
    <cellStyle name="Normal 5 7 3 2" xfId="3310"/>
    <cellStyle name="Normal 5 7 3 2 2" xfId="12452"/>
    <cellStyle name="Normal 5 7 3 2 2 2" xfId="22671"/>
    <cellStyle name="Normal 5 7 3 2 2 2 2" xfId="48224"/>
    <cellStyle name="Normal 5 7 3 2 2 3" xfId="38007"/>
    <cellStyle name="Normal 5 7 3 2 3" xfId="8874"/>
    <cellStyle name="Normal 5 7 3 2 3 2" xfId="34431"/>
    <cellStyle name="Normal 5 7 3 2 4" xfId="17664"/>
    <cellStyle name="Normal 5 7 3 2 4 2" xfId="43217"/>
    <cellStyle name="Normal 5 7 3 2 5" xfId="29154"/>
    <cellStyle name="Normal 5 7 3 3" xfId="4988"/>
    <cellStyle name="Normal 5 7 3 3 2" xfId="13825"/>
    <cellStyle name="Normal 5 7 3 3 2 2" xfId="24076"/>
    <cellStyle name="Normal 5 7 3 3 2 2 2" xfId="49629"/>
    <cellStyle name="Normal 5 7 3 3 2 3" xfId="39380"/>
    <cellStyle name="Normal 5 7 3 3 3" xfId="10246"/>
    <cellStyle name="Normal 5 7 3 3 3 2" xfId="35803"/>
    <cellStyle name="Normal 5 7 3 3 4" xfId="19069"/>
    <cellStyle name="Normal 5 7 3 3 4 2" xfId="44622"/>
    <cellStyle name="Normal 5 7 3 3 5" xfId="30559"/>
    <cellStyle name="Normal 5 7 3 4" xfId="2419"/>
    <cellStyle name="Normal 5 7 3 4 2" xfId="11784"/>
    <cellStyle name="Normal 5 7 3 4 2 2" xfId="37339"/>
    <cellStyle name="Normal 5 7 3 4 3" xfId="21788"/>
    <cellStyle name="Normal 5 7 3 4 3 2" xfId="47341"/>
    <cellStyle name="Normal 5 7 3 4 4" xfId="28271"/>
    <cellStyle name="Normal 5 7 3 5" xfId="6443"/>
    <cellStyle name="Normal 5 7 3 5 2" xfId="15270"/>
    <cellStyle name="Normal 5 7 3 5 2 2" xfId="40825"/>
    <cellStyle name="Normal 5 7 3 5 3" xfId="25521"/>
    <cellStyle name="Normal 5 7 3 5 3 2" xfId="51074"/>
    <cellStyle name="Normal 5 7 3 5 4" xfId="32004"/>
    <cellStyle name="Normal 5 7 3 6" xfId="7889"/>
    <cellStyle name="Normal 5 7 3 6 2" xfId="20270"/>
    <cellStyle name="Normal 5 7 3 6 2 2" xfId="45823"/>
    <cellStyle name="Normal 5 7 3 6 3" xfId="33446"/>
    <cellStyle name="Normal 5 7 3 7" xfId="16781"/>
    <cellStyle name="Normal 5 7 3 7 2" xfId="42334"/>
    <cellStyle name="Normal 5 7 3 8" xfId="26753"/>
    <cellStyle name="Normal 5 7 4" xfId="1382"/>
    <cellStyle name="Normal 5 7 4 2" xfId="3811"/>
    <cellStyle name="Normal 5 7 4 2 2" xfId="12947"/>
    <cellStyle name="Normal 5 7 4 2 2 2" xfId="23166"/>
    <cellStyle name="Normal 5 7 4 2 2 2 2" xfId="48719"/>
    <cellStyle name="Normal 5 7 4 2 2 3" xfId="38502"/>
    <cellStyle name="Normal 5 7 4 2 3" xfId="9368"/>
    <cellStyle name="Normal 5 7 4 2 3 2" xfId="34925"/>
    <cellStyle name="Normal 5 7 4 2 4" xfId="18159"/>
    <cellStyle name="Normal 5 7 4 2 4 2" xfId="43712"/>
    <cellStyle name="Normal 5 7 4 2 5" xfId="29649"/>
    <cellStyle name="Normal 5 7 4 3" xfId="5474"/>
    <cellStyle name="Normal 5 7 4 3 2" xfId="14311"/>
    <cellStyle name="Normal 5 7 4 3 2 2" xfId="24562"/>
    <cellStyle name="Normal 5 7 4 3 2 2 2" xfId="50115"/>
    <cellStyle name="Normal 5 7 4 3 2 3" xfId="39866"/>
    <cellStyle name="Normal 5 7 4 3 3" xfId="10732"/>
    <cellStyle name="Normal 5 7 4 3 3 2" xfId="36289"/>
    <cellStyle name="Normal 5 7 4 3 4" xfId="19555"/>
    <cellStyle name="Normal 5 7 4 3 4 2" xfId="45108"/>
    <cellStyle name="Normal 5 7 4 3 5" xfId="31045"/>
    <cellStyle name="Normal 5 7 4 4" xfId="1885"/>
    <cellStyle name="Normal 5 7 4 4 2" xfId="11253"/>
    <cellStyle name="Normal 5 7 4 4 2 2" xfId="36808"/>
    <cellStyle name="Normal 5 7 4 4 3" xfId="21257"/>
    <cellStyle name="Normal 5 7 4 4 3 2" xfId="46810"/>
    <cellStyle name="Normal 5 7 4 4 4" xfId="27740"/>
    <cellStyle name="Normal 5 7 4 5" xfId="6929"/>
    <cellStyle name="Normal 5 7 4 5 2" xfId="15756"/>
    <cellStyle name="Normal 5 7 4 5 2 2" xfId="41311"/>
    <cellStyle name="Normal 5 7 4 5 3" xfId="26007"/>
    <cellStyle name="Normal 5 7 4 5 3 2" xfId="51560"/>
    <cellStyle name="Normal 5 7 4 5 4" xfId="32490"/>
    <cellStyle name="Normal 5 7 4 6" xfId="8375"/>
    <cellStyle name="Normal 5 7 4 6 2" xfId="20765"/>
    <cellStyle name="Normal 5 7 4 6 2 2" xfId="46318"/>
    <cellStyle name="Normal 5 7 4 6 3" xfId="33932"/>
    <cellStyle name="Normal 5 7 4 7" xfId="16250"/>
    <cellStyle name="Normal 5 7 4 7 2" xfId="41803"/>
    <cellStyle name="Normal 5 7 4 8" xfId="27248"/>
    <cellStyle name="Normal 5 7 5" xfId="2779"/>
    <cellStyle name="Normal 5 7 5 2" xfId="12096"/>
    <cellStyle name="Normal 5 7 5 2 2" xfId="22140"/>
    <cellStyle name="Normal 5 7 5 2 2 2" xfId="47693"/>
    <cellStyle name="Normal 5 7 5 2 3" xfId="37651"/>
    <cellStyle name="Normal 5 7 5 3" xfId="8476"/>
    <cellStyle name="Normal 5 7 5 3 2" xfId="34033"/>
    <cellStyle name="Normal 5 7 5 4" xfId="17133"/>
    <cellStyle name="Normal 5 7 5 4 2" xfId="42686"/>
    <cellStyle name="Normal 5 7 5 5" xfId="28623"/>
    <cellStyle name="Normal 5 7 6" xfId="4430"/>
    <cellStyle name="Normal 5 7 6 2" xfId="13268"/>
    <cellStyle name="Normal 5 7 6 2 2" xfId="23519"/>
    <cellStyle name="Normal 5 7 6 2 2 2" xfId="49072"/>
    <cellStyle name="Normal 5 7 6 2 3" xfId="38823"/>
    <cellStyle name="Normal 5 7 6 3" xfId="9689"/>
    <cellStyle name="Normal 5 7 6 3 2" xfId="35246"/>
    <cellStyle name="Normal 5 7 6 4" xfId="18512"/>
    <cellStyle name="Normal 5 7 6 4 2" xfId="44065"/>
    <cellStyle name="Normal 5 7 6 5" xfId="30002"/>
    <cellStyle name="Normal 5 7 7" xfId="1702"/>
    <cellStyle name="Normal 5 7 7 2" xfId="11079"/>
    <cellStyle name="Normal 5 7 7 2 2" xfId="36634"/>
    <cellStyle name="Normal 5 7 7 3" xfId="21083"/>
    <cellStyle name="Normal 5 7 7 3 2" xfId="46636"/>
    <cellStyle name="Normal 5 7 7 4" xfId="27566"/>
    <cellStyle name="Normal 5 7 8" xfId="5886"/>
    <cellStyle name="Normal 5 7 8 2" xfId="14713"/>
    <cellStyle name="Normal 5 7 8 2 2" xfId="40268"/>
    <cellStyle name="Normal 5 7 8 3" xfId="24964"/>
    <cellStyle name="Normal 5 7 8 3 2" xfId="50517"/>
    <cellStyle name="Normal 5 7 8 4" xfId="31447"/>
    <cellStyle name="Normal 5 7 9" xfId="7330"/>
    <cellStyle name="Normal 5 7 9 2" xfId="19739"/>
    <cellStyle name="Normal 5 7 9 2 2" xfId="45292"/>
    <cellStyle name="Normal 5 7 9 3" xfId="32887"/>
    <cellStyle name="Normal 5 7_Degree data" xfId="3899"/>
    <cellStyle name="Normal 5 8" xfId="301"/>
    <cellStyle name="Normal 5 8 10" xfId="26230"/>
    <cellStyle name="Normal 5 8 2" xfId="826"/>
    <cellStyle name="Normal 5 8 2 2" xfId="3311"/>
    <cellStyle name="Normal 5 8 2 2 2" xfId="12453"/>
    <cellStyle name="Normal 5 8 2 2 2 2" xfId="22672"/>
    <cellStyle name="Normal 5 8 2 2 2 2 2" xfId="48225"/>
    <cellStyle name="Normal 5 8 2 2 2 3" xfId="38008"/>
    <cellStyle name="Normal 5 8 2 2 3" xfId="8875"/>
    <cellStyle name="Normal 5 8 2 2 3 2" xfId="34432"/>
    <cellStyle name="Normal 5 8 2 2 4" xfId="17665"/>
    <cellStyle name="Normal 5 8 2 2 4 2" xfId="43218"/>
    <cellStyle name="Normal 5 8 2 2 5" xfId="29155"/>
    <cellStyle name="Normal 5 8 2 3" xfId="4640"/>
    <cellStyle name="Normal 5 8 2 3 2" xfId="13478"/>
    <cellStyle name="Normal 5 8 2 3 2 2" xfId="23729"/>
    <cellStyle name="Normal 5 8 2 3 2 2 2" xfId="49282"/>
    <cellStyle name="Normal 5 8 2 3 2 3" xfId="39033"/>
    <cellStyle name="Normal 5 8 2 3 3" xfId="9899"/>
    <cellStyle name="Normal 5 8 2 3 3 2" xfId="35456"/>
    <cellStyle name="Normal 5 8 2 3 4" xfId="18722"/>
    <cellStyle name="Normal 5 8 2 3 4 2" xfId="44275"/>
    <cellStyle name="Normal 5 8 2 3 5" xfId="30212"/>
    <cellStyle name="Normal 5 8 2 4" xfId="2420"/>
    <cellStyle name="Normal 5 8 2 4 2" xfId="11785"/>
    <cellStyle name="Normal 5 8 2 4 2 2" xfId="37340"/>
    <cellStyle name="Normal 5 8 2 4 3" xfId="21789"/>
    <cellStyle name="Normal 5 8 2 4 3 2" xfId="47342"/>
    <cellStyle name="Normal 5 8 2 4 4" xfId="28272"/>
    <cellStyle name="Normal 5 8 2 5" xfId="6096"/>
    <cellStyle name="Normal 5 8 2 5 2" xfId="14923"/>
    <cellStyle name="Normal 5 8 2 5 2 2" xfId="40478"/>
    <cellStyle name="Normal 5 8 2 5 3" xfId="25174"/>
    <cellStyle name="Normal 5 8 2 5 3 2" xfId="50727"/>
    <cellStyle name="Normal 5 8 2 5 4" xfId="31657"/>
    <cellStyle name="Normal 5 8 2 6" xfId="7541"/>
    <cellStyle name="Normal 5 8 2 6 2" xfId="20271"/>
    <cellStyle name="Normal 5 8 2 6 2 2" xfId="45824"/>
    <cellStyle name="Normal 5 8 2 6 3" xfId="33098"/>
    <cellStyle name="Normal 5 8 2 7" xfId="16782"/>
    <cellStyle name="Normal 5 8 2 7 2" xfId="42335"/>
    <cellStyle name="Normal 5 8 2 8" xfId="26754"/>
    <cellStyle name="Normal 5 8 3" xfId="1073"/>
    <cellStyle name="Normal 5 8 3 2" xfId="3502"/>
    <cellStyle name="Normal 5 8 3 2 2" xfId="12638"/>
    <cellStyle name="Normal 5 8 3 2 2 2" xfId="22857"/>
    <cellStyle name="Normal 5 8 3 2 2 2 2" xfId="48410"/>
    <cellStyle name="Normal 5 8 3 2 2 3" xfId="38193"/>
    <cellStyle name="Normal 5 8 3 2 3" xfId="9060"/>
    <cellStyle name="Normal 5 8 3 2 3 2" xfId="34617"/>
    <cellStyle name="Normal 5 8 3 2 4" xfId="17850"/>
    <cellStyle name="Normal 5 8 3 2 4 2" xfId="43403"/>
    <cellStyle name="Normal 5 8 3 2 5" xfId="29340"/>
    <cellStyle name="Normal 5 8 3 3" xfId="4989"/>
    <cellStyle name="Normal 5 8 3 3 2" xfId="13826"/>
    <cellStyle name="Normal 5 8 3 3 2 2" xfId="24077"/>
    <cellStyle name="Normal 5 8 3 3 2 2 2" xfId="49630"/>
    <cellStyle name="Normal 5 8 3 3 2 3" xfId="39381"/>
    <cellStyle name="Normal 5 8 3 3 3" xfId="10247"/>
    <cellStyle name="Normal 5 8 3 3 3 2" xfId="35804"/>
    <cellStyle name="Normal 5 8 3 3 4" xfId="19070"/>
    <cellStyle name="Normal 5 8 3 3 4 2" xfId="44623"/>
    <cellStyle name="Normal 5 8 3 3 5" xfId="30560"/>
    <cellStyle name="Normal 5 8 3 4" xfId="2582"/>
    <cellStyle name="Normal 5 8 3 4 2" xfId="11946"/>
    <cellStyle name="Normal 5 8 3 4 2 2" xfId="37501"/>
    <cellStyle name="Normal 5 8 3 4 3" xfId="21950"/>
    <cellStyle name="Normal 5 8 3 4 3 2" xfId="47503"/>
    <cellStyle name="Normal 5 8 3 4 4" xfId="28433"/>
    <cellStyle name="Normal 5 8 3 5" xfId="6444"/>
    <cellStyle name="Normal 5 8 3 5 2" xfId="15271"/>
    <cellStyle name="Normal 5 8 3 5 2 2" xfId="40826"/>
    <cellStyle name="Normal 5 8 3 5 3" xfId="25522"/>
    <cellStyle name="Normal 5 8 3 5 3 2" xfId="51075"/>
    <cellStyle name="Normal 5 8 3 5 4" xfId="32005"/>
    <cellStyle name="Normal 5 8 3 6" xfId="7890"/>
    <cellStyle name="Normal 5 8 3 6 2" xfId="20456"/>
    <cellStyle name="Normal 5 8 3 6 2 2" xfId="46009"/>
    <cellStyle name="Normal 5 8 3 6 3" xfId="33447"/>
    <cellStyle name="Normal 5 8 3 7" xfId="16943"/>
    <cellStyle name="Normal 5 8 3 7 2" xfId="42496"/>
    <cellStyle name="Normal 5 8 3 8" xfId="26939"/>
    <cellStyle name="Normal 5 8 4" xfId="2787"/>
    <cellStyle name="Normal 5 8 4 2" xfId="5165"/>
    <cellStyle name="Normal 5 8 4 2 2" xfId="14002"/>
    <cellStyle name="Normal 5 8 4 2 2 2" xfId="24253"/>
    <cellStyle name="Normal 5 8 4 2 2 2 2" xfId="49806"/>
    <cellStyle name="Normal 5 8 4 2 2 3" xfId="39557"/>
    <cellStyle name="Normal 5 8 4 2 3" xfId="10423"/>
    <cellStyle name="Normal 5 8 4 2 3 2" xfId="35980"/>
    <cellStyle name="Normal 5 8 4 2 4" xfId="19246"/>
    <cellStyle name="Normal 5 8 4 2 4 2" xfId="44799"/>
    <cellStyle name="Normal 5 8 4 2 5" xfId="30736"/>
    <cellStyle name="Normal 5 8 4 3" xfId="6620"/>
    <cellStyle name="Normal 5 8 4 3 2" xfId="15447"/>
    <cellStyle name="Normal 5 8 4 3 2 2" xfId="41002"/>
    <cellStyle name="Normal 5 8 4 3 3" xfId="25698"/>
    <cellStyle name="Normal 5 8 4 3 3 2" xfId="51251"/>
    <cellStyle name="Normal 5 8 4 3 4" xfId="32181"/>
    <cellStyle name="Normal 5 8 4 4" xfId="8066"/>
    <cellStyle name="Normal 5 8 4 4 2" xfId="22148"/>
    <cellStyle name="Normal 5 8 4 4 2 2" xfId="47701"/>
    <cellStyle name="Normal 5 8 4 4 3" xfId="33623"/>
    <cellStyle name="Normal 5 8 4 5" xfId="17141"/>
    <cellStyle name="Normal 5 8 4 5 2" xfId="42694"/>
    <cellStyle name="Normal 5 8 4 6" xfId="28631"/>
    <cellStyle name="Normal 5 8 5" xfId="4119"/>
    <cellStyle name="Normal 5 8 5 2" xfId="12957"/>
    <cellStyle name="Normal 5 8 5 2 2" xfId="23208"/>
    <cellStyle name="Normal 5 8 5 2 2 2" xfId="48761"/>
    <cellStyle name="Normal 5 8 5 2 3" xfId="38512"/>
    <cellStyle name="Normal 5 8 5 3" xfId="9378"/>
    <cellStyle name="Normal 5 8 5 3 2" xfId="34935"/>
    <cellStyle name="Normal 5 8 5 4" xfId="18201"/>
    <cellStyle name="Normal 5 8 5 4 2" xfId="43754"/>
    <cellStyle name="Normal 5 8 5 5" xfId="29691"/>
    <cellStyle name="Normal 5 8 6" xfId="1896"/>
    <cellStyle name="Normal 5 8 6 2" xfId="11261"/>
    <cellStyle name="Normal 5 8 6 2 2" xfId="36816"/>
    <cellStyle name="Normal 5 8 6 3" xfId="21265"/>
    <cellStyle name="Normal 5 8 6 3 2" xfId="46818"/>
    <cellStyle name="Normal 5 8 6 4" xfId="27748"/>
    <cellStyle name="Normal 5 8 7" xfId="5577"/>
    <cellStyle name="Normal 5 8 7 2" xfId="14404"/>
    <cellStyle name="Normal 5 8 7 2 2" xfId="39959"/>
    <cellStyle name="Normal 5 8 7 3" xfId="24655"/>
    <cellStyle name="Normal 5 8 7 3 2" xfId="50208"/>
    <cellStyle name="Normal 5 8 7 4" xfId="31138"/>
    <cellStyle name="Normal 5 8 8" xfId="7021"/>
    <cellStyle name="Normal 5 8 8 2" xfId="19747"/>
    <cellStyle name="Normal 5 8 8 2 2" xfId="45300"/>
    <cellStyle name="Normal 5 8 8 3" xfId="32578"/>
    <cellStyle name="Normal 5 8 9" xfId="16258"/>
    <cellStyle name="Normal 5 8 9 2" xfId="41811"/>
    <cellStyle name="Normal 5 8_Degree data" xfId="3932"/>
    <cellStyle name="Normal 5 9" xfId="784"/>
    <cellStyle name="Normal 5 9 2" xfId="3269"/>
    <cellStyle name="Normal 5 9 2 2" xfId="12411"/>
    <cellStyle name="Normal 5 9 2 2 2" xfId="22630"/>
    <cellStyle name="Normal 5 9 2 2 2 2" xfId="48183"/>
    <cellStyle name="Normal 5 9 2 2 3" xfId="37966"/>
    <cellStyle name="Normal 5 9 2 3" xfId="8833"/>
    <cellStyle name="Normal 5 9 2 3 2" xfId="34390"/>
    <cellStyle name="Normal 5 9 2 4" xfId="17623"/>
    <cellStyle name="Normal 5 9 2 4 2" xfId="43176"/>
    <cellStyle name="Normal 5 9 2 5" xfId="29113"/>
    <cellStyle name="Normal 5 9 3" xfId="4598"/>
    <cellStyle name="Normal 5 9 3 2" xfId="13436"/>
    <cellStyle name="Normal 5 9 3 2 2" xfId="23687"/>
    <cellStyle name="Normal 5 9 3 2 2 2" xfId="49240"/>
    <cellStyle name="Normal 5 9 3 2 3" xfId="38991"/>
    <cellStyle name="Normal 5 9 3 3" xfId="9857"/>
    <cellStyle name="Normal 5 9 3 3 2" xfId="35414"/>
    <cellStyle name="Normal 5 9 3 4" xfId="18680"/>
    <cellStyle name="Normal 5 9 3 4 2" xfId="44233"/>
    <cellStyle name="Normal 5 9 3 5" xfId="30170"/>
    <cellStyle name="Normal 5 9 4" xfId="2378"/>
    <cellStyle name="Normal 5 9 4 2" xfId="11743"/>
    <cellStyle name="Normal 5 9 4 2 2" xfId="37298"/>
    <cellStyle name="Normal 5 9 4 3" xfId="21747"/>
    <cellStyle name="Normal 5 9 4 3 2" xfId="47300"/>
    <cellStyle name="Normal 5 9 4 4" xfId="28230"/>
    <cellStyle name="Normal 5 9 5" xfId="6054"/>
    <cellStyle name="Normal 5 9 5 2" xfId="14881"/>
    <cellStyle name="Normal 5 9 5 2 2" xfId="40436"/>
    <cellStyle name="Normal 5 9 5 3" xfId="25132"/>
    <cellStyle name="Normal 5 9 5 3 2" xfId="50685"/>
    <cellStyle name="Normal 5 9 5 4" xfId="31615"/>
    <cellStyle name="Normal 5 9 6" xfId="7499"/>
    <cellStyle name="Normal 5 9 6 2" xfId="20229"/>
    <cellStyle name="Normal 5 9 6 2 2" xfId="45782"/>
    <cellStyle name="Normal 5 9 6 3" xfId="33056"/>
    <cellStyle name="Normal 5 9 7" xfId="16740"/>
    <cellStyle name="Normal 5 9 7 2" xfId="42293"/>
    <cellStyle name="Normal 5 9 8" xfId="26712"/>
    <cellStyle name="Normal 5_Degree data" xfId="3835"/>
    <cellStyle name="Normal 50" xfId="92"/>
    <cellStyle name="Normal 51" xfId="93"/>
    <cellStyle name="Normal 510" xfId="26042"/>
    <cellStyle name="Normal 510 2" xfId="51595"/>
    <cellStyle name="Normal 511" xfId="26040"/>
    <cellStyle name="Normal 511 2" xfId="51593"/>
    <cellStyle name="Normal 512" xfId="26041"/>
    <cellStyle name="Normal 512 2" xfId="51594"/>
    <cellStyle name="Normal 514" xfId="26043"/>
    <cellStyle name="Normal 514 2" xfId="51596"/>
    <cellStyle name="Normal 515" xfId="26044"/>
    <cellStyle name="Normal 515 2" xfId="51597"/>
    <cellStyle name="Normal 516" xfId="26045"/>
    <cellStyle name="Normal 516 2" xfId="51598"/>
    <cellStyle name="Normal 517" xfId="26046"/>
    <cellStyle name="Normal 517 2" xfId="51599"/>
    <cellStyle name="Normal 518" xfId="26047"/>
    <cellStyle name="Normal 518 2" xfId="51600"/>
    <cellStyle name="Normal 52" xfId="88"/>
    <cellStyle name="Normal 520" xfId="26049"/>
    <cellStyle name="Normal 520 2" xfId="51602"/>
    <cellStyle name="Normal 521" xfId="26048"/>
    <cellStyle name="Normal 521 2" xfId="51601"/>
    <cellStyle name="Normal 53" xfId="11"/>
    <cellStyle name="Normal 54" xfId="12"/>
    <cellStyle name="Normal 55" xfId="13"/>
    <cellStyle name="Normal 56" xfId="45"/>
    <cellStyle name="Normal 57" xfId="28"/>
    <cellStyle name="Normal 57 10" xfId="281"/>
    <cellStyle name="Normal 57 10 10" xfId="16069"/>
    <cellStyle name="Normal 57 10 10 2" xfId="41622"/>
    <cellStyle name="Normal 57 10 11" xfId="26215"/>
    <cellStyle name="Normal 57 10 2" xfId="603"/>
    <cellStyle name="Normal 57 10 2 2" xfId="3089"/>
    <cellStyle name="Normal 57 10 2 2 2" xfId="12232"/>
    <cellStyle name="Normal 57 10 2 2 2 2" xfId="22450"/>
    <cellStyle name="Normal 57 10 2 2 2 2 2" xfId="48003"/>
    <cellStyle name="Normal 57 10 2 2 2 3" xfId="37787"/>
    <cellStyle name="Normal 57 10 2 2 3" xfId="8654"/>
    <cellStyle name="Normal 57 10 2 2 3 2" xfId="34211"/>
    <cellStyle name="Normal 57 10 2 2 4" xfId="17443"/>
    <cellStyle name="Normal 57 10 2 2 4 2" xfId="42996"/>
    <cellStyle name="Normal 57 10 2 2 5" xfId="28933"/>
    <cellStyle name="Normal 57 10 2 3" xfId="4642"/>
    <cellStyle name="Normal 57 10 2 3 2" xfId="13480"/>
    <cellStyle name="Normal 57 10 2 3 2 2" xfId="23731"/>
    <cellStyle name="Normal 57 10 2 3 2 2 2" xfId="49284"/>
    <cellStyle name="Normal 57 10 2 3 2 3" xfId="39035"/>
    <cellStyle name="Normal 57 10 2 3 3" xfId="9901"/>
    <cellStyle name="Normal 57 10 2 3 3 2" xfId="35458"/>
    <cellStyle name="Normal 57 10 2 3 4" xfId="18724"/>
    <cellStyle name="Normal 57 10 2 3 4 2" xfId="44277"/>
    <cellStyle name="Normal 57 10 2 3 5" xfId="30214"/>
    <cellStyle name="Normal 57 10 2 4" xfId="2198"/>
    <cellStyle name="Normal 57 10 2 4 2" xfId="11563"/>
    <cellStyle name="Normal 57 10 2 4 2 2" xfId="37118"/>
    <cellStyle name="Normal 57 10 2 4 3" xfId="21567"/>
    <cellStyle name="Normal 57 10 2 4 3 2" xfId="47120"/>
    <cellStyle name="Normal 57 10 2 4 4" xfId="28050"/>
    <cellStyle name="Normal 57 10 2 5" xfId="6098"/>
    <cellStyle name="Normal 57 10 2 5 2" xfId="14925"/>
    <cellStyle name="Normal 57 10 2 5 2 2" xfId="40480"/>
    <cellStyle name="Normal 57 10 2 5 3" xfId="25176"/>
    <cellStyle name="Normal 57 10 2 5 3 2" xfId="50729"/>
    <cellStyle name="Normal 57 10 2 5 4" xfId="31659"/>
    <cellStyle name="Normal 57 10 2 6" xfId="7543"/>
    <cellStyle name="Normal 57 10 2 6 2" xfId="20049"/>
    <cellStyle name="Normal 57 10 2 6 2 2" xfId="45602"/>
    <cellStyle name="Normal 57 10 2 6 3" xfId="33100"/>
    <cellStyle name="Normal 57 10 2 7" xfId="16560"/>
    <cellStyle name="Normal 57 10 2 7 2" xfId="42113"/>
    <cellStyle name="Normal 57 10 2 8" xfId="26532"/>
    <cellStyle name="Normal 57 10 3" xfId="828"/>
    <cellStyle name="Normal 57 10 3 2" xfId="3313"/>
    <cellStyle name="Normal 57 10 3 2 2" xfId="12455"/>
    <cellStyle name="Normal 57 10 3 2 2 2" xfId="22674"/>
    <cellStyle name="Normal 57 10 3 2 2 2 2" xfId="48227"/>
    <cellStyle name="Normal 57 10 3 2 2 3" xfId="38010"/>
    <cellStyle name="Normal 57 10 3 2 3" xfId="8877"/>
    <cellStyle name="Normal 57 10 3 2 3 2" xfId="34434"/>
    <cellStyle name="Normal 57 10 3 2 4" xfId="17667"/>
    <cellStyle name="Normal 57 10 3 2 4 2" xfId="43220"/>
    <cellStyle name="Normal 57 10 3 2 5" xfId="29157"/>
    <cellStyle name="Normal 57 10 3 3" xfId="4991"/>
    <cellStyle name="Normal 57 10 3 3 2" xfId="13828"/>
    <cellStyle name="Normal 57 10 3 3 2 2" xfId="24079"/>
    <cellStyle name="Normal 57 10 3 3 2 2 2" xfId="49632"/>
    <cellStyle name="Normal 57 10 3 3 2 3" xfId="39383"/>
    <cellStyle name="Normal 57 10 3 3 3" xfId="10249"/>
    <cellStyle name="Normal 57 10 3 3 3 2" xfId="35806"/>
    <cellStyle name="Normal 57 10 3 3 4" xfId="19072"/>
    <cellStyle name="Normal 57 10 3 3 4 2" xfId="44625"/>
    <cellStyle name="Normal 57 10 3 3 5" xfId="30562"/>
    <cellStyle name="Normal 57 10 3 4" xfId="2422"/>
    <cellStyle name="Normal 57 10 3 4 2" xfId="11787"/>
    <cellStyle name="Normal 57 10 3 4 2 2" xfId="37342"/>
    <cellStyle name="Normal 57 10 3 4 3" xfId="21791"/>
    <cellStyle name="Normal 57 10 3 4 3 2" xfId="47344"/>
    <cellStyle name="Normal 57 10 3 4 4" xfId="28274"/>
    <cellStyle name="Normal 57 10 3 5" xfId="6446"/>
    <cellStyle name="Normal 57 10 3 5 2" xfId="15273"/>
    <cellStyle name="Normal 57 10 3 5 2 2" xfId="40828"/>
    <cellStyle name="Normal 57 10 3 5 3" xfId="25524"/>
    <cellStyle name="Normal 57 10 3 5 3 2" xfId="51077"/>
    <cellStyle name="Normal 57 10 3 5 4" xfId="32007"/>
    <cellStyle name="Normal 57 10 3 6" xfId="7892"/>
    <cellStyle name="Normal 57 10 3 6 2" xfId="20273"/>
    <cellStyle name="Normal 57 10 3 6 2 2" xfId="45826"/>
    <cellStyle name="Normal 57 10 3 6 3" xfId="33449"/>
    <cellStyle name="Normal 57 10 3 7" xfId="16784"/>
    <cellStyle name="Normal 57 10 3 7 2" xfId="42337"/>
    <cellStyle name="Normal 57 10 3 8" xfId="26756"/>
    <cellStyle name="Normal 57 10 4" xfId="1375"/>
    <cellStyle name="Normal 57 10 4 2" xfId="3804"/>
    <cellStyle name="Normal 57 10 4 2 2" xfId="12940"/>
    <cellStyle name="Normal 57 10 4 2 2 2" xfId="23159"/>
    <cellStyle name="Normal 57 10 4 2 2 2 2" xfId="48712"/>
    <cellStyle name="Normal 57 10 4 2 2 3" xfId="38495"/>
    <cellStyle name="Normal 57 10 4 2 3" xfId="9361"/>
    <cellStyle name="Normal 57 10 4 2 3 2" xfId="34918"/>
    <cellStyle name="Normal 57 10 4 2 4" xfId="18152"/>
    <cellStyle name="Normal 57 10 4 2 4 2" xfId="43705"/>
    <cellStyle name="Normal 57 10 4 2 5" xfId="29642"/>
    <cellStyle name="Normal 57 10 4 3" xfId="5467"/>
    <cellStyle name="Normal 57 10 4 3 2" xfId="14304"/>
    <cellStyle name="Normal 57 10 4 3 2 2" xfId="24555"/>
    <cellStyle name="Normal 57 10 4 3 2 2 2" xfId="50108"/>
    <cellStyle name="Normal 57 10 4 3 2 3" xfId="39859"/>
    <cellStyle name="Normal 57 10 4 3 3" xfId="10725"/>
    <cellStyle name="Normal 57 10 4 3 3 2" xfId="36282"/>
    <cellStyle name="Normal 57 10 4 3 4" xfId="19548"/>
    <cellStyle name="Normal 57 10 4 3 4 2" xfId="45101"/>
    <cellStyle name="Normal 57 10 4 3 5" xfId="31038"/>
    <cellStyle name="Normal 57 10 4 4" xfId="1878"/>
    <cellStyle name="Normal 57 10 4 4 2" xfId="11246"/>
    <cellStyle name="Normal 57 10 4 4 2 2" xfId="36801"/>
    <cellStyle name="Normal 57 10 4 4 3" xfId="21250"/>
    <cellStyle name="Normal 57 10 4 4 3 2" xfId="46803"/>
    <cellStyle name="Normal 57 10 4 4 4" xfId="27733"/>
    <cellStyle name="Normal 57 10 4 5" xfId="6922"/>
    <cellStyle name="Normal 57 10 4 5 2" xfId="15749"/>
    <cellStyle name="Normal 57 10 4 5 2 2" xfId="41304"/>
    <cellStyle name="Normal 57 10 4 5 3" xfId="26000"/>
    <cellStyle name="Normal 57 10 4 5 3 2" xfId="51553"/>
    <cellStyle name="Normal 57 10 4 5 4" xfId="32483"/>
    <cellStyle name="Normal 57 10 4 6" xfId="8368"/>
    <cellStyle name="Normal 57 10 4 6 2" xfId="20758"/>
    <cellStyle name="Normal 57 10 4 6 2 2" xfId="46311"/>
    <cellStyle name="Normal 57 10 4 6 3" xfId="33925"/>
    <cellStyle name="Normal 57 10 4 7" xfId="16243"/>
    <cellStyle name="Normal 57 10 4 7 2" xfId="41796"/>
    <cellStyle name="Normal 57 10 4 8" xfId="27241"/>
    <cellStyle name="Normal 57 10 5" xfId="2772"/>
    <cellStyle name="Normal 57 10 5 2" xfId="12089"/>
    <cellStyle name="Normal 57 10 5 2 2" xfId="22133"/>
    <cellStyle name="Normal 57 10 5 2 2 2" xfId="47686"/>
    <cellStyle name="Normal 57 10 5 2 3" xfId="37644"/>
    <cellStyle name="Normal 57 10 5 3" xfId="8431"/>
    <cellStyle name="Normal 57 10 5 3 2" xfId="33988"/>
    <cellStyle name="Normal 57 10 5 4" xfId="17126"/>
    <cellStyle name="Normal 57 10 5 4 2" xfId="42679"/>
    <cellStyle name="Normal 57 10 5 5" xfId="28616"/>
    <cellStyle name="Normal 57 10 6" xfId="4423"/>
    <cellStyle name="Normal 57 10 6 2" xfId="13261"/>
    <cellStyle name="Normal 57 10 6 2 2" xfId="23512"/>
    <cellStyle name="Normal 57 10 6 2 2 2" xfId="49065"/>
    <cellStyle name="Normal 57 10 6 2 3" xfId="38816"/>
    <cellStyle name="Normal 57 10 6 3" xfId="9682"/>
    <cellStyle name="Normal 57 10 6 3 2" xfId="35239"/>
    <cellStyle name="Normal 57 10 6 4" xfId="18505"/>
    <cellStyle name="Normal 57 10 6 4 2" xfId="44058"/>
    <cellStyle name="Normal 57 10 6 5" xfId="29995"/>
    <cellStyle name="Normal 57 10 7" xfId="1695"/>
    <cellStyle name="Normal 57 10 7 2" xfId="11072"/>
    <cellStyle name="Normal 57 10 7 2 2" xfId="36627"/>
    <cellStyle name="Normal 57 10 7 3" xfId="21076"/>
    <cellStyle name="Normal 57 10 7 3 2" xfId="46629"/>
    <cellStyle name="Normal 57 10 7 4" xfId="27559"/>
    <cellStyle name="Normal 57 10 8" xfId="5879"/>
    <cellStyle name="Normal 57 10 8 2" xfId="14706"/>
    <cellStyle name="Normal 57 10 8 2 2" xfId="40261"/>
    <cellStyle name="Normal 57 10 8 3" xfId="24957"/>
    <cellStyle name="Normal 57 10 8 3 2" xfId="50510"/>
    <cellStyle name="Normal 57 10 8 4" xfId="31440"/>
    <cellStyle name="Normal 57 10 9" xfId="7323"/>
    <cellStyle name="Normal 57 10 9 2" xfId="19732"/>
    <cellStyle name="Normal 57 10 9 2 2" xfId="45285"/>
    <cellStyle name="Normal 57 10 9 3" xfId="32880"/>
    <cellStyle name="Normal 57 10_Degree data" xfId="3934"/>
    <cellStyle name="Normal 57 11" xfId="442"/>
    <cellStyle name="Normal 57 11 10" xfId="26371"/>
    <cellStyle name="Normal 57 11 2" xfId="829"/>
    <cellStyle name="Normal 57 11 2 2" xfId="3314"/>
    <cellStyle name="Normal 57 11 2 2 2" xfId="12456"/>
    <cellStyle name="Normal 57 11 2 2 2 2" xfId="22675"/>
    <cellStyle name="Normal 57 11 2 2 2 2 2" xfId="48228"/>
    <cellStyle name="Normal 57 11 2 2 2 3" xfId="38011"/>
    <cellStyle name="Normal 57 11 2 2 3" xfId="8878"/>
    <cellStyle name="Normal 57 11 2 2 3 2" xfId="34435"/>
    <cellStyle name="Normal 57 11 2 2 4" xfId="17668"/>
    <cellStyle name="Normal 57 11 2 2 4 2" xfId="43221"/>
    <cellStyle name="Normal 57 11 2 2 5" xfId="29158"/>
    <cellStyle name="Normal 57 11 2 3" xfId="4643"/>
    <cellStyle name="Normal 57 11 2 3 2" xfId="13481"/>
    <cellStyle name="Normal 57 11 2 3 2 2" xfId="23732"/>
    <cellStyle name="Normal 57 11 2 3 2 2 2" xfId="49285"/>
    <cellStyle name="Normal 57 11 2 3 2 3" xfId="39036"/>
    <cellStyle name="Normal 57 11 2 3 3" xfId="9902"/>
    <cellStyle name="Normal 57 11 2 3 3 2" xfId="35459"/>
    <cellStyle name="Normal 57 11 2 3 4" xfId="18725"/>
    <cellStyle name="Normal 57 11 2 3 4 2" xfId="44278"/>
    <cellStyle name="Normal 57 11 2 3 5" xfId="30215"/>
    <cellStyle name="Normal 57 11 2 4" xfId="2423"/>
    <cellStyle name="Normal 57 11 2 4 2" xfId="11788"/>
    <cellStyle name="Normal 57 11 2 4 2 2" xfId="37343"/>
    <cellStyle name="Normal 57 11 2 4 3" xfId="21792"/>
    <cellStyle name="Normal 57 11 2 4 3 2" xfId="47345"/>
    <cellStyle name="Normal 57 11 2 4 4" xfId="28275"/>
    <cellStyle name="Normal 57 11 2 5" xfId="6099"/>
    <cellStyle name="Normal 57 11 2 5 2" xfId="14926"/>
    <cellStyle name="Normal 57 11 2 5 2 2" xfId="40481"/>
    <cellStyle name="Normal 57 11 2 5 3" xfId="25177"/>
    <cellStyle name="Normal 57 11 2 5 3 2" xfId="50730"/>
    <cellStyle name="Normal 57 11 2 5 4" xfId="31660"/>
    <cellStyle name="Normal 57 11 2 6" xfId="7544"/>
    <cellStyle name="Normal 57 11 2 6 2" xfId="20274"/>
    <cellStyle name="Normal 57 11 2 6 2 2" xfId="45827"/>
    <cellStyle name="Normal 57 11 2 6 3" xfId="33101"/>
    <cellStyle name="Normal 57 11 2 7" xfId="16785"/>
    <cellStyle name="Normal 57 11 2 7 2" xfId="42338"/>
    <cellStyle name="Normal 57 11 2 8" xfId="26757"/>
    <cellStyle name="Normal 57 11 3" xfId="1214"/>
    <cellStyle name="Normal 57 11 3 2" xfId="3643"/>
    <cellStyle name="Normal 57 11 3 2 2" xfId="12779"/>
    <cellStyle name="Normal 57 11 3 2 2 2" xfId="22998"/>
    <cellStyle name="Normal 57 11 3 2 2 2 2" xfId="48551"/>
    <cellStyle name="Normal 57 11 3 2 2 3" xfId="38334"/>
    <cellStyle name="Normal 57 11 3 2 3" xfId="9200"/>
    <cellStyle name="Normal 57 11 3 2 3 2" xfId="34757"/>
    <cellStyle name="Normal 57 11 3 2 4" xfId="17991"/>
    <cellStyle name="Normal 57 11 3 2 4 2" xfId="43544"/>
    <cellStyle name="Normal 57 11 3 2 5" xfId="29481"/>
    <cellStyle name="Normal 57 11 3 3" xfId="4992"/>
    <cellStyle name="Normal 57 11 3 3 2" xfId="13829"/>
    <cellStyle name="Normal 57 11 3 3 2 2" xfId="24080"/>
    <cellStyle name="Normal 57 11 3 3 2 2 2" xfId="49633"/>
    <cellStyle name="Normal 57 11 3 3 2 3" xfId="39384"/>
    <cellStyle name="Normal 57 11 3 3 3" xfId="10250"/>
    <cellStyle name="Normal 57 11 3 3 3 2" xfId="35807"/>
    <cellStyle name="Normal 57 11 3 3 4" xfId="19073"/>
    <cellStyle name="Normal 57 11 3 3 4 2" xfId="44626"/>
    <cellStyle name="Normal 57 11 3 3 5" xfId="30563"/>
    <cellStyle name="Normal 57 11 3 4" xfId="2037"/>
    <cellStyle name="Normal 57 11 3 4 2" xfId="11402"/>
    <cellStyle name="Normal 57 11 3 4 2 2" xfId="36957"/>
    <cellStyle name="Normal 57 11 3 4 3" xfId="21406"/>
    <cellStyle name="Normal 57 11 3 4 3 2" xfId="46959"/>
    <cellStyle name="Normal 57 11 3 4 4" xfId="27889"/>
    <cellStyle name="Normal 57 11 3 5" xfId="6447"/>
    <cellStyle name="Normal 57 11 3 5 2" xfId="15274"/>
    <cellStyle name="Normal 57 11 3 5 2 2" xfId="40829"/>
    <cellStyle name="Normal 57 11 3 5 3" xfId="25525"/>
    <cellStyle name="Normal 57 11 3 5 3 2" xfId="51078"/>
    <cellStyle name="Normal 57 11 3 5 4" xfId="32008"/>
    <cellStyle name="Normal 57 11 3 6" xfId="7893"/>
    <cellStyle name="Normal 57 11 3 6 2" xfId="20597"/>
    <cellStyle name="Normal 57 11 3 6 2 2" xfId="46150"/>
    <cellStyle name="Normal 57 11 3 6 3" xfId="33450"/>
    <cellStyle name="Normal 57 11 3 7" xfId="16399"/>
    <cellStyle name="Normal 57 11 3 7 2" xfId="41952"/>
    <cellStyle name="Normal 57 11 3 8" xfId="27080"/>
    <cellStyle name="Normal 57 11 4" xfId="2928"/>
    <cellStyle name="Normal 57 11 4 2" xfId="5306"/>
    <cellStyle name="Normal 57 11 4 2 2" xfId="14143"/>
    <cellStyle name="Normal 57 11 4 2 2 2" xfId="24394"/>
    <cellStyle name="Normal 57 11 4 2 2 2 2" xfId="49947"/>
    <cellStyle name="Normal 57 11 4 2 2 3" xfId="39698"/>
    <cellStyle name="Normal 57 11 4 2 3" xfId="10564"/>
    <cellStyle name="Normal 57 11 4 2 3 2" xfId="36121"/>
    <cellStyle name="Normal 57 11 4 2 4" xfId="19387"/>
    <cellStyle name="Normal 57 11 4 2 4 2" xfId="44940"/>
    <cellStyle name="Normal 57 11 4 2 5" xfId="30877"/>
    <cellStyle name="Normal 57 11 4 3" xfId="6761"/>
    <cellStyle name="Normal 57 11 4 3 2" xfId="15588"/>
    <cellStyle name="Normal 57 11 4 3 2 2" xfId="41143"/>
    <cellStyle name="Normal 57 11 4 3 3" xfId="25839"/>
    <cellStyle name="Normal 57 11 4 3 3 2" xfId="51392"/>
    <cellStyle name="Normal 57 11 4 3 4" xfId="32322"/>
    <cellStyle name="Normal 57 11 4 4" xfId="8207"/>
    <cellStyle name="Normal 57 11 4 4 2" xfId="22289"/>
    <cellStyle name="Normal 57 11 4 4 2 2" xfId="47842"/>
    <cellStyle name="Normal 57 11 4 4 3" xfId="33764"/>
    <cellStyle name="Normal 57 11 4 5" xfId="17282"/>
    <cellStyle name="Normal 57 11 4 5 2" xfId="42835"/>
    <cellStyle name="Normal 57 11 4 6" xfId="28772"/>
    <cellStyle name="Normal 57 11 5" xfId="4262"/>
    <cellStyle name="Normal 57 11 5 2" xfId="13100"/>
    <cellStyle name="Normal 57 11 5 2 2" xfId="23351"/>
    <cellStyle name="Normal 57 11 5 2 2 2" xfId="48904"/>
    <cellStyle name="Normal 57 11 5 2 3" xfId="38655"/>
    <cellStyle name="Normal 57 11 5 3" xfId="9521"/>
    <cellStyle name="Normal 57 11 5 3 2" xfId="35078"/>
    <cellStyle name="Normal 57 11 5 4" xfId="18344"/>
    <cellStyle name="Normal 57 11 5 4 2" xfId="43897"/>
    <cellStyle name="Normal 57 11 5 5" xfId="29834"/>
    <cellStyle name="Normal 57 11 6" xfId="1534"/>
    <cellStyle name="Normal 57 11 6 2" xfId="10911"/>
    <cellStyle name="Normal 57 11 6 2 2" xfId="36466"/>
    <cellStyle name="Normal 57 11 6 3" xfId="20915"/>
    <cellStyle name="Normal 57 11 6 3 2" xfId="46468"/>
    <cellStyle name="Normal 57 11 6 4" xfId="27398"/>
    <cellStyle name="Normal 57 11 7" xfId="5718"/>
    <cellStyle name="Normal 57 11 7 2" xfId="14545"/>
    <cellStyle name="Normal 57 11 7 2 2" xfId="40100"/>
    <cellStyle name="Normal 57 11 7 3" xfId="24796"/>
    <cellStyle name="Normal 57 11 7 3 2" xfId="50349"/>
    <cellStyle name="Normal 57 11 7 4" xfId="31279"/>
    <cellStyle name="Normal 57 11 8" xfId="7162"/>
    <cellStyle name="Normal 57 11 8 2" xfId="19888"/>
    <cellStyle name="Normal 57 11 8 2 2" xfId="45441"/>
    <cellStyle name="Normal 57 11 8 3" xfId="32719"/>
    <cellStyle name="Normal 57 11 9" xfId="15908"/>
    <cellStyle name="Normal 57 11 9 2" xfId="41461"/>
    <cellStyle name="Normal 57 11_Degree data" xfId="3935"/>
    <cellStyle name="Normal 57 12" xfId="297"/>
    <cellStyle name="Normal 57 12 10" xfId="26226"/>
    <cellStyle name="Normal 57 12 2" xfId="830"/>
    <cellStyle name="Normal 57 12 2 2" xfId="3315"/>
    <cellStyle name="Normal 57 12 2 2 2" xfId="12457"/>
    <cellStyle name="Normal 57 12 2 2 2 2" xfId="22676"/>
    <cellStyle name="Normal 57 12 2 2 2 2 2" xfId="48229"/>
    <cellStyle name="Normal 57 12 2 2 2 3" xfId="38012"/>
    <cellStyle name="Normal 57 12 2 2 3" xfId="8879"/>
    <cellStyle name="Normal 57 12 2 2 3 2" xfId="34436"/>
    <cellStyle name="Normal 57 12 2 2 4" xfId="17669"/>
    <cellStyle name="Normal 57 12 2 2 4 2" xfId="43222"/>
    <cellStyle name="Normal 57 12 2 2 5" xfId="29159"/>
    <cellStyle name="Normal 57 12 2 3" xfId="4644"/>
    <cellStyle name="Normal 57 12 2 3 2" xfId="13482"/>
    <cellStyle name="Normal 57 12 2 3 2 2" xfId="23733"/>
    <cellStyle name="Normal 57 12 2 3 2 2 2" xfId="49286"/>
    <cellStyle name="Normal 57 12 2 3 2 3" xfId="39037"/>
    <cellStyle name="Normal 57 12 2 3 3" xfId="9903"/>
    <cellStyle name="Normal 57 12 2 3 3 2" xfId="35460"/>
    <cellStyle name="Normal 57 12 2 3 4" xfId="18726"/>
    <cellStyle name="Normal 57 12 2 3 4 2" xfId="44279"/>
    <cellStyle name="Normal 57 12 2 3 5" xfId="30216"/>
    <cellStyle name="Normal 57 12 2 4" xfId="2424"/>
    <cellStyle name="Normal 57 12 2 4 2" xfId="11789"/>
    <cellStyle name="Normal 57 12 2 4 2 2" xfId="37344"/>
    <cellStyle name="Normal 57 12 2 4 3" xfId="21793"/>
    <cellStyle name="Normal 57 12 2 4 3 2" xfId="47346"/>
    <cellStyle name="Normal 57 12 2 4 4" xfId="28276"/>
    <cellStyle name="Normal 57 12 2 5" xfId="6100"/>
    <cellStyle name="Normal 57 12 2 5 2" xfId="14927"/>
    <cellStyle name="Normal 57 12 2 5 2 2" xfId="40482"/>
    <cellStyle name="Normal 57 12 2 5 3" xfId="25178"/>
    <cellStyle name="Normal 57 12 2 5 3 2" xfId="50731"/>
    <cellStyle name="Normal 57 12 2 5 4" xfId="31661"/>
    <cellStyle name="Normal 57 12 2 6" xfId="7545"/>
    <cellStyle name="Normal 57 12 2 6 2" xfId="20275"/>
    <cellStyle name="Normal 57 12 2 6 2 2" xfId="45828"/>
    <cellStyle name="Normal 57 12 2 6 3" xfId="33102"/>
    <cellStyle name="Normal 57 12 2 7" xfId="16786"/>
    <cellStyle name="Normal 57 12 2 7 2" xfId="42339"/>
    <cellStyle name="Normal 57 12 2 8" xfId="26758"/>
    <cellStyle name="Normal 57 12 3" xfId="1069"/>
    <cellStyle name="Normal 57 12 3 2" xfId="3498"/>
    <cellStyle name="Normal 57 12 3 2 2" xfId="12634"/>
    <cellStyle name="Normal 57 12 3 2 2 2" xfId="22853"/>
    <cellStyle name="Normal 57 12 3 2 2 2 2" xfId="48406"/>
    <cellStyle name="Normal 57 12 3 2 2 3" xfId="38189"/>
    <cellStyle name="Normal 57 12 3 2 3" xfId="9056"/>
    <cellStyle name="Normal 57 12 3 2 3 2" xfId="34613"/>
    <cellStyle name="Normal 57 12 3 2 4" xfId="17846"/>
    <cellStyle name="Normal 57 12 3 2 4 2" xfId="43399"/>
    <cellStyle name="Normal 57 12 3 2 5" xfId="29336"/>
    <cellStyle name="Normal 57 12 3 3" xfId="4993"/>
    <cellStyle name="Normal 57 12 3 3 2" xfId="13830"/>
    <cellStyle name="Normal 57 12 3 3 2 2" xfId="24081"/>
    <cellStyle name="Normal 57 12 3 3 2 2 2" xfId="49634"/>
    <cellStyle name="Normal 57 12 3 3 2 3" xfId="39385"/>
    <cellStyle name="Normal 57 12 3 3 3" xfId="10251"/>
    <cellStyle name="Normal 57 12 3 3 3 2" xfId="35808"/>
    <cellStyle name="Normal 57 12 3 3 4" xfId="19074"/>
    <cellStyle name="Normal 57 12 3 3 4 2" xfId="44627"/>
    <cellStyle name="Normal 57 12 3 3 5" xfId="30564"/>
    <cellStyle name="Normal 57 12 3 4" xfId="2576"/>
    <cellStyle name="Normal 57 12 3 4 2" xfId="11940"/>
    <cellStyle name="Normal 57 12 3 4 2 2" xfId="37495"/>
    <cellStyle name="Normal 57 12 3 4 3" xfId="21944"/>
    <cellStyle name="Normal 57 12 3 4 3 2" xfId="47497"/>
    <cellStyle name="Normal 57 12 3 4 4" xfId="28427"/>
    <cellStyle name="Normal 57 12 3 5" xfId="6448"/>
    <cellStyle name="Normal 57 12 3 5 2" xfId="15275"/>
    <cellStyle name="Normal 57 12 3 5 2 2" xfId="40830"/>
    <cellStyle name="Normal 57 12 3 5 3" xfId="25526"/>
    <cellStyle name="Normal 57 12 3 5 3 2" xfId="51079"/>
    <cellStyle name="Normal 57 12 3 5 4" xfId="32009"/>
    <cellStyle name="Normal 57 12 3 6" xfId="7894"/>
    <cellStyle name="Normal 57 12 3 6 2" xfId="20452"/>
    <cellStyle name="Normal 57 12 3 6 2 2" xfId="46005"/>
    <cellStyle name="Normal 57 12 3 6 3" xfId="33451"/>
    <cellStyle name="Normal 57 12 3 7" xfId="16937"/>
    <cellStyle name="Normal 57 12 3 7 2" xfId="42490"/>
    <cellStyle name="Normal 57 12 3 8" xfId="26935"/>
    <cellStyle name="Normal 57 12 4" xfId="2783"/>
    <cellStyle name="Normal 57 12 4 2" xfId="5161"/>
    <cellStyle name="Normal 57 12 4 2 2" xfId="13998"/>
    <cellStyle name="Normal 57 12 4 2 2 2" xfId="24249"/>
    <cellStyle name="Normal 57 12 4 2 2 2 2" xfId="49802"/>
    <cellStyle name="Normal 57 12 4 2 2 3" xfId="39553"/>
    <cellStyle name="Normal 57 12 4 2 3" xfId="10419"/>
    <cellStyle name="Normal 57 12 4 2 3 2" xfId="35976"/>
    <cellStyle name="Normal 57 12 4 2 4" xfId="19242"/>
    <cellStyle name="Normal 57 12 4 2 4 2" xfId="44795"/>
    <cellStyle name="Normal 57 12 4 2 5" xfId="30732"/>
    <cellStyle name="Normal 57 12 4 3" xfId="6616"/>
    <cellStyle name="Normal 57 12 4 3 2" xfId="15443"/>
    <cellStyle name="Normal 57 12 4 3 2 2" xfId="40998"/>
    <cellStyle name="Normal 57 12 4 3 3" xfId="25694"/>
    <cellStyle name="Normal 57 12 4 3 3 2" xfId="51247"/>
    <cellStyle name="Normal 57 12 4 3 4" xfId="32177"/>
    <cellStyle name="Normal 57 12 4 4" xfId="8062"/>
    <cellStyle name="Normal 57 12 4 4 2" xfId="22144"/>
    <cellStyle name="Normal 57 12 4 4 2 2" xfId="47697"/>
    <cellStyle name="Normal 57 12 4 4 3" xfId="33619"/>
    <cellStyle name="Normal 57 12 4 5" xfId="17137"/>
    <cellStyle name="Normal 57 12 4 5 2" xfId="42690"/>
    <cellStyle name="Normal 57 12 4 6" xfId="28627"/>
    <cellStyle name="Normal 57 12 5" xfId="4115"/>
    <cellStyle name="Normal 57 12 5 2" xfId="12953"/>
    <cellStyle name="Normal 57 12 5 2 2" xfId="23204"/>
    <cellStyle name="Normal 57 12 5 2 2 2" xfId="48757"/>
    <cellStyle name="Normal 57 12 5 2 3" xfId="38508"/>
    <cellStyle name="Normal 57 12 5 3" xfId="9374"/>
    <cellStyle name="Normal 57 12 5 3 2" xfId="34931"/>
    <cellStyle name="Normal 57 12 5 4" xfId="18197"/>
    <cellStyle name="Normal 57 12 5 4 2" xfId="43750"/>
    <cellStyle name="Normal 57 12 5 5" xfId="29687"/>
    <cellStyle name="Normal 57 12 6" xfId="1892"/>
    <cellStyle name="Normal 57 12 6 2" xfId="11257"/>
    <cellStyle name="Normal 57 12 6 2 2" xfId="36812"/>
    <cellStyle name="Normal 57 12 6 3" xfId="21261"/>
    <cellStyle name="Normal 57 12 6 3 2" xfId="46814"/>
    <cellStyle name="Normal 57 12 6 4" xfId="27744"/>
    <cellStyle name="Normal 57 12 7" xfId="5573"/>
    <cellStyle name="Normal 57 12 7 2" xfId="14400"/>
    <cellStyle name="Normal 57 12 7 2 2" xfId="39955"/>
    <cellStyle name="Normal 57 12 7 3" xfId="24651"/>
    <cellStyle name="Normal 57 12 7 3 2" xfId="50204"/>
    <cellStyle name="Normal 57 12 7 4" xfId="31134"/>
    <cellStyle name="Normal 57 12 8" xfId="7017"/>
    <cellStyle name="Normal 57 12 8 2" xfId="19743"/>
    <cellStyle name="Normal 57 12 8 2 2" xfId="45296"/>
    <cellStyle name="Normal 57 12 8 3" xfId="32574"/>
    <cellStyle name="Normal 57 12 9" xfId="16254"/>
    <cellStyle name="Normal 57 12 9 2" xfId="41807"/>
    <cellStyle name="Normal 57 12_Degree data" xfId="3936"/>
    <cellStyle name="Normal 57 13" xfId="827"/>
    <cellStyle name="Normal 57 13 2" xfId="3312"/>
    <cellStyle name="Normal 57 13 2 2" xfId="12454"/>
    <cellStyle name="Normal 57 13 2 2 2" xfId="22673"/>
    <cellStyle name="Normal 57 13 2 2 2 2" xfId="48226"/>
    <cellStyle name="Normal 57 13 2 2 3" xfId="38009"/>
    <cellStyle name="Normal 57 13 2 3" xfId="8876"/>
    <cellStyle name="Normal 57 13 2 3 2" xfId="34433"/>
    <cellStyle name="Normal 57 13 2 4" xfId="17666"/>
    <cellStyle name="Normal 57 13 2 4 2" xfId="43219"/>
    <cellStyle name="Normal 57 13 2 5" xfId="29156"/>
    <cellStyle name="Normal 57 13 3" xfId="4641"/>
    <cellStyle name="Normal 57 13 3 2" xfId="13479"/>
    <cellStyle name="Normal 57 13 3 2 2" xfId="23730"/>
    <cellStyle name="Normal 57 13 3 2 2 2" xfId="49283"/>
    <cellStyle name="Normal 57 13 3 2 3" xfId="39034"/>
    <cellStyle name="Normal 57 13 3 3" xfId="9900"/>
    <cellStyle name="Normal 57 13 3 3 2" xfId="35457"/>
    <cellStyle name="Normal 57 13 3 4" xfId="18723"/>
    <cellStyle name="Normal 57 13 3 4 2" xfId="44276"/>
    <cellStyle name="Normal 57 13 3 5" xfId="30213"/>
    <cellStyle name="Normal 57 13 4" xfId="2421"/>
    <cellStyle name="Normal 57 13 4 2" xfId="11786"/>
    <cellStyle name="Normal 57 13 4 2 2" xfId="37341"/>
    <cellStyle name="Normal 57 13 4 3" xfId="21790"/>
    <cellStyle name="Normal 57 13 4 3 2" xfId="47343"/>
    <cellStyle name="Normal 57 13 4 4" xfId="28273"/>
    <cellStyle name="Normal 57 13 5" xfId="6097"/>
    <cellStyle name="Normal 57 13 5 2" xfId="14924"/>
    <cellStyle name="Normal 57 13 5 2 2" xfId="40479"/>
    <cellStyle name="Normal 57 13 5 3" xfId="25175"/>
    <cellStyle name="Normal 57 13 5 3 2" xfId="50728"/>
    <cellStyle name="Normal 57 13 5 4" xfId="31658"/>
    <cellStyle name="Normal 57 13 6" xfId="7542"/>
    <cellStyle name="Normal 57 13 6 2" xfId="20272"/>
    <cellStyle name="Normal 57 13 6 2 2" xfId="45825"/>
    <cellStyle name="Normal 57 13 6 3" xfId="33099"/>
    <cellStyle name="Normal 57 13 7" xfId="16783"/>
    <cellStyle name="Normal 57 13 7 2" xfId="42336"/>
    <cellStyle name="Normal 57 13 8" xfId="26755"/>
    <cellStyle name="Normal 57 14" xfId="1039"/>
    <cellStyle name="Normal 57 14 2" xfId="3468"/>
    <cellStyle name="Normal 57 14 2 2" xfId="12604"/>
    <cellStyle name="Normal 57 14 2 2 2" xfId="22823"/>
    <cellStyle name="Normal 57 14 2 2 2 2" xfId="48376"/>
    <cellStyle name="Normal 57 14 2 2 3" xfId="38159"/>
    <cellStyle name="Normal 57 14 2 3" xfId="9026"/>
    <cellStyle name="Normal 57 14 2 3 2" xfId="34583"/>
    <cellStyle name="Normal 57 14 2 4" xfId="17816"/>
    <cellStyle name="Normal 57 14 2 4 2" xfId="43369"/>
    <cellStyle name="Normal 57 14 2 5" xfId="29306"/>
    <cellStyle name="Normal 57 14 3" xfId="4990"/>
    <cellStyle name="Normal 57 14 3 2" xfId="13827"/>
    <cellStyle name="Normal 57 14 3 2 2" xfId="24078"/>
    <cellStyle name="Normal 57 14 3 2 2 2" xfId="49631"/>
    <cellStyle name="Normal 57 14 3 2 3" xfId="39382"/>
    <cellStyle name="Normal 57 14 3 3" xfId="10248"/>
    <cellStyle name="Normal 57 14 3 3 2" xfId="35805"/>
    <cellStyle name="Normal 57 14 3 4" xfId="19071"/>
    <cellStyle name="Normal 57 14 3 4 2" xfId="44624"/>
    <cellStyle name="Normal 57 14 3 5" xfId="30561"/>
    <cellStyle name="Normal 57 14 4" xfId="1706"/>
    <cellStyle name="Normal 57 14 4 2" xfId="11083"/>
    <cellStyle name="Normal 57 14 4 2 2" xfId="36638"/>
    <cellStyle name="Normal 57 14 4 3" xfId="21087"/>
    <cellStyle name="Normal 57 14 4 3 2" xfId="46640"/>
    <cellStyle name="Normal 57 14 4 4" xfId="27570"/>
    <cellStyle name="Normal 57 14 5" xfId="6445"/>
    <cellStyle name="Normal 57 14 5 2" xfId="15272"/>
    <cellStyle name="Normal 57 14 5 2 2" xfId="40827"/>
    <cellStyle name="Normal 57 14 5 3" xfId="25523"/>
    <cellStyle name="Normal 57 14 5 3 2" xfId="51076"/>
    <cellStyle name="Normal 57 14 5 4" xfId="32006"/>
    <cellStyle name="Normal 57 14 6" xfId="7891"/>
    <cellStyle name="Normal 57 14 6 2" xfId="20422"/>
    <cellStyle name="Normal 57 14 6 2 2" xfId="45975"/>
    <cellStyle name="Normal 57 14 6 3" xfId="33448"/>
    <cellStyle name="Normal 57 14 7" xfId="16080"/>
    <cellStyle name="Normal 57 14 7 2" xfId="41633"/>
    <cellStyle name="Normal 57 14 8" xfId="26905"/>
    <cellStyle name="Normal 57 15" xfId="2606"/>
    <cellStyle name="Normal 57 15 2" xfId="5131"/>
    <cellStyle name="Normal 57 15 2 2" xfId="13968"/>
    <cellStyle name="Normal 57 15 2 2 2" xfId="24219"/>
    <cellStyle name="Normal 57 15 2 2 2 2" xfId="49772"/>
    <cellStyle name="Normal 57 15 2 2 3" xfId="39523"/>
    <cellStyle name="Normal 57 15 2 3" xfId="10389"/>
    <cellStyle name="Normal 57 15 2 3 2" xfId="35946"/>
    <cellStyle name="Normal 57 15 2 4" xfId="19212"/>
    <cellStyle name="Normal 57 15 2 4 2" xfId="44765"/>
    <cellStyle name="Normal 57 15 2 5" xfId="30702"/>
    <cellStyle name="Normal 57 15 3" xfId="6586"/>
    <cellStyle name="Normal 57 15 3 2" xfId="15413"/>
    <cellStyle name="Normal 57 15 3 2 2" xfId="40968"/>
    <cellStyle name="Normal 57 15 3 3" xfId="25664"/>
    <cellStyle name="Normal 57 15 3 3 2" xfId="51217"/>
    <cellStyle name="Normal 57 15 3 4" xfId="32147"/>
    <cellStyle name="Normal 57 15 4" xfId="8032"/>
    <cellStyle name="Normal 57 15 4 2" xfId="21971"/>
    <cellStyle name="Normal 57 15 4 2 2" xfId="47524"/>
    <cellStyle name="Normal 57 15 4 3" xfId="33589"/>
    <cellStyle name="Normal 57 15 5" xfId="16964"/>
    <cellStyle name="Normal 57 15 5 2" xfId="42517"/>
    <cellStyle name="Normal 57 15 6" xfId="28454"/>
    <cellStyle name="Normal 57 16" xfId="4084"/>
    <cellStyle name="Normal 57 16 2" xfId="5543"/>
    <cellStyle name="Normal 57 16 2 2" xfId="14370"/>
    <cellStyle name="Normal 57 16 2 2 2" xfId="39925"/>
    <cellStyle name="Normal 57 16 2 3" xfId="24621"/>
    <cellStyle name="Normal 57 16 2 3 2" xfId="50174"/>
    <cellStyle name="Normal 57 16 2 4" xfId="31104"/>
    <cellStyle name="Normal 57 16 3" xfId="6987"/>
    <cellStyle name="Normal 57 16 3 2" xfId="23173"/>
    <cellStyle name="Normal 57 16 3 2 2" xfId="48726"/>
    <cellStyle name="Normal 57 16 3 3" xfId="32544"/>
    <cellStyle name="Normal 57 16 4" xfId="18166"/>
    <cellStyle name="Normal 57 16 4 2" xfId="43719"/>
    <cellStyle name="Normal 57 16 5" xfId="29656"/>
    <cellStyle name="Normal 57 17" xfId="1389"/>
    <cellStyle name="Normal 57 17 2" xfId="10766"/>
    <cellStyle name="Normal 57 17 2 2" xfId="36321"/>
    <cellStyle name="Normal 57 17 3" xfId="20770"/>
    <cellStyle name="Normal 57 17 3 2" xfId="46323"/>
    <cellStyle name="Normal 57 17 4" xfId="27253"/>
    <cellStyle name="Normal 57 18" xfId="5500"/>
    <cellStyle name="Normal 57 18 2" xfId="14327"/>
    <cellStyle name="Normal 57 18 2 2" xfId="39882"/>
    <cellStyle name="Normal 57 18 3" xfId="24578"/>
    <cellStyle name="Normal 57 18 3 2" xfId="50131"/>
    <cellStyle name="Normal 57 18 4" xfId="31061"/>
    <cellStyle name="Normal 57 19" xfId="6938"/>
    <cellStyle name="Normal 57 19 2" xfId="19571"/>
    <cellStyle name="Normal 57 19 2 2" xfId="45124"/>
    <cellStyle name="Normal 57 19 3" xfId="32496"/>
    <cellStyle name="Normal 57 2" xfId="38"/>
    <cellStyle name="Normal 57 20" xfId="15763"/>
    <cellStyle name="Normal 57 20 2" xfId="41316"/>
    <cellStyle name="Normal 57 21" xfId="26054"/>
    <cellStyle name="Normal 57 3" xfId="111"/>
    <cellStyle name="Normal 57 3 10" xfId="2621"/>
    <cellStyle name="Normal 57 3 10 2" xfId="5135"/>
    <cellStyle name="Normal 57 3 10 2 2" xfId="13972"/>
    <cellStyle name="Normal 57 3 10 2 2 2" xfId="24223"/>
    <cellStyle name="Normal 57 3 10 2 2 2 2" xfId="49776"/>
    <cellStyle name="Normal 57 3 10 2 2 3" xfId="39527"/>
    <cellStyle name="Normal 57 3 10 2 3" xfId="10393"/>
    <cellStyle name="Normal 57 3 10 2 3 2" xfId="35950"/>
    <cellStyle name="Normal 57 3 10 2 4" xfId="19216"/>
    <cellStyle name="Normal 57 3 10 2 4 2" xfId="44769"/>
    <cellStyle name="Normal 57 3 10 2 5" xfId="30706"/>
    <cellStyle name="Normal 57 3 10 3" xfId="6590"/>
    <cellStyle name="Normal 57 3 10 3 2" xfId="15417"/>
    <cellStyle name="Normal 57 3 10 3 2 2" xfId="40972"/>
    <cellStyle name="Normal 57 3 10 3 3" xfId="25668"/>
    <cellStyle name="Normal 57 3 10 3 3 2" xfId="51221"/>
    <cellStyle name="Normal 57 3 10 3 4" xfId="32151"/>
    <cellStyle name="Normal 57 3 10 4" xfId="8036"/>
    <cellStyle name="Normal 57 3 10 4 2" xfId="21984"/>
    <cellStyle name="Normal 57 3 10 4 2 2" xfId="47537"/>
    <cellStyle name="Normal 57 3 10 4 3" xfId="33593"/>
    <cellStyle name="Normal 57 3 10 5" xfId="16977"/>
    <cellStyle name="Normal 57 3 10 5 2" xfId="42530"/>
    <cellStyle name="Normal 57 3 10 6" xfId="28467"/>
    <cellStyle name="Normal 57 3 11" xfId="4088"/>
    <cellStyle name="Normal 57 3 11 2" xfId="5547"/>
    <cellStyle name="Normal 57 3 11 2 2" xfId="14374"/>
    <cellStyle name="Normal 57 3 11 2 2 2" xfId="39929"/>
    <cellStyle name="Normal 57 3 11 2 3" xfId="24625"/>
    <cellStyle name="Normal 57 3 11 2 3 2" xfId="50178"/>
    <cellStyle name="Normal 57 3 11 2 4" xfId="31108"/>
    <cellStyle name="Normal 57 3 11 3" xfId="6991"/>
    <cellStyle name="Normal 57 3 11 3 2" xfId="23177"/>
    <cellStyle name="Normal 57 3 11 3 2 2" xfId="48730"/>
    <cellStyle name="Normal 57 3 11 3 3" xfId="32548"/>
    <cellStyle name="Normal 57 3 11 4" xfId="18170"/>
    <cellStyle name="Normal 57 3 11 4 2" xfId="43723"/>
    <cellStyle name="Normal 57 3 11 5" xfId="29660"/>
    <cellStyle name="Normal 57 3 12" xfId="1395"/>
    <cellStyle name="Normal 57 3 12 2" xfId="10772"/>
    <cellStyle name="Normal 57 3 12 2 2" xfId="36327"/>
    <cellStyle name="Normal 57 3 12 3" xfId="20776"/>
    <cellStyle name="Normal 57 3 12 3 2" xfId="46329"/>
    <cellStyle name="Normal 57 3 12 4" xfId="27259"/>
    <cellStyle name="Normal 57 3 13" xfId="5507"/>
    <cellStyle name="Normal 57 3 13 2" xfId="14334"/>
    <cellStyle name="Normal 57 3 13 2 2" xfId="39889"/>
    <cellStyle name="Normal 57 3 13 3" xfId="24585"/>
    <cellStyle name="Normal 57 3 13 3 2" xfId="50138"/>
    <cellStyle name="Normal 57 3 13 4" xfId="31068"/>
    <cellStyle name="Normal 57 3 14" xfId="6946"/>
    <cellStyle name="Normal 57 3 14 2" xfId="19584"/>
    <cellStyle name="Normal 57 3 14 2 2" xfId="45137"/>
    <cellStyle name="Normal 57 3 14 3" xfId="32504"/>
    <cellStyle name="Normal 57 3 15" xfId="15769"/>
    <cellStyle name="Normal 57 3 15 2" xfId="41322"/>
    <cellStyle name="Normal 57 3 16" xfId="26067"/>
    <cellStyle name="Normal 57 3 2" xfId="155"/>
    <cellStyle name="Normal 57 3 2 10" xfId="1420"/>
    <cellStyle name="Normal 57 3 2 10 2" xfId="10797"/>
    <cellStyle name="Normal 57 3 2 10 2 2" xfId="36352"/>
    <cellStyle name="Normal 57 3 2 10 3" xfId="20801"/>
    <cellStyle name="Normal 57 3 2 10 3 2" xfId="46354"/>
    <cellStyle name="Normal 57 3 2 10 4" xfId="27284"/>
    <cellStyle name="Normal 57 3 2 11" xfId="5529"/>
    <cellStyle name="Normal 57 3 2 11 2" xfId="14356"/>
    <cellStyle name="Normal 57 3 2 11 2 2" xfId="39911"/>
    <cellStyle name="Normal 57 3 2 11 3" xfId="24607"/>
    <cellStyle name="Normal 57 3 2 11 3 2" xfId="50160"/>
    <cellStyle name="Normal 57 3 2 11 4" xfId="31090"/>
    <cellStyle name="Normal 57 3 2 12" xfId="6973"/>
    <cellStyle name="Normal 57 3 2 12 2" xfId="19614"/>
    <cellStyle name="Normal 57 3 2 12 2 2" xfId="45167"/>
    <cellStyle name="Normal 57 3 2 12 3" xfId="32530"/>
    <cellStyle name="Normal 57 3 2 13" xfId="15794"/>
    <cellStyle name="Normal 57 3 2 13 2" xfId="41347"/>
    <cellStyle name="Normal 57 3 2 14" xfId="26097"/>
    <cellStyle name="Normal 57 3 2 2" xfId="202"/>
    <cellStyle name="Normal 57 3 2 2 10" xfId="7148"/>
    <cellStyle name="Normal 57 3 2 2 10 2" xfId="19657"/>
    <cellStyle name="Normal 57 3 2 2 10 2 2" xfId="45210"/>
    <cellStyle name="Normal 57 3 2 2 10 3" xfId="32705"/>
    <cellStyle name="Normal 57 3 2 2 11" xfId="15894"/>
    <cellStyle name="Normal 57 3 2 2 11 2" xfId="41447"/>
    <cellStyle name="Normal 57 3 2 2 12" xfId="26140"/>
    <cellStyle name="Normal 57 3 2 2 2" xfId="528"/>
    <cellStyle name="Normal 57 3 2 2 2 10" xfId="26457"/>
    <cellStyle name="Normal 57 3 2 2 2 2" xfId="834"/>
    <cellStyle name="Normal 57 3 2 2 2 2 2" xfId="3319"/>
    <cellStyle name="Normal 57 3 2 2 2 2 2 2" xfId="12461"/>
    <cellStyle name="Normal 57 3 2 2 2 2 2 2 2" xfId="22680"/>
    <cellStyle name="Normal 57 3 2 2 2 2 2 2 2 2" xfId="48233"/>
    <cellStyle name="Normal 57 3 2 2 2 2 2 2 3" xfId="38016"/>
    <cellStyle name="Normal 57 3 2 2 2 2 2 3" xfId="8883"/>
    <cellStyle name="Normal 57 3 2 2 2 2 2 3 2" xfId="34440"/>
    <cellStyle name="Normal 57 3 2 2 2 2 2 4" xfId="17673"/>
    <cellStyle name="Normal 57 3 2 2 2 2 2 4 2" xfId="43226"/>
    <cellStyle name="Normal 57 3 2 2 2 2 2 5" xfId="29163"/>
    <cellStyle name="Normal 57 3 2 2 2 2 3" xfId="4648"/>
    <cellStyle name="Normal 57 3 2 2 2 2 3 2" xfId="13486"/>
    <cellStyle name="Normal 57 3 2 2 2 2 3 2 2" xfId="23737"/>
    <cellStyle name="Normal 57 3 2 2 2 2 3 2 2 2" xfId="49290"/>
    <cellStyle name="Normal 57 3 2 2 2 2 3 2 3" xfId="39041"/>
    <cellStyle name="Normal 57 3 2 2 2 2 3 3" xfId="9907"/>
    <cellStyle name="Normal 57 3 2 2 2 2 3 3 2" xfId="35464"/>
    <cellStyle name="Normal 57 3 2 2 2 2 3 4" xfId="18730"/>
    <cellStyle name="Normal 57 3 2 2 2 2 3 4 2" xfId="44283"/>
    <cellStyle name="Normal 57 3 2 2 2 2 3 5" xfId="30220"/>
    <cellStyle name="Normal 57 3 2 2 2 2 4" xfId="2428"/>
    <cellStyle name="Normal 57 3 2 2 2 2 4 2" xfId="11793"/>
    <cellStyle name="Normal 57 3 2 2 2 2 4 2 2" xfId="37348"/>
    <cellStyle name="Normal 57 3 2 2 2 2 4 3" xfId="21797"/>
    <cellStyle name="Normal 57 3 2 2 2 2 4 3 2" xfId="47350"/>
    <cellStyle name="Normal 57 3 2 2 2 2 4 4" xfId="28280"/>
    <cellStyle name="Normal 57 3 2 2 2 2 5" xfId="6104"/>
    <cellStyle name="Normal 57 3 2 2 2 2 5 2" xfId="14931"/>
    <cellStyle name="Normal 57 3 2 2 2 2 5 2 2" xfId="40486"/>
    <cellStyle name="Normal 57 3 2 2 2 2 5 3" xfId="25182"/>
    <cellStyle name="Normal 57 3 2 2 2 2 5 3 2" xfId="50735"/>
    <cellStyle name="Normal 57 3 2 2 2 2 5 4" xfId="31665"/>
    <cellStyle name="Normal 57 3 2 2 2 2 6" xfId="7549"/>
    <cellStyle name="Normal 57 3 2 2 2 2 6 2" xfId="20279"/>
    <cellStyle name="Normal 57 3 2 2 2 2 6 2 2" xfId="45832"/>
    <cellStyle name="Normal 57 3 2 2 2 2 6 3" xfId="33106"/>
    <cellStyle name="Normal 57 3 2 2 2 2 7" xfId="16790"/>
    <cellStyle name="Normal 57 3 2 2 2 2 7 2" xfId="42343"/>
    <cellStyle name="Normal 57 3 2 2 2 2 8" xfId="26762"/>
    <cellStyle name="Normal 57 3 2 2 2 3" xfId="1300"/>
    <cellStyle name="Normal 57 3 2 2 2 3 2" xfId="3729"/>
    <cellStyle name="Normal 57 3 2 2 2 3 2 2" xfId="12865"/>
    <cellStyle name="Normal 57 3 2 2 2 3 2 2 2" xfId="23084"/>
    <cellStyle name="Normal 57 3 2 2 2 3 2 2 2 2" xfId="48637"/>
    <cellStyle name="Normal 57 3 2 2 2 3 2 2 3" xfId="38420"/>
    <cellStyle name="Normal 57 3 2 2 2 3 2 3" xfId="9286"/>
    <cellStyle name="Normal 57 3 2 2 2 3 2 3 2" xfId="34843"/>
    <cellStyle name="Normal 57 3 2 2 2 3 2 4" xfId="18077"/>
    <cellStyle name="Normal 57 3 2 2 2 3 2 4 2" xfId="43630"/>
    <cellStyle name="Normal 57 3 2 2 2 3 2 5" xfId="29567"/>
    <cellStyle name="Normal 57 3 2 2 2 3 3" xfId="4997"/>
    <cellStyle name="Normal 57 3 2 2 2 3 3 2" xfId="13834"/>
    <cellStyle name="Normal 57 3 2 2 2 3 3 2 2" xfId="24085"/>
    <cellStyle name="Normal 57 3 2 2 2 3 3 2 2 2" xfId="49638"/>
    <cellStyle name="Normal 57 3 2 2 2 3 3 2 3" xfId="39389"/>
    <cellStyle name="Normal 57 3 2 2 2 3 3 3" xfId="10255"/>
    <cellStyle name="Normal 57 3 2 2 2 3 3 3 2" xfId="35812"/>
    <cellStyle name="Normal 57 3 2 2 2 3 3 4" xfId="19078"/>
    <cellStyle name="Normal 57 3 2 2 2 3 3 4 2" xfId="44631"/>
    <cellStyle name="Normal 57 3 2 2 2 3 3 5" xfId="30568"/>
    <cellStyle name="Normal 57 3 2 2 2 3 4" xfId="2123"/>
    <cellStyle name="Normal 57 3 2 2 2 3 4 2" xfId="11488"/>
    <cellStyle name="Normal 57 3 2 2 2 3 4 2 2" xfId="37043"/>
    <cellStyle name="Normal 57 3 2 2 2 3 4 3" xfId="21492"/>
    <cellStyle name="Normal 57 3 2 2 2 3 4 3 2" xfId="47045"/>
    <cellStyle name="Normal 57 3 2 2 2 3 4 4" xfId="27975"/>
    <cellStyle name="Normal 57 3 2 2 2 3 5" xfId="6452"/>
    <cellStyle name="Normal 57 3 2 2 2 3 5 2" xfId="15279"/>
    <cellStyle name="Normal 57 3 2 2 2 3 5 2 2" xfId="40834"/>
    <cellStyle name="Normal 57 3 2 2 2 3 5 3" xfId="25530"/>
    <cellStyle name="Normal 57 3 2 2 2 3 5 3 2" xfId="51083"/>
    <cellStyle name="Normal 57 3 2 2 2 3 5 4" xfId="32013"/>
    <cellStyle name="Normal 57 3 2 2 2 3 6" xfId="7898"/>
    <cellStyle name="Normal 57 3 2 2 2 3 6 2" xfId="20683"/>
    <cellStyle name="Normal 57 3 2 2 2 3 6 2 2" xfId="46236"/>
    <cellStyle name="Normal 57 3 2 2 2 3 6 3" xfId="33455"/>
    <cellStyle name="Normal 57 3 2 2 2 3 7" xfId="16485"/>
    <cellStyle name="Normal 57 3 2 2 2 3 7 2" xfId="42038"/>
    <cellStyle name="Normal 57 3 2 2 2 3 8" xfId="27166"/>
    <cellStyle name="Normal 57 3 2 2 2 4" xfId="3014"/>
    <cellStyle name="Normal 57 3 2 2 2 4 2" xfId="5392"/>
    <cellStyle name="Normal 57 3 2 2 2 4 2 2" xfId="14229"/>
    <cellStyle name="Normal 57 3 2 2 2 4 2 2 2" xfId="24480"/>
    <cellStyle name="Normal 57 3 2 2 2 4 2 2 2 2" xfId="50033"/>
    <cellStyle name="Normal 57 3 2 2 2 4 2 2 3" xfId="39784"/>
    <cellStyle name="Normal 57 3 2 2 2 4 2 3" xfId="10650"/>
    <cellStyle name="Normal 57 3 2 2 2 4 2 3 2" xfId="36207"/>
    <cellStyle name="Normal 57 3 2 2 2 4 2 4" xfId="19473"/>
    <cellStyle name="Normal 57 3 2 2 2 4 2 4 2" xfId="45026"/>
    <cellStyle name="Normal 57 3 2 2 2 4 2 5" xfId="30963"/>
    <cellStyle name="Normal 57 3 2 2 2 4 3" xfId="6847"/>
    <cellStyle name="Normal 57 3 2 2 2 4 3 2" xfId="15674"/>
    <cellStyle name="Normal 57 3 2 2 2 4 3 2 2" xfId="41229"/>
    <cellStyle name="Normal 57 3 2 2 2 4 3 3" xfId="25925"/>
    <cellStyle name="Normal 57 3 2 2 2 4 3 3 2" xfId="51478"/>
    <cellStyle name="Normal 57 3 2 2 2 4 3 4" xfId="32408"/>
    <cellStyle name="Normal 57 3 2 2 2 4 4" xfId="8293"/>
    <cellStyle name="Normal 57 3 2 2 2 4 4 2" xfId="22375"/>
    <cellStyle name="Normal 57 3 2 2 2 4 4 2 2" xfId="47928"/>
    <cellStyle name="Normal 57 3 2 2 2 4 4 3" xfId="33850"/>
    <cellStyle name="Normal 57 3 2 2 2 4 5" xfId="17368"/>
    <cellStyle name="Normal 57 3 2 2 2 4 5 2" xfId="42921"/>
    <cellStyle name="Normal 57 3 2 2 2 4 6" xfId="28858"/>
    <cellStyle name="Normal 57 3 2 2 2 5" xfId="4348"/>
    <cellStyle name="Normal 57 3 2 2 2 5 2" xfId="13186"/>
    <cellStyle name="Normal 57 3 2 2 2 5 2 2" xfId="23437"/>
    <cellStyle name="Normal 57 3 2 2 2 5 2 2 2" xfId="48990"/>
    <cellStyle name="Normal 57 3 2 2 2 5 2 3" xfId="38741"/>
    <cellStyle name="Normal 57 3 2 2 2 5 3" xfId="9607"/>
    <cellStyle name="Normal 57 3 2 2 2 5 3 2" xfId="35164"/>
    <cellStyle name="Normal 57 3 2 2 2 5 4" xfId="18430"/>
    <cellStyle name="Normal 57 3 2 2 2 5 4 2" xfId="43983"/>
    <cellStyle name="Normal 57 3 2 2 2 5 5" xfId="29920"/>
    <cellStyle name="Normal 57 3 2 2 2 6" xfId="1620"/>
    <cellStyle name="Normal 57 3 2 2 2 6 2" xfId="10997"/>
    <cellStyle name="Normal 57 3 2 2 2 6 2 2" xfId="36552"/>
    <cellStyle name="Normal 57 3 2 2 2 6 3" xfId="21001"/>
    <cellStyle name="Normal 57 3 2 2 2 6 3 2" xfId="46554"/>
    <cellStyle name="Normal 57 3 2 2 2 6 4" xfId="27484"/>
    <cellStyle name="Normal 57 3 2 2 2 7" xfId="5804"/>
    <cellStyle name="Normal 57 3 2 2 2 7 2" xfId="14631"/>
    <cellStyle name="Normal 57 3 2 2 2 7 2 2" xfId="40186"/>
    <cellStyle name="Normal 57 3 2 2 2 7 3" xfId="24882"/>
    <cellStyle name="Normal 57 3 2 2 2 7 3 2" xfId="50435"/>
    <cellStyle name="Normal 57 3 2 2 2 7 4" xfId="31365"/>
    <cellStyle name="Normal 57 3 2 2 2 8" xfId="7248"/>
    <cellStyle name="Normal 57 3 2 2 2 8 2" xfId="19974"/>
    <cellStyle name="Normal 57 3 2 2 2 8 2 2" xfId="45527"/>
    <cellStyle name="Normal 57 3 2 2 2 8 3" xfId="32805"/>
    <cellStyle name="Normal 57 3 2 2 2 9" xfId="15994"/>
    <cellStyle name="Normal 57 3 2 2 2 9 2" xfId="41547"/>
    <cellStyle name="Normal 57 3 2 2 2_Degree data" xfId="3940"/>
    <cellStyle name="Normal 57 3 2 2 3" xfId="428"/>
    <cellStyle name="Normal 57 3 2 2 3 2" xfId="2914"/>
    <cellStyle name="Normal 57 3 2 2 3 2 2" xfId="12202"/>
    <cellStyle name="Normal 57 3 2 2 3 2 2 2" xfId="22275"/>
    <cellStyle name="Normal 57 3 2 2 3 2 2 2 2" xfId="47828"/>
    <cellStyle name="Normal 57 3 2 2 3 2 2 3" xfId="37757"/>
    <cellStyle name="Normal 57 3 2 2 3 2 3" xfId="8450"/>
    <cellStyle name="Normal 57 3 2 2 3 2 3 2" xfId="34007"/>
    <cellStyle name="Normal 57 3 2 2 3 2 4" xfId="17268"/>
    <cellStyle name="Normal 57 3 2 2 3 2 4 2" xfId="42821"/>
    <cellStyle name="Normal 57 3 2 2 3 2 5" xfId="28758"/>
    <cellStyle name="Normal 57 3 2 2 3 3" xfId="4647"/>
    <cellStyle name="Normal 57 3 2 2 3 3 2" xfId="13485"/>
    <cellStyle name="Normal 57 3 2 2 3 3 2 2" xfId="23736"/>
    <cellStyle name="Normal 57 3 2 2 3 3 2 2 2" xfId="49289"/>
    <cellStyle name="Normal 57 3 2 2 3 3 2 3" xfId="39040"/>
    <cellStyle name="Normal 57 3 2 2 3 3 3" xfId="9906"/>
    <cellStyle name="Normal 57 3 2 2 3 3 3 2" xfId="35463"/>
    <cellStyle name="Normal 57 3 2 2 3 3 4" xfId="18729"/>
    <cellStyle name="Normal 57 3 2 2 3 3 4 2" xfId="44282"/>
    <cellStyle name="Normal 57 3 2 2 3 3 5" xfId="30219"/>
    <cellStyle name="Normal 57 3 2 2 3 4" xfId="2023"/>
    <cellStyle name="Normal 57 3 2 2 3 4 2" xfId="11388"/>
    <cellStyle name="Normal 57 3 2 2 3 4 2 2" xfId="36943"/>
    <cellStyle name="Normal 57 3 2 2 3 4 3" xfId="21392"/>
    <cellStyle name="Normal 57 3 2 2 3 4 3 2" xfId="46945"/>
    <cellStyle name="Normal 57 3 2 2 3 4 4" xfId="27875"/>
    <cellStyle name="Normal 57 3 2 2 3 5" xfId="6103"/>
    <cellStyle name="Normal 57 3 2 2 3 5 2" xfId="14930"/>
    <cellStyle name="Normal 57 3 2 2 3 5 2 2" xfId="40485"/>
    <cellStyle name="Normal 57 3 2 2 3 5 3" xfId="25181"/>
    <cellStyle name="Normal 57 3 2 2 3 5 3 2" xfId="50734"/>
    <cellStyle name="Normal 57 3 2 2 3 5 4" xfId="31664"/>
    <cellStyle name="Normal 57 3 2 2 3 6" xfId="7548"/>
    <cellStyle name="Normal 57 3 2 2 3 6 2" xfId="19874"/>
    <cellStyle name="Normal 57 3 2 2 3 6 2 2" xfId="45427"/>
    <cellStyle name="Normal 57 3 2 2 3 6 3" xfId="33105"/>
    <cellStyle name="Normal 57 3 2 2 3 7" xfId="16385"/>
    <cellStyle name="Normal 57 3 2 2 3 7 2" xfId="41938"/>
    <cellStyle name="Normal 57 3 2 2 3 8" xfId="26357"/>
    <cellStyle name="Normal 57 3 2 2 4" xfId="833"/>
    <cellStyle name="Normal 57 3 2 2 4 2" xfId="3318"/>
    <cellStyle name="Normal 57 3 2 2 4 2 2" xfId="12460"/>
    <cellStyle name="Normal 57 3 2 2 4 2 2 2" xfId="22679"/>
    <cellStyle name="Normal 57 3 2 2 4 2 2 2 2" xfId="48232"/>
    <cellStyle name="Normal 57 3 2 2 4 2 2 3" xfId="38015"/>
    <cellStyle name="Normal 57 3 2 2 4 2 3" xfId="8882"/>
    <cellStyle name="Normal 57 3 2 2 4 2 3 2" xfId="34439"/>
    <cellStyle name="Normal 57 3 2 2 4 2 4" xfId="17672"/>
    <cellStyle name="Normal 57 3 2 2 4 2 4 2" xfId="43225"/>
    <cellStyle name="Normal 57 3 2 2 4 2 5" xfId="29162"/>
    <cellStyle name="Normal 57 3 2 2 4 3" xfId="4996"/>
    <cellStyle name="Normal 57 3 2 2 4 3 2" xfId="13833"/>
    <cellStyle name="Normal 57 3 2 2 4 3 2 2" xfId="24084"/>
    <cellStyle name="Normal 57 3 2 2 4 3 2 2 2" xfId="49637"/>
    <cellStyle name="Normal 57 3 2 2 4 3 2 3" xfId="39388"/>
    <cellStyle name="Normal 57 3 2 2 4 3 3" xfId="10254"/>
    <cellStyle name="Normal 57 3 2 2 4 3 3 2" xfId="35811"/>
    <cellStyle name="Normal 57 3 2 2 4 3 4" xfId="19077"/>
    <cellStyle name="Normal 57 3 2 2 4 3 4 2" xfId="44630"/>
    <cellStyle name="Normal 57 3 2 2 4 3 5" xfId="30567"/>
    <cellStyle name="Normal 57 3 2 2 4 4" xfId="2427"/>
    <cellStyle name="Normal 57 3 2 2 4 4 2" xfId="11792"/>
    <cellStyle name="Normal 57 3 2 2 4 4 2 2" xfId="37347"/>
    <cellStyle name="Normal 57 3 2 2 4 4 3" xfId="21796"/>
    <cellStyle name="Normal 57 3 2 2 4 4 3 2" xfId="47349"/>
    <cellStyle name="Normal 57 3 2 2 4 4 4" xfId="28279"/>
    <cellStyle name="Normal 57 3 2 2 4 5" xfId="6451"/>
    <cellStyle name="Normal 57 3 2 2 4 5 2" xfId="15278"/>
    <cellStyle name="Normal 57 3 2 2 4 5 2 2" xfId="40833"/>
    <cellStyle name="Normal 57 3 2 2 4 5 3" xfId="25529"/>
    <cellStyle name="Normal 57 3 2 2 4 5 3 2" xfId="51082"/>
    <cellStyle name="Normal 57 3 2 2 4 5 4" xfId="32012"/>
    <cellStyle name="Normal 57 3 2 2 4 6" xfId="7897"/>
    <cellStyle name="Normal 57 3 2 2 4 6 2" xfId="20278"/>
    <cellStyle name="Normal 57 3 2 2 4 6 2 2" xfId="45831"/>
    <cellStyle name="Normal 57 3 2 2 4 6 3" xfId="33454"/>
    <cellStyle name="Normal 57 3 2 2 4 7" xfId="16789"/>
    <cellStyle name="Normal 57 3 2 2 4 7 2" xfId="42342"/>
    <cellStyle name="Normal 57 3 2 2 4 8" xfId="26761"/>
    <cellStyle name="Normal 57 3 2 2 5" xfId="1200"/>
    <cellStyle name="Normal 57 3 2 2 5 2" xfId="3629"/>
    <cellStyle name="Normal 57 3 2 2 5 2 2" xfId="12765"/>
    <cellStyle name="Normal 57 3 2 2 5 2 2 2" xfId="22984"/>
    <cellStyle name="Normal 57 3 2 2 5 2 2 2 2" xfId="48537"/>
    <cellStyle name="Normal 57 3 2 2 5 2 2 3" xfId="38320"/>
    <cellStyle name="Normal 57 3 2 2 5 2 3" xfId="9186"/>
    <cellStyle name="Normal 57 3 2 2 5 2 3 2" xfId="34743"/>
    <cellStyle name="Normal 57 3 2 2 5 2 4" xfId="17977"/>
    <cellStyle name="Normal 57 3 2 2 5 2 4 2" xfId="43530"/>
    <cellStyle name="Normal 57 3 2 2 5 2 5" xfId="29467"/>
    <cellStyle name="Normal 57 3 2 2 5 3" xfId="5292"/>
    <cellStyle name="Normal 57 3 2 2 5 3 2" xfId="14129"/>
    <cellStyle name="Normal 57 3 2 2 5 3 2 2" xfId="24380"/>
    <cellStyle name="Normal 57 3 2 2 5 3 2 2 2" xfId="49933"/>
    <cellStyle name="Normal 57 3 2 2 5 3 2 3" xfId="39684"/>
    <cellStyle name="Normal 57 3 2 2 5 3 3" xfId="10550"/>
    <cellStyle name="Normal 57 3 2 2 5 3 3 2" xfId="36107"/>
    <cellStyle name="Normal 57 3 2 2 5 3 4" xfId="19373"/>
    <cellStyle name="Normal 57 3 2 2 5 3 4 2" xfId="44926"/>
    <cellStyle name="Normal 57 3 2 2 5 3 5" xfId="30863"/>
    <cellStyle name="Normal 57 3 2 2 5 4" xfId="1803"/>
    <cellStyle name="Normal 57 3 2 2 5 4 2" xfId="11171"/>
    <cellStyle name="Normal 57 3 2 2 5 4 2 2" xfId="36726"/>
    <cellStyle name="Normal 57 3 2 2 5 4 3" xfId="21175"/>
    <cellStyle name="Normal 57 3 2 2 5 4 3 2" xfId="46728"/>
    <cellStyle name="Normal 57 3 2 2 5 4 4" xfId="27658"/>
    <cellStyle name="Normal 57 3 2 2 5 5" xfId="6747"/>
    <cellStyle name="Normal 57 3 2 2 5 5 2" xfId="15574"/>
    <cellStyle name="Normal 57 3 2 2 5 5 2 2" xfId="41129"/>
    <cellStyle name="Normal 57 3 2 2 5 5 3" xfId="25825"/>
    <cellStyle name="Normal 57 3 2 2 5 5 3 2" xfId="51378"/>
    <cellStyle name="Normal 57 3 2 2 5 5 4" xfId="32308"/>
    <cellStyle name="Normal 57 3 2 2 5 6" xfId="8193"/>
    <cellStyle name="Normal 57 3 2 2 5 6 2" xfId="20583"/>
    <cellStyle name="Normal 57 3 2 2 5 6 2 2" xfId="46136"/>
    <cellStyle name="Normal 57 3 2 2 5 6 3" xfId="33750"/>
    <cellStyle name="Normal 57 3 2 2 5 7" xfId="16168"/>
    <cellStyle name="Normal 57 3 2 2 5 7 2" xfId="41721"/>
    <cellStyle name="Normal 57 3 2 2 5 8" xfId="27066"/>
    <cellStyle name="Normal 57 3 2 2 6" xfId="2697"/>
    <cellStyle name="Normal 57 3 2 2 6 2" xfId="12014"/>
    <cellStyle name="Normal 57 3 2 2 6 2 2" xfId="22058"/>
    <cellStyle name="Normal 57 3 2 2 6 2 2 2" xfId="47611"/>
    <cellStyle name="Normal 57 3 2 2 6 2 3" xfId="37569"/>
    <cellStyle name="Normal 57 3 2 2 6 3" xfId="8494"/>
    <cellStyle name="Normal 57 3 2 2 6 3 2" xfId="34051"/>
    <cellStyle name="Normal 57 3 2 2 6 4" xfId="17051"/>
    <cellStyle name="Normal 57 3 2 2 6 4 2" xfId="42604"/>
    <cellStyle name="Normal 57 3 2 2 6 5" xfId="28541"/>
    <cellStyle name="Normal 57 3 2 2 7" xfId="4248"/>
    <cellStyle name="Normal 57 3 2 2 7 2" xfId="13086"/>
    <cellStyle name="Normal 57 3 2 2 7 2 2" xfId="23337"/>
    <cellStyle name="Normal 57 3 2 2 7 2 2 2" xfId="48890"/>
    <cellStyle name="Normal 57 3 2 2 7 2 3" xfId="38641"/>
    <cellStyle name="Normal 57 3 2 2 7 3" xfId="9507"/>
    <cellStyle name="Normal 57 3 2 2 7 3 2" xfId="35064"/>
    <cellStyle name="Normal 57 3 2 2 7 4" xfId="18330"/>
    <cellStyle name="Normal 57 3 2 2 7 4 2" xfId="43883"/>
    <cellStyle name="Normal 57 3 2 2 7 5" xfId="29820"/>
    <cellStyle name="Normal 57 3 2 2 8" xfId="1520"/>
    <cellStyle name="Normal 57 3 2 2 8 2" xfId="10897"/>
    <cellStyle name="Normal 57 3 2 2 8 2 2" xfId="36452"/>
    <cellStyle name="Normal 57 3 2 2 8 3" xfId="20901"/>
    <cellStyle name="Normal 57 3 2 2 8 3 2" xfId="46454"/>
    <cellStyle name="Normal 57 3 2 2 8 4" xfId="27384"/>
    <cellStyle name="Normal 57 3 2 2 9" xfId="5704"/>
    <cellStyle name="Normal 57 3 2 2 9 2" xfId="14531"/>
    <cellStyle name="Normal 57 3 2 2 9 2 2" xfId="40086"/>
    <cellStyle name="Normal 57 3 2 2 9 3" xfId="24782"/>
    <cellStyle name="Normal 57 3 2 2 9 3 2" xfId="50335"/>
    <cellStyle name="Normal 57 3 2 2 9 4" xfId="31265"/>
    <cellStyle name="Normal 57 3 2 2_Degree data" xfId="3939"/>
    <cellStyle name="Normal 57 3 2 3" xfId="267"/>
    <cellStyle name="Normal 57 3 2 3 10" xfId="7105"/>
    <cellStyle name="Normal 57 3 2 3 10 2" xfId="19718"/>
    <cellStyle name="Normal 57 3 2 3 10 2 2" xfId="45271"/>
    <cellStyle name="Normal 57 3 2 3 10 3" xfId="32662"/>
    <cellStyle name="Normal 57 3 2 3 11" xfId="15851"/>
    <cellStyle name="Normal 57 3 2 3 11 2" xfId="41404"/>
    <cellStyle name="Normal 57 3 2 3 12" xfId="26201"/>
    <cellStyle name="Normal 57 3 2 3 2" xfId="589"/>
    <cellStyle name="Normal 57 3 2 3 2 10" xfId="26518"/>
    <cellStyle name="Normal 57 3 2 3 2 2" xfId="836"/>
    <cellStyle name="Normal 57 3 2 3 2 2 2" xfId="3321"/>
    <cellStyle name="Normal 57 3 2 3 2 2 2 2" xfId="12463"/>
    <cellStyle name="Normal 57 3 2 3 2 2 2 2 2" xfId="22682"/>
    <cellStyle name="Normal 57 3 2 3 2 2 2 2 2 2" xfId="48235"/>
    <cellStyle name="Normal 57 3 2 3 2 2 2 2 3" xfId="38018"/>
    <cellStyle name="Normal 57 3 2 3 2 2 2 3" xfId="8885"/>
    <cellStyle name="Normal 57 3 2 3 2 2 2 3 2" xfId="34442"/>
    <cellStyle name="Normal 57 3 2 3 2 2 2 4" xfId="17675"/>
    <cellStyle name="Normal 57 3 2 3 2 2 2 4 2" xfId="43228"/>
    <cellStyle name="Normal 57 3 2 3 2 2 2 5" xfId="29165"/>
    <cellStyle name="Normal 57 3 2 3 2 2 3" xfId="4650"/>
    <cellStyle name="Normal 57 3 2 3 2 2 3 2" xfId="13488"/>
    <cellStyle name="Normal 57 3 2 3 2 2 3 2 2" xfId="23739"/>
    <cellStyle name="Normal 57 3 2 3 2 2 3 2 2 2" xfId="49292"/>
    <cellStyle name="Normal 57 3 2 3 2 2 3 2 3" xfId="39043"/>
    <cellStyle name="Normal 57 3 2 3 2 2 3 3" xfId="9909"/>
    <cellStyle name="Normal 57 3 2 3 2 2 3 3 2" xfId="35466"/>
    <cellStyle name="Normal 57 3 2 3 2 2 3 4" xfId="18732"/>
    <cellStyle name="Normal 57 3 2 3 2 2 3 4 2" xfId="44285"/>
    <cellStyle name="Normal 57 3 2 3 2 2 3 5" xfId="30222"/>
    <cellStyle name="Normal 57 3 2 3 2 2 4" xfId="2430"/>
    <cellStyle name="Normal 57 3 2 3 2 2 4 2" xfId="11795"/>
    <cellStyle name="Normal 57 3 2 3 2 2 4 2 2" xfId="37350"/>
    <cellStyle name="Normal 57 3 2 3 2 2 4 3" xfId="21799"/>
    <cellStyle name="Normal 57 3 2 3 2 2 4 3 2" xfId="47352"/>
    <cellStyle name="Normal 57 3 2 3 2 2 4 4" xfId="28282"/>
    <cellStyle name="Normal 57 3 2 3 2 2 5" xfId="6106"/>
    <cellStyle name="Normal 57 3 2 3 2 2 5 2" xfId="14933"/>
    <cellStyle name="Normal 57 3 2 3 2 2 5 2 2" xfId="40488"/>
    <cellStyle name="Normal 57 3 2 3 2 2 5 3" xfId="25184"/>
    <cellStyle name="Normal 57 3 2 3 2 2 5 3 2" xfId="50737"/>
    <cellStyle name="Normal 57 3 2 3 2 2 5 4" xfId="31667"/>
    <cellStyle name="Normal 57 3 2 3 2 2 6" xfId="7551"/>
    <cellStyle name="Normal 57 3 2 3 2 2 6 2" xfId="20281"/>
    <cellStyle name="Normal 57 3 2 3 2 2 6 2 2" xfId="45834"/>
    <cellStyle name="Normal 57 3 2 3 2 2 6 3" xfId="33108"/>
    <cellStyle name="Normal 57 3 2 3 2 2 7" xfId="16792"/>
    <cellStyle name="Normal 57 3 2 3 2 2 7 2" xfId="42345"/>
    <cellStyle name="Normal 57 3 2 3 2 2 8" xfId="26764"/>
    <cellStyle name="Normal 57 3 2 3 2 3" xfId="1361"/>
    <cellStyle name="Normal 57 3 2 3 2 3 2" xfId="3790"/>
    <cellStyle name="Normal 57 3 2 3 2 3 2 2" xfId="12926"/>
    <cellStyle name="Normal 57 3 2 3 2 3 2 2 2" xfId="23145"/>
    <cellStyle name="Normal 57 3 2 3 2 3 2 2 2 2" xfId="48698"/>
    <cellStyle name="Normal 57 3 2 3 2 3 2 2 3" xfId="38481"/>
    <cellStyle name="Normal 57 3 2 3 2 3 2 3" xfId="9347"/>
    <cellStyle name="Normal 57 3 2 3 2 3 2 3 2" xfId="34904"/>
    <cellStyle name="Normal 57 3 2 3 2 3 2 4" xfId="18138"/>
    <cellStyle name="Normal 57 3 2 3 2 3 2 4 2" xfId="43691"/>
    <cellStyle name="Normal 57 3 2 3 2 3 2 5" xfId="29628"/>
    <cellStyle name="Normal 57 3 2 3 2 3 3" xfId="4999"/>
    <cellStyle name="Normal 57 3 2 3 2 3 3 2" xfId="13836"/>
    <cellStyle name="Normal 57 3 2 3 2 3 3 2 2" xfId="24087"/>
    <cellStyle name="Normal 57 3 2 3 2 3 3 2 2 2" xfId="49640"/>
    <cellStyle name="Normal 57 3 2 3 2 3 3 2 3" xfId="39391"/>
    <cellStyle name="Normal 57 3 2 3 2 3 3 3" xfId="10257"/>
    <cellStyle name="Normal 57 3 2 3 2 3 3 3 2" xfId="35814"/>
    <cellStyle name="Normal 57 3 2 3 2 3 3 4" xfId="19080"/>
    <cellStyle name="Normal 57 3 2 3 2 3 3 4 2" xfId="44633"/>
    <cellStyle name="Normal 57 3 2 3 2 3 3 5" xfId="30570"/>
    <cellStyle name="Normal 57 3 2 3 2 3 4" xfId="2184"/>
    <cellStyle name="Normal 57 3 2 3 2 3 4 2" xfId="11549"/>
    <cellStyle name="Normal 57 3 2 3 2 3 4 2 2" xfId="37104"/>
    <cellStyle name="Normal 57 3 2 3 2 3 4 3" xfId="21553"/>
    <cellStyle name="Normal 57 3 2 3 2 3 4 3 2" xfId="47106"/>
    <cellStyle name="Normal 57 3 2 3 2 3 4 4" xfId="28036"/>
    <cellStyle name="Normal 57 3 2 3 2 3 5" xfId="6454"/>
    <cellStyle name="Normal 57 3 2 3 2 3 5 2" xfId="15281"/>
    <cellStyle name="Normal 57 3 2 3 2 3 5 2 2" xfId="40836"/>
    <cellStyle name="Normal 57 3 2 3 2 3 5 3" xfId="25532"/>
    <cellStyle name="Normal 57 3 2 3 2 3 5 3 2" xfId="51085"/>
    <cellStyle name="Normal 57 3 2 3 2 3 5 4" xfId="32015"/>
    <cellStyle name="Normal 57 3 2 3 2 3 6" xfId="7900"/>
    <cellStyle name="Normal 57 3 2 3 2 3 6 2" xfId="20744"/>
    <cellStyle name="Normal 57 3 2 3 2 3 6 2 2" xfId="46297"/>
    <cellStyle name="Normal 57 3 2 3 2 3 6 3" xfId="33457"/>
    <cellStyle name="Normal 57 3 2 3 2 3 7" xfId="16546"/>
    <cellStyle name="Normal 57 3 2 3 2 3 7 2" xfId="42099"/>
    <cellStyle name="Normal 57 3 2 3 2 3 8" xfId="27227"/>
    <cellStyle name="Normal 57 3 2 3 2 4" xfId="3075"/>
    <cellStyle name="Normal 57 3 2 3 2 4 2" xfId="5453"/>
    <cellStyle name="Normal 57 3 2 3 2 4 2 2" xfId="14290"/>
    <cellStyle name="Normal 57 3 2 3 2 4 2 2 2" xfId="24541"/>
    <cellStyle name="Normal 57 3 2 3 2 4 2 2 2 2" xfId="50094"/>
    <cellStyle name="Normal 57 3 2 3 2 4 2 2 3" xfId="39845"/>
    <cellStyle name="Normal 57 3 2 3 2 4 2 3" xfId="10711"/>
    <cellStyle name="Normal 57 3 2 3 2 4 2 3 2" xfId="36268"/>
    <cellStyle name="Normal 57 3 2 3 2 4 2 4" xfId="19534"/>
    <cellStyle name="Normal 57 3 2 3 2 4 2 4 2" xfId="45087"/>
    <cellStyle name="Normal 57 3 2 3 2 4 2 5" xfId="31024"/>
    <cellStyle name="Normal 57 3 2 3 2 4 3" xfId="6908"/>
    <cellStyle name="Normal 57 3 2 3 2 4 3 2" xfId="15735"/>
    <cellStyle name="Normal 57 3 2 3 2 4 3 2 2" xfId="41290"/>
    <cellStyle name="Normal 57 3 2 3 2 4 3 3" xfId="25986"/>
    <cellStyle name="Normal 57 3 2 3 2 4 3 3 2" xfId="51539"/>
    <cellStyle name="Normal 57 3 2 3 2 4 3 4" xfId="32469"/>
    <cellStyle name="Normal 57 3 2 3 2 4 4" xfId="8354"/>
    <cellStyle name="Normal 57 3 2 3 2 4 4 2" xfId="22436"/>
    <cellStyle name="Normal 57 3 2 3 2 4 4 2 2" xfId="47989"/>
    <cellStyle name="Normal 57 3 2 3 2 4 4 3" xfId="33911"/>
    <cellStyle name="Normal 57 3 2 3 2 4 5" xfId="17429"/>
    <cellStyle name="Normal 57 3 2 3 2 4 5 2" xfId="42982"/>
    <cellStyle name="Normal 57 3 2 3 2 4 6" xfId="28919"/>
    <cellStyle name="Normal 57 3 2 3 2 5" xfId="4409"/>
    <cellStyle name="Normal 57 3 2 3 2 5 2" xfId="13247"/>
    <cellStyle name="Normal 57 3 2 3 2 5 2 2" xfId="23498"/>
    <cellStyle name="Normal 57 3 2 3 2 5 2 2 2" xfId="49051"/>
    <cellStyle name="Normal 57 3 2 3 2 5 2 3" xfId="38802"/>
    <cellStyle name="Normal 57 3 2 3 2 5 3" xfId="9668"/>
    <cellStyle name="Normal 57 3 2 3 2 5 3 2" xfId="35225"/>
    <cellStyle name="Normal 57 3 2 3 2 5 4" xfId="18491"/>
    <cellStyle name="Normal 57 3 2 3 2 5 4 2" xfId="44044"/>
    <cellStyle name="Normal 57 3 2 3 2 5 5" xfId="29981"/>
    <cellStyle name="Normal 57 3 2 3 2 6" xfId="1681"/>
    <cellStyle name="Normal 57 3 2 3 2 6 2" xfId="11058"/>
    <cellStyle name="Normal 57 3 2 3 2 6 2 2" xfId="36613"/>
    <cellStyle name="Normal 57 3 2 3 2 6 3" xfId="21062"/>
    <cellStyle name="Normal 57 3 2 3 2 6 3 2" xfId="46615"/>
    <cellStyle name="Normal 57 3 2 3 2 6 4" xfId="27545"/>
    <cellStyle name="Normal 57 3 2 3 2 7" xfId="5865"/>
    <cellStyle name="Normal 57 3 2 3 2 7 2" xfId="14692"/>
    <cellStyle name="Normal 57 3 2 3 2 7 2 2" xfId="40247"/>
    <cellStyle name="Normal 57 3 2 3 2 7 3" xfId="24943"/>
    <cellStyle name="Normal 57 3 2 3 2 7 3 2" xfId="50496"/>
    <cellStyle name="Normal 57 3 2 3 2 7 4" xfId="31426"/>
    <cellStyle name="Normal 57 3 2 3 2 8" xfId="7309"/>
    <cellStyle name="Normal 57 3 2 3 2 8 2" xfId="20035"/>
    <cellStyle name="Normal 57 3 2 3 2 8 2 2" xfId="45588"/>
    <cellStyle name="Normal 57 3 2 3 2 8 3" xfId="32866"/>
    <cellStyle name="Normal 57 3 2 3 2 9" xfId="16055"/>
    <cellStyle name="Normal 57 3 2 3 2 9 2" xfId="41608"/>
    <cellStyle name="Normal 57 3 2 3 2_Degree data" xfId="3942"/>
    <cellStyle name="Normal 57 3 2 3 3" xfId="385"/>
    <cellStyle name="Normal 57 3 2 3 3 2" xfId="2871"/>
    <cellStyle name="Normal 57 3 2 3 3 2 2" xfId="12159"/>
    <cellStyle name="Normal 57 3 2 3 3 2 2 2" xfId="22232"/>
    <cellStyle name="Normal 57 3 2 3 3 2 2 2 2" xfId="47785"/>
    <cellStyle name="Normal 57 3 2 3 3 2 2 3" xfId="37714"/>
    <cellStyle name="Normal 57 3 2 3 3 2 3" xfId="8523"/>
    <cellStyle name="Normal 57 3 2 3 3 2 3 2" xfId="34080"/>
    <cellStyle name="Normal 57 3 2 3 3 2 4" xfId="17225"/>
    <cellStyle name="Normal 57 3 2 3 3 2 4 2" xfId="42778"/>
    <cellStyle name="Normal 57 3 2 3 3 2 5" xfId="28715"/>
    <cellStyle name="Normal 57 3 2 3 3 3" xfId="4649"/>
    <cellStyle name="Normal 57 3 2 3 3 3 2" xfId="13487"/>
    <cellStyle name="Normal 57 3 2 3 3 3 2 2" xfId="23738"/>
    <cellStyle name="Normal 57 3 2 3 3 3 2 2 2" xfId="49291"/>
    <cellStyle name="Normal 57 3 2 3 3 3 2 3" xfId="39042"/>
    <cellStyle name="Normal 57 3 2 3 3 3 3" xfId="9908"/>
    <cellStyle name="Normal 57 3 2 3 3 3 3 2" xfId="35465"/>
    <cellStyle name="Normal 57 3 2 3 3 3 4" xfId="18731"/>
    <cellStyle name="Normal 57 3 2 3 3 3 4 2" xfId="44284"/>
    <cellStyle name="Normal 57 3 2 3 3 3 5" xfId="30221"/>
    <cellStyle name="Normal 57 3 2 3 3 4" xfId="1980"/>
    <cellStyle name="Normal 57 3 2 3 3 4 2" xfId="11345"/>
    <cellStyle name="Normal 57 3 2 3 3 4 2 2" xfId="36900"/>
    <cellStyle name="Normal 57 3 2 3 3 4 3" xfId="21349"/>
    <cellStyle name="Normal 57 3 2 3 3 4 3 2" xfId="46902"/>
    <cellStyle name="Normal 57 3 2 3 3 4 4" xfId="27832"/>
    <cellStyle name="Normal 57 3 2 3 3 5" xfId="6105"/>
    <cellStyle name="Normal 57 3 2 3 3 5 2" xfId="14932"/>
    <cellStyle name="Normal 57 3 2 3 3 5 2 2" xfId="40487"/>
    <cellStyle name="Normal 57 3 2 3 3 5 3" xfId="25183"/>
    <cellStyle name="Normal 57 3 2 3 3 5 3 2" xfId="50736"/>
    <cellStyle name="Normal 57 3 2 3 3 5 4" xfId="31666"/>
    <cellStyle name="Normal 57 3 2 3 3 6" xfId="7550"/>
    <cellStyle name="Normal 57 3 2 3 3 6 2" xfId="19831"/>
    <cellStyle name="Normal 57 3 2 3 3 6 2 2" xfId="45384"/>
    <cellStyle name="Normal 57 3 2 3 3 6 3" xfId="33107"/>
    <cellStyle name="Normal 57 3 2 3 3 7" xfId="16342"/>
    <cellStyle name="Normal 57 3 2 3 3 7 2" xfId="41895"/>
    <cellStyle name="Normal 57 3 2 3 3 8" xfId="26314"/>
    <cellStyle name="Normal 57 3 2 3 4" xfId="835"/>
    <cellStyle name="Normal 57 3 2 3 4 2" xfId="3320"/>
    <cellStyle name="Normal 57 3 2 3 4 2 2" xfId="12462"/>
    <cellStyle name="Normal 57 3 2 3 4 2 2 2" xfId="22681"/>
    <cellStyle name="Normal 57 3 2 3 4 2 2 2 2" xfId="48234"/>
    <cellStyle name="Normal 57 3 2 3 4 2 2 3" xfId="38017"/>
    <cellStyle name="Normal 57 3 2 3 4 2 3" xfId="8884"/>
    <cellStyle name="Normal 57 3 2 3 4 2 3 2" xfId="34441"/>
    <cellStyle name="Normal 57 3 2 3 4 2 4" xfId="17674"/>
    <cellStyle name="Normal 57 3 2 3 4 2 4 2" xfId="43227"/>
    <cellStyle name="Normal 57 3 2 3 4 2 5" xfId="29164"/>
    <cellStyle name="Normal 57 3 2 3 4 3" xfId="4998"/>
    <cellStyle name="Normal 57 3 2 3 4 3 2" xfId="13835"/>
    <cellStyle name="Normal 57 3 2 3 4 3 2 2" xfId="24086"/>
    <cellStyle name="Normal 57 3 2 3 4 3 2 2 2" xfId="49639"/>
    <cellStyle name="Normal 57 3 2 3 4 3 2 3" xfId="39390"/>
    <cellStyle name="Normal 57 3 2 3 4 3 3" xfId="10256"/>
    <cellStyle name="Normal 57 3 2 3 4 3 3 2" xfId="35813"/>
    <cellStyle name="Normal 57 3 2 3 4 3 4" xfId="19079"/>
    <cellStyle name="Normal 57 3 2 3 4 3 4 2" xfId="44632"/>
    <cellStyle name="Normal 57 3 2 3 4 3 5" xfId="30569"/>
    <cellStyle name="Normal 57 3 2 3 4 4" xfId="2429"/>
    <cellStyle name="Normal 57 3 2 3 4 4 2" xfId="11794"/>
    <cellStyle name="Normal 57 3 2 3 4 4 2 2" xfId="37349"/>
    <cellStyle name="Normal 57 3 2 3 4 4 3" xfId="21798"/>
    <cellStyle name="Normal 57 3 2 3 4 4 3 2" xfId="47351"/>
    <cellStyle name="Normal 57 3 2 3 4 4 4" xfId="28281"/>
    <cellStyle name="Normal 57 3 2 3 4 5" xfId="6453"/>
    <cellStyle name="Normal 57 3 2 3 4 5 2" xfId="15280"/>
    <cellStyle name="Normal 57 3 2 3 4 5 2 2" xfId="40835"/>
    <cellStyle name="Normal 57 3 2 3 4 5 3" xfId="25531"/>
    <cellStyle name="Normal 57 3 2 3 4 5 3 2" xfId="51084"/>
    <cellStyle name="Normal 57 3 2 3 4 5 4" xfId="32014"/>
    <cellStyle name="Normal 57 3 2 3 4 6" xfId="7899"/>
    <cellStyle name="Normal 57 3 2 3 4 6 2" xfId="20280"/>
    <cellStyle name="Normal 57 3 2 3 4 6 2 2" xfId="45833"/>
    <cellStyle name="Normal 57 3 2 3 4 6 3" xfId="33456"/>
    <cellStyle name="Normal 57 3 2 3 4 7" xfId="16791"/>
    <cellStyle name="Normal 57 3 2 3 4 7 2" xfId="42344"/>
    <cellStyle name="Normal 57 3 2 3 4 8" xfId="26763"/>
    <cellStyle name="Normal 57 3 2 3 5" xfId="1157"/>
    <cellStyle name="Normal 57 3 2 3 5 2" xfId="3586"/>
    <cellStyle name="Normal 57 3 2 3 5 2 2" xfId="12722"/>
    <cellStyle name="Normal 57 3 2 3 5 2 2 2" xfId="22941"/>
    <cellStyle name="Normal 57 3 2 3 5 2 2 2 2" xfId="48494"/>
    <cellStyle name="Normal 57 3 2 3 5 2 2 3" xfId="38277"/>
    <cellStyle name="Normal 57 3 2 3 5 2 3" xfId="9143"/>
    <cellStyle name="Normal 57 3 2 3 5 2 3 2" xfId="34700"/>
    <cellStyle name="Normal 57 3 2 3 5 2 4" xfId="17934"/>
    <cellStyle name="Normal 57 3 2 3 5 2 4 2" xfId="43487"/>
    <cellStyle name="Normal 57 3 2 3 5 2 5" xfId="29424"/>
    <cellStyle name="Normal 57 3 2 3 5 3" xfId="5249"/>
    <cellStyle name="Normal 57 3 2 3 5 3 2" xfId="14086"/>
    <cellStyle name="Normal 57 3 2 3 5 3 2 2" xfId="24337"/>
    <cellStyle name="Normal 57 3 2 3 5 3 2 2 2" xfId="49890"/>
    <cellStyle name="Normal 57 3 2 3 5 3 2 3" xfId="39641"/>
    <cellStyle name="Normal 57 3 2 3 5 3 3" xfId="10507"/>
    <cellStyle name="Normal 57 3 2 3 5 3 3 2" xfId="36064"/>
    <cellStyle name="Normal 57 3 2 3 5 3 4" xfId="19330"/>
    <cellStyle name="Normal 57 3 2 3 5 3 4 2" xfId="44883"/>
    <cellStyle name="Normal 57 3 2 3 5 3 5" xfId="30820"/>
    <cellStyle name="Normal 57 3 2 3 5 4" xfId="1864"/>
    <cellStyle name="Normal 57 3 2 3 5 4 2" xfId="11232"/>
    <cellStyle name="Normal 57 3 2 3 5 4 2 2" xfId="36787"/>
    <cellStyle name="Normal 57 3 2 3 5 4 3" xfId="21236"/>
    <cellStyle name="Normal 57 3 2 3 5 4 3 2" xfId="46789"/>
    <cellStyle name="Normal 57 3 2 3 5 4 4" xfId="27719"/>
    <cellStyle name="Normal 57 3 2 3 5 5" xfId="6704"/>
    <cellStyle name="Normal 57 3 2 3 5 5 2" xfId="15531"/>
    <cellStyle name="Normal 57 3 2 3 5 5 2 2" xfId="41086"/>
    <cellStyle name="Normal 57 3 2 3 5 5 3" xfId="25782"/>
    <cellStyle name="Normal 57 3 2 3 5 5 3 2" xfId="51335"/>
    <cellStyle name="Normal 57 3 2 3 5 5 4" xfId="32265"/>
    <cellStyle name="Normal 57 3 2 3 5 6" xfId="8150"/>
    <cellStyle name="Normal 57 3 2 3 5 6 2" xfId="20540"/>
    <cellStyle name="Normal 57 3 2 3 5 6 2 2" xfId="46093"/>
    <cellStyle name="Normal 57 3 2 3 5 6 3" xfId="33707"/>
    <cellStyle name="Normal 57 3 2 3 5 7" xfId="16229"/>
    <cellStyle name="Normal 57 3 2 3 5 7 2" xfId="41782"/>
    <cellStyle name="Normal 57 3 2 3 5 8" xfId="27023"/>
    <cellStyle name="Normal 57 3 2 3 6" xfId="2758"/>
    <cellStyle name="Normal 57 3 2 3 6 2" xfId="12075"/>
    <cellStyle name="Normal 57 3 2 3 6 2 2" xfId="22119"/>
    <cellStyle name="Normal 57 3 2 3 6 2 2 2" xfId="47672"/>
    <cellStyle name="Normal 57 3 2 3 6 2 3" xfId="37630"/>
    <cellStyle name="Normal 57 3 2 3 6 3" xfId="8611"/>
    <cellStyle name="Normal 57 3 2 3 6 3 2" xfId="34168"/>
    <cellStyle name="Normal 57 3 2 3 6 4" xfId="17112"/>
    <cellStyle name="Normal 57 3 2 3 6 4 2" xfId="42665"/>
    <cellStyle name="Normal 57 3 2 3 6 5" xfId="28602"/>
    <cellStyle name="Normal 57 3 2 3 7" xfId="4205"/>
    <cellStyle name="Normal 57 3 2 3 7 2" xfId="13043"/>
    <cellStyle name="Normal 57 3 2 3 7 2 2" xfId="23294"/>
    <cellStyle name="Normal 57 3 2 3 7 2 2 2" xfId="48847"/>
    <cellStyle name="Normal 57 3 2 3 7 2 3" xfId="38598"/>
    <cellStyle name="Normal 57 3 2 3 7 3" xfId="9464"/>
    <cellStyle name="Normal 57 3 2 3 7 3 2" xfId="35021"/>
    <cellStyle name="Normal 57 3 2 3 7 4" xfId="18287"/>
    <cellStyle name="Normal 57 3 2 3 7 4 2" xfId="43840"/>
    <cellStyle name="Normal 57 3 2 3 7 5" xfId="29777"/>
    <cellStyle name="Normal 57 3 2 3 8" xfId="1477"/>
    <cellStyle name="Normal 57 3 2 3 8 2" xfId="10854"/>
    <cellStyle name="Normal 57 3 2 3 8 2 2" xfId="36409"/>
    <cellStyle name="Normal 57 3 2 3 8 3" xfId="20858"/>
    <cellStyle name="Normal 57 3 2 3 8 3 2" xfId="46411"/>
    <cellStyle name="Normal 57 3 2 3 8 4" xfId="27341"/>
    <cellStyle name="Normal 57 3 2 3 9" xfId="5661"/>
    <cellStyle name="Normal 57 3 2 3 9 2" xfId="14488"/>
    <cellStyle name="Normal 57 3 2 3 9 2 2" xfId="40043"/>
    <cellStyle name="Normal 57 3 2 3 9 3" xfId="24739"/>
    <cellStyle name="Normal 57 3 2 3 9 3 2" xfId="50292"/>
    <cellStyle name="Normal 57 3 2 3 9 4" xfId="31222"/>
    <cellStyle name="Normal 57 3 2 3_Degree data" xfId="3941"/>
    <cellStyle name="Normal 57 3 2 4" xfId="485"/>
    <cellStyle name="Normal 57 3 2 4 10" xfId="26414"/>
    <cellStyle name="Normal 57 3 2 4 2" xfId="837"/>
    <cellStyle name="Normal 57 3 2 4 2 2" xfId="3322"/>
    <cellStyle name="Normal 57 3 2 4 2 2 2" xfId="12464"/>
    <cellStyle name="Normal 57 3 2 4 2 2 2 2" xfId="22683"/>
    <cellStyle name="Normal 57 3 2 4 2 2 2 2 2" xfId="48236"/>
    <cellStyle name="Normal 57 3 2 4 2 2 2 3" xfId="38019"/>
    <cellStyle name="Normal 57 3 2 4 2 2 3" xfId="8886"/>
    <cellStyle name="Normal 57 3 2 4 2 2 3 2" xfId="34443"/>
    <cellStyle name="Normal 57 3 2 4 2 2 4" xfId="17676"/>
    <cellStyle name="Normal 57 3 2 4 2 2 4 2" xfId="43229"/>
    <cellStyle name="Normal 57 3 2 4 2 2 5" xfId="29166"/>
    <cellStyle name="Normal 57 3 2 4 2 3" xfId="4651"/>
    <cellStyle name="Normal 57 3 2 4 2 3 2" xfId="13489"/>
    <cellStyle name="Normal 57 3 2 4 2 3 2 2" xfId="23740"/>
    <cellStyle name="Normal 57 3 2 4 2 3 2 2 2" xfId="49293"/>
    <cellStyle name="Normal 57 3 2 4 2 3 2 3" xfId="39044"/>
    <cellStyle name="Normal 57 3 2 4 2 3 3" xfId="9910"/>
    <cellStyle name="Normal 57 3 2 4 2 3 3 2" xfId="35467"/>
    <cellStyle name="Normal 57 3 2 4 2 3 4" xfId="18733"/>
    <cellStyle name="Normal 57 3 2 4 2 3 4 2" xfId="44286"/>
    <cellStyle name="Normal 57 3 2 4 2 3 5" xfId="30223"/>
    <cellStyle name="Normal 57 3 2 4 2 4" xfId="2431"/>
    <cellStyle name="Normal 57 3 2 4 2 4 2" xfId="11796"/>
    <cellStyle name="Normal 57 3 2 4 2 4 2 2" xfId="37351"/>
    <cellStyle name="Normal 57 3 2 4 2 4 3" xfId="21800"/>
    <cellStyle name="Normal 57 3 2 4 2 4 3 2" xfId="47353"/>
    <cellStyle name="Normal 57 3 2 4 2 4 4" xfId="28283"/>
    <cellStyle name="Normal 57 3 2 4 2 5" xfId="6107"/>
    <cellStyle name="Normal 57 3 2 4 2 5 2" xfId="14934"/>
    <cellStyle name="Normal 57 3 2 4 2 5 2 2" xfId="40489"/>
    <cellStyle name="Normal 57 3 2 4 2 5 3" xfId="25185"/>
    <cellStyle name="Normal 57 3 2 4 2 5 3 2" xfId="50738"/>
    <cellStyle name="Normal 57 3 2 4 2 5 4" xfId="31668"/>
    <cellStyle name="Normal 57 3 2 4 2 6" xfId="7552"/>
    <cellStyle name="Normal 57 3 2 4 2 6 2" xfId="20282"/>
    <cellStyle name="Normal 57 3 2 4 2 6 2 2" xfId="45835"/>
    <cellStyle name="Normal 57 3 2 4 2 6 3" xfId="33109"/>
    <cellStyle name="Normal 57 3 2 4 2 7" xfId="16793"/>
    <cellStyle name="Normal 57 3 2 4 2 7 2" xfId="42346"/>
    <cellStyle name="Normal 57 3 2 4 2 8" xfId="26765"/>
    <cellStyle name="Normal 57 3 2 4 3" xfId="1257"/>
    <cellStyle name="Normal 57 3 2 4 3 2" xfId="3686"/>
    <cellStyle name="Normal 57 3 2 4 3 2 2" xfId="12822"/>
    <cellStyle name="Normal 57 3 2 4 3 2 2 2" xfId="23041"/>
    <cellStyle name="Normal 57 3 2 4 3 2 2 2 2" xfId="48594"/>
    <cellStyle name="Normal 57 3 2 4 3 2 2 3" xfId="38377"/>
    <cellStyle name="Normal 57 3 2 4 3 2 3" xfId="9243"/>
    <cellStyle name="Normal 57 3 2 4 3 2 3 2" xfId="34800"/>
    <cellStyle name="Normal 57 3 2 4 3 2 4" xfId="18034"/>
    <cellStyle name="Normal 57 3 2 4 3 2 4 2" xfId="43587"/>
    <cellStyle name="Normal 57 3 2 4 3 2 5" xfId="29524"/>
    <cellStyle name="Normal 57 3 2 4 3 3" xfId="5000"/>
    <cellStyle name="Normal 57 3 2 4 3 3 2" xfId="13837"/>
    <cellStyle name="Normal 57 3 2 4 3 3 2 2" xfId="24088"/>
    <cellStyle name="Normal 57 3 2 4 3 3 2 2 2" xfId="49641"/>
    <cellStyle name="Normal 57 3 2 4 3 3 2 3" xfId="39392"/>
    <cellStyle name="Normal 57 3 2 4 3 3 3" xfId="10258"/>
    <cellStyle name="Normal 57 3 2 4 3 3 3 2" xfId="35815"/>
    <cellStyle name="Normal 57 3 2 4 3 3 4" xfId="19081"/>
    <cellStyle name="Normal 57 3 2 4 3 3 4 2" xfId="44634"/>
    <cellStyle name="Normal 57 3 2 4 3 3 5" xfId="30571"/>
    <cellStyle name="Normal 57 3 2 4 3 4" xfId="2080"/>
    <cellStyle name="Normal 57 3 2 4 3 4 2" xfId="11445"/>
    <cellStyle name="Normal 57 3 2 4 3 4 2 2" xfId="37000"/>
    <cellStyle name="Normal 57 3 2 4 3 4 3" xfId="21449"/>
    <cellStyle name="Normal 57 3 2 4 3 4 3 2" xfId="47002"/>
    <cellStyle name="Normal 57 3 2 4 3 4 4" xfId="27932"/>
    <cellStyle name="Normal 57 3 2 4 3 5" xfId="6455"/>
    <cellStyle name="Normal 57 3 2 4 3 5 2" xfId="15282"/>
    <cellStyle name="Normal 57 3 2 4 3 5 2 2" xfId="40837"/>
    <cellStyle name="Normal 57 3 2 4 3 5 3" xfId="25533"/>
    <cellStyle name="Normal 57 3 2 4 3 5 3 2" xfId="51086"/>
    <cellStyle name="Normal 57 3 2 4 3 5 4" xfId="32016"/>
    <cellStyle name="Normal 57 3 2 4 3 6" xfId="7901"/>
    <cellStyle name="Normal 57 3 2 4 3 6 2" xfId="20640"/>
    <cellStyle name="Normal 57 3 2 4 3 6 2 2" xfId="46193"/>
    <cellStyle name="Normal 57 3 2 4 3 6 3" xfId="33458"/>
    <cellStyle name="Normal 57 3 2 4 3 7" xfId="16442"/>
    <cellStyle name="Normal 57 3 2 4 3 7 2" xfId="41995"/>
    <cellStyle name="Normal 57 3 2 4 3 8" xfId="27123"/>
    <cellStyle name="Normal 57 3 2 4 4" xfId="2971"/>
    <cellStyle name="Normal 57 3 2 4 4 2" xfId="5349"/>
    <cellStyle name="Normal 57 3 2 4 4 2 2" xfId="14186"/>
    <cellStyle name="Normal 57 3 2 4 4 2 2 2" xfId="24437"/>
    <cellStyle name="Normal 57 3 2 4 4 2 2 2 2" xfId="49990"/>
    <cellStyle name="Normal 57 3 2 4 4 2 2 3" xfId="39741"/>
    <cellStyle name="Normal 57 3 2 4 4 2 3" xfId="10607"/>
    <cellStyle name="Normal 57 3 2 4 4 2 3 2" xfId="36164"/>
    <cellStyle name="Normal 57 3 2 4 4 2 4" xfId="19430"/>
    <cellStyle name="Normal 57 3 2 4 4 2 4 2" xfId="44983"/>
    <cellStyle name="Normal 57 3 2 4 4 2 5" xfId="30920"/>
    <cellStyle name="Normal 57 3 2 4 4 3" xfId="6804"/>
    <cellStyle name="Normal 57 3 2 4 4 3 2" xfId="15631"/>
    <cellStyle name="Normal 57 3 2 4 4 3 2 2" xfId="41186"/>
    <cellStyle name="Normal 57 3 2 4 4 3 3" xfId="25882"/>
    <cellStyle name="Normal 57 3 2 4 4 3 3 2" xfId="51435"/>
    <cellStyle name="Normal 57 3 2 4 4 3 4" xfId="32365"/>
    <cellStyle name="Normal 57 3 2 4 4 4" xfId="8250"/>
    <cellStyle name="Normal 57 3 2 4 4 4 2" xfId="22332"/>
    <cellStyle name="Normal 57 3 2 4 4 4 2 2" xfId="47885"/>
    <cellStyle name="Normal 57 3 2 4 4 4 3" xfId="33807"/>
    <cellStyle name="Normal 57 3 2 4 4 5" xfId="17325"/>
    <cellStyle name="Normal 57 3 2 4 4 5 2" xfId="42878"/>
    <cellStyle name="Normal 57 3 2 4 4 6" xfId="28815"/>
    <cellStyle name="Normal 57 3 2 4 5" xfId="4305"/>
    <cellStyle name="Normal 57 3 2 4 5 2" xfId="13143"/>
    <cellStyle name="Normal 57 3 2 4 5 2 2" xfId="23394"/>
    <cellStyle name="Normal 57 3 2 4 5 2 2 2" xfId="48947"/>
    <cellStyle name="Normal 57 3 2 4 5 2 3" xfId="38698"/>
    <cellStyle name="Normal 57 3 2 4 5 3" xfId="9564"/>
    <cellStyle name="Normal 57 3 2 4 5 3 2" xfId="35121"/>
    <cellStyle name="Normal 57 3 2 4 5 4" xfId="18387"/>
    <cellStyle name="Normal 57 3 2 4 5 4 2" xfId="43940"/>
    <cellStyle name="Normal 57 3 2 4 5 5" xfId="29877"/>
    <cellStyle name="Normal 57 3 2 4 6" xfId="1577"/>
    <cellStyle name="Normal 57 3 2 4 6 2" xfId="10954"/>
    <cellStyle name="Normal 57 3 2 4 6 2 2" xfId="36509"/>
    <cellStyle name="Normal 57 3 2 4 6 3" xfId="20958"/>
    <cellStyle name="Normal 57 3 2 4 6 3 2" xfId="46511"/>
    <cellStyle name="Normal 57 3 2 4 6 4" xfId="27441"/>
    <cellStyle name="Normal 57 3 2 4 7" xfId="5761"/>
    <cellStyle name="Normal 57 3 2 4 7 2" xfId="14588"/>
    <cellStyle name="Normal 57 3 2 4 7 2 2" xfId="40143"/>
    <cellStyle name="Normal 57 3 2 4 7 3" xfId="24839"/>
    <cellStyle name="Normal 57 3 2 4 7 3 2" xfId="50392"/>
    <cellStyle name="Normal 57 3 2 4 7 4" xfId="31322"/>
    <cellStyle name="Normal 57 3 2 4 8" xfId="7205"/>
    <cellStyle name="Normal 57 3 2 4 8 2" xfId="19931"/>
    <cellStyle name="Normal 57 3 2 4 8 2 2" xfId="45484"/>
    <cellStyle name="Normal 57 3 2 4 8 3" xfId="32762"/>
    <cellStyle name="Normal 57 3 2 4 9" xfId="15951"/>
    <cellStyle name="Normal 57 3 2 4 9 2" xfId="41504"/>
    <cellStyle name="Normal 57 3 2 4_Degree data" xfId="3943"/>
    <cellStyle name="Normal 57 3 2 5" xfId="328"/>
    <cellStyle name="Normal 57 3 2 5 10" xfId="26257"/>
    <cellStyle name="Normal 57 3 2 5 2" xfId="838"/>
    <cellStyle name="Normal 57 3 2 5 2 2" xfId="3323"/>
    <cellStyle name="Normal 57 3 2 5 2 2 2" xfId="12465"/>
    <cellStyle name="Normal 57 3 2 5 2 2 2 2" xfId="22684"/>
    <cellStyle name="Normal 57 3 2 5 2 2 2 2 2" xfId="48237"/>
    <cellStyle name="Normal 57 3 2 5 2 2 2 3" xfId="38020"/>
    <cellStyle name="Normal 57 3 2 5 2 2 3" xfId="8887"/>
    <cellStyle name="Normal 57 3 2 5 2 2 3 2" xfId="34444"/>
    <cellStyle name="Normal 57 3 2 5 2 2 4" xfId="17677"/>
    <cellStyle name="Normal 57 3 2 5 2 2 4 2" xfId="43230"/>
    <cellStyle name="Normal 57 3 2 5 2 2 5" xfId="29167"/>
    <cellStyle name="Normal 57 3 2 5 2 3" xfId="4652"/>
    <cellStyle name="Normal 57 3 2 5 2 3 2" xfId="13490"/>
    <cellStyle name="Normal 57 3 2 5 2 3 2 2" xfId="23741"/>
    <cellStyle name="Normal 57 3 2 5 2 3 2 2 2" xfId="49294"/>
    <cellStyle name="Normal 57 3 2 5 2 3 2 3" xfId="39045"/>
    <cellStyle name="Normal 57 3 2 5 2 3 3" xfId="9911"/>
    <cellStyle name="Normal 57 3 2 5 2 3 3 2" xfId="35468"/>
    <cellStyle name="Normal 57 3 2 5 2 3 4" xfId="18734"/>
    <cellStyle name="Normal 57 3 2 5 2 3 4 2" xfId="44287"/>
    <cellStyle name="Normal 57 3 2 5 2 3 5" xfId="30224"/>
    <cellStyle name="Normal 57 3 2 5 2 4" xfId="2432"/>
    <cellStyle name="Normal 57 3 2 5 2 4 2" xfId="11797"/>
    <cellStyle name="Normal 57 3 2 5 2 4 2 2" xfId="37352"/>
    <cellStyle name="Normal 57 3 2 5 2 4 3" xfId="21801"/>
    <cellStyle name="Normal 57 3 2 5 2 4 3 2" xfId="47354"/>
    <cellStyle name="Normal 57 3 2 5 2 4 4" xfId="28284"/>
    <cellStyle name="Normal 57 3 2 5 2 5" xfId="6108"/>
    <cellStyle name="Normal 57 3 2 5 2 5 2" xfId="14935"/>
    <cellStyle name="Normal 57 3 2 5 2 5 2 2" xfId="40490"/>
    <cellStyle name="Normal 57 3 2 5 2 5 3" xfId="25186"/>
    <cellStyle name="Normal 57 3 2 5 2 5 3 2" xfId="50739"/>
    <cellStyle name="Normal 57 3 2 5 2 5 4" xfId="31669"/>
    <cellStyle name="Normal 57 3 2 5 2 6" xfId="7553"/>
    <cellStyle name="Normal 57 3 2 5 2 6 2" xfId="20283"/>
    <cellStyle name="Normal 57 3 2 5 2 6 2 2" xfId="45836"/>
    <cellStyle name="Normal 57 3 2 5 2 6 3" xfId="33110"/>
    <cellStyle name="Normal 57 3 2 5 2 7" xfId="16794"/>
    <cellStyle name="Normal 57 3 2 5 2 7 2" xfId="42347"/>
    <cellStyle name="Normal 57 3 2 5 2 8" xfId="26766"/>
    <cellStyle name="Normal 57 3 2 5 3" xfId="1100"/>
    <cellStyle name="Normal 57 3 2 5 3 2" xfId="3529"/>
    <cellStyle name="Normal 57 3 2 5 3 2 2" xfId="12665"/>
    <cellStyle name="Normal 57 3 2 5 3 2 2 2" xfId="22884"/>
    <cellStyle name="Normal 57 3 2 5 3 2 2 2 2" xfId="48437"/>
    <cellStyle name="Normal 57 3 2 5 3 2 2 3" xfId="38220"/>
    <cellStyle name="Normal 57 3 2 5 3 2 3" xfId="9086"/>
    <cellStyle name="Normal 57 3 2 5 3 2 3 2" xfId="34643"/>
    <cellStyle name="Normal 57 3 2 5 3 2 4" xfId="17877"/>
    <cellStyle name="Normal 57 3 2 5 3 2 4 2" xfId="43430"/>
    <cellStyle name="Normal 57 3 2 5 3 2 5" xfId="29367"/>
    <cellStyle name="Normal 57 3 2 5 3 3" xfId="5001"/>
    <cellStyle name="Normal 57 3 2 5 3 3 2" xfId="13838"/>
    <cellStyle name="Normal 57 3 2 5 3 3 2 2" xfId="24089"/>
    <cellStyle name="Normal 57 3 2 5 3 3 2 2 2" xfId="49642"/>
    <cellStyle name="Normal 57 3 2 5 3 3 2 3" xfId="39393"/>
    <cellStyle name="Normal 57 3 2 5 3 3 3" xfId="10259"/>
    <cellStyle name="Normal 57 3 2 5 3 3 3 2" xfId="35816"/>
    <cellStyle name="Normal 57 3 2 5 3 3 4" xfId="19082"/>
    <cellStyle name="Normal 57 3 2 5 3 3 4 2" xfId="44635"/>
    <cellStyle name="Normal 57 3 2 5 3 3 5" xfId="30572"/>
    <cellStyle name="Normal 57 3 2 5 3 4" xfId="2592"/>
    <cellStyle name="Normal 57 3 2 5 3 4 2" xfId="11956"/>
    <cellStyle name="Normal 57 3 2 5 3 4 2 2" xfId="37511"/>
    <cellStyle name="Normal 57 3 2 5 3 4 3" xfId="21960"/>
    <cellStyle name="Normal 57 3 2 5 3 4 3 2" xfId="47513"/>
    <cellStyle name="Normal 57 3 2 5 3 4 4" xfId="28443"/>
    <cellStyle name="Normal 57 3 2 5 3 5" xfId="6456"/>
    <cellStyle name="Normal 57 3 2 5 3 5 2" xfId="15283"/>
    <cellStyle name="Normal 57 3 2 5 3 5 2 2" xfId="40838"/>
    <cellStyle name="Normal 57 3 2 5 3 5 3" xfId="25534"/>
    <cellStyle name="Normal 57 3 2 5 3 5 3 2" xfId="51087"/>
    <cellStyle name="Normal 57 3 2 5 3 5 4" xfId="32017"/>
    <cellStyle name="Normal 57 3 2 5 3 6" xfId="7902"/>
    <cellStyle name="Normal 57 3 2 5 3 6 2" xfId="20483"/>
    <cellStyle name="Normal 57 3 2 5 3 6 2 2" xfId="46036"/>
    <cellStyle name="Normal 57 3 2 5 3 6 3" xfId="33459"/>
    <cellStyle name="Normal 57 3 2 5 3 7" xfId="16953"/>
    <cellStyle name="Normal 57 3 2 5 3 7 2" xfId="42506"/>
    <cellStyle name="Normal 57 3 2 5 3 8" xfId="26966"/>
    <cellStyle name="Normal 57 3 2 5 4" xfId="2814"/>
    <cellStyle name="Normal 57 3 2 5 4 2" xfId="5192"/>
    <cellStyle name="Normal 57 3 2 5 4 2 2" xfId="14029"/>
    <cellStyle name="Normal 57 3 2 5 4 2 2 2" xfId="24280"/>
    <cellStyle name="Normal 57 3 2 5 4 2 2 2 2" xfId="49833"/>
    <cellStyle name="Normal 57 3 2 5 4 2 2 3" xfId="39584"/>
    <cellStyle name="Normal 57 3 2 5 4 2 3" xfId="10450"/>
    <cellStyle name="Normal 57 3 2 5 4 2 3 2" xfId="36007"/>
    <cellStyle name="Normal 57 3 2 5 4 2 4" xfId="19273"/>
    <cellStyle name="Normal 57 3 2 5 4 2 4 2" xfId="44826"/>
    <cellStyle name="Normal 57 3 2 5 4 2 5" xfId="30763"/>
    <cellStyle name="Normal 57 3 2 5 4 3" xfId="6647"/>
    <cellStyle name="Normal 57 3 2 5 4 3 2" xfId="15474"/>
    <cellStyle name="Normal 57 3 2 5 4 3 2 2" xfId="41029"/>
    <cellStyle name="Normal 57 3 2 5 4 3 3" xfId="25725"/>
    <cellStyle name="Normal 57 3 2 5 4 3 3 2" xfId="51278"/>
    <cellStyle name="Normal 57 3 2 5 4 3 4" xfId="32208"/>
    <cellStyle name="Normal 57 3 2 5 4 4" xfId="8093"/>
    <cellStyle name="Normal 57 3 2 5 4 4 2" xfId="22175"/>
    <cellStyle name="Normal 57 3 2 5 4 4 2 2" xfId="47728"/>
    <cellStyle name="Normal 57 3 2 5 4 4 3" xfId="33650"/>
    <cellStyle name="Normal 57 3 2 5 4 5" xfId="17168"/>
    <cellStyle name="Normal 57 3 2 5 4 5 2" xfId="42721"/>
    <cellStyle name="Normal 57 3 2 5 4 6" xfId="28658"/>
    <cellStyle name="Normal 57 3 2 5 5" xfId="4146"/>
    <cellStyle name="Normal 57 3 2 5 5 2" xfId="12984"/>
    <cellStyle name="Normal 57 3 2 5 5 2 2" xfId="23235"/>
    <cellStyle name="Normal 57 3 2 5 5 2 2 2" xfId="48788"/>
    <cellStyle name="Normal 57 3 2 5 5 2 3" xfId="38539"/>
    <cellStyle name="Normal 57 3 2 5 5 3" xfId="9405"/>
    <cellStyle name="Normal 57 3 2 5 5 3 2" xfId="34962"/>
    <cellStyle name="Normal 57 3 2 5 5 4" xfId="18228"/>
    <cellStyle name="Normal 57 3 2 5 5 4 2" xfId="43781"/>
    <cellStyle name="Normal 57 3 2 5 5 5" xfId="29718"/>
    <cellStyle name="Normal 57 3 2 5 6" xfId="1923"/>
    <cellStyle name="Normal 57 3 2 5 6 2" xfId="11288"/>
    <cellStyle name="Normal 57 3 2 5 6 2 2" xfId="36843"/>
    <cellStyle name="Normal 57 3 2 5 6 3" xfId="21292"/>
    <cellStyle name="Normal 57 3 2 5 6 3 2" xfId="46845"/>
    <cellStyle name="Normal 57 3 2 5 6 4" xfId="27775"/>
    <cellStyle name="Normal 57 3 2 5 7" xfId="5604"/>
    <cellStyle name="Normal 57 3 2 5 7 2" xfId="14431"/>
    <cellStyle name="Normal 57 3 2 5 7 2 2" xfId="39986"/>
    <cellStyle name="Normal 57 3 2 5 7 3" xfId="24682"/>
    <cellStyle name="Normal 57 3 2 5 7 3 2" xfId="50235"/>
    <cellStyle name="Normal 57 3 2 5 7 4" xfId="31165"/>
    <cellStyle name="Normal 57 3 2 5 8" xfId="7048"/>
    <cellStyle name="Normal 57 3 2 5 8 2" xfId="19774"/>
    <cellStyle name="Normal 57 3 2 5 8 2 2" xfId="45327"/>
    <cellStyle name="Normal 57 3 2 5 8 3" xfId="32605"/>
    <cellStyle name="Normal 57 3 2 5 9" xfId="16285"/>
    <cellStyle name="Normal 57 3 2 5 9 2" xfId="41838"/>
    <cellStyle name="Normal 57 3 2 5_Degree data" xfId="3944"/>
    <cellStyle name="Normal 57 3 2 6" xfId="832"/>
    <cellStyle name="Normal 57 3 2 6 2" xfId="3317"/>
    <cellStyle name="Normal 57 3 2 6 2 2" xfId="12459"/>
    <cellStyle name="Normal 57 3 2 6 2 2 2" xfId="22678"/>
    <cellStyle name="Normal 57 3 2 6 2 2 2 2" xfId="48231"/>
    <cellStyle name="Normal 57 3 2 6 2 2 3" xfId="38014"/>
    <cellStyle name="Normal 57 3 2 6 2 3" xfId="8881"/>
    <cellStyle name="Normal 57 3 2 6 2 3 2" xfId="34438"/>
    <cellStyle name="Normal 57 3 2 6 2 4" xfId="17671"/>
    <cellStyle name="Normal 57 3 2 6 2 4 2" xfId="43224"/>
    <cellStyle name="Normal 57 3 2 6 2 5" xfId="29161"/>
    <cellStyle name="Normal 57 3 2 6 3" xfId="4646"/>
    <cellStyle name="Normal 57 3 2 6 3 2" xfId="13484"/>
    <cellStyle name="Normal 57 3 2 6 3 2 2" xfId="23735"/>
    <cellStyle name="Normal 57 3 2 6 3 2 2 2" xfId="49288"/>
    <cellStyle name="Normal 57 3 2 6 3 2 3" xfId="39039"/>
    <cellStyle name="Normal 57 3 2 6 3 3" xfId="9905"/>
    <cellStyle name="Normal 57 3 2 6 3 3 2" xfId="35462"/>
    <cellStyle name="Normal 57 3 2 6 3 4" xfId="18728"/>
    <cellStyle name="Normal 57 3 2 6 3 4 2" xfId="44281"/>
    <cellStyle name="Normal 57 3 2 6 3 5" xfId="30218"/>
    <cellStyle name="Normal 57 3 2 6 4" xfId="2426"/>
    <cellStyle name="Normal 57 3 2 6 4 2" xfId="11791"/>
    <cellStyle name="Normal 57 3 2 6 4 2 2" xfId="37346"/>
    <cellStyle name="Normal 57 3 2 6 4 3" xfId="21795"/>
    <cellStyle name="Normal 57 3 2 6 4 3 2" xfId="47348"/>
    <cellStyle name="Normal 57 3 2 6 4 4" xfId="28278"/>
    <cellStyle name="Normal 57 3 2 6 5" xfId="6102"/>
    <cellStyle name="Normal 57 3 2 6 5 2" xfId="14929"/>
    <cellStyle name="Normal 57 3 2 6 5 2 2" xfId="40484"/>
    <cellStyle name="Normal 57 3 2 6 5 3" xfId="25180"/>
    <cellStyle name="Normal 57 3 2 6 5 3 2" xfId="50733"/>
    <cellStyle name="Normal 57 3 2 6 5 4" xfId="31663"/>
    <cellStyle name="Normal 57 3 2 6 6" xfId="7547"/>
    <cellStyle name="Normal 57 3 2 6 6 2" xfId="20277"/>
    <cellStyle name="Normal 57 3 2 6 6 2 2" xfId="45830"/>
    <cellStyle name="Normal 57 3 2 6 6 3" xfId="33104"/>
    <cellStyle name="Normal 57 3 2 6 7" xfId="16788"/>
    <cellStyle name="Normal 57 3 2 6 7 2" xfId="42341"/>
    <cellStyle name="Normal 57 3 2 6 8" xfId="26760"/>
    <cellStyle name="Normal 57 3 2 7" xfId="1055"/>
    <cellStyle name="Normal 57 3 2 7 2" xfId="3484"/>
    <cellStyle name="Normal 57 3 2 7 2 2" xfId="12620"/>
    <cellStyle name="Normal 57 3 2 7 2 2 2" xfId="22839"/>
    <cellStyle name="Normal 57 3 2 7 2 2 2 2" xfId="48392"/>
    <cellStyle name="Normal 57 3 2 7 2 2 3" xfId="38175"/>
    <cellStyle name="Normal 57 3 2 7 2 3" xfId="9042"/>
    <cellStyle name="Normal 57 3 2 7 2 3 2" xfId="34599"/>
    <cellStyle name="Normal 57 3 2 7 2 4" xfId="17832"/>
    <cellStyle name="Normal 57 3 2 7 2 4 2" xfId="43385"/>
    <cellStyle name="Normal 57 3 2 7 2 5" xfId="29322"/>
    <cellStyle name="Normal 57 3 2 7 3" xfId="4995"/>
    <cellStyle name="Normal 57 3 2 7 3 2" xfId="13832"/>
    <cellStyle name="Normal 57 3 2 7 3 2 2" xfId="24083"/>
    <cellStyle name="Normal 57 3 2 7 3 2 2 2" xfId="49636"/>
    <cellStyle name="Normal 57 3 2 7 3 2 3" xfId="39387"/>
    <cellStyle name="Normal 57 3 2 7 3 3" xfId="10253"/>
    <cellStyle name="Normal 57 3 2 7 3 3 2" xfId="35810"/>
    <cellStyle name="Normal 57 3 2 7 3 4" xfId="19076"/>
    <cellStyle name="Normal 57 3 2 7 3 4 2" xfId="44629"/>
    <cellStyle name="Normal 57 3 2 7 3 5" xfId="30566"/>
    <cellStyle name="Normal 57 3 2 7 4" xfId="1757"/>
    <cellStyle name="Normal 57 3 2 7 4 2" xfId="11128"/>
    <cellStyle name="Normal 57 3 2 7 4 2 2" xfId="36683"/>
    <cellStyle name="Normal 57 3 2 7 4 3" xfId="21132"/>
    <cellStyle name="Normal 57 3 2 7 4 3 2" xfId="46685"/>
    <cellStyle name="Normal 57 3 2 7 4 4" xfId="27615"/>
    <cellStyle name="Normal 57 3 2 7 5" xfId="6450"/>
    <cellStyle name="Normal 57 3 2 7 5 2" xfId="15277"/>
    <cellStyle name="Normal 57 3 2 7 5 2 2" xfId="40832"/>
    <cellStyle name="Normal 57 3 2 7 5 3" xfId="25528"/>
    <cellStyle name="Normal 57 3 2 7 5 3 2" xfId="51081"/>
    <cellStyle name="Normal 57 3 2 7 5 4" xfId="32011"/>
    <cellStyle name="Normal 57 3 2 7 6" xfId="7896"/>
    <cellStyle name="Normal 57 3 2 7 6 2" xfId="20438"/>
    <cellStyle name="Normal 57 3 2 7 6 2 2" xfId="45991"/>
    <cellStyle name="Normal 57 3 2 7 6 3" xfId="33453"/>
    <cellStyle name="Normal 57 3 2 7 7" xfId="16125"/>
    <cellStyle name="Normal 57 3 2 7 7 2" xfId="41678"/>
    <cellStyle name="Normal 57 3 2 7 8" xfId="26921"/>
    <cellStyle name="Normal 57 3 2 8" xfId="2654"/>
    <cellStyle name="Normal 57 3 2 8 2" xfId="5147"/>
    <cellStyle name="Normal 57 3 2 8 2 2" xfId="13984"/>
    <cellStyle name="Normal 57 3 2 8 2 2 2" xfId="24235"/>
    <cellStyle name="Normal 57 3 2 8 2 2 2 2" xfId="49788"/>
    <cellStyle name="Normal 57 3 2 8 2 2 3" xfId="39539"/>
    <cellStyle name="Normal 57 3 2 8 2 3" xfId="10405"/>
    <cellStyle name="Normal 57 3 2 8 2 3 2" xfId="35962"/>
    <cellStyle name="Normal 57 3 2 8 2 4" xfId="19228"/>
    <cellStyle name="Normal 57 3 2 8 2 4 2" xfId="44781"/>
    <cellStyle name="Normal 57 3 2 8 2 5" xfId="30718"/>
    <cellStyle name="Normal 57 3 2 8 3" xfId="6602"/>
    <cellStyle name="Normal 57 3 2 8 3 2" xfId="15429"/>
    <cellStyle name="Normal 57 3 2 8 3 2 2" xfId="40984"/>
    <cellStyle name="Normal 57 3 2 8 3 3" xfId="25680"/>
    <cellStyle name="Normal 57 3 2 8 3 3 2" xfId="51233"/>
    <cellStyle name="Normal 57 3 2 8 3 4" xfId="32163"/>
    <cellStyle name="Normal 57 3 2 8 4" xfId="8048"/>
    <cellStyle name="Normal 57 3 2 8 4 2" xfId="22015"/>
    <cellStyle name="Normal 57 3 2 8 4 2 2" xfId="47568"/>
    <cellStyle name="Normal 57 3 2 8 4 3" xfId="33605"/>
    <cellStyle name="Normal 57 3 2 8 5" xfId="17008"/>
    <cellStyle name="Normal 57 3 2 8 5 2" xfId="42561"/>
    <cellStyle name="Normal 57 3 2 8 6" xfId="28498"/>
    <cellStyle name="Normal 57 3 2 9" xfId="4101"/>
    <cellStyle name="Normal 57 3 2 9 2" xfId="5559"/>
    <cellStyle name="Normal 57 3 2 9 2 2" xfId="14386"/>
    <cellStyle name="Normal 57 3 2 9 2 2 2" xfId="39941"/>
    <cellStyle name="Normal 57 3 2 9 2 3" xfId="24637"/>
    <cellStyle name="Normal 57 3 2 9 2 3 2" xfId="50190"/>
    <cellStyle name="Normal 57 3 2 9 2 4" xfId="31120"/>
    <cellStyle name="Normal 57 3 2 9 3" xfId="7003"/>
    <cellStyle name="Normal 57 3 2 9 3 2" xfId="23190"/>
    <cellStyle name="Normal 57 3 2 9 3 2 2" xfId="48743"/>
    <cellStyle name="Normal 57 3 2 9 3 3" xfId="32560"/>
    <cellStyle name="Normal 57 3 2 9 4" xfId="18183"/>
    <cellStyle name="Normal 57 3 2 9 4 2" xfId="43736"/>
    <cellStyle name="Normal 57 3 2 9 5" xfId="29673"/>
    <cellStyle name="Normal 57 3 2_Degree data" xfId="3938"/>
    <cellStyle name="Normal 57 3 3" xfId="138"/>
    <cellStyle name="Normal 57 3 3 10" xfId="1406"/>
    <cellStyle name="Normal 57 3 3 10 2" xfId="10783"/>
    <cellStyle name="Normal 57 3 3 10 2 2" xfId="36338"/>
    <cellStyle name="Normal 57 3 3 10 3" xfId="20787"/>
    <cellStyle name="Normal 57 3 3 10 3 2" xfId="46340"/>
    <cellStyle name="Normal 57 3 3 10 4" xfId="27270"/>
    <cellStyle name="Normal 57 3 3 11" xfId="5517"/>
    <cellStyle name="Normal 57 3 3 11 2" xfId="14344"/>
    <cellStyle name="Normal 57 3 3 11 2 2" xfId="39899"/>
    <cellStyle name="Normal 57 3 3 11 3" xfId="24595"/>
    <cellStyle name="Normal 57 3 3 11 3 2" xfId="50148"/>
    <cellStyle name="Normal 57 3 3 11 4" xfId="31078"/>
    <cellStyle name="Normal 57 3 3 12" xfId="6957"/>
    <cellStyle name="Normal 57 3 3 12 2" xfId="19602"/>
    <cellStyle name="Normal 57 3 3 12 2 2" xfId="45155"/>
    <cellStyle name="Normal 57 3 3 12 3" xfId="32515"/>
    <cellStyle name="Normal 57 3 3 13" xfId="15780"/>
    <cellStyle name="Normal 57 3 3 13 2" xfId="41333"/>
    <cellStyle name="Normal 57 3 3 14" xfId="26085"/>
    <cellStyle name="Normal 57 3 3 2" xfId="188"/>
    <cellStyle name="Normal 57 3 3 2 10" xfId="7136"/>
    <cellStyle name="Normal 57 3 3 2 10 2" xfId="19645"/>
    <cellStyle name="Normal 57 3 3 2 10 2 2" xfId="45198"/>
    <cellStyle name="Normal 57 3 3 2 10 3" xfId="32693"/>
    <cellStyle name="Normal 57 3 3 2 11" xfId="15882"/>
    <cellStyle name="Normal 57 3 3 2 11 2" xfId="41435"/>
    <cellStyle name="Normal 57 3 3 2 12" xfId="26128"/>
    <cellStyle name="Normal 57 3 3 2 2" xfId="516"/>
    <cellStyle name="Normal 57 3 3 2 2 10" xfId="26445"/>
    <cellStyle name="Normal 57 3 3 2 2 2" xfId="841"/>
    <cellStyle name="Normal 57 3 3 2 2 2 2" xfId="3326"/>
    <cellStyle name="Normal 57 3 3 2 2 2 2 2" xfId="12468"/>
    <cellStyle name="Normal 57 3 3 2 2 2 2 2 2" xfId="22687"/>
    <cellStyle name="Normal 57 3 3 2 2 2 2 2 2 2" xfId="48240"/>
    <cellStyle name="Normal 57 3 3 2 2 2 2 2 3" xfId="38023"/>
    <cellStyle name="Normal 57 3 3 2 2 2 2 3" xfId="8890"/>
    <cellStyle name="Normal 57 3 3 2 2 2 2 3 2" xfId="34447"/>
    <cellStyle name="Normal 57 3 3 2 2 2 2 4" xfId="17680"/>
    <cellStyle name="Normal 57 3 3 2 2 2 2 4 2" xfId="43233"/>
    <cellStyle name="Normal 57 3 3 2 2 2 2 5" xfId="29170"/>
    <cellStyle name="Normal 57 3 3 2 2 2 3" xfId="4655"/>
    <cellStyle name="Normal 57 3 3 2 2 2 3 2" xfId="13493"/>
    <cellStyle name="Normal 57 3 3 2 2 2 3 2 2" xfId="23744"/>
    <cellStyle name="Normal 57 3 3 2 2 2 3 2 2 2" xfId="49297"/>
    <cellStyle name="Normal 57 3 3 2 2 2 3 2 3" xfId="39048"/>
    <cellStyle name="Normal 57 3 3 2 2 2 3 3" xfId="9914"/>
    <cellStyle name="Normal 57 3 3 2 2 2 3 3 2" xfId="35471"/>
    <cellStyle name="Normal 57 3 3 2 2 2 3 4" xfId="18737"/>
    <cellStyle name="Normal 57 3 3 2 2 2 3 4 2" xfId="44290"/>
    <cellStyle name="Normal 57 3 3 2 2 2 3 5" xfId="30227"/>
    <cellStyle name="Normal 57 3 3 2 2 2 4" xfId="2435"/>
    <cellStyle name="Normal 57 3 3 2 2 2 4 2" xfId="11800"/>
    <cellStyle name="Normal 57 3 3 2 2 2 4 2 2" xfId="37355"/>
    <cellStyle name="Normal 57 3 3 2 2 2 4 3" xfId="21804"/>
    <cellStyle name="Normal 57 3 3 2 2 2 4 3 2" xfId="47357"/>
    <cellStyle name="Normal 57 3 3 2 2 2 4 4" xfId="28287"/>
    <cellStyle name="Normal 57 3 3 2 2 2 5" xfId="6111"/>
    <cellStyle name="Normal 57 3 3 2 2 2 5 2" xfId="14938"/>
    <cellStyle name="Normal 57 3 3 2 2 2 5 2 2" xfId="40493"/>
    <cellStyle name="Normal 57 3 3 2 2 2 5 3" xfId="25189"/>
    <cellStyle name="Normal 57 3 3 2 2 2 5 3 2" xfId="50742"/>
    <cellStyle name="Normal 57 3 3 2 2 2 5 4" xfId="31672"/>
    <cellStyle name="Normal 57 3 3 2 2 2 6" xfId="7556"/>
    <cellStyle name="Normal 57 3 3 2 2 2 6 2" xfId="20286"/>
    <cellStyle name="Normal 57 3 3 2 2 2 6 2 2" xfId="45839"/>
    <cellStyle name="Normal 57 3 3 2 2 2 6 3" xfId="33113"/>
    <cellStyle name="Normal 57 3 3 2 2 2 7" xfId="16797"/>
    <cellStyle name="Normal 57 3 3 2 2 2 7 2" xfId="42350"/>
    <cellStyle name="Normal 57 3 3 2 2 2 8" xfId="26769"/>
    <cellStyle name="Normal 57 3 3 2 2 3" xfId="1288"/>
    <cellStyle name="Normal 57 3 3 2 2 3 2" xfId="3717"/>
    <cellStyle name="Normal 57 3 3 2 2 3 2 2" xfId="12853"/>
    <cellStyle name="Normal 57 3 3 2 2 3 2 2 2" xfId="23072"/>
    <cellStyle name="Normal 57 3 3 2 2 3 2 2 2 2" xfId="48625"/>
    <cellStyle name="Normal 57 3 3 2 2 3 2 2 3" xfId="38408"/>
    <cellStyle name="Normal 57 3 3 2 2 3 2 3" xfId="9274"/>
    <cellStyle name="Normal 57 3 3 2 2 3 2 3 2" xfId="34831"/>
    <cellStyle name="Normal 57 3 3 2 2 3 2 4" xfId="18065"/>
    <cellStyle name="Normal 57 3 3 2 2 3 2 4 2" xfId="43618"/>
    <cellStyle name="Normal 57 3 3 2 2 3 2 5" xfId="29555"/>
    <cellStyle name="Normal 57 3 3 2 2 3 3" xfId="5004"/>
    <cellStyle name="Normal 57 3 3 2 2 3 3 2" xfId="13841"/>
    <cellStyle name="Normal 57 3 3 2 2 3 3 2 2" xfId="24092"/>
    <cellStyle name="Normal 57 3 3 2 2 3 3 2 2 2" xfId="49645"/>
    <cellStyle name="Normal 57 3 3 2 2 3 3 2 3" xfId="39396"/>
    <cellStyle name="Normal 57 3 3 2 2 3 3 3" xfId="10262"/>
    <cellStyle name="Normal 57 3 3 2 2 3 3 3 2" xfId="35819"/>
    <cellStyle name="Normal 57 3 3 2 2 3 3 4" xfId="19085"/>
    <cellStyle name="Normal 57 3 3 2 2 3 3 4 2" xfId="44638"/>
    <cellStyle name="Normal 57 3 3 2 2 3 3 5" xfId="30575"/>
    <cellStyle name="Normal 57 3 3 2 2 3 4" xfId="2111"/>
    <cellStyle name="Normal 57 3 3 2 2 3 4 2" xfId="11476"/>
    <cellStyle name="Normal 57 3 3 2 2 3 4 2 2" xfId="37031"/>
    <cellStyle name="Normal 57 3 3 2 2 3 4 3" xfId="21480"/>
    <cellStyle name="Normal 57 3 3 2 2 3 4 3 2" xfId="47033"/>
    <cellStyle name="Normal 57 3 3 2 2 3 4 4" xfId="27963"/>
    <cellStyle name="Normal 57 3 3 2 2 3 5" xfId="6459"/>
    <cellStyle name="Normal 57 3 3 2 2 3 5 2" xfId="15286"/>
    <cellStyle name="Normal 57 3 3 2 2 3 5 2 2" xfId="40841"/>
    <cellStyle name="Normal 57 3 3 2 2 3 5 3" xfId="25537"/>
    <cellStyle name="Normal 57 3 3 2 2 3 5 3 2" xfId="51090"/>
    <cellStyle name="Normal 57 3 3 2 2 3 5 4" xfId="32020"/>
    <cellStyle name="Normal 57 3 3 2 2 3 6" xfId="7905"/>
    <cellStyle name="Normal 57 3 3 2 2 3 6 2" xfId="20671"/>
    <cellStyle name="Normal 57 3 3 2 2 3 6 2 2" xfId="46224"/>
    <cellStyle name="Normal 57 3 3 2 2 3 6 3" xfId="33462"/>
    <cellStyle name="Normal 57 3 3 2 2 3 7" xfId="16473"/>
    <cellStyle name="Normal 57 3 3 2 2 3 7 2" xfId="42026"/>
    <cellStyle name="Normal 57 3 3 2 2 3 8" xfId="27154"/>
    <cellStyle name="Normal 57 3 3 2 2 4" xfId="3002"/>
    <cellStyle name="Normal 57 3 3 2 2 4 2" xfId="5380"/>
    <cellStyle name="Normal 57 3 3 2 2 4 2 2" xfId="14217"/>
    <cellStyle name="Normal 57 3 3 2 2 4 2 2 2" xfId="24468"/>
    <cellStyle name="Normal 57 3 3 2 2 4 2 2 2 2" xfId="50021"/>
    <cellStyle name="Normal 57 3 3 2 2 4 2 2 3" xfId="39772"/>
    <cellStyle name="Normal 57 3 3 2 2 4 2 3" xfId="10638"/>
    <cellStyle name="Normal 57 3 3 2 2 4 2 3 2" xfId="36195"/>
    <cellStyle name="Normal 57 3 3 2 2 4 2 4" xfId="19461"/>
    <cellStyle name="Normal 57 3 3 2 2 4 2 4 2" xfId="45014"/>
    <cellStyle name="Normal 57 3 3 2 2 4 2 5" xfId="30951"/>
    <cellStyle name="Normal 57 3 3 2 2 4 3" xfId="6835"/>
    <cellStyle name="Normal 57 3 3 2 2 4 3 2" xfId="15662"/>
    <cellStyle name="Normal 57 3 3 2 2 4 3 2 2" xfId="41217"/>
    <cellStyle name="Normal 57 3 3 2 2 4 3 3" xfId="25913"/>
    <cellStyle name="Normal 57 3 3 2 2 4 3 3 2" xfId="51466"/>
    <cellStyle name="Normal 57 3 3 2 2 4 3 4" xfId="32396"/>
    <cellStyle name="Normal 57 3 3 2 2 4 4" xfId="8281"/>
    <cellStyle name="Normal 57 3 3 2 2 4 4 2" xfId="22363"/>
    <cellStyle name="Normal 57 3 3 2 2 4 4 2 2" xfId="47916"/>
    <cellStyle name="Normal 57 3 3 2 2 4 4 3" xfId="33838"/>
    <cellStyle name="Normal 57 3 3 2 2 4 5" xfId="17356"/>
    <cellStyle name="Normal 57 3 3 2 2 4 5 2" xfId="42909"/>
    <cellStyle name="Normal 57 3 3 2 2 4 6" xfId="28846"/>
    <cellStyle name="Normal 57 3 3 2 2 5" xfId="4336"/>
    <cellStyle name="Normal 57 3 3 2 2 5 2" xfId="13174"/>
    <cellStyle name="Normal 57 3 3 2 2 5 2 2" xfId="23425"/>
    <cellStyle name="Normal 57 3 3 2 2 5 2 2 2" xfId="48978"/>
    <cellStyle name="Normal 57 3 3 2 2 5 2 3" xfId="38729"/>
    <cellStyle name="Normal 57 3 3 2 2 5 3" xfId="9595"/>
    <cellStyle name="Normal 57 3 3 2 2 5 3 2" xfId="35152"/>
    <cellStyle name="Normal 57 3 3 2 2 5 4" xfId="18418"/>
    <cellStyle name="Normal 57 3 3 2 2 5 4 2" xfId="43971"/>
    <cellStyle name="Normal 57 3 3 2 2 5 5" xfId="29908"/>
    <cellStyle name="Normal 57 3 3 2 2 6" xfId="1608"/>
    <cellStyle name="Normal 57 3 3 2 2 6 2" xfId="10985"/>
    <cellStyle name="Normal 57 3 3 2 2 6 2 2" xfId="36540"/>
    <cellStyle name="Normal 57 3 3 2 2 6 3" xfId="20989"/>
    <cellStyle name="Normal 57 3 3 2 2 6 3 2" xfId="46542"/>
    <cellStyle name="Normal 57 3 3 2 2 6 4" xfId="27472"/>
    <cellStyle name="Normal 57 3 3 2 2 7" xfId="5792"/>
    <cellStyle name="Normal 57 3 3 2 2 7 2" xfId="14619"/>
    <cellStyle name="Normal 57 3 3 2 2 7 2 2" xfId="40174"/>
    <cellStyle name="Normal 57 3 3 2 2 7 3" xfId="24870"/>
    <cellStyle name="Normal 57 3 3 2 2 7 3 2" xfId="50423"/>
    <cellStyle name="Normal 57 3 3 2 2 7 4" xfId="31353"/>
    <cellStyle name="Normal 57 3 3 2 2 8" xfId="7236"/>
    <cellStyle name="Normal 57 3 3 2 2 8 2" xfId="19962"/>
    <cellStyle name="Normal 57 3 3 2 2 8 2 2" xfId="45515"/>
    <cellStyle name="Normal 57 3 3 2 2 8 3" xfId="32793"/>
    <cellStyle name="Normal 57 3 3 2 2 9" xfId="15982"/>
    <cellStyle name="Normal 57 3 3 2 2 9 2" xfId="41535"/>
    <cellStyle name="Normal 57 3 3 2 2_Degree data" xfId="3947"/>
    <cellStyle name="Normal 57 3 3 2 3" xfId="416"/>
    <cellStyle name="Normal 57 3 3 2 3 2" xfId="2902"/>
    <cellStyle name="Normal 57 3 3 2 3 2 2" xfId="12190"/>
    <cellStyle name="Normal 57 3 3 2 3 2 2 2" xfId="22263"/>
    <cellStyle name="Normal 57 3 3 2 3 2 2 2 2" xfId="47816"/>
    <cellStyle name="Normal 57 3 3 2 3 2 2 3" xfId="37745"/>
    <cellStyle name="Normal 57 3 3 2 3 2 3" xfId="8513"/>
    <cellStyle name="Normal 57 3 3 2 3 2 3 2" xfId="34070"/>
    <cellStyle name="Normal 57 3 3 2 3 2 4" xfId="17256"/>
    <cellStyle name="Normal 57 3 3 2 3 2 4 2" xfId="42809"/>
    <cellStyle name="Normal 57 3 3 2 3 2 5" xfId="28746"/>
    <cellStyle name="Normal 57 3 3 2 3 3" xfId="4654"/>
    <cellStyle name="Normal 57 3 3 2 3 3 2" xfId="13492"/>
    <cellStyle name="Normal 57 3 3 2 3 3 2 2" xfId="23743"/>
    <cellStyle name="Normal 57 3 3 2 3 3 2 2 2" xfId="49296"/>
    <cellStyle name="Normal 57 3 3 2 3 3 2 3" xfId="39047"/>
    <cellStyle name="Normal 57 3 3 2 3 3 3" xfId="9913"/>
    <cellStyle name="Normal 57 3 3 2 3 3 3 2" xfId="35470"/>
    <cellStyle name="Normal 57 3 3 2 3 3 4" xfId="18736"/>
    <cellStyle name="Normal 57 3 3 2 3 3 4 2" xfId="44289"/>
    <cellStyle name="Normal 57 3 3 2 3 3 5" xfId="30226"/>
    <cellStyle name="Normal 57 3 3 2 3 4" xfId="2011"/>
    <cellStyle name="Normal 57 3 3 2 3 4 2" xfId="11376"/>
    <cellStyle name="Normal 57 3 3 2 3 4 2 2" xfId="36931"/>
    <cellStyle name="Normal 57 3 3 2 3 4 3" xfId="21380"/>
    <cellStyle name="Normal 57 3 3 2 3 4 3 2" xfId="46933"/>
    <cellStyle name="Normal 57 3 3 2 3 4 4" xfId="27863"/>
    <cellStyle name="Normal 57 3 3 2 3 5" xfId="6110"/>
    <cellStyle name="Normal 57 3 3 2 3 5 2" xfId="14937"/>
    <cellStyle name="Normal 57 3 3 2 3 5 2 2" xfId="40492"/>
    <cellStyle name="Normal 57 3 3 2 3 5 3" xfId="25188"/>
    <cellStyle name="Normal 57 3 3 2 3 5 3 2" xfId="50741"/>
    <cellStyle name="Normal 57 3 3 2 3 5 4" xfId="31671"/>
    <cellStyle name="Normal 57 3 3 2 3 6" xfId="7555"/>
    <cellStyle name="Normal 57 3 3 2 3 6 2" xfId="19862"/>
    <cellStyle name="Normal 57 3 3 2 3 6 2 2" xfId="45415"/>
    <cellStyle name="Normal 57 3 3 2 3 6 3" xfId="33112"/>
    <cellStyle name="Normal 57 3 3 2 3 7" xfId="16373"/>
    <cellStyle name="Normal 57 3 3 2 3 7 2" xfId="41926"/>
    <cellStyle name="Normal 57 3 3 2 3 8" xfId="26345"/>
    <cellStyle name="Normal 57 3 3 2 4" xfId="840"/>
    <cellStyle name="Normal 57 3 3 2 4 2" xfId="3325"/>
    <cellStyle name="Normal 57 3 3 2 4 2 2" xfId="12467"/>
    <cellStyle name="Normal 57 3 3 2 4 2 2 2" xfId="22686"/>
    <cellStyle name="Normal 57 3 3 2 4 2 2 2 2" xfId="48239"/>
    <cellStyle name="Normal 57 3 3 2 4 2 2 3" xfId="38022"/>
    <cellStyle name="Normal 57 3 3 2 4 2 3" xfId="8889"/>
    <cellStyle name="Normal 57 3 3 2 4 2 3 2" xfId="34446"/>
    <cellStyle name="Normal 57 3 3 2 4 2 4" xfId="17679"/>
    <cellStyle name="Normal 57 3 3 2 4 2 4 2" xfId="43232"/>
    <cellStyle name="Normal 57 3 3 2 4 2 5" xfId="29169"/>
    <cellStyle name="Normal 57 3 3 2 4 3" xfId="5003"/>
    <cellStyle name="Normal 57 3 3 2 4 3 2" xfId="13840"/>
    <cellStyle name="Normal 57 3 3 2 4 3 2 2" xfId="24091"/>
    <cellStyle name="Normal 57 3 3 2 4 3 2 2 2" xfId="49644"/>
    <cellStyle name="Normal 57 3 3 2 4 3 2 3" xfId="39395"/>
    <cellStyle name="Normal 57 3 3 2 4 3 3" xfId="10261"/>
    <cellStyle name="Normal 57 3 3 2 4 3 3 2" xfId="35818"/>
    <cellStyle name="Normal 57 3 3 2 4 3 4" xfId="19084"/>
    <cellStyle name="Normal 57 3 3 2 4 3 4 2" xfId="44637"/>
    <cellStyle name="Normal 57 3 3 2 4 3 5" xfId="30574"/>
    <cellStyle name="Normal 57 3 3 2 4 4" xfId="2434"/>
    <cellStyle name="Normal 57 3 3 2 4 4 2" xfId="11799"/>
    <cellStyle name="Normal 57 3 3 2 4 4 2 2" xfId="37354"/>
    <cellStyle name="Normal 57 3 3 2 4 4 3" xfId="21803"/>
    <cellStyle name="Normal 57 3 3 2 4 4 3 2" xfId="47356"/>
    <cellStyle name="Normal 57 3 3 2 4 4 4" xfId="28286"/>
    <cellStyle name="Normal 57 3 3 2 4 5" xfId="6458"/>
    <cellStyle name="Normal 57 3 3 2 4 5 2" xfId="15285"/>
    <cellStyle name="Normal 57 3 3 2 4 5 2 2" xfId="40840"/>
    <cellStyle name="Normal 57 3 3 2 4 5 3" xfId="25536"/>
    <cellStyle name="Normal 57 3 3 2 4 5 3 2" xfId="51089"/>
    <cellStyle name="Normal 57 3 3 2 4 5 4" xfId="32019"/>
    <cellStyle name="Normal 57 3 3 2 4 6" xfId="7904"/>
    <cellStyle name="Normal 57 3 3 2 4 6 2" xfId="20285"/>
    <cellStyle name="Normal 57 3 3 2 4 6 2 2" xfId="45838"/>
    <cellStyle name="Normal 57 3 3 2 4 6 3" xfId="33461"/>
    <cellStyle name="Normal 57 3 3 2 4 7" xfId="16796"/>
    <cellStyle name="Normal 57 3 3 2 4 7 2" xfId="42349"/>
    <cellStyle name="Normal 57 3 3 2 4 8" xfId="26768"/>
    <cellStyle name="Normal 57 3 3 2 5" xfId="1188"/>
    <cellStyle name="Normal 57 3 3 2 5 2" xfId="3617"/>
    <cellStyle name="Normal 57 3 3 2 5 2 2" xfId="12753"/>
    <cellStyle name="Normal 57 3 3 2 5 2 2 2" xfId="22972"/>
    <cellStyle name="Normal 57 3 3 2 5 2 2 2 2" xfId="48525"/>
    <cellStyle name="Normal 57 3 3 2 5 2 2 3" xfId="38308"/>
    <cellStyle name="Normal 57 3 3 2 5 2 3" xfId="9174"/>
    <cellStyle name="Normal 57 3 3 2 5 2 3 2" xfId="34731"/>
    <cellStyle name="Normal 57 3 3 2 5 2 4" xfId="17965"/>
    <cellStyle name="Normal 57 3 3 2 5 2 4 2" xfId="43518"/>
    <cellStyle name="Normal 57 3 3 2 5 2 5" xfId="29455"/>
    <cellStyle name="Normal 57 3 3 2 5 3" xfId="5280"/>
    <cellStyle name="Normal 57 3 3 2 5 3 2" xfId="14117"/>
    <cellStyle name="Normal 57 3 3 2 5 3 2 2" xfId="24368"/>
    <cellStyle name="Normal 57 3 3 2 5 3 2 2 2" xfId="49921"/>
    <cellStyle name="Normal 57 3 3 2 5 3 2 3" xfId="39672"/>
    <cellStyle name="Normal 57 3 3 2 5 3 3" xfId="10538"/>
    <cellStyle name="Normal 57 3 3 2 5 3 3 2" xfId="36095"/>
    <cellStyle name="Normal 57 3 3 2 5 3 4" xfId="19361"/>
    <cellStyle name="Normal 57 3 3 2 5 3 4 2" xfId="44914"/>
    <cellStyle name="Normal 57 3 3 2 5 3 5" xfId="30851"/>
    <cellStyle name="Normal 57 3 3 2 5 4" xfId="1790"/>
    <cellStyle name="Normal 57 3 3 2 5 4 2" xfId="11159"/>
    <cellStyle name="Normal 57 3 3 2 5 4 2 2" xfId="36714"/>
    <cellStyle name="Normal 57 3 3 2 5 4 3" xfId="21163"/>
    <cellStyle name="Normal 57 3 3 2 5 4 3 2" xfId="46716"/>
    <cellStyle name="Normal 57 3 3 2 5 4 4" xfId="27646"/>
    <cellStyle name="Normal 57 3 3 2 5 5" xfId="6735"/>
    <cellStyle name="Normal 57 3 3 2 5 5 2" xfId="15562"/>
    <cellStyle name="Normal 57 3 3 2 5 5 2 2" xfId="41117"/>
    <cellStyle name="Normal 57 3 3 2 5 5 3" xfId="25813"/>
    <cellStyle name="Normal 57 3 3 2 5 5 3 2" xfId="51366"/>
    <cellStyle name="Normal 57 3 3 2 5 5 4" xfId="32296"/>
    <cellStyle name="Normal 57 3 3 2 5 6" xfId="8181"/>
    <cellStyle name="Normal 57 3 3 2 5 6 2" xfId="20571"/>
    <cellStyle name="Normal 57 3 3 2 5 6 2 2" xfId="46124"/>
    <cellStyle name="Normal 57 3 3 2 5 6 3" xfId="33738"/>
    <cellStyle name="Normal 57 3 3 2 5 7" xfId="16156"/>
    <cellStyle name="Normal 57 3 3 2 5 7 2" xfId="41709"/>
    <cellStyle name="Normal 57 3 3 2 5 8" xfId="27054"/>
    <cellStyle name="Normal 57 3 3 2 6" xfId="2685"/>
    <cellStyle name="Normal 57 3 3 2 6 2" xfId="12002"/>
    <cellStyle name="Normal 57 3 3 2 6 2 2" xfId="22046"/>
    <cellStyle name="Normal 57 3 3 2 6 2 2 2" xfId="47599"/>
    <cellStyle name="Normal 57 3 3 2 6 2 3" xfId="37557"/>
    <cellStyle name="Normal 57 3 3 2 6 3" xfId="8601"/>
    <cellStyle name="Normal 57 3 3 2 6 3 2" xfId="34158"/>
    <cellStyle name="Normal 57 3 3 2 6 4" xfId="17039"/>
    <cellStyle name="Normal 57 3 3 2 6 4 2" xfId="42592"/>
    <cellStyle name="Normal 57 3 3 2 6 5" xfId="28529"/>
    <cellStyle name="Normal 57 3 3 2 7" xfId="4236"/>
    <cellStyle name="Normal 57 3 3 2 7 2" xfId="13074"/>
    <cellStyle name="Normal 57 3 3 2 7 2 2" xfId="23325"/>
    <cellStyle name="Normal 57 3 3 2 7 2 2 2" xfId="48878"/>
    <cellStyle name="Normal 57 3 3 2 7 2 3" xfId="38629"/>
    <cellStyle name="Normal 57 3 3 2 7 3" xfId="9495"/>
    <cellStyle name="Normal 57 3 3 2 7 3 2" xfId="35052"/>
    <cellStyle name="Normal 57 3 3 2 7 4" xfId="18318"/>
    <cellStyle name="Normal 57 3 3 2 7 4 2" xfId="43871"/>
    <cellStyle name="Normal 57 3 3 2 7 5" xfId="29808"/>
    <cellStyle name="Normal 57 3 3 2 8" xfId="1508"/>
    <cellStyle name="Normal 57 3 3 2 8 2" xfId="10885"/>
    <cellStyle name="Normal 57 3 3 2 8 2 2" xfId="36440"/>
    <cellStyle name="Normal 57 3 3 2 8 3" xfId="20889"/>
    <cellStyle name="Normal 57 3 3 2 8 3 2" xfId="46442"/>
    <cellStyle name="Normal 57 3 3 2 8 4" xfId="27372"/>
    <cellStyle name="Normal 57 3 3 2 9" xfId="5692"/>
    <cellStyle name="Normal 57 3 3 2 9 2" xfId="14519"/>
    <cellStyle name="Normal 57 3 3 2 9 2 2" xfId="40074"/>
    <cellStyle name="Normal 57 3 3 2 9 3" xfId="24770"/>
    <cellStyle name="Normal 57 3 3 2 9 3 2" xfId="50323"/>
    <cellStyle name="Normal 57 3 3 2 9 4" xfId="31253"/>
    <cellStyle name="Normal 57 3 3 2_Degree data" xfId="3946"/>
    <cellStyle name="Normal 57 3 3 3" xfId="255"/>
    <cellStyle name="Normal 57 3 3 3 10" xfId="7093"/>
    <cellStyle name="Normal 57 3 3 3 10 2" xfId="19707"/>
    <cellStyle name="Normal 57 3 3 3 10 2 2" xfId="45260"/>
    <cellStyle name="Normal 57 3 3 3 10 3" xfId="32650"/>
    <cellStyle name="Normal 57 3 3 3 11" xfId="15839"/>
    <cellStyle name="Normal 57 3 3 3 11 2" xfId="41392"/>
    <cellStyle name="Normal 57 3 3 3 12" xfId="26190"/>
    <cellStyle name="Normal 57 3 3 3 2" xfId="578"/>
    <cellStyle name="Normal 57 3 3 3 2 10" xfId="26507"/>
    <cellStyle name="Normal 57 3 3 3 2 2" xfId="843"/>
    <cellStyle name="Normal 57 3 3 3 2 2 2" xfId="3328"/>
    <cellStyle name="Normal 57 3 3 3 2 2 2 2" xfId="12470"/>
    <cellStyle name="Normal 57 3 3 3 2 2 2 2 2" xfId="22689"/>
    <cellStyle name="Normal 57 3 3 3 2 2 2 2 2 2" xfId="48242"/>
    <cellStyle name="Normal 57 3 3 3 2 2 2 2 3" xfId="38025"/>
    <cellStyle name="Normal 57 3 3 3 2 2 2 3" xfId="8892"/>
    <cellStyle name="Normal 57 3 3 3 2 2 2 3 2" xfId="34449"/>
    <cellStyle name="Normal 57 3 3 3 2 2 2 4" xfId="17682"/>
    <cellStyle name="Normal 57 3 3 3 2 2 2 4 2" xfId="43235"/>
    <cellStyle name="Normal 57 3 3 3 2 2 2 5" xfId="29172"/>
    <cellStyle name="Normal 57 3 3 3 2 2 3" xfId="4657"/>
    <cellStyle name="Normal 57 3 3 3 2 2 3 2" xfId="13495"/>
    <cellStyle name="Normal 57 3 3 3 2 2 3 2 2" xfId="23746"/>
    <cellStyle name="Normal 57 3 3 3 2 2 3 2 2 2" xfId="49299"/>
    <cellStyle name="Normal 57 3 3 3 2 2 3 2 3" xfId="39050"/>
    <cellStyle name="Normal 57 3 3 3 2 2 3 3" xfId="9916"/>
    <cellStyle name="Normal 57 3 3 3 2 2 3 3 2" xfId="35473"/>
    <cellStyle name="Normal 57 3 3 3 2 2 3 4" xfId="18739"/>
    <cellStyle name="Normal 57 3 3 3 2 2 3 4 2" xfId="44292"/>
    <cellStyle name="Normal 57 3 3 3 2 2 3 5" xfId="30229"/>
    <cellStyle name="Normal 57 3 3 3 2 2 4" xfId="2437"/>
    <cellStyle name="Normal 57 3 3 3 2 2 4 2" xfId="11802"/>
    <cellStyle name="Normal 57 3 3 3 2 2 4 2 2" xfId="37357"/>
    <cellStyle name="Normal 57 3 3 3 2 2 4 3" xfId="21806"/>
    <cellStyle name="Normal 57 3 3 3 2 2 4 3 2" xfId="47359"/>
    <cellStyle name="Normal 57 3 3 3 2 2 4 4" xfId="28289"/>
    <cellStyle name="Normal 57 3 3 3 2 2 5" xfId="6113"/>
    <cellStyle name="Normal 57 3 3 3 2 2 5 2" xfId="14940"/>
    <cellStyle name="Normal 57 3 3 3 2 2 5 2 2" xfId="40495"/>
    <cellStyle name="Normal 57 3 3 3 2 2 5 3" xfId="25191"/>
    <cellStyle name="Normal 57 3 3 3 2 2 5 3 2" xfId="50744"/>
    <cellStyle name="Normal 57 3 3 3 2 2 5 4" xfId="31674"/>
    <cellStyle name="Normal 57 3 3 3 2 2 6" xfId="7558"/>
    <cellStyle name="Normal 57 3 3 3 2 2 6 2" xfId="20288"/>
    <cellStyle name="Normal 57 3 3 3 2 2 6 2 2" xfId="45841"/>
    <cellStyle name="Normal 57 3 3 3 2 2 6 3" xfId="33115"/>
    <cellStyle name="Normal 57 3 3 3 2 2 7" xfId="16799"/>
    <cellStyle name="Normal 57 3 3 3 2 2 7 2" xfId="42352"/>
    <cellStyle name="Normal 57 3 3 3 2 2 8" xfId="26771"/>
    <cellStyle name="Normal 57 3 3 3 2 3" xfId="1350"/>
    <cellStyle name="Normal 57 3 3 3 2 3 2" xfId="3779"/>
    <cellStyle name="Normal 57 3 3 3 2 3 2 2" xfId="12915"/>
    <cellStyle name="Normal 57 3 3 3 2 3 2 2 2" xfId="23134"/>
    <cellStyle name="Normal 57 3 3 3 2 3 2 2 2 2" xfId="48687"/>
    <cellStyle name="Normal 57 3 3 3 2 3 2 2 3" xfId="38470"/>
    <cellStyle name="Normal 57 3 3 3 2 3 2 3" xfId="9336"/>
    <cellStyle name="Normal 57 3 3 3 2 3 2 3 2" xfId="34893"/>
    <cellStyle name="Normal 57 3 3 3 2 3 2 4" xfId="18127"/>
    <cellStyle name="Normal 57 3 3 3 2 3 2 4 2" xfId="43680"/>
    <cellStyle name="Normal 57 3 3 3 2 3 2 5" xfId="29617"/>
    <cellStyle name="Normal 57 3 3 3 2 3 3" xfId="5006"/>
    <cellStyle name="Normal 57 3 3 3 2 3 3 2" xfId="13843"/>
    <cellStyle name="Normal 57 3 3 3 2 3 3 2 2" xfId="24094"/>
    <cellStyle name="Normal 57 3 3 3 2 3 3 2 2 2" xfId="49647"/>
    <cellStyle name="Normal 57 3 3 3 2 3 3 2 3" xfId="39398"/>
    <cellStyle name="Normal 57 3 3 3 2 3 3 3" xfId="10264"/>
    <cellStyle name="Normal 57 3 3 3 2 3 3 3 2" xfId="35821"/>
    <cellStyle name="Normal 57 3 3 3 2 3 3 4" xfId="19087"/>
    <cellStyle name="Normal 57 3 3 3 2 3 3 4 2" xfId="44640"/>
    <cellStyle name="Normal 57 3 3 3 2 3 3 5" xfId="30577"/>
    <cellStyle name="Normal 57 3 3 3 2 3 4" xfId="2173"/>
    <cellStyle name="Normal 57 3 3 3 2 3 4 2" xfId="11538"/>
    <cellStyle name="Normal 57 3 3 3 2 3 4 2 2" xfId="37093"/>
    <cellStyle name="Normal 57 3 3 3 2 3 4 3" xfId="21542"/>
    <cellStyle name="Normal 57 3 3 3 2 3 4 3 2" xfId="47095"/>
    <cellStyle name="Normal 57 3 3 3 2 3 4 4" xfId="28025"/>
    <cellStyle name="Normal 57 3 3 3 2 3 5" xfId="6461"/>
    <cellStyle name="Normal 57 3 3 3 2 3 5 2" xfId="15288"/>
    <cellStyle name="Normal 57 3 3 3 2 3 5 2 2" xfId="40843"/>
    <cellStyle name="Normal 57 3 3 3 2 3 5 3" xfId="25539"/>
    <cellStyle name="Normal 57 3 3 3 2 3 5 3 2" xfId="51092"/>
    <cellStyle name="Normal 57 3 3 3 2 3 5 4" xfId="32022"/>
    <cellStyle name="Normal 57 3 3 3 2 3 6" xfId="7907"/>
    <cellStyle name="Normal 57 3 3 3 2 3 6 2" xfId="20733"/>
    <cellStyle name="Normal 57 3 3 3 2 3 6 2 2" xfId="46286"/>
    <cellStyle name="Normal 57 3 3 3 2 3 6 3" xfId="33464"/>
    <cellStyle name="Normal 57 3 3 3 2 3 7" xfId="16535"/>
    <cellStyle name="Normal 57 3 3 3 2 3 7 2" xfId="42088"/>
    <cellStyle name="Normal 57 3 3 3 2 3 8" xfId="27216"/>
    <cellStyle name="Normal 57 3 3 3 2 4" xfId="3064"/>
    <cellStyle name="Normal 57 3 3 3 2 4 2" xfId="5442"/>
    <cellStyle name="Normal 57 3 3 3 2 4 2 2" xfId="14279"/>
    <cellStyle name="Normal 57 3 3 3 2 4 2 2 2" xfId="24530"/>
    <cellStyle name="Normal 57 3 3 3 2 4 2 2 2 2" xfId="50083"/>
    <cellStyle name="Normal 57 3 3 3 2 4 2 2 3" xfId="39834"/>
    <cellStyle name="Normal 57 3 3 3 2 4 2 3" xfId="10700"/>
    <cellStyle name="Normal 57 3 3 3 2 4 2 3 2" xfId="36257"/>
    <cellStyle name="Normal 57 3 3 3 2 4 2 4" xfId="19523"/>
    <cellStyle name="Normal 57 3 3 3 2 4 2 4 2" xfId="45076"/>
    <cellStyle name="Normal 57 3 3 3 2 4 2 5" xfId="31013"/>
    <cellStyle name="Normal 57 3 3 3 2 4 3" xfId="6897"/>
    <cellStyle name="Normal 57 3 3 3 2 4 3 2" xfId="15724"/>
    <cellStyle name="Normal 57 3 3 3 2 4 3 2 2" xfId="41279"/>
    <cellStyle name="Normal 57 3 3 3 2 4 3 3" xfId="25975"/>
    <cellStyle name="Normal 57 3 3 3 2 4 3 3 2" xfId="51528"/>
    <cellStyle name="Normal 57 3 3 3 2 4 3 4" xfId="32458"/>
    <cellStyle name="Normal 57 3 3 3 2 4 4" xfId="8343"/>
    <cellStyle name="Normal 57 3 3 3 2 4 4 2" xfId="22425"/>
    <cellStyle name="Normal 57 3 3 3 2 4 4 2 2" xfId="47978"/>
    <cellStyle name="Normal 57 3 3 3 2 4 4 3" xfId="33900"/>
    <cellStyle name="Normal 57 3 3 3 2 4 5" xfId="17418"/>
    <cellStyle name="Normal 57 3 3 3 2 4 5 2" xfId="42971"/>
    <cellStyle name="Normal 57 3 3 3 2 4 6" xfId="28908"/>
    <cellStyle name="Normal 57 3 3 3 2 5" xfId="4398"/>
    <cellStyle name="Normal 57 3 3 3 2 5 2" xfId="13236"/>
    <cellStyle name="Normal 57 3 3 3 2 5 2 2" xfId="23487"/>
    <cellStyle name="Normal 57 3 3 3 2 5 2 2 2" xfId="49040"/>
    <cellStyle name="Normal 57 3 3 3 2 5 2 3" xfId="38791"/>
    <cellStyle name="Normal 57 3 3 3 2 5 3" xfId="9657"/>
    <cellStyle name="Normal 57 3 3 3 2 5 3 2" xfId="35214"/>
    <cellStyle name="Normal 57 3 3 3 2 5 4" xfId="18480"/>
    <cellStyle name="Normal 57 3 3 3 2 5 4 2" xfId="44033"/>
    <cellStyle name="Normal 57 3 3 3 2 5 5" xfId="29970"/>
    <cellStyle name="Normal 57 3 3 3 2 6" xfId="1670"/>
    <cellStyle name="Normal 57 3 3 3 2 6 2" xfId="11047"/>
    <cellStyle name="Normal 57 3 3 3 2 6 2 2" xfId="36602"/>
    <cellStyle name="Normal 57 3 3 3 2 6 3" xfId="21051"/>
    <cellStyle name="Normal 57 3 3 3 2 6 3 2" xfId="46604"/>
    <cellStyle name="Normal 57 3 3 3 2 6 4" xfId="27534"/>
    <cellStyle name="Normal 57 3 3 3 2 7" xfId="5854"/>
    <cellStyle name="Normal 57 3 3 3 2 7 2" xfId="14681"/>
    <cellStyle name="Normal 57 3 3 3 2 7 2 2" xfId="40236"/>
    <cellStyle name="Normal 57 3 3 3 2 7 3" xfId="24932"/>
    <cellStyle name="Normal 57 3 3 3 2 7 3 2" xfId="50485"/>
    <cellStyle name="Normal 57 3 3 3 2 7 4" xfId="31415"/>
    <cellStyle name="Normal 57 3 3 3 2 8" xfId="7298"/>
    <cellStyle name="Normal 57 3 3 3 2 8 2" xfId="20024"/>
    <cellStyle name="Normal 57 3 3 3 2 8 2 2" xfId="45577"/>
    <cellStyle name="Normal 57 3 3 3 2 8 3" xfId="32855"/>
    <cellStyle name="Normal 57 3 3 3 2 9" xfId="16044"/>
    <cellStyle name="Normal 57 3 3 3 2 9 2" xfId="41597"/>
    <cellStyle name="Normal 57 3 3 3 2_Degree data" xfId="3949"/>
    <cellStyle name="Normal 57 3 3 3 3" xfId="373"/>
    <cellStyle name="Normal 57 3 3 3 3 2" xfId="2859"/>
    <cellStyle name="Normal 57 3 3 3 3 2 2" xfId="12147"/>
    <cellStyle name="Normal 57 3 3 3 3 2 2 2" xfId="22220"/>
    <cellStyle name="Normal 57 3 3 3 3 2 2 2 2" xfId="47773"/>
    <cellStyle name="Normal 57 3 3 3 3 2 2 3" xfId="37702"/>
    <cellStyle name="Normal 57 3 3 3 3 2 3" xfId="8594"/>
    <cellStyle name="Normal 57 3 3 3 3 2 3 2" xfId="34151"/>
    <cellStyle name="Normal 57 3 3 3 3 2 4" xfId="17213"/>
    <cellStyle name="Normal 57 3 3 3 3 2 4 2" xfId="42766"/>
    <cellStyle name="Normal 57 3 3 3 3 2 5" xfId="28703"/>
    <cellStyle name="Normal 57 3 3 3 3 3" xfId="4656"/>
    <cellStyle name="Normal 57 3 3 3 3 3 2" xfId="13494"/>
    <cellStyle name="Normal 57 3 3 3 3 3 2 2" xfId="23745"/>
    <cellStyle name="Normal 57 3 3 3 3 3 2 2 2" xfId="49298"/>
    <cellStyle name="Normal 57 3 3 3 3 3 2 3" xfId="39049"/>
    <cellStyle name="Normal 57 3 3 3 3 3 3" xfId="9915"/>
    <cellStyle name="Normal 57 3 3 3 3 3 3 2" xfId="35472"/>
    <cellStyle name="Normal 57 3 3 3 3 3 4" xfId="18738"/>
    <cellStyle name="Normal 57 3 3 3 3 3 4 2" xfId="44291"/>
    <cellStyle name="Normal 57 3 3 3 3 3 5" xfId="30228"/>
    <cellStyle name="Normal 57 3 3 3 3 4" xfId="1968"/>
    <cellStyle name="Normal 57 3 3 3 3 4 2" xfId="11333"/>
    <cellStyle name="Normal 57 3 3 3 3 4 2 2" xfId="36888"/>
    <cellStyle name="Normal 57 3 3 3 3 4 3" xfId="21337"/>
    <cellStyle name="Normal 57 3 3 3 3 4 3 2" xfId="46890"/>
    <cellStyle name="Normal 57 3 3 3 3 4 4" xfId="27820"/>
    <cellStyle name="Normal 57 3 3 3 3 5" xfId="6112"/>
    <cellStyle name="Normal 57 3 3 3 3 5 2" xfId="14939"/>
    <cellStyle name="Normal 57 3 3 3 3 5 2 2" xfId="40494"/>
    <cellStyle name="Normal 57 3 3 3 3 5 3" xfId="25190"/>
    <cellStyle name="Normal 57 3 3 3 3 5 3 2" xfId="50743"/>
    <cellStyle name="Normal 57 3 3 3 3 5 4" xfId="31673"/>
    <cellStyle name="Normal 57 3 3 3 3 6" xfId="7557"/>
    <cellStyle name="Normal 57 3 3 3 3 6 2" xfId="19819"/>
    <cellStyle name="Normal 57 3 3 3 3 6 2 2" xfId="45372"/>
    <cellStyle name="Normal 57 3 3 3 3 6 3" xfId="33114"/>
    <cellStyle name="Normal 57 3 3 3 3 7" xfId="16330"/>
    <cellStyle name="Normal 57 3 3 3 3 7 2" xfId="41883"/>
    <cellStyle name="Normal 57 3 3 3 3 8" xfId="26302"/>
    <cellStyle name="Normal 57 3 3 3 4" xfId="842"/>
    <cellStyle name="Normal 57 3 3 3 4 2" xfId="3327"/>
    <cellStyle name="Normal 57 3 3 3 4 2 2" xfId="12469"/>
    <cellStyle name="Normal 57 3 3 3 4 2 2 2" xfId="22688"/>
    <cellStyle name="Normal 57 3 3 3 4 2 2 2 2" xfId="48241"/>
    <cellStyle name="Normal 57 3 3 3 4 2 2 3" xfId="38024"/>
    <cellStyle name="Normal 57 3 3 3 4 2 3" xfId="8891"/>
    <cellStyle name="Normal 57 3 3 3 4 2 3 2" xfId="34448"/>
    <cellStyle name="Normal 57 3 3 3 4 2 4" xfId="17681"/>
    <cellStyle name="Normal 57 3 3 3 4 2 4 2" xfId="43234"/>
    <cellStyle name="Normal 57 3 3 3 4 2 5" xfId="29171"/>
    <cellStyle name="Normal 57 3 3 3 4 3" xfId="5005"/>
    <cellStyle name="Normal 57 3 3 3 4 3 2" xfId="13842"/>
    <cellStyle name="Normal 57 3 3 3 4 3 2 2" xfId="24093"/>
    <cellStyle name="Normal 57 3 3 3 4 3 2 2 2" xfId="49646"/>
    <cellStyle name="Normal 57 3 3 3 4 3 2 3" xfId="39397"/>
    <cellStyle name="Normal 57 3 3 3 4 3 3" xfId="10263"/>
    <cellStyle name="Normal 57 3 3 3 4 3 3 2" xfId="35820"/>
    <cellStyle name="Normal 57 3 3 3 4 3 4" xfId="19086"/>
    <cellStyle name="Normal 57 3 3 3 4 3 4 2" xfId="44639"/>
    <cellStyle name="Normal 57 3 3 3 4 3 5" xfId="30576"/>
    <cellStyle name="Normal 57 3 3 3 4 4" xfId="2436"/>
    <cellStyle name="Normal 57 3 3 3 4 4 2" xfId="11801"/>
    <cellStyle name="Normal 57 3 3 3 4 4 2 2" xfId="37356"/>
    <cellStyle name="Normal 57 3 3 3 4 4 3" xfId="21805"/>
    <cellStyle name="Normal 57 3 3 3 4 4 3 2" xfId="47358"/>
    <cellStyle name="Normal 57 3 3 3 4 4 4" xfId="28288"/>
    <cellStyle name="Normal 57 3 3 3 4 5" xfId="6460"/>
    <cellStyle name="Normal 57 3 3 3 4 5 2" xfId="15287"/>
    <cellStyle name="Normal 57 3 3 3 4 5 2 2" xfId="40842"/>
    <cellStyle name="Normal 57 3 3 3 4 5 3" xfId="25538"/>
    <cellStyle name="Normal 57 3 3 3 4 5 3 2" xfId="51091"/>
    <cellStyle name="Normal 57 3 3 3 4 5 4" xfId="32021"/>
    <cellStyle name="Normal 57 3 3 3 4 6" xfId="7906"/>
    <cellStyle name="Normal 57 3 3 3 4 6 2" xfId="20287"/>
    <cellStyle name="Normal 57 3 3 3 4 6 2 2" xfId="45840"/>
    <cellStyle name="Normal 57 3 3 3 4 6 3" xfId="33463"/>
    <cellStyle name="Normal 57 3 3 3 4 7" xfId="16798"/>
    <cellStyle name="Normal 57 3 3 3 4 7 2" xfId="42351"/>
    <cellStyle name="Normal 57 3 3 3 4 8" xfId="26770"/>
    <cellStyle name="Normal 57 3 3 3 5" xfId="1145"/>
    <cellStyle name="Normal 57 3 3 3 5 2" xfId="3574"/>
    <cellStyle name="Normal 57 3 3 3 5 2 2" xfId="12710"/>
    <cellStyle name="Normal 57 3 3 3 5 2 2 2" xfId="22929"/>
    <cellStyle name="Normal 57 3 3 3 5 2 2 2 2" xfId="48482"/>
    <cellStyle name="Normal 57 3 3 3 5 2 2 3" xfId="38265"/>
    <cellStyle name="Normal 57 3 3 3 5 2 3" xfId="9131"/>
    <cellStyle name="Normal 57 3 3 3 5 2 3 2" xfId="34688"/>
    <cellStyle name="Normal 57 3 3 3 5 2 4" xfId="17922"/>
    <cellStyle name="Normal 57 3 3 3 5 2 4 2" xfId="43475"/>
    <cellStyle name="Normal 57 3 3 3 5 2 5" xfId="29412"/>
    <cellStyle name="Normal 57 3 3 3 5 3" xfId="5237"/>
    <cellStyle name="Normal 57 3 3 3 5 3 2" xfId="14074"/>
    <cellStyle name="Normal 57 3 3 3 5 3 2 2" xfId="24325"/>
    <cellStyle name="Normal 57 3 3 3 5 3 2 2 2" xfId="49878"/>
    <cellStyle name="Normal 57 3 3 3 5 3 2 3" xfId="39629"/>
    <cellStyle name="Normal 57 3 3 3 5 3 3" xfId="10495"/>
    <cellStyle name="Normal 57 3 3 3 5 3 3 2" xfId="36052"/>
    <cellStyle name="Normal 57 3 3 3 5 3 4" xfId="19318"/>
    <cellStyle name="Normal 57 3 3 3 5 3 4 2" xfId="44871"/>
    <cellStyle name="Normal 57 3 3 3 5 3 5" xfId="30808"/>
    <cellStyle name="Normal 57 3 3 3 5 4" xfId="1853"/>
    <cellStyle name="Normal 57 3 3 3 5 4 2" xfId="11221"/>
    <cellStyle name="Normal 57 3 3 3 5 4 2 2" xfId="36776"/>
    <cellStyle name="Normal 57 3 3 3 5 4 3" xfId="21225"/>
    <cellStyle name="Normal 57 3 3 3 5 4 3 2" xfId="46778"/>
    <cellStyle name="Normal 57 3 3 3 5 4 4" xfId="27708"/>
    <cellStyle name="Normal 57 3 3 3 5 5" xfId="6692"/>
    <cellStyle name="Normal 57 3 3 3 5 5 2" xfId="15519"/>
    <cellStyle name="Normal 57 3 3 3 5 5 2 2" xfId="41074"/>
    <cellStyle name="Normal 57 3 3 3 5 5 3" xfId="25770"/>
    <cellStyle name="Normal 57 3 3 3 5 5 3 2" xfId="51323"/>
    <cellStyle name="Normal 57 3 3 3 5 5 4" xfId="32253"/>
    <cellStyle name="Normal 57 3 3 3 5 6" xfId="8138"/>
    <cellStyle name="Normal 57 3 3 3 5 6 2" xfId="20528"/>
    <cellStyle name="Normal 57 3 3 3 5 6 2 2" xfId="46081"/>
    <cellStyle name="Normal 57 3 3 3 5 6 3" xfId="33695"/>
    <cellStyle name="Normal 57 3 3 3 5 7" xfId="16218"/>
    <cellStyle name="Normal 57 3 3 3 5 7 2" xfId="41771"/>
    <cellStyle name="Normal 57 3 3 3 5 8" xfId="27011"/>
    <cellStyle name="Normal 57 3 3 3 6" xfId="2747"/>
    <cellStyle name="Normal 57 3 3 3 6 2" xfId="12064"/>
    <cellStyle name="Normal 57 3 3 3 6 2 2" xfId="22108"/>
    <cellStyle name="Normal 57 3 3 3 6 2 2 2" xfId="47661"/>
    <cellStyle name="Normal 57 3 3 3 6 2 3" xfId="37619"/>
    <cellStyle name="Normal 57 3 3 3 6 3" xfId="8599"/>
    <cellStyle name="Normal 57 3 3 3 6 3 2" xfId="34156"/>
    <cellStyle name="Normal 57 3 3 3 6 4" xfId="17101"/>
    <cellStyle name="Normal 57 3 3 3 6 4 2" xfId="42654"/>
    <cellStyle name="Normal 57 3 3 3 6 5" xfId="28591"/>
    <cellStyle name="Normal 57 3 3 3 7" xfId="4193"/>
    <cellStyle name="Normal 57 3 3 3 7 2" xfId="13031"/>
    <cellStyle name="Normal 57 3 3 3 7 2 2" xfId="23282"/>
    <cellStyle name="Normal 57 3 3 3 7 2 2 2" xfId="48835"/>
    <cellStyle name="Normal 57 3 3 3 7 2 3" xfId="38586"/>
    <cellStyle name="Normal 57 3 3 3 7 3" xfId="9452"/>
    <cellStyle name="Normal 57 3 3 3 7 3 2" xfId="35009"/>
    <cellStyle name="Normal 57 3 3 3 7 4" xfId="18275"/>
    <cellStyle name="Normal 57 3 3 3 7 4 2" xfId="43828"/>
    <cellStyle name="Normal 57 3 3 3 7 5" xfId="29765"/>
    <cellStyle name="Normal 57 3 3 3 8" xfId="1465"/>
    <cellStyle name="Normal 57 3 3 3 8 2" xfId="10842"/>
    <cellStyle name="Normal 57 3 3 3 8 2 2" xfId="36397"/>
    <cellStyle name="Normal 57 3 3 3 8 3" xfId="20846"/>
    <cellStyle name="Normal 57 3 3 3 8 3 2" xfId="46399"/>
    <cellStyle name="Normal 57 3 3 3 8 4" xfId="27329"/>
    <cellStyle name="Normal 57 3 3 3 9" xfId="5649"/>
    <cellStyle name="Normal 57 3 3 3 9 2" xfId="14476"/>
    <cellStyle name="Normal 57 3 3 3 9 2 2" xfId="40031"/>
    <cellStyle name="Normal 57 3 3 3 9 3" xfId="24727"/>
    <cellStyle name="Normal 57 3 3 3 9 3 2" xfId="50280"/>
    <cellStyle name="Normal 57 3 3 3 9 4" xfId="31210"/>
    <cellStyle name="Normal 57 3 3 3_Degree data" xfId="3948"/>
    <cellStyle name="Normal 57 3 3 4" xfId="473"/>
    <cellStyle name="Normal 57 3 3 4 10" xfId="26402"/>
    <cellStyle name="Normal 57 3 3 4 2" xfId="844"/>
    <cellStyle name="Normal 57 3 3 4 2 2" xfId="3329"/>
    <cellStyle name="Normal 57 3 3 4 2 2 2" xfId="12471"/>
    <cellStyle name="Normal 57 3 3 4 2 2 2 2" xfId="22690"/>
    <cellStyle name="Normal 57 3 3 4 2 2 2 2 2" xfId="48243"/>
    <cellStyle name="Normal 57 3 3 4 2 2 2 3" xfId="38026"/>
    <cellStyle name="Normal 57 3 3 4 2 2 3" xfId="8893"/>
    <cellStyle name="Normal 57 3 3 4 2 2 3 2" xfId="34450"/>
    <cellStyle name="Normal 57 3 3 4 2 2 4" xfId="17683"/>
    <cellStyle name="Normal 57 3 3 4 2 2 4 2" xfId="43236"/>
    <cellStyle name="Normal 57 3 3 4 2 2 5" xfId="29173"/>
    <cellStyle name="Normal 57 3 3 4 2 3" xfId="4658"/>
    <cellStyle name="Normal 57 3 3 4 2 3 2" xfId="13496"/>
    <cellStyle name="Normal 57 3 3 4 2 3 2 2" xfId="23747"/>
    <cellStyle name="Normal 57 3 3 4 2 3 2 2 2" xfId="49300"/>
    <cellStyle name="Normal 57 3 3 4 2 3 2 3" xfId="39051"/>
    <cellStyle name="Normal 57 3 3 4 2 3 3" xfId="9917"/>
    <cellStyle name="Normal 57 3 3 4 2 3 3 2" xfId="35474"/>
    <cellStyle name="Normal 57 3 3 4 2 3 4" xfId="18740"/>
    <cellStyle name="Normal 57 3 3 4 2 3 4 2" xfId="44293"/>
    <cellStyle name="Normal 57 3 3 4 2 3 5" xfId="30230"/>
    <cellStyle name="Normal 57 3 3 4 2 4" xfId="2438"/>
    <cellStyle name="Normal 57 3 3 4 2 4 2" xfId="11803"/>
    <cellStyle name="Normal 57 3 3 4 2 4 2 2" xfId="37358"/>
    <cellStyle name="Normal 57 3 3 4 2 4 3" xfId="21807"/>
    <cellStyle name="Normal 57 3 3 4 2 4 3 2" xfId="47360"/>
    <cellStyle name="Normal 57 3 3 4 2 4 4" xfId="28290"/>
    <cellStyle name="Normal 57 3 3 4 2 5" xfId="6114"/>
    <cellStyle name="Normal 57 3 3 4 2 5 2" xfId="14941"/>
    <cellStyle name="Normal 57 3 3 4 2 5 2 2" xfId="40496"/>
    <cellStyle name="Normal 57 3 3 4 2 5 3" xfId="25192"/>
    <cellStyle name="Normal 57 3 3 4 2 5 3 2" xfId="50745"/>
    <cellStyle name="Normal 57 3 3 4 2 5 4" xfId="31675"/>
    <cellStyle name="Normal 57 3 3 4 2 6" xfId="7559"/>
    <cellStyle name="Normal 57 3 3 4 2 6 2" xfId="20289"/>
    <cellStyle name="Normal 57 3 3 4 2 6 2 2" xfId="45842"/>
    <cellStyle name="Normal 57 3 3 4 2 6 3" xfId="33116"/>
    <cellStyle name="Normal 57 3 3 4 2 7" xfId="16800"/>
    <cellStyle name="Normal 57 3 3 4 2 7 2" xfId="42353"/>
    <cellStyle name="Normal 57 3 3 4 2 8" xfId="26772"/>
    <cellStyle name="Normal 57 3 3 4 3" xfId="1245"/>
    <cellStyle name="Normal 57 3 3 4 3 2" xfId="3674"/>
    <cellStyle name="Normal 57 3 3 4 3 2 2" xfId="12810"/>
    <cellStyle name="Normal 57 3 3 4 3 2 2 2" xfId="23029"/>
    <cellStyle name="Normal 57 3 3 4 3 2 2 2 2" xfId="48582"/>
    <cellStyle name="Normal 57 3 3 4 3 2 2 3" xfId="38365"/>
    <cellStyle name="Normal 57 3 3 4 3 2 3" xfId="9231"/>
    <cellStyle name="Normal 57 3 3 4 3 2 3 2" xfId="34788"/>
    <cellStyle name="Normal 57 3 3 4 3 2 4" xfId="18022"/>
    <cellStyle name="Normal 57 3 3 4 3 2 4 2" xfId="43575"/>
    <cellStyle name="Normal 57 3 3 4 3 2 5" xfId="29512"/>
    <cellStyle name="Normal 57 3 3 4 3 3" xfId="5007"/>
    <cellStyle name="Normal 57 3 3 4 3 3 2" xfId="13844"/>
    <cellStyle name="Normal 57 3 3 4 3 3 2 2" xfId="24095"/>
    <cellStyle name="Normal 57 3 3 4 3 3 2 2 2" xfId="49648"/>
    <cellStyle name="Normal 57 3 3 4 3 3 2 3" xfId="39399"/>
    <cellStyle name="Normal 57 3 3 4 3 3 3" xfId="10265"/>
    <cellStyle name="Normal 57 3 3 4 3 3 3 2" xfId="35822"/>
    <cellStyle name="Normal 57 3 3 4 3 3 4" xfId="19088"/>
    <cellStyle name="Normal 57 3 3 4 3 3 4 2" xfId="44641"/>
    <cellStyle name="Normal 57 3 3 4 3 3 5" xfId="30578"/>
    <cellStyle name="Normal 57 3 3 4 3 4" xfId="2068"/>
    <cellStyle name="Normal 57 3 3 4 3 4 2" xfId="11433"/>
    <cellStyle name="Normal 57 3 3 4 3 4 2 2" xfId="36988"/>
    <cellStyle name="Normal 57 3 3 4 3 4 3" xfId="21437"/>
    <cellStyle name="Normal 57 3 3 4 3 4 3 2" xfId="46990"/>
    <cellStyle name="Normal 57 3 3 4 3 4 4" xfId="27920"/>
    <cellStyle name="Normal 57 3 3 4 3 5" xfId="6462"/>
    <cellStyle name="Normal 57 3 3 4 3 5 2" xfId="15289"/>
    <cellStyle name="Normal 57 3 3 4 3 5 2 2" xfId="40844"/>
    <cellStyle name="Normal 57 3 3 4 3 5 3" xfId="25540"/>
    <cellStyle name="Normal 57 3 3 4 3 5 3 2" xfId="51093"/>
    <cellStyle name="Normal 57 3 3 4 3 5 4" xfId="32023"/>
    <cellStyle name="Normal 57 3 3 4 3 6" xfId="7908"/>
    <cellStyle name="Normal 57 3 3 4 3 6 2" xfId="20628"/>
    <cellStyle name="Normal 57 3 3 4 3 6 2 2" xfId="46181"/>
    <cellStyle name="Normal 57 3 3 4 3 6 3" xfId="33465"/>
    <cellStyle name="Normal 57 3 3 4 3 7" xfId="16430"/>
    <cellStyle name="Normal 57 3 3 4 3 7 2" xfId="41983"/>
    <cellStyle name="Normal 57 3 3 4 3 8" xfId="27111"/>
    <cellStyle name="Normal 57 3 3 4 4" xfId="2959"/>
    <cellStyle name="Normal 57 3 3 4 4 2" xfId="5337"/>
    <cellStyle name="Normal 57 3 3 4 4 2 2" xfId="14174"/>
    <cellStyle name="Normal 57 3 3 4 4 2 2 2" xfId="24425"/>
    <cellStyle name="Normal 57 3 3 4 4 2 2 2 2" xfId="49978"/>
    <cellStyle name="Normal 57 3 3 4 4 2 2 3" xfId="39729"/>
    <cellStyle name="Normal 57 3 3 4 4 2 3" xfId="10595"/>
    <cellStyle name="Normal 57 3 3 4 4 2 3 2" xfId="36152"/>
    <cellStyle name="Normal 57 3 3 4 4 2 4" xfId="19418"/>
    <cellStyle name="Normal 57 3 3 4 4 2 4 2" xfId="44971"/>
    <cellStyle name="Normal 57 3 3 4 4 2 5" xfId="30908"/>
    <cellStyle name="Normal 57 3 3 4 4 3" xfId="6792"/>
    <cellStyle name="Normal 57 3 3 4 4 3 2" xfId="15619"/>
    <cellStyle name="Normal 57 3 3 4 4 3 2 2" xfId="41174"/>
    <cellStyle name="Normal 57 3 3 4 4 3 3" xfId="25870"/>
    <cellStyle name="Normal 57 3 3 4 4 3 3 2" xfId="51423"/>
    <cellStyle name="Normal 57 3 3 4 4 3 4" xfId="32353"/>
    <cellStyle name="Normal 57 3 3 4 4 4" xfId="8238"/>
    <cellStyle name="Normal 57 3 3 4 4 4 2" xfId="22320"/>
    <cellStyle name="Normal 57 3 3 4 4 4 2 2" xfId="47873"/>
    <cellStyle name="Normal 57 3 3 4 4 4 3" xfId="33795"/>
    <cellStyle name="Normal 57 3 3 4 4 5" xfId="17313"/>
    <cellStyle name="Normal 57 3 3 4 4 5 2" xfId="42866"/>
    <cellStyle name="Normal 57 3 3 4 4 6" xfId="28803"/>
    <cellStyle name="Normal 57 3 3 4 5" xfId="4293"/>
    <cellStyle name="Normal 57 3 3 4 5 2" xfId="13131"/>
    <cellStyle name="Normal 57 3 3 4 5 2 2" xfId="23382"/>
    <cellStyle name="Normal 57 3 3 4 5 2 2 2" xfId="48935"/>
    <cellStyle name="Normal 57 3 3 4 5 2 3" xfId="38686"/>
    <cellStyle name="Normal 57 3 3 4 5 3" xfId="9552"/>
    <cellStyle name="Normal 57 3 3 4 5 3 2" xfId="35109"/>
    <cellStyle name="Normal 57 3 3 4 5 4" xfId="18375"/>
    <cellStyle name="Normal 57 3 3 4 5 4 2" xfId="43928"/>
    <cellStyle name="Normal 57 3 3 4 5 5" xfId="29865"/>
    <cellStyle name="Normal 57 3 3 4 6" xfId="1565"/>
    <cellStyle name="Normal 57 3 3 4 6 2" xfId="10942"/>
    <cellStyle name="Normal 57 3 3 4 6 2 2" xfId="36497"/>
    <cellStyle name="Normal 57 3 3 4 6 3" xfId="20946"/>
    <cellStyle name="Normal 57 3 3 4 6 3 2" xfId="46499"/>
    <cellStyle name="Normal 57 3 3 4 6 4" xfId="27429"/>
    <cellStyle name="Normal 57 3 3 4 7" xfId="5749"/>
    <cellStyle name="Normal 57 3 3 4 7 2" xfId="14576"/>
    <cellStyle name="Normal 57 3 3 4 7 2 2" xfId="40131"/>
    <cellStyle name="Normal 57 3 3 4 7 3" xfId="24827"/>
    <cellStyle name="Normal 57 3 3 4 7 3 2" xfId="50380"/>
    <cellStyle name="Normal 57 3 3 4 7 4" xfId="31310"/>
    <cellStyle name="Normal 57 3 3 4 8" xfId="7193"/>
    <cellStyle name="Normal 57 3 3 4 8 2" xfId="19919"/>
    <cellStyle name="Normal 57 3 3 4 8 2 2" xfId="45472"/>
    <cellStyle name="Normal 57 3 3 4 8 3" xfId="32750"/>
    <cellStyle name="Normal 57 3 3 4 9" xfId="15939"/>
    <cellStyle name="Normal 57 3 3 4 9 2" xfId="41492"/>
    <cellStyle name="Normal 57 3 3 4_Degree data" xfId="3950"/>
    <cellStyle name="Normal 57 3 3 5" xfId="314"/>
    <cellStyle name="Normal 57 3 3 5 2" xfId="2800"/>
    <cellStyle name="Normal 57 3 3 5 2 2" xfId="12104"/>
    <cellStyle name="Normal 57 3 3 5 2 2 2" xfId="22161"/>
    <cellStyle name="Normal 57 3 3 5 2 2 2 2" xfId="47714"/>
    <cellStyle name="Normal 57 3 3 5 2 2 3" xfId="37659"/>
    <cellStyle name="Normal 57 3 3 5 2 3" xfId="8473"/>
    <cellStyle name="Normal 57 3 3 5 2 3 2" xfId="34030"/>
    <cellStyle name="Normal 57 3 3 5 2 4" xfId="17154"/>
    <cellStyle name="Normal 57 3 3 5 2 4 2" xfId="42707"/>
    <cellStyle name="Normal 57 3 3 5 2 5" xfId="28644"/>
    <cellStyle name="Normal 57 3 3 5 3" xfId="4653"/>
    <cellStyle name="Normal 57 3 3 5 3 2" xfId="13491"/>
    <cellStyle name="Normal 57 3 3 5 3 2 2" xfId="23742"/>
    <cellStyle name="Normal 57 3 3 5 3 2 2 2" xfId="49295"/>
    <cellStyle name="Normal 57 3 3 5 3 2 3" xfId="39046"/>
    <cellStyle name="Normal 57 3 3 5 3 3" xfId="9912"/>
    <cellStyle name="Normal 57 3 3 5 3 3 2" xfId="35469"/>
    <cellStyle name="Normal 57 3 3 5 3 4" xfId="18735"/>
    <cellStyle name="Normal 57 3 3 5 3 4 2" xfId="44288"/>
    <cellStyle name="Normal 57 3 3 5 3 5" xfId="30225"/>
    <cellStyle name="Normal 57 3 3 5 4" xfId="1909"/>
    <cellStyle name="Normal 57 3 3 5 4 2" xfId="11274"/>
    <cellStyle name="Normal 57 3 3 5 4 2 2" xfId="36829"/>
    <cellStyle name="Normal 57 3 3 5 4 3" xfId="21278"/>
    <cellStyle name="Normal 57 3 3 5 4 3 2" xfId="46831"/>
    <cellStyle name="Normal 57 3 3 5 4 4" xfId="27761"/>
    <cellStyle name="Normal 57 3 3 5 5" xfId="6109"/>
    <cellStyle name="Normal 57 3 3 5 5 2" xfId="14936"/>
    <cellStyle name="Normal 57 3 3 5 5 2 2" xfId="40491"/>
    <cellStyle name="Normal 57 3 3 5 5 3" xfId="25187"/>
    <cellStyle name="Normal 57 3 3 5 5 3 2" xfId="50740"/>
    <cellStyle name="Normal 57 3 3 5 5 4" xfId="31670"/>
    <cellStyle name="Normal 57 3 3 5 6" xfId="7554"/>
    <cellStyle name="Normal 57 3 3 5 6 2" xfId="19760"/>
    <cellStyle name="Normal 57 3 3 5 6 2 2" xfId="45313"/>
    <cellStyle name="Normal 57 3 3 5 6 3" xfId="33111"/>
    <cellStyle name="Normal 57 3 3 5 7" xfId="16271"/>
    <cellStyle name="Normal 57 3 3 5 7 2" xfId="41824"/>
    <cellStyle name="Normal 57 3 3 5 8" xfId="26243"/>
    <cellStyle name="Normal 57 3 3 6" xfId="839"/>
    <cellStyle name="Normal 57 3 3 6 2" xfId="3324"/>
    <cellStyle name="Normal 57 3 3 6 2 2" xfId="12466"/>
    <cellStyle name="Normal 57 3 3 6 2 2 2" xfId="22685"/>
    <cellStyle name="Normal 57 3 3 6 2 2 2 2" xfId="48238"/>
    <cellStyle name="Normal 57 3 3 6 2 2 3" xfId="38021"/>
    <cellStyle name="Normal 57 3 3 6 2 3" xfId="8888"/>
    <cellStyle name="Normal 57 3 3 6 2 3 2" xfId="34445"/>
    <cellStyle name="Normal 57 3 3 6 2 4" xfId="17678"/>
    <cellStyle name="Normal 57 3 3 6 2 4 2" xfId="43231"/>
    <cellStyle name="Normal 57 3 3 6 2 5" xfId="29168"/>
    <cellStyle name="Normal 57 3 3 6 3" xfId="5002"/>
    <cellStyle name="Normal 57 3 3 6 3 2" xfId="13839"/>
    <cellStyle name="Normal 57 3 3 6 3 2 2" xfId="24090"/>
    <cellStyle name="Normal 57 3 3 6 3 2 2 2" xfId="49643"/>
    <cellStyle name="Normal 57 3 3 6 3 2 3" xfId="39394"/>
    <cellStyle name="Normal 57 3 3 6 3 3" xfId="10260"/>
    <cellStyle name="Normal 57 3 3 6 3 3 2" xfId="35817"/>
    <cellStyle name="Normal 57 3 3 6 3 4" xfId="19083"/>
    <cellStyle name="Normal 57 3 3 6 3 4 2" xfId="44636"/>
    <cellStyle name="Normal 57 3 3 6 3 5" xfId="30573"/>
    <cellStyle name="Normal 57 3 3 6 4" xfId="2433"/>
    <cellStyle name="Normal 57 3 3 6 4 2" xfId="11798"/>
    <cellStyle name="Normal 57 3 3 6 4 2 2" xfId="37353"/>
    <cellStyle name="Normal 57 3 3 6 4 3" xfId="21802"/>
    <cellStyle name="Normal 57 3 3 6 4 3 2" xfId="47355"/>
    <cellStyle name="Normal 57 3 3 6 4 4" xfId="28285"/>
    <cellStyle name="Normal 57 3 3 6 5" xfId="6457"/>
    <cellStyle name="Normal 57 3 3 6 5 2" xfId="15284"/>
    <cellStyle name="Normal 57 3 3 6 5 2 2" xfId="40839"/>
    <cellStyle name="Normal 57 3 3 6 5 3" xfId="25535"/>
    <cellStyle name="Normal 57 3 3 6 5 3 2" xfId="51088"/>
    <cellStyle name="Normal 57 3 3 6 5 4" xfId="32018"/>
    <cellStyle name="Normal 57 3 3 6 6" xfId="7903"/>
    <cellStyle name="Normal 57 3 3 6 6 2" xfId="20284"/>
    <cellStyle name="Normal 57 3 3 6 6 2 2" xfId="45837"/>
    <cellStyle name="Normal 57 3 3 6 6 3" xfId="33460"/>
    <cellStyle name="Normal 57 3 3 6 7" xfId="16795"/>
    <cellStyle name="Normal 57 3 3 6 7 2" xfId="42348"/>
    <cellStyle name="Normal 57 3 3 6 8" xfId="26767"/>
    <cellStyle name="Normal 57 3 3 7" xfId="1086"/>
    <cellStyle name="Normal 57 3 3 7 2" xfId="3515"/>
    <cellStyle name="Normal 57 3 3 7 2 2" xfId="12651"/>
    <cellStyle name="Normal 57 3 3 7 2 2 2" xfId="22870"/>
    <cellStyle name="Normal 57 3 3 7 2 2 2 2" xfId="48423"/>
    <cellStyle name="Normal 57 3 3 7 2 2 3" xfId="38206"/>
    <cellStyle name="Normal 57 3 3 7 2 3" xfId="9073"/>
    <cellStyle name="Normal 57 3 3 7 2 3 2" xfId="34630"/>
    <cellStyle name="Normal 57 3 3 7 2 4" xfId="17863"/>
    <cellStyle name="Normal 57 3 3 7 2 4 2" xfId="43416"/>
    <cellStyle name="Normal 57 3 3 7 2 5" xfId="29353"/>
    <cellStyle name="Normal 57 3 3 7 3" xfId="5178"/>
    <cellStyle name="Normal 57 3 3 7 3 2" xfId="14015"/>
    <cellStyle name="Normal 57 3 3 7 3 2 2" xfId="24266"/>
    <cellStyle name="Normal 57 3 3 7 3 2 2 2" xfId="49819"/>
    <cellStyle name="Normal 57 3 3 7 3 2 3" xfId="39570"/>
    <cellStyle name="Normal 57 3 3 7 3 3" xfId="10436"/>
    <cellStyle name="Normal 57 3 3 7 3 3 2" xfId="35993"/>
    <cellStyle name="Normal 57 3 3 7 3 4" xfId="19259"/>
    <cellStyle name="Normal 57 3 3 7 3 4 2" xfId="44812"/>
    <cellStyle name="Normal 57 3 3 7 3 5" xfId="30749"/>
    <cellStyle name="Normal 57 3 3 7 4" xfId="1744"/>
    <cellStyle name="Normal 57 3 3 7 4 2" xfId="11115"/>
    <cellStyle name="Normal 57 3 3 7 4 2 2" xfId="36670"/>
    <cellStyle name="Normal 57 3 3 7 4 3" xfId="21119"/>
    <cellStyle name="Normal 57 3 3 7 4 3 2" xfId="46672"/>
    <cellStyle name="Normal 57 3 3 7 4 4" xfId="27602"/>
    <cellStyle name="Normal 57 3 3 7 5" xfId="6633"/>
    <cellStyle name="Normal 57 3 3 7 5 2" xfId="15460"/>
    <cellStyle name="Normal 57 3 3 7 5 2 2" xfId="41015"/>
    <cellStyle name="Normal 57 3 3 7 5 3" xfId="25711"/>
    <cellStyle name="Normal 57 3 3 7 5 3 2" xfId="51264"/>
    <cellStyle name="Normal 57 3 3 7 5 4" xfId="32194"/>
    <cellStyle name="Normal 57 3 3 7 6" xfId="8079"/>
    <cellStyle name="Normal 57 3 3 7 6 2" xfId="20469"/>
    <cellStyle name="Normal 57 3 3 7 6 2 2" xfId="46022"/>
    <cellStyle name="Normal 57 3 3 7 6 3" xfId="33636"/>
    <cellStyle name="Normal 57 3 3 7 7" xfId="16112"/>
    <cellStyle name="Normal 57 3 3 7 7 2" xfId="41665"/>
    <cellStyle name="Normal 57 3 3 7 8" xfId="26952"/>
    <cellStyle name="Normal 57 3 3 8" xfId="2642"/>
    <cellStyle name="Normal 57 3 3 8 2" xfId="5590"/>
    <cellStyle name="Normal 57 3 3 8 2 2" xfId="14417"/>
    <cellStyle name="Normal 57 3 3 8 2 2 2" xfId="39972"/>
    <cellStyle name="Normal 57 3 3 8 2 3" xfId="24668"/>
    <cellStyle name="Normal 57 3 3 8 2 3 2" xfId="50221"/>
    <cellStyle name="Normal 57 3 3 8 2 4" xfId="31151"/>
    <cellStyle name="Normal 57 3 3 8 3" xfId="7034"/>
    <cellStyle name="Normal 57 3 3 8 3 2" xfId="22003"/>
    <cellStyle name="Normal 57 3 3 8 3 2 2" xfId="47556"/>
    <cellStyle name="Normal 57 3 3 8 3 3" xfId="32591"/>
    <cellStyle name="Normal 57 3 3 8 4" xfId="16996"/>
    <cellStyle name="Normal 57 3 3 8 4 2" xfId="42549"/>
    <cellStyle name="Normal 57 3 3 8 5" xfId="28486"/>
    <cellStyle name="Normal 57 3 3 9" xfId="4132"/>
    <cellStyle name="Normal 57 3 3 9 2" xfId="12970"/>
    <cellStyle name="Normal 57 3 3 9 2 2" xfId="23221"/>
    <cellStyle name="Normal 57 3 3 9 2 2 2" xfId="48774"/>
    <cellStyle name="Normal 57 3 3 9 2 3" xfId="38525"/>
    <cellStyle name="Normal 57 3 3 9 3" xfId="9391"/>
    <cellStyle name="Normal 57 3 3 9 3 2" xfId="34948"/>
    <cellStyle name="Normal 57 3 3 9 4" xfId="18214"/>
    <cellStyle name="Normal 57 3 3 9 4 2" xfId="43767"/>
    <cellStyle name="Normal 57 3 3 9 5" xfId="29704"/>
    <cellStyle name="Normal 57 3 3_Degree data" xfId="3945"/>
    <cellStyle name="Normal 57 3 4" xfId="182"/>
    <cellStyle name="Normal 57 3 4 10" xfId="7130"/>
    <cellStyle name="Normal 57 3 4 10 2" xfId="19639"/>
    <cellStyle name="Normal 57 3 4 10 2 2" xfId="45192"/>
    <cellStyle name="Normal 57 3 4 10 3" xfId="32687"/>
    <cellStyle name="Normal 57 3 4 11" xfId="15876"/>
    <cellStyle name="Normal 57 3 4 11 2" xfId="41429"/>
    <cellStyle name="Normal 57 3 4 12" xfId="26122"/>
    <cellStyle name="Normal 57 3 4 2" xfId="510"/>
    <cellStyle name="Normal 57 3 4 2 10" xfId="26439"/>
    <cellStyle name="Normal 57 3 4 2 2" xfId="846"/>
    <cellStyle name="Normal 57 3 4 2 2 2" xfId="3331"/>
    <cellStyle name="Normal 57 3 4 2 2 2 2" xfId="12473"/>
    <cellStyle name="Normal 57 3 4 2 2 2 2 2" xfId="22692"/>
    <cellStyle name="Normal 57 3 4 2 2 2 2 2 2" xfId="48245"/>
    <cellStyle name="Normal 57 3 4 2 2 2 2 3" xfId="38028"/>
    <cellStyle name="Normal 57 3 4 2 2 2 3" xfId="8895"/>
    <cellStyle name="Normal 57 3 4 2 2 2 3 2" xfId="34452"/>
    <cellStyle name="Normal 57 3 4 2 2 2 4" xfId="17685"/>
    <cellStyle name="Normal 57 3 4 2 2 2 4 2" xfId="43238"/>
    <cellStyle name="Normal 57 3 4 2 2 2 5" xfId="29175"/>
    <cellStyle name="Normal 57 3 4 2 2 3" xfId="4660"/>
    <cellStyle name="Normal 57 3 4 2 2 3 2" xfId="13498"/>
    <cellStyle name="Normal 57 3 4 2 2 3 2 2" xfId="23749"/>
    <cellStyle name="Normal 57 3 4 2 2 3 2 2 2" xfId="49302"/>
    <cellStyle name="Normal 57 3 4 2 2 3 2 3" xfId="39053"/>
    <cellStyle name="Normal 57 3 4 2 2 3 3" xfId="9919"/>
    <cellStyle name="Normal 57 3 4 2 2 3 3 2" xfId="35476"/>
    <cellStyle name="Normal 57 3 4 2 2 3 4" xfId="18742"/>
    <cellStyle name="Normal 57 3 4 2 2 3 4 2" xfId="44295"/>
    <cellStyle name="Normal 57 3 4 2 2 3 5" xfId="30232"/>
    <cellStyle name="Normal 57 3 4 2 2 4" xfId="2440"/>
    <cellStyle name="Normal 57 3 4 2 2 4 2" xfId="11805"/>
    <cellStyle name="Normal 57 3 4 2 2 4 2 2" xfId="37360"/>
    <cellStyle name="Normal 57 3 4 2 2 4 3" xfId="21809"/>
    <cellStyle name="Normal 57 3 4 2 2 4 3 2" xfId="47362"/>
    <cellStyle name="Normal 57 3 4 2 2 4 4" xfId="28292"/>
    <cellStyle name="Normal 57 3 4 2 2 5" xfId="6116"/>
    <cellStyle name="Normal 57 3 4 2 2 5 2" xfId="14943"/>
    <cellStyle name="Normal 57 3 4 2 2 5 2 2" xfId="40498"/>
    <cellStyle name="Normal 57 3 4 2 2 5 3" xfId="25194"/>
    <cellStyle name="Normal 57 3 4 2 2 5 3 2" xfId="50747"/>
    <cellStyle name="Normal 57 3 4 2 2 5 4" xfId="31677"/>
    <cellStyle name="Normal 57 3 4 2 2 6" xfId="7561"/>
    <cellStyle name="Normal 57 3 4 2 2 6 2" xfId="20291"/>
    <cellStyle name="Normal 57 3 4 2 2 6 2 2" xfId="45844"/>
    <cellStyle name="Normal 57 3 4 2 2 6 3" xfId="33118"/>
    <cellStyle name="Normal 57 3 4 2 2 7" xfId="16802"/>
    <cellStyle name="Normal 57 3 4 2 2 7 2" xfId="42355"/>
    <cellStyle name="Normal 57 3 4 2 2 8" xfId="26774"/>
    <cellStyle name="Normal 57 3 4 2 3" xfId="1282"/>
    <cellStyle name="Normal 57 3 4 2 3 2" xfId="3711"/>
    <cellStyle name="Normal 57 3 4 2 3 2 2" xfId="12847"/>
    <cellStyle name="Normal 57 3 4 2 3 2 2 2" xfId="23066"/>
    <cellStyle name="Normal 57 3 4 2 3 2 2 2 2" xfId="48619"/>
    <cellStyle name="Normal 57 3 4 2 3 2 2 3" xfId="38402"/>
    <cellStyle name="Normal 57 3 4 2 3 2 3" xfId="9268"/>
    <cellStyle name="Normal 57 3 4 2 3 2 3 2" xfId="34825"/>
    <cellStyle name="Normal 57 3 4 2 3 2 4" xfId="18059"/>
    <cellStyle name="Normal 57 3 4 2 3 2 4 2" xfId="43612"/>
    <cellStyle name="Normal 57 3 4 2 3 2 5" xfId="29549"/>
    <cellStyle name="Normal 57 3 4 2 3 3" xfId="5009"/>
    <cellStyle name="Normal 57 3 4 2 3 3 2" xfId="13846"/>
    <cellStyle name="Normal 57 3 4 2 3 3 2 2" xfId="24097"/>
    <cellStyle name="Normal 57 3 4 2 3 3 2 2 2" xfId="49650"/>
    <cellStyle name="Normal 57 3 4 2 3 3 2 3" xfId="39401"/>
    <cellStyle name="Normal 57 3 4 2 3 3 3" xfId="10267"/>
    <cellStyle name="Normal 57 3 4 2 3 3 3 2" xfId="35824"/>
    <cellStyle name="Normal 57 3 4 2 3 3 4" xfId="19090"/>
    <cellStyle name="Normal 57 3 4 2 3 3 4 2" xfId="44643"/>
    <cellStyle name="Normal 57 3 4 2 3 3 5" xfId="30580"/>
    <cellStyle name="Normal 57 3 4 2 3 4" xfId="2105"/>
    <cellStyle name="Normal 57 3 4 2 3 4 2" xfId="11470"/>
    <cellStyle name="Normal 57 3 4 2 3 4 2 2" xfId="37025"/>
    <cellStyle name="Normal 57 3 4 2 3 4 3" xfId="21474"/>
    <cellStyle name="Normal 57 3 4 2 3 4 3 2" xfId="47027"/>
    <cellStyle name="Normal 57 3 4 2 3 4 4" xfId="27957"/>
    <cellStyle name="Normal 57 3 4 2 3 5" xfId="6464"/>
    <cellStyle name="Normal 57 3 4 2 3 5 2" xfId="15291"/>
    <cellStyle name="Normal 57 3 4 2 3 5 2 2" xfId="40846"/>
    <cellStyle name="Normal 57 3 4 2 3 5 3" xfId="25542"/>
    <cellStyle name="Normal 57 3 4 2 3 5 3 2" xfId="51095"/>
    <cellStyle name="Normal 57 3 4 2 3 5 4" xfId="32025"/>
    <cellStyle name="Normal 57 3 4 2 3 6" xfId="7910"/>
    <cellStyle name="Normal 57 3 4 2 3 6 2" xfId="20665"/>
    <cellStyle name="Normal 57 3 4 2 3 6 2 2" xfId="46218"/>
    <cellStyle name="Normal 57 3 4 2 3 6 3" xfId="33467"/>
    <cellStyle name="Normal 57 3 4 2 3 7" xfId="16467"/>
    <cellStyle name="Normal 57 3 4 2 3 7 2" xfId="42020"/>
    <cellStyle name="Normal 57 3 4 2 3 8" xfId="27148"/>
    <cellStyle name="Normal 57 3 4 2 4" xfId="2996"/>
    <cellStyle name="Normal 57 3 4 2 4 2" xfId="5374"/>
    <cellStyle name="Normal 57 3 4 2 4 2 2" xfId="14211"/>
    <cellStyle name="Normal 57 3 4 2 4 2 2 2" xfId="24462"/>
    <cellStyle name="Normal 57 3 4 2 4 2 2 2 2" xfId="50015"/>
    <cellStyle name="Normal 57 3 4 2 4 2 2 3" xfId="39766"/>
    <cellStyle name="Normal 57 3 4 2 4 2 3" xfId="10632"/>
    <cellStyle name="Normal 57 3 4 2 4 2 3 2" xfId="36189"/>
    <cellStyle name="Normal 57 3 4 2 4 2 4" xfId="19455"/>
    <cellStyle name="Normal 57 3 4 2 4 2 4 2" xfId="45008"/>
    <cellStyle name="Normal 57 3 4 2 4 2 5" xfId="30945"/>
    <cellStyle name="Normal 57 3 4 2 4 3" xfId="6829"/>
    <cellStyle name="Normal 57 3 4 2 4 3 2" xfId="15656"/>
    <cellStyle name="Normal 57 3 4 2 4 3 2 2" xfId="41211"/>
    <cellStyle name="Normal 57 3 4 2 4 3 3" xfId="25907"/>
    <cellStyle name="Normal 57 3 4 2 4 3 3 2" xfId="51460"/>
    <cellStyle name="Normal 57 3 4 2 4 3 4" xfId="32390"/>
    <cellStyle name="Normal 57 3 4 2 4 4" xfId="8275"/>
    <cellStyle name="Normal 57 3 4 2 4 4 2" xfId="22357"/>
    <cellStyle name="Normal 57 3 4 2 4 4 2 2" xfId="47910"/>
    <cellStyle name="Normal 57 3 4 2 4 4 3" xfId="33832"/>
    <cellStyle name="Normal 57 3 4 2 4 5" xfId="17350"/>
    <cellStyle name="Normal 57 3 4 2 4 5 2" xfId="42903"/>
    <cellStyle name="Normal 57 3 4 2 4 6" xfId="28840"/>
    <cellStyle name="Normal 57 3 4 2 5" xfId="4330"/>
    <cellStyle name="Normal 57 3 4 2 5 2" xfId="13168"/>
    <cellStyle name="Normal 57 3 4 2 5 2 2" xfId="23419"/>
    <cellStyle name="Normal 57 3 4 2 5 2 2 2" xfId="48972"/>
    <cellStyle name="Normal 57 3 4 2 5 2 3" xfId="38723"/>
    <cellStyle name="Normal 57 3 4 2 5 3" xfId="9589"/>
    <cellStyle name="Normal 57 3 4 2 5 3 2" xfId="35146"/>
    <cellStyle name="Normal 57 3 4 2 5 4" xfId="18412"/>
    <cellStyle name="Normal 57 3 4 2 5 4 2" xfId="43965"/>
    <cellStyle name="Normal 57 3 4 2 5 5" xfId="29902"/>
    <cellStyle name="Normal 57 3 4 2 6" xfId="1602"/>
    <cellStyle name="Normal 57 3 4 2 6 2" xfId="10979"/>
    <cellStyle name="Normal 57 3 4 2 6 2 2" xfId="36534"/>
    <cellStyle name="Normal 57 3 4 2 6 3" xfId="20983"/>
    <cellStyle name="Normal 57 3 4 2 6 3 2" xfId="46536"/>
    <cellStyle name="Normal 57 3 4 2 6 4" xfId="27466"/>
    <cellStyle name="Normal 57 3 4 2 7" xfId="5786"/>
    <cellStyle name="Normal 57 3 4 2 7 2" xfId="14613"/>
    <cellStyle name="Normal 57 3 4 2 7 2 2" xfId="40168"/>
    <cellStyle name="Normal 57 3 4 2 7 3" xfId="24864"/>
    <cellStyle name="Normal 57 3 4 2 7 3 2" xfId="50417"/>
    <cellStyle name="Normal 57 3 4 2 7 4" xfId="31347"/>
    <cellStyle name="Normal 57 3 4 2 8" xfId="7230"/>
    <cellStyle name="Normal 57 3 4 2 8 2" xfId="19956"/>
    <cellStyle name="Normal 57 3 4 2 8 2 2" xfId="45509"/>
    <cellStyle name="Normal 57 3 4 2 8 3" xfId="32787"/>
    <cellStyle name="Normal 57 3 4 2 9" xfId="15976"/>
    <cellStyle name="Normal 57 3 4 2 9 2" xfId="41529"/>
    <cellStyle name="Normal 57 3 4 2_Degree data" xfId="3952"/>
    <cellStyle name="Normal 57 3 4 3" xfId="410"/>
    <cellStyle name="Normal 57 3 4 3 2" xfId="2896"/>
    <cellStyle name="Normal 57 3 4 3 2 2" xfId="12184"/>
    <cellStyle name="Normal 57 3 4 3 2 2 2" xfId="22257"/>
    <cellStyle name="Normal 57 3 4 3 2 2 2 2" xfId="47810"/>
    <cellStyle name="Normal 57 3 4 3 2 2 3" xfId="37739"/>
    <cellStyle name="Normal 57 3 4 3 2 3" xfId="8413"/>
    <cellStyle name="Normal 57 3 4 3 2 3 2" xfId="33970"/>
    <cellStyle name="Normal 57 3 4 3 2 4" xfId="17250"/>
    <cellStyle name="Normal 57 3 4 3 2 4 2" xfId="42803"/>
    <cellStyle name="Normal 57 3 4 3 2 5" xfId="28740"/>
    <cellStyle name="Normal 57 3 4 3 3" xfId="4659"/>
    <cellStyle name="Normal 57 3 4 3 3 2" xfId="13497"/>
    <cellStyle name="Normal 57 3 4 3 3 2 2" xfId="23748"/>
    <cellStyle name="Normal 57 3 4 3 3 2 2 2" xfId="49301"/>
    <cellStyle name="Normal 57 3 4 3 3 2 3" xfId="39052"/>
    <cellStyle name="Normal 57 3 4 3 3 3" xfId="9918"/>
    <cellStyle name="Normal 57 3 4 3 3 3 2" xfId="35475"/>
    <cellStyle name="Normal 57 3 4 3 3 4" xfId="18741"/>
    <cellStyle name="Normal 57 3 4 3 3 4 2" xfId="44294"/>
    <cellStyle name="Normal 57 3 4 3 3 5" xfId="30231"/>
    <cellStyle name="Normal 57 3 4 3 4" xfId="2005"/>
    <cellStyle name="Normal 57 3 4 3 4 2" xfId="11370"/>
    <cellStyle name="Normal 57 3 4 3 4 2 2" xfId="36925"/>
    <cellStyle name="Normal 57 3 4 3 4 3" xfId="21374"/>
    <cellStyle name="Normal 57 3 4 3 4 3 2" xfId="46927"/>
    <cellStyle name="Normal 57 3 4 3 4 4" xfId="27857"/>
    <cellStyle name="Normal 57 3 4 3 5" xfId="6115"/>
    <cellStyle name="Normal 57 3 4 3 5 2" xfId="14942"/>
    <cellStyle name="Normal 57 3 4 3 5 2 2" xfId="40497"/>
    <cellStyle name="Normal 57 3 4 3 5 3" xfId="25193"/>
    <cellStyle name="Normal 57 3 4 3 5 3 2" xfId="50746"/>
    <cellStyle name="Normal 57 3 4 3 5 4" xfId="31676"/>
    <cellStyle name="Normal 57 3 4 3 6" xfId="7560"/>
    <cellStyle name="Normal 57 3 4 3 6 2" xfId="19856"/>
    <cellStyle name="Normal 57 3 4 3 6 2 2" xfId="45409"/>
    <cellStyle name="Normal 57 3 4 3 6 3" xfId="33117"/>
    <cellStyle name="Normal 57 3 4 3 7" xfId="16367"/>
    <cellStyle name="Normal 57 3 4 3 7 2" xfId="41920"/>
    <cellStyle name="Normal 57 3 4 3 8" xfId="26339"/>
    <cellStyle name="Normal 57 3 4 4" xfId="845"/>
    <cellStyle name="Normal 57 3 4 4 2" xfId="3330"/>
    <cellStyle name="Normal 57 3 4 4 2 2" xfId="12472"/>
    <cellStyle name="Normal 57 3 4 4 2 2 2" xfId="22691"/>
    <cellStyle name="Normal 57 3 4 4 2 2 2 2" xfId="48244"/>
    <cellStyle name="Normal 57 3 4 4 2 2 3" xfId="38027"/>
    <cellStyle name="Normal 57 3 4 4 2 3" xfId="8894"/>
    <cellStyle name="Normal 57 3 4 4 2 3 2" xfId="34451"/>
    <cellStyle name="Normal 57 3 4 4 2 4" xfId="17684"/>
    <cellStyle name="Normal 57 3 4 4 2 4 2" xfId="43237"/>
    <cellStyle name="Normal 57 3 4 4 2 5" xfId="29174"/>
    <cellStyle name="Normal 57 3 4 4 3" xfId="5008"/>
    <cellStyle name="Normal 57 3 4 4 3 2" xfId="13845"/>
    <cellStyle name="Normal 57 3 4 4 3 2 2" xfId="24096"/>
    <cellStyle name="Normal 57 3 4 4 3 2 2 2" xfId="49649"/>
    <cellStyle name="Normal 57 3 4 4 3 2 3" xfId="39400"/>
    <cellStyle name="Normal 57 3 4 4 3 3" xfId="10266"/>
    <cellStyle name="Normal 57 3 4 4 3 3 2" xfId="35823"/>
    <cellStyle name="Normal 57 3 4 4 3 4" xfId="19089"/>
    <cellStyle name="Normal 57 3 4 4 3 4 2" xfId="44642"/>
    <cellStyle name="Normal 57 3 4 4 3 5" xfId="30579"/>
    <cellStyle name="Normal 57 3 4 4 4" xfId="2439"/>
    <cellStyle name="Normal 57 3 4 4 4 2" xfId="11804"/>
    <cellStyle name="Normal 57 3 4 4 4 2 2" xfId="37359"/>
    <cellStyle name="Normal 57 3 4 4 4 3" xfId="21808"/>
    <cellStyle name="Normal 57 3 4 4 4 3 2" xfId="47361"/>
    <cellStyle name="Normal 57 3 4 4 4 4" xfId="28291"/>
    <cellStyle name="Normal 57 3 4 4 5" xfId="6463"/>
    <cellStyle name="Normal 57 3 4 4 5 2" xfId="15290"/>
    <cellStyle name="Normal 57 3 4 4 5 2 2" xfId="40845"/>
    <cellStyle name="Normal 57 3 4 4 5 3" xfId="25541"/>
    <cellStyle name="Normal 57 3 4 4 5 3 2" xfId="51094"/>
    <cellStyle name="Normal 57 3 4 4 5 4" xfId="32024"/>
    <cellStyle name="Normal 57 3 4 4 6" xfId="7909"/>
    <cellStyle name="Normal 57 3 4 4 6 2" xfId="20290"/>
    <cellStyle name="Normal 57 3 4 4 6 2 2" xfId="45843"/>
    <cellStyle name="Normal 57 3 4 4 6 3" xfId="33466"/>
    <cellStyle name="Normal 57 3 4 4 7" xfId="16801"/>
    <cellStyle name="Normal 57 3 4 4 7 2" xfId="42354"/>
    <cellStyle name="Normal 57 3 4 4 8" xfId="26773"/>
    <cellStyle name="Normal 57 3 4 5" xfId="1182"/>
    <cellStyle name="Normal 57 3 4 5 2" xfId="3611"/>
    <cellStyle name="Normal 57 3 4 5 2 2" xfId="12747"/>
    <cellStyle name="Normal 57 3 4 5 2 2 2" xfId="22966"/>
    <cellStyle name="Normal 57 3 4 5 2 2 2 2" xfId="48519"/>
    <cellStyle name="Normal 57 3 4 5 2 2 3" xfId="38302"/>
    <cellStyle name="Normal 57 3 4 5 2 3" xfId="9168"/>
    <cellStyle name="Normal 57 3 4 5 2 3 2" xfId="34725"/>
    <cellStyle name="Normal 57 3 4 5 2 4" xfId="17959"/>
    <cellStyle name="Normal 57 3 4 5 2 4 2" xfId="43512"/>
    <cellStyle name="Normal 57 3 4 5 2 5" xfId="29449"/>
    <cellStyle name="Normal 57 3 4 5 3" xfId="5274"/>
    <cellStyle name="Normal 57 3 4 5 3 2" xfId="14111"/>
    <cellStyle name="Normal 57 3 4 5 3 2 2" xfId="24362"/>
    <cellStyle name="Normal 57 3 4 5 3 2 2 2" xfId="49915"/>
    <cellStyle name="Normal 57 3 4 5 3 2 3" xfId="39666"/>
    <cellStyle name="Normal 57 3 4 5 3 3" xfId="10532"/>
    <cellStyle name="Normal 57 3 4 5 3 3 2" xfId="36089"/>
    <cellStyle name="Normal 57 3 4 5 3 4" xfId="19355"/>
    <cellStyle name="Normal 57 3 4 5 3 4 2" xfId="44908"/>
    <cellStyle name="Normal 57 3 4 5 3 5" xfId="30845"/>
    <cellStyle name="Normal 57 3 4 5 4" xfId="1784"/>
    <cellStyle name="Normal 57 3 4 5 4 2" xfId="11153"/>
    <cellStyle name="Normal 57 3 4 5 4 2 2" xfId="36708"/>
    <cellStyle name="Normal 57 3 4 5 4 3" xfId="21157"/>
    <cellStyle name="Normal 57 3 4 5 4 3 2" xfId="46710"/>
    <cellStyle name="Normal 57 3 4 5 4 4" xfId="27640"/>
    <cellStyle name="Normal 57 3 4 5 5" xfId="6729"/>
    <cellStyle name="Normal 57 3 4 5 5 2" xfId="15556"/>
    <cellStyle name="Normal 57 3 4 5 5 2 2" xfId="41111"/>
    <cellStyle name="Normal 57 3 4 5 5 3" xfId="25807"/>
    <cellStyle name="Normal 57 3 4 5 5 3 2" xfId="51360"/>
    <cellStyle name="Normal 57 3 4 5 5 4" xfId="32290"/>
    <cellStyle name="Normal 57 3 4 5 6" xfId="8175"/>
    <cellStyle name="Normal 57 3 4 5 6 2" xfId="20565"/>
    <cellStyle name="Normal 57 3 4 5 6 2 2" xfId="46118"/>
    <cellStyle name="Normal 57 3 4 5 6 3" xfId="33732"/>
    <cellStyle name="Normal 57 3 4 5 7" xfId="16150"/>
    <cellStyle name="Normal 57 3 4 5 7 2" xfId="41703"/>
    <cellStyle name="Normal 57 3 4 5 8" xfId="27048"/>
    <cellStyle name="Normal 57 3 4 6" xfId="2679"/>
    <cellStyle name="Normal 57 3 4 6 2" xfId="11996"/>
    <cellStyle name="Normal 57 3 4 6 2 2" xfId="22040"/>
    <cellStyle name="Normal 57 3 4 6 2 2 2" xfId="47593"/>
    <cellStyle name="Normal 57 3 4 6 2 3" xfId="37551"/>
    <cellStyle name="Normal 57 3 4 6 3" xfId="8588"/>
    <cellStyle name="Normal 57 3 4 6 3 2" xfId="34145"/>
    <cellStyle name="Normal 57 3 4 6 4" xfId="17033"/>
    <cellStyle name="Normal 57 3 4 6 4 2" xfId="42586"/>
    <cellStyle name="Normal 57 3 4 6 5" xfId="28523"/>
    <cellStyle name="Normal 57 3 4 7" xfId="4230"/>
    <cellStyle name="Normal 57 3 4 7 2" xfId="13068"/>
    <cellStyle name="Normal 57 3 4 7 2 2" xfId="23319"/>
    <cellStyle name="Normal 57 3 4 7 2 2 2" xfId="48872"/>
    <cellStyle name="Normal 57 3 4 7 2 3" xfId="38623"/>
    <cellStyle name="Normal 57 3 4 7 3" xfId="9489"/>
    <cellStyle name="Normal 57 3 4 7 3 2" xfId="35046"/>
    <cellStyle name="Normal 57 3 4 7 4" xfId="18312"/>
    <cellStyle name="Normal 57 3 4 7 4 2" xfId="43865"/>
    <cellStyle name="Normal 57 3 4 7 5" xfId="29802"/>
    <cellStyle name="Normal 57 3 4 8" xfId="1502"/>
    <cellStyle name="Normal 57 3 4 8 2" xfId="10879"/>
    <cellStyle name="Normal 57 3 4 8 2 2" xfId="36434"/>
    <cellStyle name="Normal 57 3 4 8 3" xfId="20883"/>
    <cellStyle name="Normal 57 3 4 8 3 2" xfId="46436"/>
    <cellStyle name="Normal 57 3 4 8 4" xfId="27366"/>
    <cellStyle name="Normal 57 3 4 9" xfId="5686"/>
    <cellStyle name="Normal 57 3 4 9 2" xfId="14513"/>
    <cellStyle name="Normal 57 3 4 9 2 2" xfId="40068"/>
    <cellStyle name="Normal 57 3 4 9 3" xfId="24764"/>
    <cellStyle name="Normal 57 3 4 9 3 2" xfId="50317"/>
    <cellStyle name="Normal 57 3 4 9 4" xfId="31247"/>
    <cellStyle name="Normal 57 3 4_Degree data" xfId="3951"/>
    <cellStyle name="Normal 57 3 5" xfId="237"/>
    <cellStyle name="Normal 57 3 5 10" xfId="7075"/>
    <cellStyle name="Normal 57 3 5 10 2" xfId="19689"/>
    <cellStyle name="Normal 57 3 5 10 2 2" xfId="45242"/>
    <cellStyle name="Normal 57 3 5 10 3" xfId="32632"/>
    <cellStyle name="Normal 57 3 5 11" xfId="15821"/>
    <cellStyle name="Normal 57 3 5 11 2" xfId="41374"/>
    <cellStyle name="Normal 57 3 5 12" xfId="26172"/>
    <cellStyle name="Normal 57 3 5 2" xfId="560"/>
    <cellStyle name="Normal 57 3 5 2 10" xfId="26489"/>
    <cellStyle name="Normal 57 3 5 2 2" xfId="848"/>
    <cellStyle name="Normal 57 3 5 2 2 2" xfId="3333"/>
    <cellStyle name="Normal 57 3 5 2 2 2 2" xfId="12475"/>
    <cellStyle name="Normal 57 3 5 2 2 2 2 2" xfId="22694"/>
    <cellStyle name="Normal 57 3 5 2 2 2 2 2 2" xfId="48247"/>
    <cellStyle name="Normal 57 3 5 2 2 2 2 3" xfId="38030"/>
    <cellStyle name="Normal 57 3 5 2 2 2 3" xfId="8897"/>
    <cellStyle name="Normal 57 3 5 2 2 2 3 2" xfId="34454"/>
    <cellStyle name="Normal 57 3 5 2 2 2 4" xfId="17687"/>
    <cellStyle name="Normal 57 3 5 2 2 2 4 2" xfId="43240"/>
    <cellStyle name="Normal 57 3 5 2 2 2 5" xfId="29177"/>
    <cellStyle name="Normal 57 3 5 2 2 3" xfId="4662"/>
    <cellStyle name="Normal 57 3 5 2 2 3 2" xfId="13500"/>
    <cellStyle name="Normal 57 3 5 2 2 3 2 2" xfId="23751"/>
    <cellStyle name="Normal 57 3 5 2 2 3 2 2 2" xfId="49304"/>
    <cellStyle name="Normal 57 3 5 2 2 3 2 3" xfId="39055"/>
    <cellStyle name="Normal 57 3 5 2 2 3 3" xfId="9921"/>
    <cellStyle name="Normal 57 3 5 2 2 3 3 2" xfId="35478"/>
    <cellStyle name="Normal 57 3 5 2 2 3 4" xfId="18744"/>
    <cellStyle name="Normal 57 3 5 2 2 3 4 2" xfId="44297"/>
    <cellStyle name="Normal 57 3 5 2 2 3 5" xfId="30234"/>
    <cellStyle name="Normal 57 3 5 2 2 4" xfId="2442"/>
    <cellStyle name="Normal 57 3 5 2 2 4 2" xfId="11807"/>
    <cellStyle name="Normal 57 3 5 2 2 4 2 2" xfId="37362"/>
    <cellStyle name="Normal 57 3 5 2 2 4 3" xfId="21811"/>
    <cellStyle name="Normal 57 3 5 2 2 4 3 2" xfId="47364"/>
    <cellStyle name="Normal 57 3 5 2 2 4 4" xfId="28294"/>
    <cellStyle name="Normal 57 3 5 2 2 5" xfId="6118"/>
    <cellStyle name="Normal 57 3 5 2 2 5 2" xfId="14945"/>
    <cellStyle name="Normal 57 3 5 2 2 5 2 2" xfId="40500"/>
    <cellStyle name="Normal 57 3 5 2 2 5 3" xfId="25196"/>
    <cellStyle name="Normal 57 3 5 2 2 5 3 2" xfId="50749"/>
    <cellStyle name="Normal 57 3 5 2 2 5 4" xfId="31679"/>
    <cellStyle name="Normal 57 3 5 2 2 6" xfId="7563"/>
    <cellStyle name="Normal 57 3 5 2 2 6 2" xfId="20293"/>
    <cellStyle name="Normal 57 3 5 2 2 6 2 2" xfId="45846"/>
    <cellStyle name="Normal 57 3 5 2 2 6 3" xfId="33120"/>
    <cellStyle name="Normal 57 3 5 2 2 7" xfId="16804"/>
    <cellStyle name="Normal 57 3 5 2 2 7 2" xfId="42357"/>
    <cellStyle name="Normal 57 3 5 2 2 8" xfId="26776"/>
    <cellStyle name="Normal 57 3 5 2 3" xfId="1332"/>
    <cellStyle name="Normal 57 3 5 2 3 2" xfId="3761"/>
    <cellStyle name="Normal 57 3 5 2 3 2 2" xfId="12897"/>
    <cellStyle name="Normal 57 3 5 2 3 2 2 2" xfId="23116"/>
    <cellStyle name="Normal 57 3 5 2 3 2 2 2 2" xfId="48669"/>
    <cellStyle name="Normal 57 3 5 2 3 2 2 3" xfId="38452"/>
    <cellStyle name="Normal 57 3 5 2 3 2 3" xfId="9318"/>
    <cellStyle name="Normal 57 3 5 2 3 2 3 2" xfId="34875"/>
    <cellStyle name="Normal 57 3 5 2 3 2 4" xfId="18109"/>
    <cellStyle name="Normal 57 3 5 2 3 2 4 2" xfId="43662"/>
    <cellStyle name="Normal 57 3 5 2 3 2 5" xfId="29599"/>
    <cellStyle name="Normal 57 3 5 2 3 3" xfId="5011"/>
    <cellStyle name="Normal 57 3 5 2 3 3 2" xfId="13848"/>
    <cellStyle name="Normal 57 3 5 2 3 3 2 2" xfId="24099"/>
    <cellStyle name="Normal 57 3 5 2 3 3 2 2 2" xfId="49652"/>
    <cellStyle name="Normal 57 3 5 2 3 3 2 3" xfId="39403"/>
    <cellStyle name="Normal 57 3 5 2 3 3 3" xfId="10269"/>
    <cellStyle name="Normal 57 3 5 2 3 3 3 2" xfId="35826"/>
    <cellStyle name="Normal 57 3 5 2 3 3 4" xfId="19092"/>
    <cellStyle name="Normal 57 3 5 2 3 3 4 2" xfId="44645"/>
    <cellStyle name="Normal 57 3 5 2 3 3 5" xfId="30582"/>
    <cellStyle name="Normal 57 3 5 2 3 4" xfId="2155"/>
    <cellStyle name="Normal 57 3 5 2 3 4 2" xfId="11520"/>
    <cellStyle name="Normal 57 3 5 2 3 4 2 2" xfId="37075"/>
    <cellStyle name="Normal 57 3 5 2 3 4 3" xfId="21524"/>
    <cellStyle name="Normal 57 3 5 2 3 4 3 2" xfId="47077"/>
    <cellStyle name="Normal 57 3 5 2 3 4 4" xfId="28007"/>
    <cellStyle name="Normal 57 3 5 2 3 5" xfId="6466"/>
    <cellStyle name="Normal 57 3 5 2 3 5 2" xfId="15293"/>
    <cellStyle name="Normal 57 3 5 2 3 5 2 2" xfId="40848"/>
    <cellStyle name="Normal 57 3 5 2 3 5 3" xfId="25544"/>
    <cellStyle name="Normal 57 3 5 2 3 5 3 2" xfId="51097"/>
    <cellStyle name="Normal 57 3 5 2 3 5 4" xfId="32027"/>
    <cellStyle name="Normal 57 3 5 2 3 6" xfId="7912"/>
    <cellStyle name="Normal 57 3 5 2 3 6 2" xfId="20715"/>
    <cellStyle name="Normal 57 3 5 2 3 6 2 2" xfId="46268"/>
    <cellStyle name="Normal 57 3 5 2 3 6 3" xfId="33469"/>
    <cellStyle name="Normal 57 3 5 2 3 7" xfId="16517"/>
    <cellStyle name="Normal 57 3 5 2 3 7 2" xfId="42070"/>
    <cellStyle name="Normal 57 3 5 2 3 8" xfId="27198"/>
    <cellStyle name="Normal 57 3 5 2 4" xfId="3046"/>
    <cellStyle name="Normal 57 3 5 2 4 2" xfId="5424"/>
    <cellStyle name="Normal 57 3 5 2 4 2 2" xfId="14261"/>
    <cellStyle name="Normal 57 3 5 2 4 2 2 2" xfId="24512"/>
    <cellStyle name="Normal 57 3 5 2 4 2 2 2 2" xfId="50065"/>
    <cellStyle name="Normal 57 3 5 2 4 2 2 3" xfId="39816"/>
    <cellStyle name="Normal 57 3 5 2 4 2 3" xfId="10682"/>
    <cellStyle name="Normal 57 3 5 2 4 2 3 2" xfId="36239"/>
    <cellStyle name="Normal 57 3 5 2 4 2 4" xfId="19505"/>
    <cellStyle name="Normal 57 3 5 2 4 2 4 2" xfId="45058"/>
    <cellStyle name="Normal 57 3 5 2 4 2 5" xfId="30995"/>
    <cellStyle name="Normal 57 3 5 2 4 3" xfId="6879"/>
    <cellStyle name="Normal 57 3 5 2 4 3 2" xfId="15706"/>
    <cellStyle name="Normal 57 3 5 2 4 3 2 2" xfId="41261"/>
    <cellStyle name="Normal 57 3 5 2 4 3 3" xfId="25957"/>
    <cellStyle name="Normal 57 3 5 2 4 3 3 2" xfId="51510"/>
    <cellStyle name="Normal 57 3 5 2 4 3 4" xfId="32440"/>
    <cellStyle name="Normal 57 3 5 2 4 4" xfId="8325"/>
    <cellStyle name="Normal 57 3 5 2 4 4 2" xfId="22407"/>
    <cellStyle name="Normal 57 3 5 2 4 4 2 2" xfId="47960"/>
    <cellStyle name="Normal 57 3 5 2 4 4 3" xfId="33882"/>
    <cellStyle name="Normal 57 3 5 2 4 5" xfId="17400"/>
    <cellStyle name="Normal 57 3 5 2 4 5 2" xfId="42953"/>
    <cellStyle name="Normal 57 3 5 2 4 6" xfId="28890"/>
    <cellStyle name="Normal 57 3 5 2 5" xfId="4380"/>
    <cellStyle name="Normal 57 3 5 2 5 2" xfId="13218"/>
    <cellStyle name="Normal 57 3 5 2 5 2 2" xfId="23469"/>
    <cellStyle name="Normal 57 3 5 2 5 2 2 2" xfId="49022"/>
    <cellStyle name="Normal 57 3 5 2 5 2 3" xfId="38773"/>
    <cellStyle name="Normal 57 3 5 2 5 3" xfId="9639"/>
    <cellStyle name="Normal 57 3 5 2 5 3 2" xfId="35196"/>
    <cellStyle name="Normal 57 3 5 2 5 4" xfId="18462"/>
    <cellStyle name="Normal 57 3 5 2 5 4 2" xfId="44015"/>
    <cellStyle name="Normal 57 3 5 2 5 5" xfId="29952"/>
    <cellStyle name="Normal 57 3 5 2 6" xfId="1652"/>
    <cellStyle name="Normal 57 3 5 2 6 2" xfId="11029"/>
    <cellStyle name="Normal 57 3 5 2 6 2 2" xfId="36584"/>
    <cellStyle name="Normal 57 3 5 2 6 3" xfId="21033"/>
    <cellStyle name="Normal 57 3 5 2 6 3 2" xfId="46586"/>
    <cellStyle name="Normal 57 3 5 2 6 4" xfId="27516"/>
    <cellStyle name="Normal 57 3 5 2 7" xfId="5836"/>
    <cellStyle name="Normal 57 3 5 2 7 2" xfId="14663"/>
    <cellStyle name="Normal 57 3 5 2 7 2 2" xfId="40218"/>
    <cellStyle name="Normal 57 3 5 2 7 3" xfId="24914"/>
    <cellStyle name="Normal 57 3 5 2 7 3 2" xfId="50467"/>
    <cellStyle name="Normal 57 3 5 2 7 4" xfId="31397"/>
    <cellStyle name="Normal 57 3 5 2 8" xfId="7280"/>
    <cellStyle name="Normal 57 3 5 2 8 2" xfId="20006"/>
    <cellStyle name="Normal 57 3 5 2 8 2 2" xfId="45559"/>
    <cellStyle name="Normal 57 3 5 2 8 3" xfId="32837"/>
    <cellStyle name="Normal 57 3 5 2 9" xfId="16026"/>
    <cellStyle name="Normal 57 3 5 2 9 2" xfId="41579"/>
    <cellStyle name="Normal 57 3 5 2_Degree data" xfId="3954"/>
    <cellStyle name="Normal 57 3 5 3" xfId="355"/>
    <cellStyle name="Normal 57 3 5 3 2" xfId="2841"/>
    <cellStyle name="Normal 57 3 5 3 2 2" xfId="12129"/>
    <cellStyle name="Normal 57 3 5 3 2 2 2" xfId="22202"/>
    <cellStyle name="Normal 57 3 5 3 2 2 2 2" xfId="47755"/>
    <cellStyle name="Normal 57 3 5 3 2 2 3" xfId="37684"/>
    <cellStyle name="Normal 57 3 5 3 2 3" xfId="8640"/>
    <cellStyle name="Normal 57 3 5 3 2 3 2" xfId="34197"/>
    <cellStyle name="Normal 57 3 5 3 2 4" xfId="17195"/>
    <cellStyle name="Normal 57 3 5 3 2 4 2" xfId="42748"/>
    <cellStyle name="Normal 57 3 5 3 2 5" xfId="28685"/>
    <cellStyle name="Normal 57 3 5 3 3" xfId="4661"/>
    <cellStyle name="Normal 57 3 5 3 3 2" xfId="13499"/>
    <cellStyle name="Normal 57 3 5 3 3 2 2" xfId="23750"/>
    <cellStyle name="Normal 57 3 5 3 3 2 2 2" xfId="49303"/>
    <cellStyle name="Normal 57 3 5 3 3 2 3" xfId="39054"/>
    <cellStyle name="Normal 57 3 5 3 3 3" xfId="9920"/>
    <cellStyle name="Normal 57 3 5 3 3 3 2" xfId="35477"/>
    <cellStyle name="Normal 57 3 5 3 3 4" xfId="18743"/>
    <cellStyle name="Normal 57 3 5 3 3 4 2" xfId="44296"/>
    <cellStyle name="Normal 57 3 5 3 3 5" xfId="30233"/>
    <cellStyle name="Normal 57 3 5 3 4" xfId="1950"/>
    <cellStyle name="Normal 57 3 5 3 4 2" xfId="11315"/>
    <cellStyle name="Normal 57 3 5 3 4 2 2" xfId="36870"/>
    <cellStyle name="Normal 57 3 5 3 4 3" xfId="21319"/>
    <cellStyle name="Normal 57 3 5 3 4 3 2" xfId="46872"/>
    <cellStyle name="Normal 57 3 5 3 4 4" xfId="27802"/>
    <cellStyle name="Normal 57 3 5 3 5" xfId="6117"/>
    <cellStyle name="Normal 57 3 5 3 5 2" xfId="14944"/>
    <cellStyle name="Normal 57 3 5 3 5 2 2" xfId="40499"/>
    <cellStyle name="Normal 57 3 5 3 5 3" xfId="25195"/>
    <cellStyle name="Normal 57 3 5 3 5 3 2" xfId="50748"/>
    <cellStyle name="Normal 57 3 5 3 5 4" xfId="31678"/>
    <cellStyle name="Normal 57 3 5 3 6" xfId="7562"/>
    <cellStyle name="Normal 57 3 5 3 6 2" xfId="19801"/>
    <cellStyle name="Normal 57 3 5 3 6 2 2" xfId="45354"/>
    <cellStyle name="Normal 57 3 5 3 6 3" xfId="33119"/>
    <cellStyle name="Normal 57 3 5 3 7" xfId="16312"/>
    <cellStyle name="Normal 57 3 5 3 7 2" xfId="41865"/>
    <cellStyle name="Normal 57 3 5 3 8" xfId="26284"/>
    <cellStyle name="Normal 57 3 5 4" xfId="847"/>
    <cellStyle name="Normal 57 3 5 4 2" xfId="3332"/>
    <cellStyle name="Normal 57 3 5 4 2 2" xfId="12474"/>
    <cellStyle name="Normal 57 3 5 4 2 2 2" xfId="22693"/>
    <cellStyle name="Normal 57 3 5 4 2 2 2 2" xfId="48246"/>
    <cellStyle name="Normal 57 3 5 4 2 2 3" xfId="38029"/>
    <cellStyle name="Normal 57 3 5 4 2 3" xfId="8896"/>
    <cellStyle name="Normal 57 3 5 4 2 3 2" xfId="34453"/>
    <cellStyle name="Normal 57 3 5 4 2 4" xfId="17686"/>
    <cellStyle name="Normal 57 3 5 4 2 4 2" xfId="43239"/>
    <cellStyle name="Normal 57 3 5 4 2 5" xfId="29176"/>
    <cellStyle name="Normal 57 3 5 4 3" xfId="5010"/>
    <cellStyle name="Normal 57 3 5 4 3 2" xfId="13847"/>
    <cellStyle name="Normal 57 3 5 4 3 2 2" xfId="24098"/>
    <cellStyle name="Normal 57 3 5 4 3 2 2 2" xfId="49651"/>
    <cellStyle name="Normal 57 3 5 4 3 2 3" xfId="39402"/>
    <cellStyle name="Normal 57 3 5 4 3 3" xfId="10268"/>
    <cellStyle name="Normal 57 3 5 4 3 3 2" xfId="35825"/>
    <cellStyle name="Normal 57 3 5 4 3 4" xfId="19091"/>
    <cellStyle name="Normal 57 3 5 4 3 4 2" xfId="44644"/>
    <cellStyle name="Normal 57 3 5 4 3 5" xfId="30581"/>
    <cellStyle name="Normal 57 3 5 4 4" xfId="2441"/>
    <cellStyle name="Normal 57 3 5 4 4 2" xfId="11806"/>
    <cellStyle name="Normal 57 3 5 4 4 2 2" xfId="37361"/>
    <cellStyle name="Normal 57 3 5 4 4 3" xfId="21810"/>
    <cellStyle name="Normal 57 3 5 4 4 3 2" xfId="47363"/>
    <cellStyle name="Normal 57 3 5 4 4 4" xfId="28293"/>
    <cellStyle name="Normal 57 3 5 4 5" xfId="6465"/>
    <cellStyle name="Normal 57 3 5 4 5 2" xfId="15292"/>
    <cellStyle name="Normal 57 3 5 4 5 2 2" xfId="40847"/>
    <cellStyle name="Normal 57 3 5 4 5 3" xfId="25543"/>
    <cellStyle name="Normal 57 3 5 4 5 3 2" xfId="51096"/>
    <cellStyle name="Normal 57 3 5 4 5 4" xfId="32026"/>
    <cellStyle name="Normal 57 3 5 4 6" xfId="7911"/>
    <cellStyle name="Normal 57 3 5 4 6 2" xfId="20292"/>
    <cellStyle name="Normal 57 3 5 4 6 2 2" xfId="45845"/>
    <cellStyle name="Normal 57 3 5 4 6 3" xfId="33468"/>
    <cellStyle name="Normal 57 3 5 4 7" xfId="16803"/>
    <cellStyle name="Normal 57 3 5 4 7 2" xfId="42356"/>
    <cellStyle name="Normal 57 3 5 4 8" xfId="26775"/>
    <cellStyle name="Normal 57 3 5 5" xfId="1127"/>
    <cellStyle name="Normal 57 3 5 5 2" xfId="3556"/>
    <cellStyle name="Normal 57 3 5 5 2 2" xfId="12692"/>
    <cellStyle name="Normal 57 3 5 5 2 2 2" xfId="22911"/>
    <cellStyle name="Normal 57 3 5 5 2 2 2 2" xfId="48464"/>
    <cellStyle name="Normal 57 3 5 5 2 2 3" xfId="38247"/>
    <cellStyle name="Normal 57 3 5 5 2 3" xfId="9113"/>
    <cellStyle name="Normal 57 3 5 5 2 3 2" xfId="34670"/>
    <cellStyle name="Normal 57 3 5 5 2 4" xfId="17904"/>
    <cellStyle name="Normal 57 3 5 5 2 4 2" xfId="43457"/>
    <cellStyle name="Normal 57 3 5 5 2 5" xfId="29394"/>
    <cellStyle name="Normal 57 3 5 5 3" xfId="5219"/>
    <cellStyle name="Normal 57 3 5 5 3 2" xfId="14056"/>
    <cellStyle name="Normal 57 3 5 5 3 2 2" xfId="24307"/>
    <cellStyle name="Normal 57 3 5 5 3 2 2 2" xfId="49860"/>
    <cellStyle name="Normal 57 3 5 5 3 2 3" xfId="39611"/>
    <cellStyle name="Normal 57 3 5 5 3 3" xfId="10477"/>
    <cellStyle name="Normal 57 3 5 5 3 3 2" xfId="36034"/>
    <cellStyle name="Normal 57 3 5 5 3 4" xfId="19300"/>
    <cellStyle name="Normal 57 3 5 5 3 4 2" xfId="44853"/>
    <cellStyle name="Normal 57 3 5 5 3 5" xfId="30790"/>
    <cellStyle name="Normal 57 3 5 5 4" xfId="1835"/>
    <cellStyle name="Normal 57 3 5 5 4 2" xfId="11203"/>
    <cellStyle name="Normal 57 3 5 5 4 2 2" xfId="36758"/>
    <cellStyle name="Normal 57 3 5 5 4 3" xfId="21207"/>
    <cellStyle name="Normal 57 3 5 5 4 3 2" xfId="46760"/>
    <cellStyle name="Normal 57 3 5 5 4 4" xfId="27690"/>
    <cellStyle name="Normal 57 3 5 5 5" xfId="6674"/>
    <cellStyle name="Normal 57 3 5 5 5 2" xfId="15501"/>
    <cellStyle name="Normal 57 3 5 5 5 2 2" xfId="41056"/>
    <cellStyle name="Normal 57 3 5 5 5 3" xfId="25752"/>
    <cellStyle name="Normal 57 3 5 5 5 3 2" xfId="51305"/>
    <cellStyle name="Normal 57 3 5 5 5 4" xfId="32235"/>
    <cellStyle name="Normal 57 3 5 5 6" xfId="8120"/>
    <cellStyle name="Normal 57 3 5 5 6 2" xfId="20510"/>
    <cellStyle name="Normal 57 3 5 5 6 2 2" xfId="46063"/>
    <cellStyle name="Normal 57 3 5 5 6 3" xfId="33677"/>
    <cellStyle name="Normal 57 3 5 5 7" xfId="16200"/>
    <cellStyle name="Normal 57 3 5 5 7 2" xfId="41753"/>
    <cellStyle name="Normal 57 3 5 5 8" xfId="26993"/>
    <cellStyle name="Normal 57 3 5 6" xfId="2729"/>
    <cellStyle name="Normal 57 3 5 6 2" xfId="12046"/>
    <cellStyle name="Normal 57 3 5 6 2 2" xfId="22090"/>
    <cellStyle name="Normal 57 3 5 6 2 2 2" xfId="47643"/>
    <cellStyle name="Normal 57 3 5 6 2 3" xfId="37601"/>
    <cellStyle name="Normal 57 3 5 6 3" xfId="8548"/>
    <cellStyle name="Normal 57 3 5 6 3 2" xfId="34105"/>
    <cellStyle name="Normal 57 3 5 6 4" xfId="17083"/>
    <cellStyle name="Normal 57 3 5 6 4 2" xfId="42636"/>
    <cellStyle name="Normal 57 3 5 6 5" xfId="28573"/>
    <cellStyle name="Normal 57 3 5 7" xfId="4175"/>
    <cellStyle name="Normal 57 3 5 7 2" xfId="13013"/>
    <cellStyle name="Normal 57 3 5 7 2 2" xfId="23264"/>
    <cellStyle name="Normal 57 3 5 7 2 2 2" xfId="48817"/>
    <cellStyle name="Normal 57 3 5 7 2 3" xfId="38568"/>
    <cellStyle name="Normal 57 3 5 7 3" xfId="9434"/>
    <cellStyle name="Normal 57 3 5 7 3 2" xfId="34991"/>
    <cellStyle name="Normal 57 3 5 7 4" xfId="18257"/>
    <cellStyle name="Normal 57 3 5 7 4 2" xfId="43810"/>
    <cellStyle name="Normal 57 3 5 7 5" xfId="29747"/>
    <cellStyle name="Normal 57 3 5 8" xfId="1447"/>
    <cellStyle name="Normal 57 3 5 8 2" xfId="10824"/>
    <cellStyle name="Normal 57 3 5 8 2 2" xfId="36379"/>
    <cellStyle name="Normal 57 3 5 8 3" xfId="20828"/>
    <cellStyle name="Normal 57 3 5 8 3 2" xfId="46381"/>
    <cellStyle name="Normal 57 3 5 8 4" xfId="27311"/>
    <cellStyle name="Normal 57 3 5 9" xfId="5631"/>
    <cellStyle name="Normal 57 3 5 9 2" xfId="14458"/>
    <cellStyle name="Normal 57 3 5 9 2 2" xfId="40013"/>
    <cellStyle name="Normal 57 3 5 9 3" xfId="24709"/>
    <cellStyle name="Normal 57 3 5 9 3 2" xfId="50262"/>
    <cellStyle name="Normal 57 3 5 9 4" xfId="31192"/>
    <cellStyle name="Normal 57 3 5_Degree data" xfId="3953"/>
    <cellStyle name="Normal 57 3 6" xfId="455"/>
    <cellStyle name="Normal 57 3 6 10" xfId="26384"/>
    <cellStyle name="Normal 57 3 6 2" xfId="849"/>
    <cellStyle name="Normal 57 3 6 2 2" xfId="3334"/>
    <cellStyle name="Normal 57 3 6 2 2 2" xfId="12476"/>
    <cellStyle name="Normal 57 3 6 2 2 2 2" xfId="22695"/>
    <cellStyle name="Normal 57 3 6 2 2 2 2 2" xfId="48248"/>
    <cellStyle name="Normal 57 3 6 2 2 2 3" xfId="38031"/>
    <cellStyle name="Normal 57 3 6 2 2 3" xfId="8898"/>
    <cellStyle name="Normal 57 3 6 2 2 3 2" xfId="34455"/>
    <cellStyle name="Normal 57 3 6 2 2 4" xfId="17688"/>
    <cellStyle name="Normal 57 3 6 2 2 4 2" xfId="43241"/>
    <cellStyle name="Normal 57 3 6 2 2 5" xfId="29178"/>
    <cellStyle name="Normal 57 3 6 2 3" xfId="4663"/>
    <cellStyle name="Normal 57 3 6 2 3 2" xfId="13501"/>
    <cellStyle name="Normal 57 3 6 2 3 2 2" xfId="23752"/>
    <cellStyle name="Normal 57 3 6 2 3 2 2 2" xfId="49305"/>
    <cellStyle name="Normal 57 3 6 2 3 2 3" xfId="39056"/>
    <cellStyle name="Normal 57 3 6 2 3 3" xfId="9922"/>
    <cellStyle name="Normal 57 3 6 2 3 3 2" xfId="35479"/>
    <cellStyle name="Normal 57 3 6 2 3 4" xfId="18745"/>
    <cellStyle name="Normal 57 3 6 2 3 4 2" xfId="44298"/>
    <cellStyle name="Normal 57 3 6 2 3 5" xfId="30235"/>
    <cellStyle name="Normal 57 3 6 2 4" xfId="2443"/>
    <cellStyle name="Normal 57 3 6 2 4 2" xfId="11808"/>
    <cellStyle name="Normal 57 3 6 2 4 2 2" xfId="37363"/>
    <cellStyle name="Normal 57 3 6 2 4 3" xfId="21812"/>
    <cellStyle name="Normal 57 3 6 2 4 3 2" xfId="47365"/>
    <cellStyle name="Normal 57 3 6 2 4 4" xfId="28295"/>
    <cellStyle name="Normal 57 3 6 2 5" xfId="6119"/>
    <cellStyle name="Normal 57 3 6 2 5 2" xfId="14946"/>
    <cellStyle name="Normal 57 3 6 2 5 2 2" xfId="40501"/>
    <cellStyle name="Normal 57 3 6 2 5 3" xfId="25197"/>
    <cellStyle name="Normal 57 3 6 2 5 3 2" xfId="50750"/>
    <cellStyle name="Normal 57 3 6 2 5 4" xfId="31680"/>
    <cellStyle name="Normal 57 3 6 2 6" xfId="7564"/>
    <cellStyle name="Normal 57 3 6 2 6 2" xfId="20294"/>
    <cellStyle name="Normal 57 3 6 2 6 2 2" xfId="45847"/>
    <cellStyle name="Normal 57 3 6 2 6 3" xfId="33121"/>
    <cellStyle name="Normal 57 3 6 2 7" xfId="16805"/>
    <cellStyle name="Normal 57 3 6 2 7 2" xfId="42358"/>
    <cellStyle name="Normal 57 3 6 2 8" xfId="26777"/>
    <cellStyle name="Normal 57 3 6 3" xfId="1227"/>
    <cellStyle name="Normal 57 3 6 3 2" xfId="3656"/>
    <cellStyle name="Normal 57 3 6 3 2 2" xfId="12792"/>
    <cellStyle name="Normal 57 3 6 3 2 2 2" xfId="23011"/>
    <cellStyle name="Normal 57 3 6 3 2 2 2 2" xfId="48564"/>
    <cellStyle name="Normal 57 3 6 3 2 2 3" xfId="38347"/>
    <cellStyle name="Normal 57 3 6 3 2 3" xfId="9213"/>
    <cellStyle name="Normal 57 3 6 3 2 3 2" xfId="34770"/>
    <cellStyle name="Normal 57 3 6 3 2 4" xfId="18004"/>
    <cellStyle name="Normal 57 3 6 3 2 4 2" xfId="43557"/>
    <cellStyle name="Normal 57 3 6 3 2 5" xfId="29494"/>
    <cellStyle name="Normal 57 3 6 3 3" xfId="5012"/>
    <cellStyle name="Normal 57 3 6 3 3 2" xfId="13849"/>
    <cellStyle name="Normal 57 3 6 3 3 2 2" xfId="24100"/>
    <cellStyle name="Normal 57 3 6 3 3 2 2 2" xfId="49653"/>
    <cellStyle name="Normal 57 3 6 3 3 2 3" xfId="39404"/>
    <cellStyle name="Normal 57 3 6 3 3 3" xfId="10270"/>
    <cellStyle name="Normal 57 3 6 3 3 3 2" xfId="35827"/>
    <cellStyle name="Normal 57 3 6 3 3 4" xfId="19093"/>
    <cellStyle name="Normal 57 3 6 3 3 4 2" xfId="44646"/>
    <cellStyle name="Normal 57 3 6 3 3 5" xfId="30583"/>
    <cellStyle name="Normal 57 3 6 3 4" xfId="2050"/>
    <cellStyle name="Normal 57 3 6 3 4 2" xfId="11415"/>
    <cellStyle name="Normal 57 3 6 3 4 2 2" xfId="36970"/>
    <cellStyle name="Normal 57 3 6 3 4 3" xfId="21419"/>
    <cellStyle name="Normal 57 3 6 3 4 3 2" xfId="46972"/>
    <cellStyle name="Normal 57 3 6 3 4 4" xfId="27902"/>
    <cellStyle name="Normal 57 3 6 3 5" xfId="6467"/>
    <cellStyle name="Normal 57 3 6 3 5 2" xfId="15294"/>
    <cellStyle name="Normal 57 3 6 3 5 2 2" xfId="40849"/>
    <cellStyle name="Normal 57 3 6 3 5 3" xfId="25545"/>
    <cellStyle name="Normal 57 3 6 3 5 3 2" xfId="51098"/>
    <cellStyle name="Normal 57 3 6 3 5 4" xfId="32028"/>
    <cellStyle name="Normal 57 3 6 3 6" xfId="7913"/>
    <cellStyle name="Normal 57 3 6 3 6 2" xfId="20610"/>
    <cellStyle name="Normal 57 3 6 3 6 2 2" xfId="46163"/>
    <cellStyle name="Normal 57 3 6 3 6 3" xfId="33470"/>
    <cellStyle name="Normal 57 3 6 3 7" xfId="16412"/>
    <cellStyle name="Normal 57 3 6 3 7 2" xfId="41965"/>
    <cellStyle name="Normal 57 3 6 3 8" xfId="27093"/>
    <cellStyle name="Normal 57 3 6 4" xfId="2941"/>
    <cellStyle name="Normal 57 3 6 4 2" xfId="5319"/>
    <cellStyle name="Normal 57 3 6 4 2 2" xfId="14156"/>
    <cellStyle name="Normal 57 3 6 4 2 2 2" xfId="24407"/>
    <cellStyle name="Normal 57 3 6 4 2 2 2 2" xfId="49960"/>
    <cellStyle name="Normal 57 3 6 4 2 2 3" xfId="39711"/>
    <cellStyle name="Normal 57 3 6 4 2 3" xfId="10577"/>
    <cellStyle name="Normal 57 3 6 4 2 3 2" xfId="36134"/>
    <cellStyle name="Normal 57 3 6 4 2 4" xfId="19400"/>
    <cellStyle name="Normal 57 3 6 4 2 4 2" xfId="44953"/>
    <cellStyle name="Normal 57 3 6 4 2 5" xfId="30890"/>
    <cellStyle name="Normal 57 3 6 4 3" xfId="6774"/>
    <cellStyle name="Normal 57 3 6 4 3 2" xfId="15601"/>
    <cellStyle name="Normal 57 3 6 4 3 2 2" xfId="41156"/>
    <cellStyle name="Normal 57 3 6 4 3 3" xfId="25852"/>
    <cellStyle name="Normal 57 3 6 4 3 3 2" xfId="51405"/>
    <cellStyle name="Normal 57 3 6 4 3 4" xfId="32335"/>
    <cellStyle name="Normal 57 3 6 4 4" xfId="8220"/>
    <cellStyle name="Normal 57 3 6 4 4 2" xfId="22302"/>
    <cellStyle name="Normal 57 3 6 4 4 2 2" xfId="47855"/>
    <cellStyle name="Normal 57 3 6 4 4 3" xfId="33777"/>
    <cellStyle name="Normal 57 3 6 4 5" xfId="17295"/>
    <cellStyle name="Normal 57 3 6 4 5 2" xfId="42848"/>
    <cellStyle name="Normal 57 3 6 4 6" xfId="28785"/>
    <cellStyle name="Normal 57 3 6 5" xfId="4275"/>
    <cellStyle name="Normal 57 3 6 5 2" xfId="13113"/>
    <cellStyle name="Normal 57 3 6 5 2 2" xfId="23364"/>
    <cellStyle name="Normal 57 3 6 5 2 2 2" xfId="48917"/>
    <cellStyle name="Normal 57 3 6 5 2 3" xfId="38668"/>
    <cellStyle name="Normal 57 3 6 5 3" xfId="9534"/>
    <cellStyle name="Normal 57 3 6 5 3 2" xfId="35091"/>
    <cellStyle name="Normal 57 3 6 5 4" xfId="18357"/>
    <cellStyle name="Normal 57 3 6 5 4 2" xfId="43910"/>
    <cellStyle name="Normal 57 3 6 5 5" xfId="29847"/>
    <cellStyle name="Normal 57 3 6 6" xfId="1547"/>
    <cellStyle name="Normal 57 3 6 6 2" xfId="10924"/>
    <cellStyle name="Normal 57 3 6 6 2 2" xfId="36479"/>
    <cellStyle name="Normal 57 3 6 6 3" xfId="20928"/>
    <cellStyle name="Normal 57 3 6 6 3 2" xfId="46481"/>
    <cellStyle name="Normal 57 3 6 6 4" xfId="27411"/>
    <cellStyle name="Normal 57 3 6 7" xfId="5731"/>
    <cellStyle name="Normal 57 3 6 7 2" xfId="14558"/>
    <cellStyle name="Normal 57 3 6 7 2 2" xfId="40113"/>
    <cellStyle name="Normal 57 3 6 7 3" xfId="24809"/>
    <cellStyle name="Normal 57 3 6 7 3 2" xfId="50362"/>
    <cellStyle name="Normal 57 3 6 7 4" xfId="31292"/>
    <cellStyle name="Normal 57 3 6 8" xfId="7175"/>
    <cellStyle name="Normal 57 3 6 8 2" xfId="19901"/>
    <cellStyle name="Normal 57 3 6 8 2 2" xfId="45454"/>
    <cellStyle name="Normal 57 3 6 8 3" xfId="32732"/>
    <cellStyle name="Normal 57 3 6 9" xfId="15921"/>
    <cellStyle name="Normal 57 3 6 9 2" xfId="41474"/>
    <cellStyle name="Normal 57 3 6_Degree data" xfId="3955"/>
    <cellStyle name="Normal 57 3 7" xfId="303"/>
    <cellStyle name="Normal 57 3 7 10" xfId="26232"/>
    <cellStyle name="Normal 57 3 7 2" xfId="850"/>
    <cellStyle name="Normal 57 3 7 2 2" xfId="3335"/>
    <cellStyle name="Normal 57 3 7 2 2 2" xfId="12477"/>
    <cellStyle name="Normal 57 3 7 2 2 2 2" xfId="22696"/>
    <cellStyle name="Normal 57 3 7 2 2 2 2 2" xfId="48249"/>
    <cellStyle name="Normal 57 3 7 2 2 2 3" xfId="38032"/>
    <cellStyle name="Normal 57 3 7 2 2 3" xfId="8899"/>
    <cellStyle name="Normal 57 3 7 2 2 3 2" xfId="34456"/>
    <cellStyle name="Normal 57 3 7 2 2 4" xfId="17689"/>
    <cellStyle name="Normal 57 3 7 2 2 4 2" xfId="43242"/>
    <cellStyle name="Normal 57 3 7 2 2 5" xfId="29179"/>
    <cellStyle name="Normal 57 3 7 2 3" xfId="4664"/>
    <cellStyle name="Normal 57 3 7 2 3 2" xfId="13502"/>
    <cellStyle name="Normal 57 3 7 2 3 2 2" xfId="23753"/>
    <cellStyle name="Normal 57 3 7 2 3 2 2 2" xfId="49306"/>
    <cellStyle name="Normal 57 3 7 2 3 2 3" xfId="39057"/>
    <cellStyle name="Normal 57 3 7 2 3 3" xfId="9923"/>
    <cellStyle name="Normal 57 3 7 2 3 3 2" xfId="35480"/>
    <cellStyle name="Normal 57 3 7 2 3 4" xfId="18746"/>
    <cellStyle name="Normal 57 3 7 2 3 4 2" xfId="44299"/>
    <cellStyle name="Normal 57 3 7 2 3 5" xfId="30236"/>
    <cellStyle name="Normal 57 3 7 2 4" xfId="2444"/>
    <cellStyle name="Normal 57 3 7 2 4 2" xfId="11809"/>
    <cellStyle name="Normal 57 3 7 2 4 2 2" xfId="37364"/>
    <cellStyle name="Normal 57 3 7 2 4 3" xfId="21813"/>
    <cellStyle name="Normal 57 3 7 2 4 3 2" xfId="47366"/>
    <cellStyle name="Normal 57 3 7 2 4 4" xfId="28296"/>
    <cellStyle name="Normal 57 3 7 2 5" xfId="6120"/>
    <cellStyle name="Normal 57 3 7 2 5 2" xfId="14947"/>
    <cellStyle name="Normal 57 3 7 2 5 2 2" xfId="40502"/>
    <cellStyle name="Normal 57 3 7 2 5 3" xfId="25198"/>
    <cellStyle name="Normal 57 3 7 2 5 3 2" xfId="50751"/>
    <cellStyle name="Normal 57 3 7 2 5 4" xfId="31681"/>
    <cellStyle name="Normal 57 3 7 2 6" xfId="7565"/>
    <cellStyle name="Normal 57 3 7 2 6 2" xfId="20295"/>
    <cellStyle name="Normal 57 3 7 2 6 2 2" xfId="45848"/>
    <cellStyle name="Normal 57 3 7 2 6 3" xfId="33122"/>
    <cellStyle name="Normal 57 3 7 2 7" xfId="16806"/>
    <cellStyle name="Normal 57 3 7 2 7 2" xfId="42359"/>
    <cellStyle name="Normal 57 3 7 2 8" xfId="26778"/>
    <cellStyle name="Normal 57 3 7 3" xfId="1075"/>
    <cellStyle name="Normal 57 3 7 3 2" xfId="3504"/>
    <cellStyle name="Normal 57 3 7 3 2 2" xfId="12640"/>
    <cellStyle name="Normal 57 3 7 3 2 2 2" xfId="22859"/>
    <cellStyle name="Normal 57 3 7 3 2 2 2 2" xfId="48412"/>
    <cellStyle name="Normal 57 3 7 3 2 2 3" xfId="38195"/>
    <cellStyle name="Normal 57 3 7 3 2 3" xfId="9062"/>
    <cellStyle name="Normal 57 3 7 3 2 3 2" xfId="34619"/>
    <cellStyle name="Normal 57 3 7 3 2 4" xfId="17852"/>
    <cellStyle name="Normal 57 3 7 3 2 4 2" xfId="43405"/>
    <cellStyle name="Normal 57 3 7 3 2 5" xfId="29342"/>
    <cellStyle name="Normal 57 3 7 3 3" xfId="5013"/>
    <cellStyle name="Normal 57 3 7 3 3 2" xfId="13850"/>
    <cellStyle name="Normal 57 3 7 3 3 2 2" xfId="24101"/>
    <cellStyle name="Normal 57 3 7 3 3 2 2 2" xfId="49654"/>
    <cellStyle name="Normal 57 3 7 3 3 2 3" xfId="39405"/>
    <cellStyle name="Normal 57 3 7 3 3 3" xfId="10271"/>
    <cellStyle name="Normal 57 3 7 3 3 3 2" xfId="35828"/>
    <cellStyle name="Normal 57 3 7 3 3 4" xfId="19094"/>
    <cellStyle name="Normal 57 3 7 3 3 4 2" xfId="44647"/>
    <cellStyle name="Normal 57 3 7 3 3 5" xfId="30584"/>
    <cellStyle name="Normal 57 3 7 3 4" xfId="2593"/>
    <cellStyle name="Normal 57 3 7 3 4 2" xfId="11957"/>
    <cellStyle name="Normal 57 3 7 3 4 2 2" xfId="37512"/>
    <cellStyle name="Normal 57 3 7 3 4 3" xfId="21961"/>
    <cellStyle name="Normal 57 3 7 3 4 3 2" xfId="47514"/>
    <cellStyle name="Normal 57 3 7 3 4 4" xfId="28444"/>
    <cellStyle name="Normal 57 3 7 3 5" xfId="6468"/>
    <cellStyle name="Normal 57 3 7 3 5 2" xfId="15295"/>
    <cellStyle name="Normal 57 3 7 3 5 2 2" xfId="40850"/>
    <cellStyle name="Normal 57 3 7 3 5 3" xfId="25546"/>
    <cellStyle name="Normal 57 3 7 3 5 3 2" xfId="51099"/>
    <cellStyle name="Normal 57 3 7 3 5 4" xfId="32029"/>
    <cellStyle name="Normal 57 3 7 3 6" xfId="7914"/>
    <cellStyle name="Normal 57 3 7 3 6 2" xfId="20458"/>
    <cellStyle name="Normal 57 3 7 3 6 2 2" xfId="46011"/>
    <cellStyle name="Normal 57 3 7 3 6 3" xfId="33471"/>
    <cellStyle name="Normal 57 3 7 3 7" xfId="16954"/>
    <cellStyle name="Normal 57 3 7 3 7 2" xfId="42507"/>
    <cellStyle name="Normal 57 3 7 3 8" xfId="26941"/>
    <cellStyle name="Normal 57 3 7 4" xfId="2789"/>
    <cellStyle name="Normal 57 3 7 4 2" xfId="5167"/>
    <cellStyle name="Normal 57 3 7 4 2 2" xfId="14004"/>
    <cellStyle name="Normal 57 3 7 4 2 2 2" xfId="24255"/>
    <cellStyle name="Normal 57 3 7 4 2 2 2 2" xfId="49808"/>
    <cellStyle name="Normal 57 3 7 4 2 2 3" xfId="39559"/>
    <cellStyle name="Normal 57 3 7 4 2 3" xfId="10425"/>
    <cellStyle name="Normal 57 3 7 4 2 3 2" xfId="35982"/>
    <cellStyle name="Normal 57 3 7 4 2 4" xfId="19248"/>
    <cellStyle name="Normal 57 3 7 4 2 4 2" xfId="44801"/>
    <cellStyle name="Normal 57 3 7 4 2 5" xfId="30738"/>
    <cellStyle name="Normal 57 3 7 4 3" xfId="6622"/>
    <cellStyle name="Normal 57 3 7 4 3 2" xfId="15449"/>
    <cellStyle name="Normal 57 3 7 4 3 2 2" xfId="41004"/>
    <cellStyle name="Normal 57 3 7 4 3 3" xfId="25700"/>
    <cellStyle name="Normal 57 3 7 4 3 3 2" xfId="51253"/>
    <cellStyle name="Normal 57 3 7 4 3 4" xfId="32183"/>
    <cellStyle name="Normal 57 3 7 4 4" xfId="8068"/>
    <cellStyle name="Normal 57 3 7 4 4 2" xfId="22150"/>
    <cellStyle name="Normal 57 3 7 4 4 2 2" xfId="47703"/>
    <cellStyle name="Normal 57 3 7 4 4 3" xfId="33625"/>
    <cellStyle name="Normal 57 3 7 4 5" xfId="17143"/>
    <cellStyle name="Normal 57 3 7 4 5 2" xfId="42696"/>
    <cellStyle name="Normal 57 3 7 4 6" xfId="28633"/>
    <cellStyle name="Normal 57 3 7 5" xfId="4121"/>
    <cellStyle name="Normal 57 3 7 5 2" xfId="12959"/>
    <cellStyle name="Normal 57 3 7 5 2 2" xfId="23210"/>
    <cellStyle name="Normal 57 3 7 5 2 2 2" xfId="48763"/>
    <cellStyle name="Normal 57 3 7 5 2 3" xfId="38514"/>
    <cellStyle name="Normal 57 3 7 5 3" xfId="9380"/>
    <cellStyle name="Normal 57 3 7 5 3 2" xfId="34937"/>
    <cellStyle name="Normal 57 3 7 5 4" xfId="18203"/>
    <cellStyle name="Normal 57 3 7 5 4 2" xfId="43756"/>
    <cellStyle name="Normal 57 3 7 5 5" xfId="29693"/>
    <cellStyle name="Normal 57 3 7 6" xfId="1898"/>
    <cellStyle name="Normal 57 3 7 6 2" xfId="11263"/>
    <cellStyle name="Normal 57 3 7 6 2 2" xfId="36818"/>
    <cellStyle name="Normal 57 3 7 6 3" xfId="21267"/>
    <cellStyle name="Normal 57 3 7 6 3 2" xfId="46820"/>
    <cellStyle name="Normal 57 3 7 6 4" xfId="27750"/>
    <cellStyle name="Normal 57 3 7 7" xfId="5579"/>
    <cellStyle name="Normal 57 3 7 7 2" xfId="14406"/>
    <cellStyle name="Normal 57 3 7 7 2 2" xfId="39961"/>
    <cellStyle name="Normal 57 3 7 7 3" xfId="24657"/>
    <cellStyle name="Normal 57 3 7 7 3 2" xfId="50210"/>
    <cellStyle name="Normal 57 3 7 7 4" xfId="31140"/>
    <cellStyle name="Normal 57 3 7 8" xfId="7023"/>
    <cellStyle name="Normal 57 3 7 8 2" xfId="19749"/>
    <cellStyle name="Normal 57 3 7 8 2 2" xfId="45302"/>
    <cellStyle name="Normal 57 3 7 8 3" xfId="32580"/>
    <cellStyle name="Normal 57 3 7 9" xfId="16260"/>
    <cellStyle name="Normal 57 3 7 9 2" xfId="41813"/>
    <cellStyle name="Normal 57 3 7_Degree data" xfId="3956"/>
    <cellStyle name="Normal 57 3 8" xfId="831"/>
    <cellStyle name="Normal 57 3 8 2" xfId="3316"/>
    <cellStyle name="Normal 57 3 8 2 2" xfId="12458"/>
    <cellStyle name="Normal 57 3 8 2 2 2" xfId="22677"/>
    <cellStyle name="Normal 57 3 8 2 2 2 2" xfId="48230"/>
    <cellStyle name="Normal 57 3 8 2 2 3" xfId="38013"/>
    <cellStyle name="Normal 57 3 8 2 3" xfId="8880"/>
    <cellStyle name="Normal 57 3 8 2 3 2" xfId="34437"/>
    <cellStyle name="Normal 57 3 8 2 4" xfId="17670"/>
    <cellStyle name="Normal 57 3 8 2 4 2" xfId="43223"/>
    <cellStyle name="Normal 57 3 8 2 5" xfId="29160"/>
    <cellStyle name="Normal 57 3 8 3" xfId="4645"/>
    <cellStyle name="Normal 57 3 8 3 2" xfId="13483"/>
    <cellStyle name="Normal 57 3 8 3 2 2" xfId="23734"/>
    <cellStyle name="Normal 57 3 8 3 2 2 2" xfId="49287"/>
    <cellStyle name="Normal 57 3 8 3 2 3" xfId="39038"/>
    <cellStyle name="Normal 57 3 8 3 3" xfId="9904"/>
    <cellStyle name="Normal 57 3 8 3 3 2" xfId="35461"/>
    <cellStyle name="Normal 57 3 8 3 4" xfId="18727"/>
    <cellStyle name="Normal 57 3 8 3 4 2" xfId="44280"/>
    <cellStyle name="Normal 57 3 8 3 5" xfId="30217"/>
    <cellStyle name="Normal 57 3 8 4" xfId="2425"/>
    <cellStyle name="Normal 57 3 8 4 2" xfId="11790"/>
    <cellStyle name="Normal 57 3 8 4 2 2" xfId="37345"/>
    <cellStyle name="Normal 57 3 8 4 3" xfId="21794"/>
    <cellStyle name="Normal 57 3 8 4 3 2" xfId="47347"/>
    <cellStyle name="Normal 57 3 8 4 4" xfId="28277"/>
    <cellStyle name="Normal 57 3 8 5" xfId="6101"/>
    <cellStyle name="Normal 57 3 8 5 2" xfId="14928"/>
    <cellStyle name="Normal 57 3 8 5 2 2" xfId="40483"/>
    <cellStyle name="Normal 57 3 8 5 3" xfId="25179"/>
    <cellStyle name="Normal 57 3 8 5 3 2" xfId="50732"/>
    <cellStyle name="Normal 57 3 8 5 4" xfId="31662"/>
    <cellStyle name="Normal 57 3 8 6" xfId="7546"/>
    <cellStyle name="Normal 57 3 8 6 2" xfId="20276"/>
    <cellStyle name="Normal 57 3 8 6 2 2" xfId="45829"/>
    <cellStyle name="Normal 57 3 8 6 3" xfId="33103"/>
    <cellStyle name="Normal 57 3 8 7" xfId="16787"/>
    <cellStyle name="Normal 57 3 8 7 2" xfId="42340"/>
    <cellStyle name="Normal 57 3 8 8" xfId="26759"/>
    <cellStyle name="Normal 57 3 9" xfId="1043"/>
    <cellStyle name="Normal 57 3 9 2" xfId="3472"/>
    <cellStyle name="Normal 57 3 9 2 2" xfId="12608"/>
    <cellStyle name="Normal 57 3 9 2 2 2" xfId="22827"/>
    <cellStyle name="Normal 57 3 9 2 2 2 2" xfId="48380"/>
    <cellStyle name="Normal 57 3 9 2 2 3" xfId="38163"/>
    <cellStyle name="Normal 57 3 9 2 3" xfId="9030"/>
    <cellStyle name="Normal 57 3 9 2 3 2" xfId="34587"/>
    <cellStyle name="Normal 57 3 9 2 4" xfId="17820"/>
    <cellStyle name="Normal 57 3 9 2 4 2" xfId="43373"/>
    <cellStyle name="Normal 57 3 9 2 5" xfId="29310"/>
    <cellStyle name="Normal 57 3 9 3" xfId="4994"/>
    <cellStyle name="Normal 57 3 9 3 2" xfId="13831"/>
    <cellStyle name="Normal 57 3 9 3 2 2" xfId="24082"/>
    <cellStyle name="Normal 57 3 9 3 2 2 2" xfId="49635"/>
    <cellStyle name="Normal 57 3 9 3 2 3" xfId="39386"/>
    <cellStyle name="Normal 57 3 9 3 3" xfId="10252"/>
    <cellStyle name="Normal 57 3 9 3 3 2" xfId="35809"/>
    <cellStyle name="Normal 57 3 9 3 4" xfId="19075"/>
    <cellStyle name="Normal 57 3 9 3 4 2" xfId="44628"/>
    <cellStyle name="Normal 57 3 9 3 5" xfId="30565"/>
    <cellStyle name="Normal 57 3 9 4" xfId="1723"/>
    <cellStyle name="Normal 57 3 9 4 2" xfId="11097"/>
    <cellStyle name="Normal 57 3 9 4 2 2" xfId="36652"/>
    <cellStyle name="Normal 57 3 9 4 3" xfId="21101"/>
    <cellStyle name="Normal 57 3 9 4 3 2" xfId="46654"/>
    <cellStyle name="Normal 57 3 9 4 4" xfId="27584"/>
    <cellStyle name="Normal 57 3 9 5" xfId="6449"/>
    <cellStyle name="Normal 57 3 9 5 2" xfId="15276"/>
    <cellStyle name="Normal 57 3 9 5 2 2" xfId="40831"/>
    <cellStyle name="Normal 57 3 9 5 3" xfId="25527"/>
    <cellStyle name="Normal 57 3 9 5 3 2" xfId="51080"/>
    <cellStyle name="Normal 57 3 9 5 4" xfId="32010"/>
    <cellStyle name="Normal 57 3 9 6" xfId="7895"/>
    <cellStyle name="Normal 57 3 9 6 2" xfId="20426"/>
    <cellStyle name="Normal 57 3 9 6 2 2" xfId="45979"/>
    <cellStyle name="Normal 57 3 9 6 3" xfId="33452"/>
    <cellStyle name="Normal 57 3 9 7" xfId="16094"/>
    <cellStyle name="Normal 57 3 9 7 2" xfId="41647"/>
    <cellStyle name="Normal 57 3 9 8" xfId="26909"/>
    <cellStyle name="Normal 57 3_Degree data" xfId="3937"/>
    <cellStyle name="Normal 57 4" xfId="105"/>
    <cellStyle name="Normal 57 4 10" xfId="4095"/>
    <cellStyle name="Normal 57 4 10 2" xfId="5553"/>
    <cellStyle name="Normal 57 4 10 2 2" xfId="14380"/>
    <cellStyle name="Normal 57 4 10 2 2 2" xfId="39935"/>
    <cellStyle name="Normal 57 4 10 2 3" xfId="24631"/>
    <cellStyle name="Normal 57 4 10 2 3 2" xfId="50184"/>
    <cellStyle name="Normal 57 4 10 2 4" xfId="31114"/>
    <cellStyle name="Normal 57 4 10 3" xfId="6997"/>
    <cellStyle name="Normal 57 4 10 3 2" xfId="23184"/>
    <cellStyle name="Normal 57 4 10 3 2 2" xfId="48737"/>
    <cellStyle name="Normal 57 4 10 3 3" xfId="32554"/>
    <cellStyle name="Normal 57 4 10 4" xfId="18177"/>
    <cellStyle name="Normal 57 4 10 4 2" xfId="43730"/>
    <cellStyle name="Normal 57 4 10 5" xfId="29667"/>
    <cellStyle name="Normal 57 4 11" xfId="1412"/>
    <cellStyle name="Normal 57 4 11 2" xfId="10789"/>
    <cellStyle name="Normal 57 4 11 2 2" xfId="36344"/>
    <cellStyle name="Normal 57 4 11 3" xfId="20793"/>
    <cellStyle name="Normal 57 4 11 3 2" xfId="46346"/>
    <cellStyle name="Normal 57 4 11 4" xfId="27276"/>
    <cellStyle name="Normal 57 4 12" xfId="5503"/>
    <cellStyle name="Normal 57 4 12 2" xfId="14330"/>
    <cellStyle name="Normal 57 4 12 2 2" xfId="39885"/>
    <cellStyle name="Normal 57 4 12 3" xfId="24581"/>
    <cellStyle name="Normal 57 4 12 3 2" xfId="50134"/>
    <cellStyle name="Normal 57 4 12 4" xfId="31064"/>
    <cellStyle name="Normal 57 4 13" xfId="6942"/>
    <cellStyle name="Normal 57 4 13 2" xfId="19580"/>
    <cellStyle name="Normal 57 4 13 2 2" xfId="45133"/>
    <cellStyle name="Normal 57 4 13 3" xfId="32500"/>
    <cellStyle name="Normal 57 4 14" xfId="15786"/>
    <cellStyle name="Normal 57 4 14 2" xfId="41339"/>
    <cellStyle name="Normal 57 4 15" xfId="26063"/>
    <cellStyle name="Normal 57 4 2" xfId="144"/>
    <cellStyle name="Normal 57 4 2 10" xfId="5523"/>
    <cellStyle name="Normal 57 4 2 10 2" xfId="14350"/>
    <cellStyle name="Normal 57 4 2 10 2 2" xfId="39905"/>
    <cellStyle name="Normal 57 4 2 10 3" xfId="24601"/>
    <cellStyle name="Normal 57 4 2 10 3 2" xfId="50154"/>
    <cellStyle name="Normal 57 4 2 10 4" xfId="31084"/>
    <cellStyle name="Normal 57 4 2 11" xfId="6964"/>
    <cellStyle name="Normal 57 4 2 11 2" xfId="19608"/>
    <cellStyle name="Normal 57 4 2 11 2 2" xfId="45161"/>
    <cellStyle name="Normal 57 4 2 11 3" xfId="32522"/>
    <cellStyle name="Normal 57 4 2 12" xfId="15845"/>
    <cellStyle name="Normal 57 4 2 12 2" xfId="41398"/>
    <cellStyle name="Normal 57 4 2 13" xfId="26091"/>
    <cellStyle name="Normal 57 4 2 2" xfId="194"/>
    <cellStyle name="Normal 57 4 2 2 10" xfId="7142"/>
    <cellStyle name="Normal 57 4 2 2 10 2" xfId="19651"/>
    <cellStyle name="Normal 57 4 2 2 10 2 2" xfId="45204"/>
    <cellStyle name="Normal 57 4 2 2 10 3" xfId="32699"/>
    <cellStyle name="Normal 57 4 2 2 11" xfId="15888"/>
    <cellStyle name="Normal 57 4 2 2 11 2" xfId="41441"/>
    <cellStyle name="Normal 57 4 2 2 12" xfId="26134"/>
    <cellStyle name="Normal 57 4 2 2 2" xfId="522"/>
    <cellStyle name="Normal 57 4 2 2 2 10" xfId="26451"/>
    <cellStyle name="Normal 57 4 2 2 2 2" xfId="854"/>
    <cellStyle name="Normal 57 4 2 2 2 2 2" xfId="3339"/>
    <cellStyle name="Normal 57 4 2 2 2 2 2 2" xfId="12481"/>
    <cellStyle name="Normal 57 4 2 2 2 2 2 2 2" xfId="22700"/>
    <cellStyle name="Normal 57 4 2 2 2 2 2 2 2 2" xfId="48253"/>
    <cellStyle name="Normal 57 4 2 2 2 2 2 2 3" xfId="38036"/>
    <cellStyle name="Normal 57 4 2 2 2 2 2 3" xfId="8903"/>
    <cellStyle name="Normal 57 4 2 2 2 2 2 3 2" xfId="34460"/>
    <cellStyle name="Normal 57 4 2 2 2 2 2 4" xfId="17693"/>
    <cellStyle name="Normal 57 4 2 2 2 2 2 4 2" xfId="43246"/>
    <cellStyle name="Normal 57 4 2 2 2 2 2 5" xfId="29183"/>
    <cellStyle name="Normal 57 4 2 2 2 2 3" xfId="4668"/>
    <cellStyle name="Normal 57 4 2 2 2 2 3 2" xfId="13506"/>
    <cellStyle name="Normal 57 4 2 2 2 2 3 2 2" xfId="23757"/>
    <cellStyle name="Normal 57 4 2 2 2 2 3 2 2 2" xfId="49310"/>
    <cellStyle name="Normal 57 4 2 2 2 2 3 2 3" xfId="39061"/>
    <cellStyle name="Normal 57 4 2 2 2 2 3 3" xfId="9927"/>
    <cellStyle name="Normal 57 4 2 2 2 2 3 3 2" xfId="35484"/>
    <cellStyle name="Normal 57 4 2 2 2 2 3 4" xfId="18750"/>
    <cellStyle name="Normal 57 4 2 2 2 2 3 4 2" xfId="44303"/>
    <cellStyle name="Normal 57 4 2 2 2 2 3 5" xfId="30240"/>
    <cellStyle name="Normal 57 4 2 2 2 2 4" xfId="2448"/>
    <cellStyle name="Normal 57 4 2 2 2 2 4 2" xfId="11813"/>
    <cellStyle name="Normal 57 4 2 2 2 2 4 2 2" xfId="37368"/>
    <cellStyle name="Normal 57 4 2 2 2 2 4 3" xfId="21817"/>
    <cellStyle name="Normal 57 4 2 2 2 2 4 3 2" xfId="47370"/>
    <cellStyle name="Normal 57 4 2 2 2 2 4 4" xfId="28300"/>
    <cellStyle name="Normal 57 4 2 2 2 2 5" xfId="6124"/>
    <cellStyle name="Normal 57 4 2 2 2 2 5 2" xfId="14951"/>
    <cellStyle name="Normal 57 4 2 2 2 2 5 2 2" xfId="40506"/>
    <cellStyle name="Normal 57 4 2 2 2 2 5 3" xfId="25202"/>
    <cellStyle name="Normal 57 4 2 2 2 2 5 3 2" xfId="50755"/>
    <cellStyle name="Normal 57 4 2 2 2 2 5 4" xfId="31685"/>
    <cellStyle name="Normal 57 4 2 2 2 2 6" xfId="7569"/>
    <cellStyle name="Normal 57 4 2 2 2 2 6 2" xfId="20299"/>
    <cellStyle name="Normal 57 4 2 2 2 2 6 2 2" xfId="45852"/>
    <cellStyle name="Normal 57 4 2 2 2 2 6 3" xfId="33126"/>
    <cellStyle name="Normal 57 4 2 2 2 2 7" xfId="16810"/>
    <cellStyle name="Normal 57 4 2 2 2 2 7 2" xfId="42363"/>
    <cellStyle name="Normal 57 4 2 2 2 2 8" xfId="26782"/>
    <cellStyle name="Normal 57 4 2 2 2 3" xfId="1294"/>
    <cellStyle name="Normal 57 4 2 2 2 3 2" xfId="3723"/>
    <cellStyle name="Normal 57 4 2 2 2 3 2 2" xfId="12859"/>
    <cellStyle name="Normal 57 4 2 2 2 3 2 2 2" xfId="23078"/>
    <cellStyle name="Normal 57 4 2 2 2 3 2 2 2 2" xfId="48631"/>
    <cellStyle name="Normal 57 4 2 2 2 3 2 2 3" xfId="38414"/>
    <cellStyle name="Normal 57 4 2 2 2 3 2 3" xfId="9280"/>
    <cellStyle name="Normal 57 4 2 2 2 3 2 3 2" xfId="34837"/>
    <cellStyle name="Normal 57 4 2 2 2 3 2 4" xfId="18071"/>
    <cellStyle name="Normal 57 4 2 2 2 3 2 4 2" xfId="43624"/>
    <cellStyle name="Normal 57 4 2 2 2 3 2 5" xfId="29561"/>
    <cellStyle name="Normal 57 4 2 2 2 3 3" xfId="5017"/>
    <cellStyle name="Normal 57 4 2 2 2 3 3 2" xfId="13854"/>
    <cellStyle name="Normal 57 4 2 2 2 3 3 2 2" xfId="24105"/>
    <cellStyle name="Normal 57 4 2 2 2 3 3 2 2 2" xfId="49658"/>
    <cellStyle name="Normal 57 4 2 2 2 3 3 2 3" xfId="39409"/>
    <cellStyle name="Normal 57 4 2 2 2 3 3 3" xfId="10275"/>
    <cellStyle name="Normal 57 4 2 2 2 3 3 3 2" xfId="35832"/>
    <cellStyle name="Normal 57 4 2 2 2 3 3 4" xfId="19098"/>
    <cellStyle name="Normal 57 4 2 2 2 3 3 4 2" xfId="44651"/>
    <cellStyle name="Normal 57 4 2 2 2 3 3 5" xfId="30588"/>
    <cellStyle name="Normal 57 4 2 2 2 3 4" xfId="2117"/>
    <cellStyle name="Normal 57 4 2 2 2 3 4 2" xfId="11482"/>
    <cellStyle name="Normal 57 4 2 2 2 3 4 2 2" xfId="37037"/>
    <cellStyle name="Normal 57 4 2 2 2 3 4 3" xfId="21486"/>
    <cellStyle name="Normal 57 4 2 2 2 3 4 3 2" xfId="47039"/>
    <cellStyle name="Normal 57 4 2 2 2 3 4 4" xfId="27969"/>
    <cellStyle name="Normal 57 4 2 2 2 3 5" xfId="6472"/>
    <cellStyle name="Normal 57 4 2 2 2 3 5 2" xfId="15299"/>
    <cellStyle name="Normal 57 4 2 2 2 3 5 2 2" xfId="40854"/>
    <cellStyle name="Normal 57 4 2 2 2 3 5 3" xfId="25550"/>
    <cellStyle name="Normal 57 4 2 2 2 3 5 3 2" xfId="51103"/>
    <cellStyle name="Normal 57 4 2 2 2 3 5 4" xfId="32033"/>
    <cellStyle name="Normal 57 4 2 2 2 3 6" xfId="7918"/>
    <cellStyle name="Normal 57 4 2 2 2 3 6 2" xfId="20677"/>
    <cellStyle name="Normal 57 4 2 2 2 3 6 2 2" xfId="46230"/>
    <cellStyle name="Normal 57 4 2 2 2 3 6 3" xfId="33475"/>
    <cellStyle name="Normal 57 4 2 2 2 3 7" xfId="16479"/>
    <cellStyle name="Normal 57 4 2 2 2 3 7 2" xfId="42032"/>
    <cellStyle name="Normal 57 4 2 2 2 3 8" xfId="27160"/>
    <cellStyle name="Normal 57 4 2 2 2 4" xfId="3008"/>
    <cellStyle name="Normal 57 4 2 2 2 4 2" xfId="5386"/>
    <cellStyle name="Normal 57 4 2 2 2 4 2 2" xfId="14223"/>
    <cellStyle name="Normal 57 4 2 2 2 4 2 2 2" xfId="24474"/>
    <cellStyle name="Normal 57 4 2 2 2 4 2 2 2 2" xfId="50027"/>
    <cellStyle name="Normal 57 4 2 2 2 4 2 2 3" xfId="39778"/>
    <cellStyle name="Normal 57 4 2 2 2 4 2 3" xfId="10644"/>
    <cellStyle name="Normal 57 4 2 2 2 4 2 3 2" xfId="36201"/>
    <cellStyle name="Normal 57 4 2 2 2 4 2 4" xfId="19467"/>
    <cellStyle name="Normal 57 4 2 2 2 4 2 4 2" xfId="45020"/>
    <cellStyle name="Normal 57 4 2 2 2 4 2 5" xfId="30957"/>
    <cellStyle name="Normal 57 4 2 2 2 4 3" xfId="6841"/>
    <cellStyle name="Normal 57 4 2 2 2 4 3 2" xfId="15668"/>
    <cellStyle name="Normal 57 4 2 2 2 4 3 2 2" xfId="41223"/>
    <cellStyle name="Normal 57 4 2 2 2 4 3 3" xfId="25919"/>
    <cellStyle name="Normal 57 4 2 2 2 4 3 3 2" xfId="51472"/>
    <cellStyle name="Normal 57 4 2 2 2 4 3 4" xfId="32402"/>
    <cellStyle name="Normal 57 4 2 2 2 4 4" xfId="8287"/>
    <cellStyle name="Normal 57 4 2 2 2 4 4 2" xfId="22369"/>
    <cellStyle name="Normal 57 4 2 2 2 4 4 2 2" xfId="47922"/>
    <cellStyle name="Normal 57 4 2 2 2 4 4 3" xfId="33844"/>
    <cellStyle name="Normal 57 4 2 2 2 4 5" xfId="17362"/>
    <cellStyle name="Normal 57 4 2 2 2 4 5 2" xfId="42915"/>
    <cellStyle name="Normal 57 4 2 2 2 4 6" xfId="28852"/>
    <cellStyle name="Normal 57 4 2 2 2 5" xfId="4342"/>
    <cellStyle name="Normal 57 4 2 2 2 5 2" xfId="13180"/>
    <cellStyle name="Normal 57 4 2 2 2 5 2 2" xfId="23431"/>
    <cellStyle name="Normal 57 4 2 2 2 5 2 2 2" xfId="48984"/>
    <cellStyle name="Normal 57 4 2 2 2 5 2 3" xfId="38735"/>
    <cellStyle name="Normal 57 4 2 2 2 5 3" xfId="9601"/>
    <cellStyle name="Normal 57 4 2 2 2 5 3 2" xfId="35158"/>
    <cellStyle name="Normal 57 4 2 2 2 5 4" xfId="18424"/>
    <cellStyle name="Normal 57 4 2 2 2 5 4 2" xfId="43977"/>
    <cellStyle name="Normal 57 4 2 2 2 5 5" xfId="29914"/>
    <cellStyle name="Normal 57 4 2 2 2 6" xfId="1614"/>
    <cellStyle name="Normal 57 4 2 2 2 6 2" xfId="10991"/>
    <cellStyle name="Normal 57 4 2 2 2 6 2 2" xfId="36546"/>
    <cellStyle name="Normal 57 4 2 2 2 6 3" xfId="20995"/>
    <cellStyle name="Normal 57 4 2 2 2 6 3 2" xfId="46548"/>
    <cellStyle name="Normal 57 4 2 2 2 6 4" xfId="27478"/>
    <cellStyle name="Normal 57 4 2 2 2 7" xfId="5798"/>
    <cellStyle name="Normal 57 4 2 2 2 7 2" xfId="14625"/>
    <cellStyle name="Normal 57 4 2 2 2 7 2 2" xfId="40180"/>
    <cellStyle name="Normal 57 4 2 2 2 7 3" xfId="24876"/>
    <cellStyle name="Normal 57 4 2 2 2 7 3 2" xfId="50429"/>
    <cellStyle name="Normal 57 4 2 2 2 7 4" xfId="31359"/>
    <cellStyle name="Normal 57 4 2 2 2 8" xfId="7242"/>
    <cellStyle name="Normal 57 4 2 2 2 8 2" xfId="19968"/>
    <cellStyle name="Normal 57 4 2 2 2 8 2 2" xfId="45521"/>
    <cellStyle name="Normal 57 4 2 2 2 8 3" xfId="32799"/>
    <cellStyle name="Normal 57 4 2 2 2 9" xfId="15988"/>
    <cellStyle name="Normal 57 4 2 2 2 9 2" xfId="41541"/>
    <cellStyle name="Normal 57 4 2 2 2_Degree data" xfId="3960"/>
    <cellStyle name="Normal 57 4 2 2 3" xfId="422"/>
    <cellStyle name="Normal 57 4 2 2 3 2" xfId="2908"/>
    <cellStyle name="Normal 57 4 2 2 3 2 2" xfId="12196"/>
    <cellStyle name="Normal 57 4 2 2 3 2 2 2" xfId="22269"/>
    <cellStyle name="Normal 57 4 2 2 3 2 2 2 2" xfId="47822"/>
    <cellStyle name="Normal 57 4 2 2 3 2 2 3" xfId="37751"/>
    <cellStyle name="Normal 57 4 2 2 3 2 3" xfId="8395"/>
    <cellStyle name="Normal 57 4 2 2 3 2 3 2" xfId="33952"/>
    <cellStyle name="Normal 57 4 2 2 3 2 4" xfId="17262"/>
    <cellStyle name="Normal 57 4 2 2 3 2 4 2" xfId="42815"/>
    <cellStyle name="Normal 57 4 2 2 3 2 5" xfId="28752"/>
    <cellStyle name="Normal 57 4 2 2 3 3" xfId="4667"/>
    <cellStyle name="Normal 57 4 2 2 3 3 2" xfId="13505"/>
    <cellStyle name="Normal 57 4 2 2 3 3 2 2" xfId="23756"/>
    <cellStyle name="Normal 57 4 2 2 3 3 2 2 2" xfId="49309"/>
    <cellStyle name="Normal 57 4 2 2 3 3 2 3" xfId="39060"/>
    <cellStyle name="Normal 57 4 2 2 3 3 3" xfId="9926"/>
    <cellStyle name="Normal 57 4 2 2 3 3 3 2" xfId="35483"/>
    <cellStyle name="Normal 57 4 2 2 3 3 4" xfId="18749"/>
    <cellStyle name="Normal 57 4 2 2 3 3 4 2" xfId="44302"/>
    <cellStyle name="Normal 57 4 2 2 3 3 5" xfId="30239"/>
    <cellStyle name="Normal 57 4 2 2 3 4" xfId="2017"/>
    <cellStyle name="Normal 57 4 2 2 3 4 2" xfId="11382"/>
    <cellStyle name="Normal 57 4 2 2 3 4 2 2" xfId="36937"/>
    <cellStyle name="Normal 57 4 2 2 3 4 3" xfId="21386"/>
    <cellStyle name="Normal 57 4 2 2 3 4 3 2" xfId="46939"/>
    <cellStyle name="Normal 57 4 2 2 3 4 4" xfId="27869"/>
    <cellStyle name="Normal 57 4 2 2 3 5" xfId="6123"/>
    <cellStyle name="Normal 57 4 2 2 3 5 2" xfId="14950"/>
    <cellStyle name="Normal 57 4 2 2 3 5 2 2" xfId="40505"/>
    <cellStyle name="Normal 57 4 2 2 3 5 3" xfId="25201"/>
    <cellStyle name="Normal 57 4 2 2 3 5 3 2" xfId="50754"/>
    <cellStyle name="Normal 57 4 2 2 3 5 4" xfId="31684"/>
    <cellStyle name="Normal 57 4 2 2 3 6" xfId="7568"/>
    <cellStyle name="Normal 57 4 2 2 3 6 2" xfId="19868"/>
    <cellStyle name="Normal 57 4 2 2 3 6 2 2" xfId="45421"/>
    <cellStyle name="Normal 57 4 2 2 3 6 3" xfId="33125"/>
    <cellStyle name="Normal 57 4 2 2 3 7" xfId="16379"/>
    <cellStyle name="Normal 57 4 2 2 3 7 2" xfId="41932"/>
    <cellStyle name="Normal 57 4 2 2 3 8" xfId="26351"/>
    <cellStyle name="Normal 57 4 2 2 4" xfId="853"/>
    <cellStyle name="Normal 57 4 2 2 4 2" xfId="3338"/>
    <cellStyle name="Normal 57 4 2 2 4 2 2" xfId="12480"/>
    <cellStyle name="Normal 57 4 2 2 4 2 2 2" xfId="22699"/>
    <cellStyle name="Normal 57 4 2 2 4 2 2 2 2" xfId="48252"/>
    <cellStyle name="Normal 57 4 2 2 4 2 2 3" xfId="38035"/>
    <cellStyle name="Normal 57 4 2 2 4 2 3" xfId="8902"/>
    <cellStyle name="Normal 57 4 2 2 4 2 3 2" xfId="34459"/>
    <cellStyle name="Normal 57 4 2 2 4 2 4" xfId="17692"/>
    <cellStyle name="Normal 57 4 2 2 4 2 4 2" xfId="43245"/>
    <cellStyle name="Normal 57 4 2 2 4 2 5" xfId="29182"/>
    <cellStyle name="Normal 57 4 2 2 4 3" xfId="5016"/>
    <cellStyle name="Normal 57 4 2 2 4 3 2" xfId="13853"/>
    <cellStyle name="Normal 57 4 2 2 4 3 2 2" xfId="24104"/>
    <cellStyle name="Normal 57 4 2 2 4 3 2 2 2" xfId="49657"/>
    <cellStyle name="Normal 57 4 2 2 4 3 2 3" xfId="39408"/>
    <cellStyle name="Normal 57 4 2 2 4 3 3" xfId="10274"/>
    <cellStyle name="Normal 57 4 2 2 4 3 3 2" xfId="35831"/>
    <cellStyle name="Normal 57 4 2 2 4 3 4" xfId="19097"/>
    <cellStyle name="Normal 57 4 2 2 4 3 4 2" xfId="44650"/>
    <cellStyle name="Normal 57 4 2 2 4 3 5" xfId="30587"/>
    <cellStyle name="Normal 57 4 2 2 4 4" xfId="2447"/>
    <cellStyle name="Normal 57 4 2 2 4 4 2" xfId="11812"/>
    <cellStyle name="Normal 57 4 2 2 4 4 2 2" xfId="37367"/>
    <cellStyle name="Normal 57 4 2 2 4 4 3" xfId="21816"/>
    <cellStyle name="Normal 57 4 2 2 4 4 3 2" xfId="47369"/>
    <cellStyle name="Normal 57 4 2 2 4 4 4" xfId="28299"/>
    <cellStyle name="Normal 57 4 2 2 4 5" xfId="6471"/>
    <cellStyle name="Normal 57 4 2 2 4 5 2" xfId="15298"/>
    <cellStyle name="Normal 57 4 2 2 4 5 2 2" xfId="40853"/>
    <cellStyle name="Normal 57 4 2 2 4 5 3" xfId="25549"/>
    <cellStyle name="Normal 57 4 2 2 4 5 3 2" xfId="51102"/>
    <cellStyle name="Normal 57 4 2 2 4 5 4" xfId="32032"/>
    <cellStyle name="Normal 57 4 2 2 4 6" xfId="7917"/>
    <cellStyle name="Normal 57 4 2 2 4 6 2" xfId="20298"/>
    <cellStyle name="Normal 57 4 2 2 4 6 2 2" xfId="45851"/>
    <cellStyle name="Normal 57 4 2 2 4 6 3" xfId="33474"/>
    <cellStyle name="Normal 57 4 2 2 4 7" xfId="16809"/>
    <cellStyle name="Normal 57 4 2 2 4 7 2" xfId="42362"/>
    <cellStyle name="Normal 57 4 2 2 4 8" xfId="26781"/>
    <cellStyle name="Normal 57 4 2 2 5" xfId="1194"/>
    <cellStyle name="Normal 57 4 2 2 5 2" xfId="3623"/>
    <cellStyle name="Normal 57 4 2 2 5 2 2" xfId="12759"/>
    <cellStyle name="Normal 57 4 2 2 5 2 2 2" xfId="22978"/>
    <cellStyle name="Normal 57 4 2 2 5 2 2 2 2" xfId="48531"/>
    <cellStyle name="Normal 57 4 2 2 5 2 2 3" xfId="38314"/>
    <cellStyle name="Normal 57 4 2 2 5 2 3" xfId="9180"/>
    <cellStyle name="Normal 57 4 2 2 5 2 3 2" xfId="34737"/>
    <cellStyle name="Normal 57 4 2 2 5 2 4" xfId="17971"/>
    <cellStyle name="Normal 57 4 2 2 5 2 4 2" xfId="43524"/>
    <cellStyle name="Normal 57 4 2 2 5 2 5" xfId="29461"/>
    <cellStyle name="Normal 57 4 2 2 5 3" xfId="5286"/>
    <cellStyle name="Normal 57 4 2 2 5 3 2" xfId="14123"/>
    <cellStyle name="Normal 57 4 2 2 5 3 2 2" xfId="24374"/>
    <cellStyle name="Normal 57 4 2 2 5 3 2 2 2" xfId="49927"/>
    <cellStyle name="Normal 57 4 2 2 5 3 2 3" xfId="39678"/>
    <cellStyle name="Normal 57 4 2 2 5 3 3" xfId="10544"/>
    <cellStyle name="Normal 57 4 2 2 5 3 3 2" xfId="36101"/>
    <cellStyle name="Normal 57 4 2 2 5 3 4" xfId="19367"/>
    <cellStyle name="Normal 57 4 2 2 5 3 4 2" xfId="44920"/>
    <cellStyle name="Normal 57 4 2 2 5 3 5" xfId="30857"/>
    <cellStyle name="Normal 57 4 2 2 5 4" xfId="1796"/>
    <cellStyle name="Normal 57 4 2 2 5 4 2" xfId="11165"/>
    <cellStyle name="Normal 57 4 2 2 5 4 2 2" xfId="36720"/>
    <cellStyle name="Normal 57 4 2 2 5 4 3" xfId="21169"/>
    <cellStyle name="Normal 57 4 2 2 5 4 3 2" xfId="46722"/>
    <cellStyle name="Normal 57 4 2 2 5 4 4" xfId="27652"/>
    <cellStyle name="Normal 57 4 2 2 5 5" xfId="6741"/>
    <cellStyle name="Normal 57 4 2 2 5 5 2" xfId="15568"/>
    <cellStyle name="Normal 57 4 2 2 5 5 2 2" xfId="41123"/>
    <cellStyle name="Normal 57 4 2 2 5 5 3" xfId="25819"/>
    <cellStyle name="Normal 57 4 2 2 5 5 3 2" xfId="51372"/>
    <cellStyle name="Normal 57 4 2 2 5 5 4" xfId="32302"/>
    <cellStyle name="Normal 57 4 2 2 5 6" xfId="8187"/>
    <cellStyle name="Normal 57 4 2 2 5 6 2" xfId="20577"/>
    <cellStyle name="Normal 57 4 2 2 5 6 2 2" xfId="46130"/>
    <cellStyle name="Normal 57 4 2 2 5 6 3" xfId="33744"/>
    <cellStyle name="Normal 57 4 2 2 5 7" xfId="16162"/>
    <cellStyle name="Normal 57 4 2 2 5 7 2" xfId="41715"/>
    <cellStyle name="Normal 57 4 2 2 5 8" xfId="27060"/>
    <cellStyle name="Normal 57 4 2 2 6" xfId="2691"/>
    <cellStyle name="Normal 57 4 2 2 6 2" xfId="12008"/>
    <cellStyle name="Normal 57 4 2 2 6 2 2" xfId="22052"/>
    <cellStyle name="Normal 57 4 2 2 6 2 2 2" xfId="47605"/>
    <cellStyle name="Normal 57 4 2 2 6 2 3" xfId="37563"/>
    <cellStyle name="Normal 57 4 2 2 6 3" xfId="8497"/>
    <cellStyle name="Normal 57 4 2 2 6 3 2" xfId="34054"/>
    <cellStyle name="Normal 57 4 2 2 6 4" xfId="17045"/>
    <cellStyle name="Normal 57 4 2 2 6 4 2" xfId="42598"/>
    <cellStyle name="Normal 57 4 2 2 6 5" xfId="28535"/>
    <cellStyle name="Normal 57 4 2 2 7" xfId="4242"/>
    <cellStyle name="Normal 57 4 2 2 7 2" xfId="13080"/>
    <cellStyle name="Normal 57 4 2 2 7 2 2" xfId="23331"/>
    <cellStyle name="Normal 57 4 2 2 7 2 2 2" xfId="48884"/>
    <cellStyle name="Normal 57 4 2 2 7 2 3" xfId="38635"/>
    <cellStyle name="Normal 57 4 2 2 7 3" xfId="9501"/>
    <cellStyle name="Normal 57 4 2 2 7 3 2" xfId="35058"/>
    <cellStyle name="Normal 57 4 2 2 7 4" xfId="18324"/>
    <cellStyle name="Normal 57 4 2 2 7 4 2" xfId="43877"/>
    <cellStyle name="Normal 57 4 2 2 7 5" xfId="29814"/>
    <cellStyle name="Normal 57 4 2 2 8" xfId="1514"/>
    <cellStyle name="Normal 57 4 2 2 8 2" xfId="10891"/>
    <cellStyle name="Normal 57 4 2 2 8 2 2" xfId="36446"/>
    <cellStyle name="Normal 57 4 2 2 8 3" xfId="20895"/>
    <cellStyle name="Normal 57 4 2 2 8 3 2" xfId="46448"/>
    <cellStyle name="Normal 57 4 2 2 8 4" xfId="27378"/>
    <cellStyle name="Normal 57 4 2 2 9" xfId="5698"/>
    <cellStyle name="Normal 57 4 2 2 9 2" xfId="14525"/>
    <cellStyle name="Normal 57 4 2 2 9 2 2" xfId="40080"/>
    <cellStyle name="Normal 57 4 2 2 9 3" xfId="24776"/>
    <cellStyle name="Normal 57 4 2 2 9 3 2" xfId="50329"/>
    <cellStyle name="Normal 57 4 2 2 9 4" xfId="31259"/>
    <cellStyle name="Normal 57 4 2 2_Degree data" xfId="3959"/>
    <cellStyle name="Normal 57 4 2 3" xfId="479"/>
    <cellStyle name="Normal 57 4 2 3 10" xfId="26408"/>
    <cellStyle name="Normal 57 4 2 3 2" xfId="855"/>
    <cellStyle name="Normal 57 4 2 3 2 2" xfId="3340"/>
    <cellStyle name="Normal 57 4 2 3 2 2 2" xfId="12482"/>
    <cellStyle name="Normal 57 4 2 3 2 2 2 2" xfId="22701"/>
    <cellStyle name="Normal 57 4 2 3 2 2 2 2 2" xfId="48254"/>
    <cellStyle name="Normal 57 4 2 3 2 2 2 3" xfId="38037"/>
    <cellStyle name="Normal 57 4 2 3 2 2 3" xfId="8904"/>
    <cellStyle name="Normal 57 4 2 3 2 2 3 2" xfId="34461"/>
    <cellStyle name="Normal 57 4 2 3 2 2 4" xfId="17694"/>
    <cellStyle name="Normal 57 4 2 3 2 2 4 2" xfId="43247"/>
    <cellStyle name="Normal 57 4 2 3 2 2 5" xfId="29184"/>
    <cellStyle name="Normal 57 4 2 3 2 3" xfId="4669"/>
    <cellStyle name="Normal 57 4 2 3 2 3 2" xfId="13507"/>
    <cellStyle name="Normal 57 4 2 3 2 3 2 2" xfId="23758"/>
    <cellStyle name="Normal 57 4 2 3 2 3 2 2 2" xfId="49311"/>
    <cellStyle name="Normal 57 4 2 3 2 3 2 3" xfId="39062"/>
    <cellStyle name="Normal 57 4 2 3 2 3 3" xfId="9928"/>
    <cellStyle name="Normal 57 4 2 3 2 3 3 2" xfId="35485"/>
    <cellStyle name="Normal 57 4 2 3 2 3 4" xfId="18751"/>
    <cellStyle name="Normal 57 4 2 3 2 3 4 2" xfId="44304"/>
    <cellStyle name="Normal 57 4 2 3 2 3 5" xfId="30241"/>
    <cellStyle name="Normal 57 4 2 3 2 4" xfId="2449"/>
    <cellStyle name="Normal 57 4 2 3 2 4 2" xfId="11814"/>
    <cellStyle name="Normal 57 4 2 3 2 4 2 2" xfId="37369"/>
    <cellStyle name="Normal 57 4 2 3 2 4 3" xfId="21818"/>
    <cellStyle name="Normal 57 4 2 3 2 4 3 2" xfId="47371"/>
    <cellStyle name="Normal 57 4 2 3 2 4 4" xfId="28301"/>
    <cellStyle name="Normal 57 4 2 3 2 5" xfId="6125"/>
    <cellStyle name="Normal 57 4 2 3 2 5 2" xfId="14952"/>
    <cellStyle name="Normal 57 4 2 3 2 5 2 2" xfId="40507"/>
    <cellStyle name="Normal 57 4 2 3 2 5 3" xfId="25203"/>
    <cellStyle name="Normal 57 4 2 3 2 5 3 2" xfId="50756"/>
    <cellStyle name="Normal 57 4 2 3 2 5 4" xfId="31686"/>
    <cellStyle name="Normal 57 4 2 3 2 6" xfId="7570"/>
    <cellStyle name="Normal 57 4 2 3 2 6 2" xfId="20300"/>
    <cellStyle name="Normal 57 4 2 3 2 6 2 2" xfId="45853"/>
    <cellStyle name="Normal 57 4 2 3 2 6 3" xfId="33127"/>
    <cellStyle name="Normal 57 4 2 3 2 7" xfId="16811"/>
    <cellStyle name="Normal 57 4 2 3 2 7 2" xfId="42364"/>
    <cellStyle name="Normal 57 4 2 3 2 8" xfId="26783"/>
    <cellStyle name="Normal 57 4 2 3 3" xfId="1251"/>
    <cellStyle name="Normal 57 4 2 3 3 2" xfId="3680"/>
    <cellStyle name="Normal 57 4 2 3 3 2 2" xfId="12816"/>
    <cellStyle name="Normal 57 4 2 3 3 2 2 2" xfId="23035"/>
    <cellStyle name="Normal 57 4 2 3 3 2 2 2 2" xfId="48588"/>
    <cellStyle name="Normal 57 4 2 3 3 2 2 3" xfId="38371"/>
    <cellStyle name="Normal 57 4 2 3 3 2 3" xfId="9237"/>
    <cellStyle name="Normal 57 4 2 3 3 2 3 2" xfId="34794"/>
    <cellStyle name="Normal 57 4 2 3 3 2 4" xfId="18028"/>
    <cellStyle name="Normal 57 4 2 3 3 2 4 2" xfId="43581"/>
    <cellStyle name="Normal 57 4 2 3 3 2 5" xfId="29518"/>
    <cellStyle name="Normal 57 4 2 3 3 3" xfId="5018"/>
    <cellStyle name="Normal 57 4 2 3 3 3 2" xfId="13855"/>
    <cellStyle name="Normal 57 4 2 3 3 3 2 2" xfId="24106"/>
    <cellStyle name="Normal 57 4 2 3 3 3 2 2 2" xfId="49659"/>
    <cellStyle name="Normal 57 4 2 3 3 3 2 3" xfId="39410"/>
    <cellStyle name="Normal 57 4 2 3 3 3 3" xfId="10276"/>
    <cellStyle name="Normal 57 4 2 3 3 3 3 2" xfId="35833"/>
    <cellStyle name="Normal 57 4 2 3 3 3 4" xfId="19099"/>
    <cellStyle name="Normal 57 4 2 3 3 3 4 2" xfId="44652"/>
    <cellStyle name="Normal 57 4 2 3 3 3 5" xfId="30589"/>
    <cellStyle name="Normal 57 4 2 3 3 4" xfId="2074"/>
    <cellStyle name="Normal 57 4 2 3 3 4 2" xfId="11439"/>
    <cellStyle name="Normal 57 4 2 3 3 4 2 2" xfId="36994"/>
    <cellStyle name="Normal 57 4 2 3 3 4 3" xfId="21443"/>
    <cellStyle name="Normal 57 4 2 3 3 4 3 2" xfId="46996"/>
    <cellStyle name="Normal 57 4 2 3 3 4 4" xfId="27926"/>
    <cellStyle name="Normal 57 4 2 3 3 5" xfId="6473"/>
    <cellStyle name="Normal 57 4 2 3 3 5 2" xfId="15300"/>
    <cellStyle name="Normal 57 4 2 3 3 5 2 2" xfId="40855"/>
    <cellStyle name="Normal 57 4 2 3 3 5 3" xfId="25551"/>
    <cellStyle name="Normal 57 4 2 3 3 5 3 2" xfId="51104"/>
    <cellStyle name="Normal 57 4 2 3 3 5 4" xfId="32034"/>
    <cellStyle name="Normal 57 4 2 3 3 6" xfId="7919"/>
    <cellStyle name="Normal 57 4 2 3 3 6 2" xfId="20634"/>
    <cellStyle name="Normal 57 4 2 3 3 6 2 2" xfId="46187"/>
    <cellStyle name="Normal 57 4 2 3 3 6 3" xfId="33476"/>
    <cellStyle name="Normal 57 4 2 3 3 7" xfId="16436"/>
    <cellStyle name="Normal 57 4 2 3 3 7 2" xfId="41989"/>
    <cellStyle name="Normal 57 4 2 3 3 8" xfId="27117"/>
    <cellStyle name="Normal 57 4 2 3 4" xfId="2965"/>
    <cellStyle name="Normal 57 4 2 3 4 2" xfId="5343"/>
    <cellStyle name="Normal 57 4 2 3 4 2 2" xfId="14180"/>
    <cellStyle name="Normal 57 4 2 3 4 2 2 2" xfId="24431"/>
    <cellStyle name="Normal 57 4 2 3 4 2 2 2 2" xfId="49984"/>
    <cellStyle name="Normal 57 4 2 3 4 2 2 3" xfId="39735"/>
    <cellStyle name="Normal 57 4 2 3 4 2 3" xfId="10601"/>
    <cellStyle name="Normal 57 4 2 3 4 2 3 2" xfId="36158"/>
    <cellStyle name="Normal 57 4 2 3 4 2 4" xfId="19424"/>
    <cellStyle name="Normal 57 4 2 3 4 2 4 2" xfId="44977"/>
    <cellStyle name="Normal 57 4 2 3 4 2 5" xfId="30914"/>
    <cellStyle name="Normal 57 4 2 3 4 3" xfId="6798"/>
    <cellStyle name="Normal 57 4 2 3 4 3 2" xfId="15625"/>
    <cellStyle name="Normal 57 4 2 3 4 3 2 2" xfId="41180"/>
    <cellStyle name="Normal 57 4 2 3 4 3 3" xfId="25876"/>
    <cellStyle name="Normal 57 4 2 3 4 3 3 2" xfId="51429"/>
    <cellStyle name="Normal 57 4 2 3 4 3 4" xfId="32359"/>
    <cellStyle name="Normal 57 4 2 3 4 4" xfId="8244"/>
    <cellStyle name="Normal 57 4 2 3 4 4 2" xfId="22326"/>
    <cellStyle name="Normal 57 4 2 3 4 4 2 2" xfId="47879"/>
    <cellStyle name="Normal 57 4 2 3 4 4 3" xfId="33801"/>
    <cellStyle name="Normal 57 4 2 3 4 5" xfId="17319"/>
    <cellStyle name="Normal 57 4 2 3 4 5 2" xfId="42872"/>
    <cellStyle name="Normal 57 4 2 3 4 6" xfId="28809"/>
    <cellStyle name="Normal 57 4 2 3 5" xfId="4299"/>
    <cellStyle name="Normal 57 4 2 3 5 2" xfId="13137"/>
    <cellStyle name="Normal 57 4 2 3 5 2 2" xfId="23388"/>
    <cellStyle name="Normal 57 4 2 3 5 2 2 2" xfId="48941"/>
    <cellStyle name="Normal 57 4 2 3 5 2 3" xfId="38692"/>
    <cellStyle name="Normal 57 4 2 3 5 3" xfId="9558"/>
    <cellStyle name="Normal 57 4 2 3 5 3 2" xfId="35115"/>
    <cellStyle name="Normal 57 4 2 3 5 4" xfId="18381"/>
    <cellStyle name="Normal 57 4 2 3 5 4 2" xfId="43934"/>
    <cellStyle name="Normal 57 4 2 3 5 5" xfId="29871"/>
    <cellStyle name="Normal 57 4 2 3 6" xfId="1571"/>
    <cellStyle name="Normal 57 4 2 3 6 2" xfId="10948"/>
    <cellStyle name="Normal 57 4 2 3 6 2 2" xfId="36503"/>
    <cellStyle name="Normal 57 4 2 3 6 3" xfId="20952"/>
    <cellStyle name="Normal 57 4 2 3 6 3 2" xfId="46505"/>
    <cellStyle name="Normal 57 4 2 3 6 4" xfId="27435"/>
    <cellStyle name="Normal 57 4 2 3 7" xfId="5755"/>
    <cellStyle name="Normal 57 4 2 3 7 2" xfId="14582"/>
    <cellStyle name="Normal 57 4 2 3 7 2 2" xfId="40137"/>
    <cellStyle name="Normal 57 4 2 3 7 3" xfId="24833"/>
    <cellStyle name="Normal 57 4 2 3 7 3 2" xfId="50386"/>
    <cellStyle name="Normal 57 4 2 3 7 4" xfId="31316"/>
    <cellStyle name="Normal 57 4 2 3 8" xfId="7199"/>
    <cellStyle name="Normal 57 4 2 3 8 2" xfId="19925"/>
    <cellStyle name="Normal 57 4 2 3 8 2 2" xfId="45478"/>
    <cellStyle name="Normal 57 4 2 3 8 3" xfId="32756"/>
    <cellStyle name="Normal 57 4 2 3 9" xfId="15945"/>
    <cellStyle name="Normal 57 4 2 3 9 2" xfId="41498"/>
    <cellStyle name="Normal 57 4 2 3_Degree data" xfId="3961"/>
    <cellStyle name="Normal 57 4 2 4" xfId="379"/>
    <cellStyle name="Normal 57 4 2 4 2" xfId="2865"/>
    <cellStyle name="Normal 57 4 2 4 2 2" xfId="12153"/>
    <cellStyle name="Normal 57 4 2 4 2 2 2" xfId="22226"/>
    <cellStyle name="Normal 57 4 2 4 2 2 2 2" xfId="47779"/>
    <cellStyle name="Normal 57 4 2 4 2 2 3" xfId="37708"/>
    <cellStyle name="Normal 57 4 2 4 2 3" xfId="8434"/>
    <cellStyle name="Normal 57 4 2 4 2 3 2" xfId="33991"/>
    <cellStyle name="Normal 57 4 2 4 2 4" xfId="17219"/>
    <cellStyle name="Normal 57 4 2 4 2 4 2" xfId="42772"/>
    <cellStyle name="Normal 57 4 2 4 2 5" xfId="28709"/>
    <cellStyle name="Normal 57 4 2 4 3" xfId="4666"/>
    <cellStyle name="Normal 57 4 2 4 3 2" xfId="13504"/>
    <cellStyle name="Normal 57 4 2 4 3 2 2" xfId="23755"/>
    <cellStyle name="Normal 57 4 2 4 3 2 2 2" xfId="49308"/>
    <cellStyle name="Normal 57 4 2 4 3 2 3" xfId="39059"/>
    <cellStyle name="Normal 57 4 2 4 3 3" xfId="9925"/>
    <cellStyle name="Normal 57 4 2 4 3 3 2" xfId="35482"/>
    <cellStyle name="Normal 57 4 2 4 3 4" xfId="18748"/>
    <cellStyle name="Normal 57 4 2 4 3 4 2" xfId="44301"/>
    <cellStyle name="Normal 57 4 2 4 3 5" xfId="30238"/>
    <cellStyle name="Normal 57 4 2 4 4" xfId="1974"/>
    <cellStyle name="Normal 57 4 2 4 4 2" xfId="11339"/>
    <cellStyle name="Normal 57 4 2 4 4 2 2" xfId="36894"/>
    <cellStyle name="Normal 57 4 2 4 4 3" xfId="21343"/>
    <cellStyle name="Normal 57 4 2 4 4 3 2" xfId="46896"/>
    <cellStyle name="Normal 57 4 2 4 4 4" xfId="27826"/>
    <cellStyle name="Normal 57 4 2 4 5" xfId="6122"/>
    <cellStyle name="Normal 57 4 2 4 5 2" xfId="14949"/>
    <cellStyle name="Normal 57 4 2 4 5 2 2" xfId="40504"/>
    <cellStyle name="Normal 57 4 2 4 5 3" xfId="25200"/>
    <cellStyle name="Normal 57 4 2 4 5 3 2" xfId="50753"/>
    <cellStyle name="Normal 57 4 2 4 5 4" xfId="31683"/>
    <cellStyle name="Normal 57 4 2 4 6" xfId="7567"/>
    <cellStyle name="Normal 57 4 2 4 6 2" xfId="19825"/>
    <cellStyle name="Normal 57 4 2 4 6 2 2" xfId="45378"/>
    <cellStyle name="Normal 57 4 2 4 6 3" xfId="33124"/>
    <cellStyle name="Normal 57 4 2 4 7" xfId="16336"/>
    <cellStyle name="Normal 57 4 2 4 7 2" xfId="41889"/>
    <cellStyle name="Normal 57 4 2 4 8" xfId="26308"/>
    <cellStyle name="Normal 57 4 2 5" xfId="852"/>
    <cellStyle name="Normal 57 4 2 5 2" xfId="3337"/>
    <cellStyle name="Normal 57 4 2 5 2 2" xfId="12479"/>
    <cellStyle name="Normal 57 4 2 5 2 2 2" xfId="22698"/>
    <cellStyle name="Normal 57 4 2 5 2 2 2 2" xfId="48251"/>
    <cellStyle name="Normal 57 4 2 5 2 2 3" xfId="38034"/>
    <cellStyle name="Normal 57 4 2 5 2 3" xfId="8901"/>
    <cellStyle name="Normal 57 4 2 5 2 3 2" xfId="34458"/>
    <cellStyle name="Normal 57 4 2 5 2 4" xfId="17691"/>
    <cellStyle name="Normal 57 4 2 5 2 4 2" xfId="43244"/>
    <cellStyle name="Normal 57 4 2 5 2 5" xfId="29181"/>
    <cellStyle name="Normal 57 4 2 5 3" xfId="5015"/>
    <cellStyle name="Normal 57 4 2 5 3 2" xfId="13852"/>
    <cellStyle name="Normal 57 4 2 5 3 2 2" xfId="24103"/>
    <cellStyle name="Normal 57 4 2 5 3 2 2 2" xfId="49656"/>
    <cellStyle name="Normal 57 4 2 5 3 2 3" xfId="39407"/>
    <cellStyle name="Normal 57 4 2 5 3 3" xfId="10273"/>
    <cellStyle name="Normal 57 4 2 5 3 3 2" xfId="35830"/>
    <cellStyle name="Normal 57 4 2 5 3 4" xfId="19096"/>
    <cellStyle name="Normal 57 4 2 5 3 4 2" xfId="44649"/>
    <cellStyle name="Normal 57 4 2 5 3 5" xfId="30586"/>
    <cellStyle name="Normal 57 4 2 5 4" xfId="2446"/>
    <cellStyle name="Normal 57 4 2 5 4 2" xfId="11811"/>
    <cellStyle name="Normal 57 4 2 5 4 2 2" xfId="37366"/>
    <cellStyle name="Normal 57 4 2 5 4 3" xfId="21815"/>
    <cellStyle name="Normal 57 4 2 5 4 3 2" xfId="47368"/>
    <cellStyle name="Normal 57 4 2 5 4 4" xfId="28298"/>
    <cellStyle name="Normal 57 4 2 5 5" xfId="6470"/>
    <cellStyle name="Normal 57 4 2 5 5 2" xfId="15297"/>
    <cellStyle name="Normal 57 4 2 5 5 2 2" xfId="40852"/>
    <cellStyle name="Normal 57 4 2 5 5 3" xfId="25548"/>
    <cellStyle name="Normal 57 4 2 5 5 3 2" xfId="51101"/>
    <cellStyle name="Normal 57 4 2 5 5 4" xfId="32031"/>
    <cellStyle name="Normal 57 4 2 5 6" xfId="7916"/>
    <cellStyle name="Normal 57 4 2 5 6 2" xfId="20297"/>
    <cellStyle name="Normal 57 4 2 5 6 2 2" xfId="45850"/>
    <cellStyle name="Normal 57 4 2 5 6 3" xfId="33473"/>
    <cellStyle name="Normal 57 4 2 5 7" xfId="16808"/>
    <cellStyle name="Normal 57 4 2 5 7 2" xfId="42361"/>
    <cellStyle name="Normal 57 4 2 5 8" xfId="26780"/>
    <cellStyle name="Normal 57 4 2 6" xfId="1151"/>
    <cellStyle name="Normal 57 4 2 6 2" xfId="3580"/>
    <cellStyle name="Normal 57 4 2 6 2 2" xfId="12716"/>
    <cellStyle name="Normal 57 4 2 6 2 2 2" xfId="22935"/>
    <cellStyle name="Normal 57 4 2 6 2 2 2 2" xfId="48488"/>
    <cellStyle name="Normal 57 4 2 6 2 2 3" xfId="38271"/>
    <cellStyle name="Normal 57 4 2 6 2 3" xfId="9137"/>
    <cellStyle name="Normal 57 4 2 6 2 3 2" xfId="34694"/>
    <cellStyle name="Normal 57 4 2 6 2 4" xfId="17928"/>
    <cellStyle name="Normal 57 4 2 6 2 4 2" xfId="43481"/>
    <cellStyle name="Normal 57 4 2 6 2 5" xfId="29418"/>
    <cellStyle name="Normal 57 4 2 6 3" xfId="5243"/>
    <cellStyle name="Normal 57 4 2 6 3 2" xfId="14080"/>
    <cellStyle name="Normal 57 4 2 6 3 2 2" xfId="24331"/>
    <cellStyle name="Normal 57 4 2 6 3 2 2 2" xfId="49884"/>
    <cellStyle name="Normal 57 4 2 6 3 2 3" xfId="39635"/>
    <cellStyle name="Normal 57 4 2 6 3 3" xfId="10501"/>
    <cellStyle name="Normal 57 4 2 6 3 3 2" xfId="36058"/>
    <cellStyle name="Normal 57 4 2 6 3 4" xfId="19324"/>
    <cellStyle name="Normal 57 4 2 6 3 4 2" xfId="44877"/>
    <cellStyle name="Normal 57 4 2 6 3 5" xfId="30814"/>
    <cellStyle name="Normal 57 4 2 6 4" xfId="1750"/>
    <cellStyle name="Normal 57 4 2 6 4 2" xfId="11121"/>
    <cellStyle name="Normal 57 4 2 6 4 2 2" xfId="36676"/>
    <cellStyle name="Normal 57 4 2 6 4 3" xfId="21125"/>
    <cellStyle name="Normal 57 4 2 6 4 3 2" xfId="46678"/>
    <cellStyle name="Normal 57 4 2 6 4 4" xfId="27608"/>
    <cellStyle name="Normal 57 4 2 6 5" xfId="6698"/>
    <cellStyle name="Normal 57 4 2 6 5 2" xfId="15525"/>
    <cellStyle name="Normal 57 4 2 6 5 2 2" xfId="41080"/>
    <cellStyle name="Normal 57 4 2 6 5 3" xfId="25776"/>
    <cellStyle name="Normal 57 4 2 6 5 3 2" xfId="51329"/>
    <cellStyle name="Normal 57 4 2 6 5 4" xfId="32259"/>
    <cellStyle name="Normal 57 4 2 6 6" xfId="8144"/>
    <cellStyle name="Normal 57 4 2 6 6 2" xfId="20534"/>
    <cellStyle name="Normal 57 4 2 6 6 2 2" xfId="46087"/>
    <cellStyle name="Normal 57 4 2 6 6 3" xfId="33701"/>
    <cellStyle name="Normal 57 4 2 6 7" xfId="16118"/>
    <cellStyle name="Normal 57 4 2 6 7 2" xfId="41671"/>
    <cellStyle name="Normal 57 4 2 6 8" xfId="27017"/>
    <cellStyle name="Normal 57 4 2 7" xfId="2648"/>
    <cellStyle name="Normal 57 4 2 7 2" xfId="5655"/>
    <cellStyle name="Normal 57 4 2 7 2 2" xfId="14482"/>
    <cellStyle name="Normal 57 4 2 7 2 2 2" xfId="40037"/>
    <cellStyle name="Normal 57 4 2 7 2 3" xfId="24733"/>
    <cellStyle name="Normal 57 4 2 7 2 3 2" xfId="50286"/>
    <cellStyle name="Normal 57 4 2 7 2 4" xfId="31216"/>
    <cellStyle name="Normal 57 4 2 7 3" xfId="7099"/>
    <cellStyle name="Normal 57 4 2 7 3 2" xfId="22009"/>
    <cellStyle name="Normal 57 4 2 7 3 2 2" xfId="47562"/>
    <cellStyle name="Normal 57 4 2 7 3 3" xfId="32656"/>
    <cellStyle name="Normal 57 4 2 7 4" xfId="17002"/>
    <cellStyle name="Normal 57 4 2 7 4 2" xfId="42555"/>
    <cellStyle name="Normal 57 4 2 7 5" xfId="28492"/>
    <cellStyle name="Normal 57 4 2 8" xfId="4199"/>
    <cellStyle name="Normal 57 4 2 8 2" xfId="13037"/>
    <cellStyle name="Normal 57 4 2 8 2 2" xfId="23288"/>
    <cellStyle name="Normal 57 4 2 8 2 2 2" xfId="48841"/>
    <cellStyle name="Normal 57 4 2 8 2 3" xfId="38592"/>
    <cellStyle name="Normal 57 4 2 8 3" xfId="9458"/>
    <cellStyle name="Normal 57 4 2 8 3 2" xfId="35015"/>
    <cellStyle name="Normal 57 4 2 8 4" xfId="18281"/>
    <cellStyle name="Normal 57 4 2 8 4 2" xfId="43834"/>
    <cellStyle name="Normal 57 4 2 8 5" xfId="29771"/>
    <cellStyle name="Normal 57 4 2 9" xfId="1471"/>
    <cellStyle name="Normal 57 4 2 9 2" xfId="10848"/>
    <cellStyle name="Normal 57 4 2 9 2 2" xfId="36403"/>
    <cellStyle name="Normal 57 4 2 9 3" xfId="20852"/>
    <cellStyle name="Normal 57 4 2 9 3 2" xfId="46405"/>
    <cellStyle name="Normal 57 4 2 9 4" xfId="27335"/>
    <cellStyle name="Normal 57 4 2_Degree data" xfId="3958"/>
    <cellStyle name="Normal 57 4 3" xfId="179"/>
    <cellStyle name="Normal 57 4 3 10" xfId="7127"/>
    <cellStyle name="Normal 57 4 3 10 2" xfId="19636"/>
    <cellStyle name="Normal 57 4 3 10 2 2" xfId="45189"/>
    <cellStyle name="Normal 57 4 3 10 3" xfId="32684"/>
    <cellStyle name="Normal 57 4 3 11" xfId="15873"/>
    <cellStyle name="Normal 57 4 3 11 2" xfId="41426"/>
    <cellStyle name="Normal 57 4 3 12" xfId="26119"/>
    <cellStyle name="Normal 57 4 3 2" xfId="507"/>
    <cellStyle name="Normal 57 4 3 2 10" xfId="26436"/>
    <cellStyle name="Normal 57 4 3 2 2" xfId="857"/>
    <cellStyle name="Normal 57 4 3 2 2 2" xfId="3342"/>
    <cellStyle name="Normal 57 4 3 2 2 2 2" xfId="12484"/>
    <cellStyle name="Normal 57 4 3 2 2 2 2 2" xfId="22703"/>
    <cellStyle name="Normal 57 4 3 2 2 2 2 2 2" xfId="48256"/>
    <cellStyle name="Normal 57 4 3 2 2 2 2 3" xfId="38039"/>
    <cellStyle name="Normal 57 4 3 2 2 2 3" xfId="8906"/>
    <cellStyle name="Normal 57 4 3 2 2 2 3 2" xfId="34463"/>
    <cellStyle name="Normal 57 4 3 2 2 2 4" xfId="17696"/>
    <cellStyle name="Normal 57 4 3 2 2 2 4 2" xfId="43249"/>
    <cellStyle name="Normal 57 4 3 2 2 2 5" xfId="29186"/>
    <cellStyle name="Normal 57 4 3 2 2 3" xfId="4671"/>
    <cellStyle name="Normal 57 4 3 2 2 3 2" xfId="13509"/>
    <cellStyle name="Normal 57 4 3 2 2 3 2 2" xfId="23760"/>
    <cellStyle name="Normal 57 4 3 2 2 3 2 2 2" xfId="49313"/>
    <cellStyle name="Normal 57 4 3 2 2 3 2 3" xfId="39064"/>
    <cellStyle name="Normal 57 4 3 2 2 3 3" xfId="9930"/>
    <cellStyle name="Normal 57 4 3 2 2 3 3 2" xfId="35487"/>
    <cellStyle name="Normal 57 4 3 2 2 3 4" xfId="18753"/>
    <cellStyle name="Normal 57 4 3 2 2 3 4 2" xfId="44306"/>
    <cellStyle name="Normal 57 4 3 2 2 3 5" xfId="30243"/>
    <cellStyle name="Normal 57 4 3 2 2 4" xfId="2451"/>
    <cellStyle name="Normal 57 4 3 2 2 4 2" xfId="11816"/>
    <cellStyle name="Normal 57 4 3 2 2 4 2 2" xfId="37371"/>
    <cellStyle name="Normal 57 4 3 2 2 4 3" xfId="21820"/>
    <cellStyle name="Normal 57 4 3 2 2 4 3 2" xfId="47373"/>
    <cellStyle name="Normal 57 4 3 2 2 4 4" xfId="28303"/>
    <cellStyle name="Normal 57 4 3 2 2 5" xfId="6127"/>
    <cellStyle name="Normal 57 4 3 2 2 5 2" xfId="14954"/>
    <cellStyle name="Normal 57 4 3 2 2 5 2 2" xfId="40509"/>
    <cellStyle name="Normal 57 4 3 2 2 5 3" xfId="25205"/>
    <cellStyle name="Normal 57 4 3 2 2 5 3 2" xfId="50758"/>
    <cellStyle name="Normal 57 4 3 2 2 5 4" xfId="31688"/>
    <cellStyle name="Normal 57 4 3 2 2 6" xfId="7572"/>
    <cellStyle name="Normal 57 4 3 2 2 6 2" xfId="20302"/>
    <cellStyle name="Normal 57 4 3 2 2 6 2 2" xfId="45855"/>
    <cellStyle name="Normal 57 4 3 2 2 6 3" xfId="33129"/>
    <cellStyle name="Normal 57 4 3 2 2 7" xfId="16813"/>
    <cellStyle name="Normal 57 4 3 2 2 7 2" xfId="42366"/>
    <cellStyle name="Normal 57 4 3 2 2 8" xfId="26785"/>
    <cellStyle name="Normal 57 4 3 2 3" xfId="1279"/>
    <cellStyle name="Normal 57 4 3 2 3 2" xfId="3708"/>
    <cellStyle name="Normal 57 4 3 2 3 2 2" xfId="12844"/>
    <cellStyle name="Normal 57 4 3 2 3 2 2 2" xfId="23063"/>
    <cellStyle name="Normal 57 4 3 2 3 2 2 2 2" xfId="48616"/>
    <cellStyle name="Normal 57 4 3 2 3 2 2 3" xfId="38399"/>
    <cellStyle name="Normal 57 4 3 2 3 2 3" xfId="9265"/>
    <cellStyle name="Normal 57 4 3 2 3 2 3 2" xfId="34822"/>
    <cellStyle name="Normal 57 4 3 2 3 2 4" xfId="18056"/>
    <cellStyle name="Normal 57 4 3 2 3 2 4 2" xfId="43609"/>
    <cellStyle name="Normal 57 4 3 2 3 2 5" xfId="29546"/>
    <cellStyle name="Normal 57 4 3 2 3 3" xfId="5020"/>
    <cellStyle name="Normal 57 4 3 2 3 3 2" xfId="13857"/>
    <cellStyle name="Normal 57 4 3 2 3 3 2 2" xfId="24108"/>
    <cellStyle name="Normal 57 4 3 2 3 3 2 2 2" xfId="49661"/>
    <cellStyle name="Normal 57 4 3 2 3 3 2 3" xfId="39412"/>
    <cellStyle name="Normal 57 4 3 2 3 3 3" xfId="10278"/>
    <cellStyle name="Normal 57 4 3 2 3 3 3 2" xfId="35835"/>
    <cellStyle name="Normal 57 4 3 2 3 3 4" xfId="19101"/>
    <cellStyle name="Normal 57 4 3 2 3 3 4 2" xfId="44654"/>
    <cellStyle name="Normal 57 4 3 2 3 3 5" xfId="30591"/>
    <cellStyle name="Normal 57 4 3 2 3 4" xfId="2102"/>
    <cellStyle name="Normal 57 4 3 2 3 4 2" xfId="11467"/>
    <cellStyle name="Normal 57 4 3 2 3 4 2 2" xfId="37022"/>
    <cellStyle name="Normal 57 4 3 2 3 4 3" xfId="21471"/>
    <cellStyle name="Normal 57 4 3 2 3 4 3 2" xfId="47024"/>
    <cellStyle name="Normal 57 4 3 2 3 4 4" xfId="27954"/>
    <cellStyle name="Normal 57 4 3 2 3 5" xfId="6475"/>
    <cellStyle name="Normal 57 4 3 2 3 5 2" xfId="15302"/>
    <cellStyle name="Normal 57 4 3 2 3 5 2 2" xfId="40857"/>
    <cellStyle name="Normal 57 4 3 2 3 5 3" xfId="25553"/>
    <cellStyle name="Normal 57 4 3 2 3 5 3 2" xfId="51106"/>
    <cellStyle name="Normal 57 4 3 2 3 5 4" xfId="32036"/>
    <cellStyle name="Normal 57 4 3 2 3 6" xfId="7921"/>
    <cellStyle name="Normal 57 4 3 2 3 6 2" xfId="20662"/>
    <cellStyle name="Normal 57 4 3 2 3 6 2 2" xfId="46215"/>
    <cellStyle name="Normal 57 4 3 2 3 6 3" xfId="33478"/>
    <cellStyle name="Normal 57 4 3 2 3 7" xfId="16464"/>
    <cellStyle name="Normal 57 4 3 2 3 7 2" xfId="42017"/>
    <cellStyle name="Normal 57 4 3 2 3 8" xfId="27145"/>
    <cellStyle name="Normal 57 4 3 2 4" xfId="2993"/>
    <cellStyle name="Normal 57 4 3 2 4 2" xfId="5371"/>
    <cellStyle name="Normal 57 4 3 2 4 2 2" xfId="14208"/>
    <cellStyle name="Normal 57 4 3 2 4 2 2 2" xfId="24459"/>
    <cellStyle name="Normal 57 4 3 2 4 2 2 2 2" xfId="50012"/>
    <cellStyle name="Normal 57 4 3 2 4 2 2 3" xfId="39763"/>
    <cellStyle name="Normal 57 4 3 2 4 2 3" xfId="10629"/>
    <cellStyle name="Normal 57 4 3 2 4 2 3 2" xfId="36186"/>
    <cellStyle name="Normal 57 4 3 2 4 2 4" xfId="19452"/>
    <cellStyle name="Normal 57 4 3 2 4 2 4 2" xfId="45005"/>
    <cellStyle name="Normal 57 4 3 2 4 2 5" xfId="30942"/>
    <cellStyle name="Normal 57 4 3 2 4 3" xfId="6826"/>
    <cellStyle name="Normal 57 4 3 2 4 3 2" xfId="15653"/>
    <cellStyle name="Normal 57 4 3 2 4 3 2 2" xfId="41208"/>
    <cellStyle name="Normal 57 4 3 2 4 3 3" xfId="25904"/>
    <cellStyle name="Normal 57 4 3 2 4 3 3 2" xfId="51457"/>
    <cellStyle name="Normal 57 4 3 2 4 3 4" xfId="32387"/>
    <cellStyle name="Normal 57 4 3 2 4 4" xfId="8272"/>
    <cellStyle name="Normal 57 4 3 2 4 4 2" xfId="22354"/>
    <cellStyle name="Normal 57 4 3 2 4 4 2 2" xfId="47907"/>
    <cellStyle name="Normal 57 4 3 2 4 4 3" xfId="33829"/>
    <cellStyle name="Normal 57 4 3 2 4 5" xfId="17347"/>
    <cellStyle name="Normal 57 4 3 2 4 5 2" xfId="42900"/>
    <cellStyle name="Normal 57 4 3 2 4 6" xfId="28837"/>
    <cellStyle name="Normal 57 4 3 2 5" xfId="4327"/>
    <cellStyle name="Normal 57 4 3 2 5 2" xfId="13165"/>
    <cellStyle name="Normal 57 4 3 2 5 2 2" xfId="23416"/>
    <cellStyle name="Normal 57 4 3 2 5 2 2 2" xfId="48969"/>
    <cellStyle name="Normal 57 4 3 2 5 2 3" xfId="38720"/>
    <cellStyle name="Normal 57 4 3 2 5 3" xfId="9586"/>
    <cellStyle name="Normal 57 4 3 2 5 3 2" xfId="35143"/>
    <cellStyle name="Normal 57 4 3 2 5 4" xfId="18409"/>
    <cellStyle name="Normal 57 4 3 2 5 4 2" xfId="43962"/>
    <cellStyle name="Normal 57 4 3 2 5 5" xfId="29899"/>
    <cellStyle name="Normal 57 4 3 2 6" xfId="1599"/>
    <cellStyle name="Normal 57 4 3 2 6 2" xfId="10976"/>
    <cellStyle name="Normal 57 4 3 2 6 2 2" xfId="36531"/>
    <cellStyle name="Normal 57 4 3 2 6 3" xfId="20980"/>
    <cellStyle name="Normal 57 4 3 2 6 3 2" xfId="46533"/>
    <cellStyle name="Normal 57 4 3 2 6 4" xfId="27463"/>
    <cellStyle name="Normal 57 4 3 2 7" xfId="5783"/>
    <cellStyle name="Normal 57 4 3 2 7 2" xfId="14610"/>
    <cellStyle name="Normal 57 4 3 2 7 2 2" xfId="40165"/>
    <cellStyle name="Normal 57 4 3 2 7 3" xfId="24861"/>
    <cellStyle name="Normal 57 4 3 2 7 3 2" xfId="50414"/>
    <cellStyle name="Normal 57 4 3 2 7 4" xfId="31344"/>
    <cellStyle name="Normal 57 4 3 2 8" xfId="7227"/>
    <cellStyle name="Normal 57 4 3 2 8 2" xfId="19953"/>
    <cellStyle name="Normal 57 4 3 2 8 2 2" xfId="45506"/>
    <cellStyle name="Normal 57 4 3 2 8 3" xfId="32784"/>
    <cellStyle name="Normal 57 4 3 2 9" xfId="15973"/>
    <cellStyle name="Normal 57 4 3 2 9 2" xfId="41526"/>
    <cellStyle name="Normal 57 4 3 2_Degree data" xfId="3963"/>
    <cellStyle name="Normal 57 4 3 3" xfId="407"/>
    <cellStyle name="Normal 57 4 3 3 2" xfId="2893"/>
    <cellStyle name="Normal 57 4 3 3 2 2" xfId="12181"/>
    <cellStyle name="Normal 57 4 3 3 2 2 2" xfId="22254"/>
    <cellStyle name="Normal 57 4 3 3 2 2 2 2" xfId="47807"/>
    <cellStyle name="Normal 57 4 3 3 2 2 3" xfId="37736"/>
    <cellStyle name="Normal 57 4 3 3 2 3" xfId="8612"/>
    <cellStyle name="Normal 57 4 3 3 2 3 2" xfId="34169"/>
    <cellStyle name="Normal 57 4 3 3 2 4" xfId="17247"/>
    <cellStyle name="Normal 57 4 3 3 2 4 2" xfId="42800"/>
    <cellStyle name="Normal 57 4 3 3 2 5" xfId="28737"/>
    <cellStyle name="Normal 57 4 3 3 3" xfId="4670"/>
    <cellStyle name="Normal 57 4 3 3 3 2" xfId="13508"/>
    <cellStyle name="Normal 57 4 3 3 3 2 2" xfId="23759"/>
    <cellStyle name="Normal 57 4 3 3 3 2 2 2" xfId="49312"/>
    <cellStyle name="Normal 57 4 3 3 3 2 3" xfId="39063"/>
    <cellStyle name="Normal 57 4 3 3 3 3" xfId="9929"/>
    <cellStyle name="Normal 57 4 3 3 3 3 2" xfId="35486"/>
    <cellStyle name="Normal 57 4 3 3 3 4" xfId="18752"/>
    <cellStyle name="Normal 57 4 3 3 3 4 2" xfId="44305"/>
    <cellStyle name="Normal 57 4 3 3 3 5" xfId="30242"/>
    <cellStyle name="Normal 57 4 3 3 4" xfId="2002"/>
    <cellStyle name="Normal 57 4 3 3 4 2" xfId="11367"/>
    <cellStyle name="Normal 57 4 3 3 4 2 2" xfId="36922"/>
    <cellStyle name="Normal 57 4 3 3 4 3" xfId="21371"/>
    <cellStyle name="Normal 57 4 3 3 4 3 2" xfId="46924"/>
    <cellStyle name="Normal 57 4 3 3 4 4" xfId="27854"/>
    <cellStyle name="Normal 57 4 3 3 5" xfId="6126"/>
    <cellStyle name="Normal 57 4 3 3 5 2" xfId="14953"/>
    <cellStyle name="Normal 57 4 3 3 5 2 2" xfId="40508"/>
    <cellStyle name="Normal 57 4 3 3 5 3" xfId="25204"/>
    <cellStyle name="Normal 57 4 3 3 5 3 2" xfId="50757"/>
    <cellStyle name="Normal 57 4 3 3 5 4" xfId="31687"/>
    <cellStyle name="Normal 57 4 3 3 6" xfId="7571"/>
    <cellStyle name="Normal 57 4 3 3 6 2" xfId="19853"/>
    <cellStyle name="Normal 57 4 3 3 6 2 2" xfId="45406"/>
    <cellStyle name="Normal 57 4 3 3 6 3" xfId="33128"/>
    <cellStyle name="Normal 57 4 3 3 7" xfId="16364"/>
    <cellStyle name="Normal 57 4 3 3 7 2" xfId="41917"/>
    <cellStyle name="Normal 57 4 3 3 8" xfId="26336"/>
    <cellStyle name="Normal 57 4 3 4" xfId="856"/>
    <cellStyle name="Normal 57 4 3 4 2" xfId="3341"/>
    <cellStyle name="Normal 57 4 3 4 2 2" xfId="12483"/>
    <cellStyle name="Normal 57 4 3 4 2 2 2" xfId="22702"/>
    <cellStyle name="Normal 57 4 3 4 2 2 2 2" xfId="48255"/>
    <cellStyle name="Normal 57 4 3 4 2 2 3" xfId="38038"/>
    <cellStyle name="Normal 57 4 3 4 2 3" xfId="8905"/>
    <cellStyle name="Normal 57 4 3 4 2 3 2" xfId="34462"/>
    <cellStyle name="Normal 57 4 3 4 2 4" xfId="17695"/>
    <cellStyle name="Normal 57 4 3 4 2 4 2" xfId="43248"/>
    <cellStyle name="Normal 57 4 3 4 2 5" xfId="29185"/>
    <cellStyle name="Normal 57 4 3 4 3" xfId="5019"/>
    <cellStyle name="Normal 57 4 3 4 3 2" xfId="13856"/>
    <cellStyle name="Normal 57 4 3 4 3 2 2" xfId="24107"/>
    <cellStyle name="Normal 57 4 3 4 3 2 2 2" xfId="49660"/>
    <cellStyle name="Normal 57 4 3 4 3 2 3" xfId="39411"/>
    <cellStyle name="Normal 57 4 3 4 3 3" xfId="10277"/>
    <cellStyle name="Normal 57 4 3 4 3 3 2" xfId="35834"/>
    <cellStyle name="Normal 57 4 3 4 3 4" xfId="19100"/>
    <cellStyle name="Normal 57 4 3 4 3 4 2" xfId="44653"/>
    <cellStyle name="Normal 57 4 3 4 3 5" xfId="30590"/>
    <cellStyle name="Normal 57 4 3 4 4" xfId="2450"/>
    <cellStyle name="Normal 57 4 3 4 4 2" xfId="11815"/>
    <cellStyle name="Normal 57 4 3 4 4 2 2" xfId="37370"/>
    <cellStyle name="Normal 57 4 3 4 4 3" xfId="21819"/>
    <cellStyle name="Normal 57 4 3 4 4 3 2" xfId="47372"/>
    <cellStyle name="Normal 57 4 3 4 4 4" xfId="28302"/>
    <cellStyle name="Normal 57 4 3 4 5" xfId="6474"/>
    <cellStyle name="Normal 57 4 3 4 5 2" xfId="15301"/>
    <cellStyle name="Normal 57 4 3 4 5 2 2" xfId="40856"/>
    <cellStyle name="Normal 57 4 3 4 5 3" xfId="25552"/>
    <cellStyle name="Normal 57 4 3 4 5 3 2" xfId="51105"/>
    <cellStyle name="Normal 57 4 3 4 5 4" xfId="32035"/>
    <cellStyle name="Normal 57 4 3 4 6" xfId="7920"/>
    <cellStyle name="Normal 57 4 3 4 6 2" xfId="20301"/>
    <cellStyle name="Normal 57 4 3 4 6 2 2" xfId="45854"/>
    <cellStyle name="Normal 57 4 3 4 6 3" xfId="33477"/>
    <cellStyle name="Normal 57 4 3 4 7" xfId="16812"/>
    <cellStyle name="Normal 57 4 3 4 7 2" xfId="42365"/>
    <cellStyle name="Normal 57 4 3 4 8" xfId="26784"/>
    <cellStyle name="Normal 57 4 3 5" xfId="1179"/>
    <cellStyle name="Normal 57 4 3 5 2" xfId="3608"/>
    <cellStyle name="Normal 57 4 3 5 2 2" xfId="12744"/>
    <cellStyle name="Normal 57 4 3 5 2 2 2" xfId="22963"/>
    <cellStyle name="Normal 57 4 3 5 2 2 2 2" xfId="48516"/>
    <cellStyle name="Normal 57 4 3 5 2 2 3" xfId="38299"/>
    <cellStyle name="Normal 57 4 3 5 2 3" xfId="9165"/>
    <cellStyle name="Normal 57 4 3 5 2 3 2" xfId="34722"/>
    <cellStyle name="Normal 57 4 3 5 2 4" xfId="17956"/>
    <cellStyle name="Normal 57 4 3 5 2 4 2" xfId="43509"/>
    <cellStyle name="Normal 57 4 3 5 2 5" xfId="29446"/>
    <cellStyle name="Normal 57 4 3 5 3" xfId="5271"/>
    <cellStyle name="Normal 57 4 3 5 3 2" xfId="14108"/>
    <cellStyle name="Normal 57 4 3 5 3 2 2" xfId="24359"/>
    <cellStyle name="Normal 57 4 3 5 3 2 2 2" xfId="49912"/>
    <cellStyle name="Normal 57 4 3 5 3 2 3" xfId="39663"/>
    <cellStyle name="Normal 57 4 3 5 3 3" xfId="10529"/>
    <cellStyle name="Normal 57 4 3 5 3 3 2" xfId="36086"/>
    <cellStyle name="Normal 57 4 3 5 3 4" xfId="19352"/>
    <cellStyle name="Normal 57 4 3 5 3 4 2" xfId="44905"/>
    <cellStyle name="Normal 57 4 3 5 3 5" xfId="30842"/>
    <cellStyle name="Normal 57 4 3 5 4" xfId="1781"/>
    <cellStyle name="Normal 57 4 3 5 4 2" xfId="11150"/>
    <cellStyle name="Normal 57 4 3 5 4 2 2" xfId="36705"/>
    <cellStyle name="Normal 57 4 3 5 4 3" xfId="21154"/>
    <cellStyle name="Normal 57 4 3 5 4 3 2" xfId="46707"/>
    <cellStyle name="Normal 57 4 3 5 4 4" xfId="27637"/>
    <cellStyle name="Normal 57 4 3 5 5" xfId="6726"/>
    <cellStyle name="Normal 57 4 3 5 5 2" xfId="15553"/>
    <cellStyle name="Normal 57 4 3 5 5 2 2" xfId="41108"/>
    <cellStyle name="Normal 57 4 3 5 5 3" xfId="25804"/>
    <cellStyle name="Normal 57 4 3 5 5 3 2" xfId="51357"/>
    <cellStyle name="Normal 57 4 3 5 5 4" xfId="32287"/>
    <cellStyle name="Normal 57 4 3 5 6" xfId="8172"/>
    <cellStyle name="Normal 57 4 3 5 6 2" xfId="20562"/>
    <cellStyle name="Normal 57 4 3 5 6 2 2" xfId="46115"/>
    <cellStyle name="Normal 57 4 3 5 6 3" xfId="33729"/>
    <cellStyle name="Normal 57 4 3 5 7" xfId="16147"/>
    <cellStyle name="Normal 57 4 3 5 7 2" xfId="41700"/>
    <cellStyle name="Normal 57 4 3 5 8" xfId="27045"/>
    <cellStyle name="Normal 57 4 3 6" xfId="2676"/>
    <cellStyle name="Normal 57 4 3 6 2" xfId="11993"/>
    <cellStyle name="Normal 57 4 3 6 2 2" xfId="22037"/>
    <cellStyle name="Normal 57 4 3 6 2 2 2" xfId="47590"/>
    <cellStyle name="Normal 57 4 3 6 2 3" xfId="37548"/>
    <cellStyle name="Normal 57 4 3 6 3" xfId="8587"/>
    <cellStyle name="Normal 57 4 3 6 3 2" xfId="34144"/>
    <cellStyle name="Normal 57 4 3 6 4" xfId="17030"/>
    <cellStyle name="Normal 57 4 3 6 4 2" xfId="42583"/>
    <cellStyle name="Normal 57 4 3 6 5" xfId="28520"/>
    <cellStyle name="Normal 57 4 3 7" xfId="4227"/>
    <cellStyle name="Normal 57 4 3 7 2" xfId="13065"/>
    <cellStyle name="Normal 57 4 3 7 2 2" xfId="23316"/>
    <cellStyle name="Normal 57 4 3 7 2 2 2" xfId="48869"/>
    <cellStyle name="Normal 57 4 3 7 2 3" xfId="38620"/>
    <cellStyle name="Normal 57 4 3 7 3" xfId="9486"/>
    <cellStyle name="Normal 57 4 3 7 3 2" xfId="35043"/>
    <cellStyle name="Normal 57 4 3 7 4" xfId="18309"/>
    <cellStyle name="Normal 57 4 3 7 4 2" xfId="43862"/>
    <cellStyle name="Normal 57 4 3 7 5" xfId="29799"/>
    <cellStyle name="Normal 57 4 3 8" xfId="1499"/>
    <cellStyle name="Normal 57 4 3 8 2" xfId="10876"/>
    <cellStyle name="Normal 57 4 3 8 2 2" xfId="36431"/>
    <cellStyle name="Normal 57 4 3 8 3" xfId="20880"/>
    <cellStyle name="Normal 57 4 3 8 3 2" xfId="46433"/>
    <cellStyle name="Normal 57 4 3 8 4" xfId="27363"/>
    <cellStyle name="Normal 57 4 3 9" xfId="5683"/>
    <cellStyle name="Normal 57 4 3 9 2" xfId="14510"/>
    <cellStyle name="Normal 57 4 3 9 2 2" xfId="40065"/>
    <cellStyle name="Normal 57 4 3 9 3" xfId="24761"/>
    <cellStyle name="Normal 57 4 3 9 3 2" xfId="50314"/>
    <cellStyle name="Normal 57 4 3 9 4" xfId="31244"/>
    <cellStyle name="Normal 57 4 3_Degree data" xfId="3962"/>
    <cellStyle name="Normal 57 4 4" xfId="233"/>
    <cellStyle name="Normal 57 4 4 10" xfId="7071"/>
    <cellStyle name="Normal 57 4 4 10 2" xfId="19685"/>
    <cellStyle name="Normal 57 4 4 10 2 2" xfId="45238"/>
    <cellStyle name="Normal 57 4 4 10 3" xfId="32628"/>
    <cellStyle name="Normal 57 4 4 11" xfId="15817"/>
    <cellStyle name="Normal 57 4 4 11 2" xfId="41370"/>
    <cellStyle name="Normal 57 4 4 12" xfId="26168"/>
    <cellStyle name="Normal 57 4 4 2" xfId="556"/>
    <cellStyle name="Normal 57 4 4 2 10" xfId="26485"/>
    <cellStyle name="Normal 57 4 4 2 2" xfId="859"/>
    <cellStyle name="Normal 57 4 4 2 2 2" xfId="3344"/>
    <cellStyle name="Normal 57 4 4 2 2 2 2" xfId="12486"/>
    <cellStyle name="Normal 57 4 4 2 2 2 2 2" xfId="22705"/>
    <cellStyle name="Normal 57 4 4 2 2 2 2 2 2" xfId="48258"/>
    <cellStyle name="Normal 57 4 4 2 2 2 2 3" xfId="38041"/>
    <cellStyle name="Normal 57 4 4 2 2 2 3" xfId="8908"/>
    <cellStyle name="Normal 57 4 4 2 2 2 3 2" xfId="34465"/>
    <cellStyle name="Normal 57 4 4 2 2 2 4" xfId="17698"/>
    <cellStyle name="Normal 57 4 4 2 2 2 4 2" xfId="43251"/>
    <cellStyle name="Normal 57 4 4 2 2 2 5" xfId="29188"/>
    <cellStyle name="Normal 57 4 4 2 2 3" xfId="4673"/>
    <cellStyle name="Normal 57 4 4 2 2 3 2" xfId="13511"/>
    <cellStyle name="Normal 57 4 4 2 2 3 2 2" xfId="23762"/>
    <cellStyle name="Normal 57 4 4 2 2 3 2 2 2" xfId="49315"/>
    <cellStyle name="Normal 57 4 4 2 2 3 2 3" xfId="39066"/>
    <cellStyle name="Normal 57 4 4 2 2 3 3" xfId="9932"/>
    <cellStyle name="Normal 57 4 4 2 2 3 3 2" xfId="35489"/>
    <cellStyle name="Normal 57 4 4 2 2 3 4" xfId="18755"/>
    <cellStyle name="Normal 57 4 4 2 2 3 4 2" xfId="44308"/>
    <cellStyle name="Normal 57 4 4 2 2 3 5" xfId="30245"/>
    <cellStyle name="Normal 57 4 4 2 2 4" xfId="2453"/>
    <cellStyle name="Normal 57 4 4 2 2 4 2" xfId="11818"/>
    <cellStyle name="Normal 57 4 4 2 2 4 2 2" xfId="37373"/>
    <cellStyle name="Normal 57 4 4 2 2 4 3" xfId="21822"/>
    <cellStyle name="Normal 57 4 4 2 2 4 3 2" xfId="47375"/>
    <cellStyle name="Normal 57 4 4 2 2 4 4" xfId="28305"/>
    <cellStyle name="Normal 57 4 4 2 2 5" xfId="6129"/>
    <cellStyle name="Normal 57 4 4 2 2 5 2" xfId="14956"/>
    <cellStyle name="Normal 57 4 4 2 2 5 2 2" xfId="40511"/>
    <cellStyle name="Normal 57 4 4 2 2 5 3" xfId="25207"/>
    <cellStyle name="Normal 57 4 4 2 2 5 3 2" xfId="50760"/>
    <cellStyle name="Normal 57 4 4 2 2 5 4" xfId="31690"/>
    <cellStyle name="Normal 57 4 4 2 2 6" xfId="7574"/>
    <cellStyle name="Normal 57 4 4 2 2 6 2" xfId="20304"/>
    <cellStyle name="Normal 57 4 4 2 2 6 2 2" xfId="45857"/>
    <cellStyle name="Normal 57 4 4 2 2 6 3" xfId="33131"/>
    <cellStyle name="Normal 57 4 4 2 2 7" xfId="16815"/>
    <cellStyle name="Normal 57 4 4 2 2 7 2" xfId="42368"/>
    <cellStyle name="Normal 57 4 4 2 2 8" xfId="26787"/>
    <cellStyle name="Normal 57 4 4 2 3" xfId="1328"/>
    <cellStyle name="Normal 57 4 4 2 3 2" xfId="3757"/>
    <cellStyle name="Normal 57 4 4 2 3 2 2" xfId="12893"/>
    <cellStyle name="Normal 57 4 4 2 3 2 2 2" xfId="23112"/>
    <cellStyle name="Normal 57 4 4 2 3 2 2 2 2" xfId="48665"/>
    <cellStyle name="Normal 57 4 4 2 3 2 2 3" xfId="38448"/>
    <cellStyle name="Normal 57 4 4 2 3 2 3" xfId="9314"/>
    <cellStyle name="Normal 57 4 4 2 3 2 3 2" xfId="34871"/>
    <cellStyle name="Normal 57 4 4 2 3 2 4" xfId="18105"/>
    <cellStyle name="Normal 57 4 4 2 3 2 4 2" xfId="43658"/>
    <cellStyle name="Normal 57 4 4 2 3 2 5" xfId="29595"/>
    <cellStyle name="Normal 57 4 4 2 3 3" xfId="5022"/>
    <cellStyle name="Normal 57 4 4 2 3 3 2" xfId="13859"/>
    <cellStyle name="Normal 57 4 4 2 3 3 2 2" xfId="24110"/>
    <cellStyle name="Normal 57 4 4 2 3 3 2 2 2" xfId="49663"/>
    <cellStyle name="Normal 57 4 4 2 3 3 2 3" xfId="39414"/>
    <cellStyle name="Normal 57 4 4 2 3 3 3" xfId="10280"/>
    <cellStyle name="Normal 57 4 4 2 3 3 3 2" xfId="35837"/>
    <cellStyle name="Normal 57 4 4 2 3 3 4" xfId="19103"/>
    <cellStyle name="Normal 57 4 4 2 3 3 4 2" xfId="44656"/>
    <cellStyle name="Normal 57 4 4 2 3 3 5" xfId="30593"/>
    <cellStyle name="Normal 57 4 4 2 3 4" xfId="2151"/>
    <cellStyle name="Normal 57 4 4 2 3 4 2" xfId="11516"/>
    <cellStyle name="Normal 57 4 4 2 3 4 2 2" xfId="37071"/>
    <cellStyle name="Normal 57 4 4 2 3 4 3" xfId="21520"/>
    <cellStyle name="Normal 57 4 4 2 3 4 3 2" xfId="47073"/>
    <cellStyle name="Normal 57 4 4 2 3 4 4" xfId="28003"/>
    <cellStyle name="Normal 57 4 4 2 3 5" xfId="6477"/>
    <cellStyle name="Normal 57 4 4 2 3 5 2" xfId="15304"/>
    <cellStyle name="Normal 57 4 4 2 3 5 2 2" xfId="40859"/>
    <cellStyle name="Normal 57 4 4 2 3 5 3" xfId="25555"/>
    <cellStyle name="Normal 57 4 4 2 3 5 3 2" xfId="51108"/>
    <cellStyle name="Normal 57 4 4 2 3 5 4" xfId="32038"/>
    <cellStyle name="Normal 57 4 4 2 3 6" xfId="7923"/>
    <cellStyle name="Normal 57 4 4 2 3 6 2" xfId="20711"/>
    <cellStyle name="Normal 57 4 4 2 3 6 2 2" xfId="46264"/>
    <cellStyle name="Normal 57 4 4 2 3 6 3" xfId="33480"/>
    <cellStyle name="Normal 57 4 4 2 3 7" xfId="16513"/>
    <cellStyle name="Normal 57 4 4 2 3 7 2" xfId="42066"/>
    <cellStyle name="Normal 57 4 4 2 3 8" xfId="27194"/>
    <cellStyle name="Normal 57 4 4 2 4" xfId="3042"/>
    <cellStyle name="Normal 57 4 4 2 4 2" xfId="5420"/>
    <cellStyle name="Normal 57 4 4 2 4 2 2" xfId="14257"/>
    <cellStyle name="Normal 57 4 4 2 4 2 2 2" xfId="24508"/>
    <cellStyle name="Normal 57 4 4 2 4 2 2 2 2" xfId="50061"/>
    <cellStyle name="Normal 57 4 4 2 4 2 2 3" xfId="39812"/>
    <cellStyle name="Normal 57 4 4 2 4 2 3" xfId="10678"/>
    <cellStyle name="Normal 57 4 4 2 4 2 3 2" xfId="36235"/>
    <cellStyle name="Normal 57 4 4 2 4 2 4" xfId="19501"/>
    <cellStyle name="Normal 57 4 4 2 4 2 4 2" xfId="45054"/>
    <cellStyle name="Normal 57 4 4 2 4 2 5" xfId="30991"/>
    <cellStyle name="Normal 57 4 4 2 4 3" xfId="6875"/>
    <cellStyle name="Normal 57 4 4 2 4 3 2" xfId="15702"/>
    <cellStyle name="Normal 57 4 4 2 4 3 2 2" xfId="41257"/>
    <cellStyle name="Normal 57 4 4 2 4 3 3" xfId="25953"/>
    <cellStyle name="Normal 57 4 4 2 4 3 3 2" xfId="51506"/>
    <cellStyle name="Normal 57 4 4 2 4 3 4" xfId="32436"/>
    <cellStyle name="Normal 57 4 4 2 4 4" xfId="8321"/>
    <cellStyle name="Normal 57 4 4 2 4 4 2" xfId="22403"/>
    <cellStyle name="Normal 57 4 4 2 4 4 2 2" xfId="47956"/>
    <cellStyle name="Normal 57 4 4 2 4 4 3" xfId="33878"/>
    <cellStyle name="Normal 57 4 4 2 4 5" xfId="17396"/>
    <cellStyle name="Normal 57 4 4 2 4 5 2" xfId="42949"/>
    <cellStyle name="Normal 57 4 4 2 4 6" xfId="28886"/>
    <cellStyle name="Normal 57 4 4 2 5" xfId="4376"/>
    <cellStyle name="Normal 57 4 4 2 5 2" xfId="13214"/>
    <cellStyle name="Normal 57 4 4 2 5 2 2" xfId="23465"/>
    <cellStyle name="Normal 57 4 4 2 5 2 2 2" xfId="49018"/>
    <cellStyle name="Normal 57 4 4 2 5 2 3" xfId="38769"/>
    <cellStyle name="Normal 57 4 4 2 5 3" xfId="9635"/>
    <cellStyle name="Normal 57 4 4 2 5 3 2" xfId="35192"/>
    <cellStyle name="Normal 57 4 4 2 5 4" xfId="18458"/>
    <cellStyle name="Normal 57 4 4 2 5 4 2" xfId="44011"/>
    <cellStyle name="Normal 57 4 4 2 5 5" xfId="29948"/>
    <cellStyle name="Normal 57 4 4 2 6" xfId="1648"/>
    <cellStyle name="Normal 57 4 4 2 6 2" xfId="11025"/>
    <cellStyle name="Normal 57 4 4 2 6 2 2" xfId="36580"/>
    <cellStyle name="Normal 57 4 4 2 6 3" xfId="21029"/>
    <cellStyle name="Normal 57 4 4 2 6 3 2" xfId="46582"/>
    <cellStyle name="Normal 57 4 4 2 6 4" xfId="27512"/>
    <cellStyle name="Normal 57 4 4 2 7" xfId="5832"/>
    <cellStyle name="Normal 57 4 4 2 7 2" xfId="14659"/>
    <cellStyle name="Normal 57 4 4 2 7 2 2" xfId="40214"/>
    <cellStyle name="Normal 57 4 4 2 7 3" xfId="24910"/>
    <cellStyle name="Normal 57 4 4 2 7 3 2" xfId="50463"/>
    <cellStyle name="Normal 57 4 4 2 7 4" xfId="31393"/>
    <cellStyle name="Normal 57 4 4 2 8" xfId="7276"/>
    <cellStyle name="Normal 57 4 4 2 8 2" xfId="20002"/>
    <cellStyle name="Normal 57 4 4 2 8 2 2" xfId="45555"/>
    <cellStyle name="Normal 57 4 4 2 8 3" xfId="32833"/>
    <cellStyle name="Normal 57 4 4 2 9" xfId="16022"/>
    <cellStyle name="Normal 57 4 4 2 9 2" xfId="41575"/>
    <cellStyle name="Normal 57 4 4 2_Degree data" xfId="3965"/>
    <cellStyle name="Normal 57 4 4 3" xfId="351"/>
    <cellStyle name="Normal 57 4 4 3 2" xfId="2837"/>
    <cellStyle name="Normal 57 4 4 3 2 2" xfId="12125"/>
    <cellStyle name="Normal 57 4 4 3 2 2 2" xfId="22198"/>
    <cellStyle name="Normal 57 4 4 3 2 2 2 2" xfId="47751"/>
    <cellStyle name="Normal 57 4 4 3 2 2 3" xfId="37680"/>
    <cellStyle name="Normal 57 4 4 3 2 3" xfId="8620"/>
    <cellStyle name="Normal 57 4 4 3 2 3 2" xfId="34177"/>
    <cellStyle name="Normal 57 4 4 3 2 4" xfId="17191"/>
    <cellStyle name="Normal 57 4 4 3 2 4 2" xfId="42744"/>
    <cellStyle name="Normal 57 4 4 3 2 5" xfId="28681"/>
    <cellStyle name="Normal 57 4 4 3 3" xfId="4672"/>
    <cellStyle name="Normal 57 4 4 3 3 2" xfId="13510"/>
    <cellStyle name="Normal 57 4 4 3 3 2 2" xfId="23761"/>
    <cellStyle name="Normal 57 4 4 3 3 2 2 2" xfId="49314"/>
    <cellStyle name="Normal 57 4 4 3 3 2 3" xfId="39065"/>
    <cellStyle name="Normal 57 4 4 3 3 3" xfId="9931"/>
    <cellStyle name="Normal 57 4 4 3 3 3 2" xfId="35488"/>
    <cellStyle name="Normal 57 4 4 3 3 4" xfId="18754"/>
    <cellStyle name="Normal 57 4 4 3 3 4 2" xfId="44307"/>
    <cellStyle name="Normal 57 4 4 3 3 5" xfId="30244"/>
    <cellStyle name="Normal 57 4 4 3 4" xfId="1946"/>
    <cellStyle name="Normal 57 4 4 3 4 2" xfId="11311"/>
    <cellStyle name="Normal 57 4 4 3 4 2 2" xfId="36866"/>
    <cellStyle name="Normal 57 4 4 3 4 3" xfId="21315"/>
    <cellStyle name="Normal 57 4 4 3 4 3 2" xfId="46868"/>
    <cellStyle name="Normal 57 4 4 3 4 4" xfId="27798"/>
    <cellStyle name="Normal 57 4 4 3 5" xfId="6128"/>
    <cellStyle name="Normal 57 4 4 3 5 2" xfId="14955"/>
    <cellStyle name="Normal 57 4 4 3 5 2 2" xfId="40510"/>
    <cellStyle name="Normal 57 4 4 3 5 3" xfId="25206"/>
    <cellStyle name="Normal 57 4 4 3 5 3 2" xfId="50759"/>
    <cellStyle name="Normal 57 4 4 3 5 4" xfId="31689"/>
    <cellStyle name="Normal 57 4 4 3 6" xfId="7573"/>
    <cellStyle name="Normal 57 4 4 3 6 2" xfId="19797"/>
    <cellStyle name="Normal 57 4 4 3 6 2 2" xfId="45350"/>
    <cellStyle name="Normal 57 4 4 3 6 3" xfId="33130"/>
    <cellStyle name="Normal 57 4 4 3 7" xfId="16308"/>
    <cellStyle name="Normal 57 4 4 3 7 2" xfId="41861"/>
    <cellStyle name="Normal 57 4 4 3 8" xfId="26280"/>
    <cellStyle name="Normal 57 4 4 4" xfId="858"/>
    <cellStyle name="Normal 57 4 4 4 2" xfId="3343"/>
    <cellStyle name="Normal 57 4 4 4 2 2" xfId="12485"/>
    <cellStyle name="Normal 57 4 4 4 2 2 2" xfId="22704"/>
    <cellStyle name="Normal 57 4 4 4 2 2 2 2" xfId="48257"/>
    <cellStyle name="Normal 57 4 4 4 2 2 3" xfId="38040"/>
    <cellStyle name="Normal 57 4 4 4 2 3" xfId="8907"/>
    <cellStyle name="Normal 57 4 4 4 2 3 2" xfId="34464"/>
    <cellStyle name="Normal 57 4 4 4 2 4" xfId="17697"/>
    <cellStyle name="Normal 57 4 4 4 2 4 2" xfId="43250"/>
    <cellStyle name="Normal 57 4 4 4 2 5" xfId="29187"/>
    <cellStyle name="Normal 57 4 4 4 3" xfId="5021"/>
    <cellStyle name="Normal 57 4 4 4 3 2" xfId="13858"/>
    <cellStyle name="Normal 57 4 4 4 3 2 2" xfId="24109"/>
    <cellStyle name="Normal 57 4 4 4 3 2 2 2" xfId="49662"/>
    <cellStyle name="Normal 57 4 4 4 3 2 3" xfId="39413"/>
    <cellStyle name="Normal 57 4 4 4 3 3" xfId="10279"/>
    <cellStyle name="Normal 57 4 4 4 3 3 2" xfId="35836"/>
    <cellStyle name="Normal 57 4 4 4 3 4" xfId="19102"/>
    <cellStyle name="Normal 57 4 4 4 3 4 2" xfId="44655"/>
    <cellStyle name="Normal 57 4 4 4 3 5" xfId="30592"/>
    <cellStyle name="Normal 57 4 4 4 4" xfId="2452"/>
    <cellStyle name="Normal 57 4 4 4 4 2" xfId="11817"/>
    <cellStyle name="Normal 57 4 4 4 4 2 2" xfId="37372"/>
    <cellStyle name="Normal 57 4 4 4 4 3" xfId="21821"/>
    <cellStyle name="Normal 57 4 4 4 4 3 2" xfId="47374"/>
    <cellStyle name="Normal 57 4 4 4 4 4" xfId="28304"/>
    <cellStyle name="Normal 57 4 4 4 5" xfId="6476"/>
    <cellStyle name="Normal 57 4 4 4 5 2" xfId="15303"/>
    <cellStyle name="Normal 57 4 4 4 5 2 2" xfId="40858"/>
    <cellStyle name="Normal 57 4 4 4 5 3" xfId="25554"/>
    <cellStyle name="Normal 57 4 4 4 5 3 2" xfId="51107"/>
    <cellStyle name="Normal 57 4 4 4 5 4" xfId="32037"/>
    <cellStyle name="Normal 57 4 4 4 6" xfId="7922"/>
    <cellStyle name="Normal 57 4 4 4 6 2" xfId="20303"/>
    <cellStyle name="Normal 57 4 4 4 6 2 2" xfId="45856"/>
    <cellStyle name="Normal 57 4 4 4 6 3" xfId="33479"/>
    <cellStyle name="Normal 57 4 4 4 7" xfId="16814"/>
    <cellStyle name="Normal 57 4 4 4 7 2" xfId="42367"/>
    <cellStyle name="Normal 57 4 4 4 8" xfId="26786"/>
    <cellStyle name="Normal 57 4 4 5" xfId="1123"/>
    <cellStyle name="Normal 57 4 4 5 2" xfId="3552"/>
    <cellStyle name="Normal 57 4 4 5 2 2" xfId="12688"/>
    <cellStyle name="Normal 57 4 4 5 2 2 2" xfId="22907"/>
    <cellStyle name="Normal 57 4 4 5 2 2 2 2" xfId="48460"/>
    <cellStyle name="Normal 57 4 4 5 2 2 3" xfId="38243"/>
    <cellStyle name="Normal 57 4 4 5 2 3" xfId="9109"/>
    <cellStyle name="Normal 57 4 4 5 2 3 2" xfId="34666"/>
    <cellStyle name="Normal 57 4 4 5 2 4" xfId="17900"/>
    <cellStyle name="Normal 57 4 4 5 2 4 2" xfId="43453"/>
    <cellStyle name="Normal 57 4 4 5 2 5" xfId="29390"/>
    <cellStyle name="Normal 57 4 4 5 3" xfId="5215"/>
    <cellStyle name="Normal 57 4 4 5 3 2" xfId="14052"/>
    <cellStyle name="Normal 57 4 4 5 3 2 2" xfId="24303"/>
    <cellStyle name="Normal 57 4 4 5 3 2 2 2" xfId="49856"/>
    <cellStyle name="Normal 57 4 4 5 3 2 3" xfId="39607"/>
    <cellStyle name="Normal 57 4 4 5 3 3" xfId="10473"/>
    <cellStyle name="Normal 57 4 4 5 3 3 2" xfId="36030"/>
    <cellStyle name="Normal 57 4 4 5 3 4" xfId="19296"/>
    <cellStyle name="Normal 57 4 4 5 3 4 2" xfId="44849"/>
    <cellStyle name="Normal 57 4 4 5 3 5" xfId="30786"/>
    <cellStyle name="Normal 57 4 4 5 4" xfId="1831"/>
    <cellStyle name="Normal 57 4 4 5 4 2" xfId="11199"/>
    <cellStyle name="Normal 57 4 4 5 4 2 2" xfId="36754"/>
    <cellStyle name="Normal 57 4 4 5 4 3" xfId="21203"/>
    <cellStyle name="Normal 57 4 4 5 4 3 2" xfId="46756"/>
    <cellStyle name="Normal 57 4 4 5 4 4" xfId="27686"/>
    <cellStyle name="Normal 57 4 4 5 5" xfId="6670"/>
    <cellStyle name="Normal 57 4 4 5 5 2" xfId="15497"/>
    <cellStyle name="Normal 57 4 4 5 5 2 2" xfId="41052"/>
    <cellStyle name="Normal 57 4 4 5 5 3" xfId="25748"/>
    <cellStyle name="Normal 57 4 4 5 5 3 2" xfId="51301"/>
    <cellStyle name="Normal 57 4 4 5 5 4" xfId="32231"/>
    <cellStyle name="Normal 57 4 4 5 6" xfId="8116"/>
    <cellStyle name="Normal 57 4 4 5 6 2" xfId="20506"/>
    <cellStyle name="Normal 57 4 4 5 6 2 2" xfId="46059"/>
    <cellStyle name="Normal 57 4 4 5 6 3" xfId="33673"/>
    <cellStyle name="Normal 57 4 4 5 7" xfId="16196"/>
    <cellStyle name="Normal 57 4 4 5 7 2" xfId="41749"/>
    <cellStyle name="Normal 57 4 4 5 8" xfId="26989"/>
    <cellStyle name="Normal 57 4 4 6" xfId="2725"/>
    <cellStyle name="Normal 57 4 4 6 2" xfId="12042"/>
    <cellStyle name="Normal 57 4 4 6 2 2" xfId="22086"/>
    <cellStyle name="Normal 57 4 4 6 2 2 2" xfId="47639"/>
    <cellStyle name="Normal 57 4 4 6 2 3" xfId="37597"/>
    <cellStyle name="Normal 57 4 4 6 3" xfId="8490"/>
    <cellStyle name="Normal 57 4 4 6 3 2" xfId="34047"/>
    <cellStyle name="Normal 57 4 4 6 4" xfId="17079"/>
    <cellStyle name="Normal 57 4 4 6 4 2" xfId="42632"/>
    <cellStyle name="Normal 57 4 4 6 5" xfId="28569"/>
    <cellStyle name="Normal 57 4 4 7" xfId="4171"/>
    <cellStyle name="Normal 57 4 4 7 2" xfId="13009"/>
    <cellStyle name="Normal 57 4 4 7 2 2" xfId="23260"/>
    <cellStyle name="Normal 57 4 4 7 2 2 2" xfId="48813"/>
    <cellStyle name="Normal 57 4 4 7 2 3" xfId="38564"/>
    <cellStyle name="Normal 57 4 4 7 3" xfId="9430"/>
    <cellStyle name="Normal 57 4 4 7 3 2" xfId="34987"/>
    <cellStyle name="Normal 57 4 4 7 4" xfId="18253"/>
    <cellStyle name="Normal 57 4 4 7 4 2" xfId="43806"/>
    <cellStyle name="Normal 57 4 4 7 5" xfId="29743"/>
    <cellStyle name="Normal 57 4 4 8" xfId="1443"/>
    <cellStyle name="Normal 57 4 4 8 2" xfId="10820"/>
    <cellStyle name="Normal 57 4 4 8 2 2" xfId="36375"/>
    <cellStyle name="Normal 57 4 4 8 3" xfId="20824"/>
    <cellStyle name="Normal 57 4 4 8 3 2" xfId="46377"/>
    <cellStyle name="Normal 57 4 4 8 4" xfId="27307"/>
    <cellStyle name="Normal 57 4 4 9" xfId="5627"/>
    <cellStyle name="Normal 57 4 4 9 2" xfId="14454"/>
    <cellStyle name="Normal 57 4 4 9 2 2" xfId="40009"/>
    <cellStyle name="Normal 57 4 4 9 3" xfId="24705"/>
    <cellStyle name="Normal 57 4 4 9 3 2" xfId="50258"/>
    <cellStyle name="Normal 57 4 4 9 4" xfId="31188"/>
    <cellStyle name="Normal 57 4 4_Degree data" xfId="3964"/>
    <cellStyle name="Normal 57 4 5" xfId="451"/>
    <cellStyle name="Normal 57 4 5 10" xfId="26380"/>
    <cellStyle name="Normal 57 4 5 2" xfId="860"/>
    <cellStyle name="Normal 57 4 5 2 2" xfId="3345"/>
    <cellStyle name="Normal 57 4 5 2 2 2" xfId="12487"/>
    <cellStyle name="Normal 57 4 5 2 2 2 2" xfId="22706"/>
    <cellStyle name="Normal 57 4 5 2 2 2 2 2" xfId="48259"/>
    <cellStyle name="Normal 57 4 5 2 2 2 3" xfId="38042"/>
    <cellStyle name="Normal 57 4 5 2 2 3" xfId="8909"/>
    <cellStyle name="Normal 57 4 5 2 2 3 2" xfId="34466"/>
    <cellStyle name="Normal 57 4 5 2 2 4" xfId="17699"/>
    <cellStyle name="Normal 57 4 5 2 2 4 2" xfId="43252"/>
    <cellStyle name="Normal 57 4 5 2 2 5" xfId="29189"/>
    <cellStyle name="Normal 57 4 5 2 3" xfId="4674"/>
    <cellStyle name="Normal 57 4 5 2 3 2" xfId="13512"/>
    <cellStyle name="Normal 57 4 5 2 3 2 2" xfId="23763"/>
    <cellStyle name="Normal 57 4 5 2 3 2 2 2" xfId="49316"/>
    <cellStyle name="Normal 57 4 5 2 3 2 3" xfId="39067"/>
    <cellStyle name="Normal 57 4 5 2 3 3" xfId="9933"/>
    <cellStyle name="Normal 57 4 5 2 3 3 2" xfId="35490"/>
    <cellStyle name="Normal 57 4 5 2 3 4" xfId="18756"/>
    <cellStyle name="Normal 57 4 5 2 3 4 2" xfId="44309"/>
    <cellStyle name="Normal 57 4 5 2 3 5" xfId="30246"/>
    <cellStyle name="Normal 57 4 5 2 4" xfId="2454"/>
    <cellStyle name="Normal 57 4 5 2 4 2" xfId="11819"/>
    <cellStyle name="Normal 57 4 5 2 4 2 2" xfId="37374"/>
    <cellStyle name="Normal 57 4 5 2 4 3" xfId="21823"/>
    <cellStyle name="Normal 57 4 5 2 4 3 2" xfId="47376"/>
    <cellStyle name="Normal 57 4 5 2 4 4" xfId="28306"/>
    <cellStyle name="Normal 57 4 5 2 5" xfId="6130"/>
    <cellStyle name="Normal 57 4 5 2 5 2" xfId="14957"/>
    <cellStyle name="Normal 57 4 5 2 5 2 2" xfId="40512"/>
    <cellStyle name="Normal 57 4 5 2 5 3" xfId="25208"/>
    <cellStyle name="Normal 57 4 5 2 5 3 2" xfId="50761"/>
    <cellStyle name="Normal 57 4 5 2 5 4" xfId="31691"/>
    <cellStyle name="Normal 57 4 5 2 6" xfId="7575"/>
    <cellStyle name="Normal 57 4 5 2 6 2" xfId="20305"/>
    <cellStyle name="Normal 57 4 5 2 6 2 2" xfId="45858"/>
    <cellStyle name="Normal 57 4 5 2 6 3" xfId="33132"/>
    <cellStyle name="Normal 57 4 5 2 7" xfId="16816"/>
    <cellStyle name="Normal 57 4 5 2 7 2" xfId="42369"/>
    <cellStyle name="Normal 57 4 5 2 8" xfId="26788"/>
    <cellStyle name="Normal 57 4 5 3" xfId="1223"/>
    <cellStyle name="Normal 57 4 5 3 2" xfId="3652"/>
    <cellStyle name="Normal 57 4 5 3 2 2" xfId="12788"/>
    <cellStyle name="Normal 57 4 5 3 2 2 2" xfId="23007"/>
    <cellStyle name="Normal 57 4 5 3 2 2 2 2" xfId="48560"/>
    <cellStyle name="Normal 57 4 5 3 2 2 3" xfId="38343"/>
    <cellStyle name="Normal 57 4 5 3 2 3" xfId="9209"/>
    <cellStyle name="Normal 57 4 5 3 2 3 2" xfId="34766"/>
    <cellStyle name="Normal 57 4 5 3 2 4" xfId="18000"/>
    <cellStyle name="Normal 57 4 5 3 2 4 2" xfId="43553"/>
    <cellStyle name="Normal 57 4 5 3 2 5" xfId="29490"/>
    <cellStyle name="Normal 57 4 5 3 3" xfId="5023"/>
    <cellStyle name="Normal 57 4 5 3 3 2" xfId="13860"/>
    <cellStyle name="Normal 57 4 5 3 3 2 2" xfId="24111"/>
    <cellStyle name="Normal 57 4 5 3 3 2 2 2" xfId="49664"/>
    <cellStyle name="Normal 57 4 5 3 3 2 3" xfId="39415"/>
    <cellStyle name="Normal 57 4 5 3 3 3" xfId="10281"/>
    <cellStyle name="Normal 57 4 5 3 3 3 2" xfId="35838"/>
    <cellStyle name="Normal 57 4 5 3 3 4" xfId="19104"/>
    <cellStyle name="Normal 57 4 5 3 3 4 2" xfId="44657"/>
    <cellStyle name="Normal 57 4 5 3 3 5" xfId="30594"/>
    <cellStyle name="Normal 57 4 5 3 4" xfId="2046"/>
    <cellStyle name="Normal 57 4 5 3 4 2" xfId="11411"/>
    <cellStyle name="Normal 57 4 5 3 4 2 2" xfId="36966"/>
    <cellStyle name="Normal 57 4 5 3 4 3" xfId="21415"/>
    <cellStyle name="Normal 57 4 5 3 4 3 2" xfId="46968"/>
    <cellStyle name="Normal 57 4 5 3 4 4" xfId="27898"/>
    <cellStyle name="Normal 57 4 5 3 5" xfId="6478"/>
    <cellStyle name="Normal 57 4 5 3 5 2" xfId="15305"/>
    <cellStyle name="Normal 57 4 5 3 5 2 2" xfId="40860"/>
    <cellStyle name="Normal 57 4 5 3 5 3" xfId="25556"/>
    <cellStyle name="Normal 57 4 5 3 5 3 2" xfId="51109"/>
    <cellStyle name="Normal 57 4 5 3 5 4" xfId="32039"/>
    <cellStyle name="Normal 57 4 5 3 6" xfId="7924"/>
    <cellStyle name="Normal 57 4 5 3 6 2" xfId="20606"/>
    <cellStyle name="Normal 57 4 5 3 6 2 2" xfId="46159"/>
    <cellStyle name="Normal 57 4 5 3 6 3" xfId="33481"/>
    <cellStyle name="Normal 57 4 5 3 7" xfId="16408"/>
    <cellStyle name="Normal 57 4 5 3 7 2" xfId="41961"/>
    <cellStyle name="Normal 57 4 5 3 8" xfId="27089"/>
    <cellStyle name="Normal 57 4 5 4" xfId="2937"/>
    <cellStyle name="Normal 57 4 5 4 2" xfId="5315"/>
    <cellStyle name="Normal 57 4 5 4 2 2" xfId="14152"/>
    <cellStyle name="Normal 57 4 5 4 2 2 2" xfId="24403"/>
    <cellStyle name="Normal 57 4 5 4 2 2 2 2" xfId="49956"/>
    <cellStyle name="Normal 57 4 5 4 2 2 3" xfId="39707"/>
    <cellStyle name="Normal 57 4 5 4 2 3" xfId="10573"/>
    <cellStyle name="Normal 57 4 5 4 2 3 2" xfId="36130"/>
    <cellStyle name="Normal 57 4 5 4 2 4" xfId="19396"/>
    <cellStyle name="Normal 57 4 5 4 2 4 2" xfId="44949"/>
    <cellStyle name="Normal 57 4 5 4 2 5" xfId="30886"/>
    <cellStyle name="Normal 57 4 5 4 3" xfId="6770"/>
    <cellStyle name="Normal 57 4 5 4 3 2" xfId="15597"/>
    <cellStyle name="Normal 57 4 5 4 3 2 2" xfId="41152"/>
    <cellStyle name="Normal 57 4 5 4 3 3" xfId="25848"/>
    <cellStyle name="Normal 57 4 5 4 3 3 2" xfId="51401"/>
    <cellStyle name="Normal 57 4 5 4 3 4" xfId="32331"/>
    <cellStyle name="Normal 57 4 5 4 4" xfId="8216"/>
    <cellStyle name="Normal 57 4 5 4 4 2" xfId="22298"/>
    <cellStyle name="Normal 57 4 5 4 4 2 2" xfId="47851"/>
    <cellStyle name="Normal 57 4 5 4 4 3" xfId="33773"/>
    <cellStyle name="Normal 57 4 5 4 5" xfId="17291"/>
    <cellStyle name="Normal 57 4 5 4 5 2" xfId="42844"/>
    <cellStyle name="Normal 57 4 5 4 6" xfId="28781"/>
    <cellStyle name="Normal 57 4 5 5" xfId="4271"/>
    <cellStyle name="Normal 57 4 5 5 2" xfId="13109"/>
    <cellStyle name="Normal 57 4 5 5 2 2" xfId="23360"/>
    <cellStyle name="Normal 57 4 5 5 2 2 2" xfId="48913"/>
    <cellStyle name="Normal 57 4 5 5 2 3" xfId="38664"/>
    <cellStyle name="Normal 57 4 5 5 3" xfId="9530"/>
    <cellStyle name="Normal 57 4 5 5 3 2" xfId="35087"/>
    <cellStyle name="Normal 57 4 5 5 4" xfId="18353"/>
    <cellStyle name="Normal 57 4 5 5 4 2" xfId="43906"/>
    <cellStyle name="Normal 57 4 5 5 5" xfId="29843"/>
    <cellStyle name="Normal 57 4 5 6" xfId="1543"/>
    <cellStyle name="Normal 57 4 5 6 2" xfId="10920"/>
    <cellStyle name="Normal 57 4 5 6 2 2" xfId="36475"/>
    <cellStyle name="Normal 57 4 5 6 3" xfId="20924"/>
    <cellStyle name="Normal 57 4 5 6 3 2" xfId="46477"/>
    <cellStyle name="Normal 57 4 5 6 4" xfId="27407"/>
    <cellStyle name="Normal 57 4 5 7" xfId="5727"/>
    <cellStyle name="Normal 57 4 5 7 2" xfId="14554"/>
    <cellStyle name="Normal 57 4 5 7 2 2" xfId="40109"/>
    <cellStyle name="Normal 57 4 5 7 3" xfId="24805"/>
    <cellStyle name="Normal 57 4 5 7 3 2" xfId="50358"/>
    <cellStyle name="Normal 57 4 5 7 4" xfId="31288"/>
    <cellStyle name="Normal 57 4 5 8" xfId="7171"/>
    <cellStyle name="Normal 57 4 5 8 2" xfId="19897"/>
    <cellStyle name="Normal 57 4 5 8 2 2" xfId="45450"/>
    <cellStyle name="Normal 57 4 5 8 3" xfId="32728"/>
    <cellStyle name="Normal 57 4 5 9" xfId="15917"/>
    <cellStyle name="Normal 57 4 5 9 2" xfId="41470"/>
    <cellStyle name="Normal 57 4 5_Degree data" xfId="3966"/>
    <cellStyle name="Normal 57 4 6" xfId="320"/>
    <cellStyle name="Normal 57 4 6 10" xfId="26249"/>
    <cellStyle name="Normal 57 4 6 2" xfId="861"/>
    <cellStyle name="Normal 57 4 6 2 2" xfId="3346"/>
    <cellStyle name="Normal 57 4 6 2 2 2" xfId="12488"/>
    <cellStyle name="Normal 57 4 6 2 2 2 2" xfId="22707"/>
    <cellStyle name="Normal 57 4 6 2 2 2 2 2" xfId="48260"/>
    <cellStyle name="Normal 57 4 6 2 2 2 3" xfId="38043"/>
    <cellStyle name="Normal 57 4 6 2 2 3" xfId="8910"/>
    <cellStyle name="Normal 57 4 6 2 2 3 2" xfId="34467"/>
    <cellStyle name="Normal 57 4 6 2 2 4" xfId="17700"/>
    <cellStyle name="Normal 57 4 6 2 2 4 2" xfId="43253"/>
    <cellStyle name="Normal 57 4 6 2 2 5" xfId="29190"/>
    <cellStyle name="Normal 57 4 6 2 3" xfId="4675"/>
    <cellStyle name="Normal 57 4 6 2 3 2" xfId="13513"/>
    <cellStyle name="Normal 57 4 6 2 3 2 2" xfId="23764"/>
    <cellStyle name="Normal 57 4 6 2 3 2 2 2" xfId="49317"/>
    <cellStyle name="Normal 57 4 6 2 3 2 3" xfId="39068"/>
    <cellStyle name="Normal 57 4 6 2 3 3" xfId="9934"/>
    <cellStyle name="Normal 57 4 6 2 3 3 2" xfId="35491"/>
    <cellStyle name="Normal 57 4 6 2 3 4" xfId="18757"/>
    <cellStyle name="Normal 57 4 6 2 3 4 2" xfId="44310"/>
    <cellStyle name="Normal 57 4 6 2 3 5" xfId="30247"/>
    <cellStyle name="Normal 57 4 6 2 4" xfId="2455"/>
    <cellStyle name="Normal 57 4 6 2 4 2" xfId="11820"/>
    <cellStyle name="Normal 57 4 6 2 4 2 2" xfId="37375"/>
    <cellStyle name="Normal 57 4 6 2 4 3" xfId="21824"/>
    <cellStyle name="Normal 57 4 6 2 4 3 2" xfId="47377"/>
    <cellStyle name="Normal 57 4 6 2 4 4" xfId="28307"/>
    <cellStyle name="Normal 57 4 6 2 5" xfId="6131"/>
    <cellStyle name="Normal 57 4 6 2 5 2" xfId="14958"/>
    <cellStyle name="Normal 57 4 6 2 5 2 2" xfId="40513"/>
    <cellStyle name="Normal 57 4 6 2 5 3" xfId="25209"/>
    <cellStyle name="Normal 57 4 6 2 5 3 2" xfId="50762"/>
    <cellStyle name="Normal 57 4 6 2 5 4" xfId="31692"/>
    <cellStyle name="Normal 57 4 6 2 6" xfId="7576"/>
    <cellStyle name="Normal 57 4 6 2 6 2" xfId="20306"/>
    <cellStyle name="Normal 57 4 6 2 6 2 2" xfId="45859"/>
    <cellStyle name="Normal 57 4 6 2 6 3" xfId="33133"/>
    <cellStyle name="Normal 57 4 6 2 7" xfId="16817"/>
    <cellStyle name="Normal 57 4 6 2 7 2" xfId="42370"/>
    <cellStyle name="Normal 57 4 6 2 8" xfId="26789"/>
    <cellStyle name="Normal 57 4 6 3" xfId="1092"/>
    <cellStyle name="Normal 57 4 6 3 2" xfId="3521"/>
    <cellStyle name="Normal 57 4 6 3 2 2" xfId="12657"/>
    <cellStyle name="Normal 57 4 6 3 2 2 2" xfId="22876"/>
    <cellStyle name="Normal 57 4 6 3 2 2 2 2" xfId="48429"/>
    <cellStyle name="Normal 57 4 6 3 2 2 3" xfId="38212"/>
    <cellStyle name="Normal 57 4 6 3 2 3" xfId="9079"/>
    <cellStyle name="Normal 57 4 6 3 2 3 2" xfId="34636"/>
    <cellStyle name="Normal 57 4 6 3 2 4" xfId="17869"/>
    <cellStyle name="Normal 57 4 6 3 2 4 2" xfId="43422"/>
    <cellStyle name="Normal 57 4 6 3 2 5" xfId="29359"/>
    <cellStyle name="Normal 57 4 6 3 3" xfId="5024"/>
    <cellStyle name="Normal 57 4 6 3 3 2" xfId="13861"/>
    <cellStyle name="Normal 57 4 6 3 3 2 2" xfId="24112"/>
    <cellStyle name="Normal 57 4 6 3 3 2 2 2" xfId="49665"/>
    <cellStyle name="Normal 57 4 6 3 3 2 3" xfId="39416"/>
    <cellStyle name="Normal 57 4 6 3 3 3" xfId="10282"/>
    <cellStyle name="Normal 57 4 6 3 3 3 2" xfId="35839"/>
    <cellStyle name="Normal 57 4 6 3 3 4" xfId="19105"/>
    <cellStyle name="Normal 57 4 6 3 3 4 2" xfId="44658"/>
    <cellStyle name="Normal 57 4 6 3 3 5" xfId="30595"/>
    <cellStyle name="Normal 57 4 6 3 4" xfId="2594"/>
    <cellStyle name="Normal 57 4 6 3 4 2" xfId="11958"/>
    <cellStyle name="Normal 57 4 6 3 4 2 2" xfId="37513"/>
    <cellStyle name="Normal 57 4 6 3 4 3" xfId="21962"/>
    <cellStyle name="Normal 57 4 6 3 4 3 2" xfId="47515"/>
    <cellStyle name="Normal 57 4 6 3 4 4" xfId="28445"/>
    <cellStyle name="Normal 57 4 6 3 5" xfId="6479"/>
    <cellStyle name="Normal 57 4 6 3 5 2" xfId="15306"/>
    <cellStyle name="Normal 57 4 6 3 5 2 2" xfId="40861"/>
    <cellStyle name="Normal 57 4 6 3 5 3" xfId="25557"/>
    <cellStyle name="Normal 57 4 6 3 5 3 2" xfId="51110"/>
    <cellStyle name="Normal 57 4 6 3 5 4" xfId="32040"/>
    <cellStyle name="Normal 57 4 6 3 6" xfId="7925"/>
    <cellStyle name="Normal 57 4 6 3 6 2" xfId="20475"/>
    <cellStyle name="Normal 57 4 6 3 6 2 2" xfId="46028"/>
    <cellStyle name="Normal 57 4 6 3 6 3" xfId="33482"/>
    <cellStyle name="Normal 57 4 6 3 7" xfId="16955"/>
    <cellStyle name="Normal 57 4 6 3 7 2" xfId="42508"/>
    <cellStyle name="Normal 57 4 6 3 8" xfId="26958"/>
    <cellStyle name="Normal 57 4 6 4" xfId="2806"/>
    <cellStyle name="Normal 57 4 6 4 2" xfId="5184"/>
    <cellStyle name="Normal 57 4 6 4 2 2" xfId="14021"/>
    <cellStyle name="Normal 57 4 6 4 2 2 2" xfId="24272"/>
    <cellStyle name="Normal 57 4 6 4 2 2 2 2" xfId="49825"/>
    <cellStyle name="Normal 57 4 6 4 2 2 3" xfId="39576"/>
    <cellStyle name="Normal 57 4 6 4 2 3" xfId="10442"/>
    <cellStyle name="Normal 57 4 6 4 2 3 2" xfId="35999"/>
    <cellStyle name="Normal 57 4 6 4 2 4" xfId="19265"/>
    <cellStyle name="Normal 57 4 6 4 2 4 2" xfId="44818"/>
    <cellStyle name="Normal 57 4 6 4 2 5" xfId="30755"/>
    <cellStyle name="Normal 57 4 6 4 3" xfId="6639"/>
    <cellStyle name="Normal 57 4 6 4 3 2" xfId="15466"/>
    <cellStyle name="Normal 57 4 6 4 3 2 2" xfId="41021"/>
    <cellStyle name="Normal 57 4 6 4 3 3" xfId="25717"/>
    <cellStyle name="Normal 57 4 6 4 3 3 2" xfId="51270"/>
    <cellStyle name="Normal 57 4 6 4 3 4" xfId="32200"/>
    <cellStyle name="Normal 57 4 6 4 4" xfId="8085"/>
    <cellStyle name="Normal 57 4 6 4 4 2" xfId="22167"/>
    <cellStyle name="Normal 57 4 6 4 4 2 2" xfId="47720"/>
    <cellStyle name="Normal 57 4 6 4 4 3" xfId="33642"/>
    <cellStyle name="Normal 57 4 6 4 5" xfId="17160"/>
    <cellStyle name="Normal 57 4 6 4 5 2" xfId="42713"/>
    <cellStyle name="Normal 57 4 6 4 6" xfId="28650"/>
    <cellStyle name="Normal 57 4 6 5" xfId="4138"/>
    <cellStyle name="Normal 57 4 6 5 2" xfId="12976"/>
    <cellStyle name="Normal 57 4 6 5 2 2" xfId="23227"/>
    <cellStyle name="Normal 57 4 6 5 2 2 2" xfId="48780"/>
    <cellStyle name="Normal 57 4 6 5 2 3" xfId="38531"/>
    <cellStyle name="Normal 57 4 6 5 3" xfId="9397"/>
    <cellStyle name="Normal 57 4 6 5 3 2" xfId="34954"/>
    <cellStyle name="Normal 57 4 6 5 4" xfId="18220"/>
    <cellStyle name="Normal 57 4 6 5 4 2" xfId="43773"/>
    <cellStyle name="Normal 57 4 6 5 5" xfId="29710"/>
    <cellStyle name="Normal 57 4 6 6" xfId="1915"/>
    <cellStyle name="Normal 57 4 6 6 2" xfId="11280"/>
    <cellStyle name="Normal 57 4 6 6 2 2" xfId="36835"/>
    <cellStyle name="Normal 57 4 6 6 3" xfId="21284"/>
    <cellStyle name="Normal 57 4 6 6 3 2" xfId="46837"/>
    <cellStyle name="Normal 57 4 6 6 4" xfId="27767"/>
    <cellStyle name="Normal 57 4 6 7" xfId="5596"/>
    <cellStyle name="Normal 57 4 6 7 2" xfId="14423"/>
    <cellStyle name="Normal 57 4 6 7 2 2" xfId="39978"/>
    <cellStyle name="Normal 57 4 6 7 3" xfId="24674"/>
    <cellStyle name="Normal 57 4 6 7 3 2" xfId="50227"/>
    <cellStyle name="Normal 57 4 6 7 4" xfId="31157"/>
    <cellStyle name="Normal 57 4 6 8" xfId="7040"/>
    <cellStyle name="Normal 57 4 6 8 2" xfId="19766"/>
    <cellStyle name="Normal 57 4 6 8 2 2" xfId="45319"/>
    <cellStyle name="Normal 57 4 6 8 3" xfId="32597"/>
    <cellStyle name="Normal 57 4 6 9" xfId="16277"/>
    <cellStyle name="Normal 57 4 6 9 2" xfId="41830"/>
    <cellStyle name="Normal 57 4 6_Degree data" xfId="3967"/>
    <cellStyle name="Normal 57 4 7" xfId="851"/>
    <cellStyle name="Normal 57 4 7 2" xfId="3336"/>
    <cellStyle name="Normal 57 4 7 2 2" xfId="12478"/>
    <cellStyle name="Normal 57 4 7 2 2 2" xfId="22697"/>
    <cellStyle name="Normal 57 4 7 2 2 2 2" xfId="48250"/>
    <cellStyle name="Normal 57 4 7 2 2 3" xfId="38033"/>
    <cellStyle name="Normal 57 4 7 2 3" xfId="8900"/>
    <cellStyle name="Normal 57 4 7 2 3 2" xfId="34457"/>
    <cellStyle name="Normal 57 4 7 2 4" xfId="17690"/>
    <cellStyle name="Normal 57 4 7 2 4 2" xfId="43243"/>
    <cellStyle name="Normal 57 4 7 2 5" xfId="29180"/>
    <cellStyle name="Normal 57 4 7 3" xfId="4665"/>
    <cellStyle name="Normal 57 4 7 3 2" xfId="13503"/>
    <cellStyle name="Normal 57 4 7 3 2 2" xfId="23754"/>
    <cellStyle name="Normal 57 4 7 3 2 2 2" xfId="49307"/>
    <cellStyle name="Normal 57 4 7 3 2 3" xfId="39058"/>
    <cellStyle name="Normal 57 4 7 3 3" xfId="9924"/>
    <cellStyle name="Normal 57 4 7 3 3 2" xfId="35481"/>
    <cellStyle name="Normal 57 4 7 3 4" xfId="18747"/>
    <cellStyle name="Normal 57 4 7 3 4 2" xfId="44300"/>
    <cellStyle name="Normal 57 4 7 3 5" xfId="30237"/>
    <cellStyle name="Normal 57 4 7 4" xfId="2445"/>
    <cellStyle name="Normal 57 4 7 4 2" xfId="11810"/>
    <cellStyle name="Normal 57 4 7 4 2 2" xfId="37365"/>
    <cellStyle name="Normal 57 4 7 4 3" xfId="21814"/>
    <cellStyle name="Normal 57 4 7 4 3 2" xfId="47367"/>
    <cellStyle name="Normal 57 4 7 4 4" xfId="28297"/>
    <cellStyle name="Normal 57 4 7 5" xfId="6121"/>
    <cellStyle name="Normal 57 4 7 5 2" xfId="14948"/>
    <cellStyle name="Normal 57 4 7 5 2 2" xfId="40503"/>
    <cellStyle name="Normal 57 4 7 5 3" xfId="25199"/>
    <cellStyle name="Normal 57 4 7 5 3 2" xfId="50752"/>
    <cellStyle name="Normal 57 4 7 5 4" xfId="31682"/>
    <cellStyle name="Normal 57 4 7 6" xfId="7566"/>
    <cellStyle name="Normal 57 4 7 6 2" xfId="20296"/>
    <cellStyle name="Normal 57 4 7 6 2 2" xfId="45849"/>
    <cellStyle name="Normal 57 4 7 6 3" xfId="33123"/>
    <cellStyle name="Normal 57 4 7 7" xfId="16807"/>
    <cellStyle name="Normal 57 4 7 7 2" xfId="42360"/>
    <cellStyle name="Normal 57 4 7 8" xfId="26779"/>
    <cellStyle name="Normal 57 4 8" xfId="1049"/>
    <cellStyle name="Normal 57 4 8 2" xfId="3478"/>
    <cellStyle name="Normal 57 4 8 2 2" xfId="12614"/>
    <cellStyle name="Normal 57 4 8 2 2 2" xfId="22833"/>
    <cellStyle name="Normal 57 4 8 2 2 2 2" xfId="48386"/>
    <cellStyle name="Normal 57 4 8 2 2 3" xfId="38169"/>
    <cellStyle name="Normal 57 4 8 2 3" xfId="9036"/>
    <cellStyle name="Normal 57 4 8 2 3 2" xfId="34593"/>
    <cellStyle name="Normal 57 4 8 2 4" xfId="17826"/>
    <cellStyle name="Normal 57 4 8 2 4 2" xfId="43379"/>
    <cellStyle name="Normal 57 4 8 2 5" xfId="29316"/>
    <cellStyle name="Normal 57 4 8 3" xfId="5014"/>
    <cellStyle name="Normal 57 4 8 3 2" xfId="13851"/>
    <cellStyle name="Normal 57 4 8 3 2 2" xfId="24102"/>
    <cellStyle name="Normal 57 4 8 3 2 2 2" xfId="49655"/>
    <cellStyle name="Normal 57 4 8 3 2 3" xfId="39406"/>
    <cellStyle name="Normal 57 4 8 3 3" xfId="10272"/>
    <cellStyle name="Normal 57 4 8 3 3 2" xfId="35829"/>
    <cellStyle name="Normal 57 4 8 3 4" xfId="19095"/>
    <cellStyle name="Normal 57 4 8 3 4 2" xfId="44648"/>
    <cellStyle name="Normal 57 4 8 3 5" xfId="30585"/>
    <cellStyle name="Normal 57 4 8 4" xfId="1719"/>
    <cellStyle name="Normal 57 4 8 4 2" xfId="11093"/>
    <cellStyle name="Normal 57 4 8 4 2 2" xfId="36648"/>
    <cellStyle name="Normal 57 4 8 4 3" xfId="21097"/>
    <cellStyle name="Normal 57 4 8 4 3 2" xfId="46650"/>
    <cellStyle name="Normal 57 4 8 4 4" xfId="27580"/>
    <cellStyle name="Normal 57 4 8 5" xfId="6469"/>
    <cellStyle name="Normal 57 4 8 5 2" xfId="15296"/>
    <cellStyle name="Normal 57 4 8 5 2 2" xfId="40851"/>
    <cellStyle name="Normal 57 4 8 5 3" xfId="25547"/>
    <cellStyle name="Normal 57 4 8 5 3 2" xfId="51100"/>
    <cellStyle name="Normal 57 4 8 5 4" xfId="32030"/>
    <cellStyle name="Normal 57 4 8 6" xfId="7915"/>
    <cellStyle name="Normal 57 4 8 6 2" xfId="20432"/>
    <cellStyle name="Normal 57 4 8 6 2 2" xfId="45985"/>
    <cellStyle name="Normal 57 4 8 6 3" xfId="33472"/>
    <cellStyle name="Normal 57 4 8 7" xfId="16090"/>
    <cellStyle name="Normal 57 4 8 7 2" xfId="41643"/>
    <cellStyle name="Normal 57 4 8 8" xfId="26915"/>
    <cellStyle name="Normal 57 4 9" xfId="2617"/>
    <cellStyle name="Normal 57 4 9 2" xfId="5141"/>
    <cellStyle name="Normal 57 4 9 2 2" xfId="13978"/>
    <cellStyle name="Normal 57 4 9 2 2 2" xfId="24229"/>
    <cellStyle name="Normal 57 4 9 2 2 2 2" xfId="49782"/>
    <cellStyle name="Normal 57 4 9 2 2 3" xfId="39533"/>
    <cellStyle name="Normal 57 4 9 2 3" xfId="10399"/>
    <cellStyle name="Normal 57 4 9 2 3 2" xfId="35956"/>
    <cellStyle name="Normal 57 4 9 2 4" xfId="19222"/>
    <cellStyle name="Normal 57 4 9 2 4 2" xfId="44775"/>
    <cellStyle name="Normal 57 4 9 2 5" xfId="30712"/>
    <cellStyle name="Normal 57 4 9 3" xfId="6596"/>
    <cellStyle name="Normal 57 4 9 3 2" xfId="15423"/>
    <cellStyle name="Normal 57 4 9 3 2 2" xfId="40978"/>
    <cellStyle name="Normal 57 4 9 3 3" xfId="25674"/>
    <cellStyle name="Normal 57 4 9 3 3 2" xfId="51227"/>
    <cellStyle name="Normal 57 4 9 3 4" xfId="32157"/>
    <cellStyle name="Normal 57 4 9 4" xfId="8042"/>
    <cellStyle name="Normal 57 4 9 4 2" xfId="21980"/>
    <cellStyle name="Normal 57 4 9 4 2 2" xfId="47533"/>
    <cellStyle name="Normal 57 4 9 4 3" xfId="33599"/>
    <cellStyle name="Normal 57 4 9 5" xfId="16973"/>
    <cellStyle name="Normal 57 4 9 5 2" xfId="42526"/>
    <cellStyle name="Normal 57 4 9 6" xfId="28463"/>
    <cellStyle name="Normal 57 4_Degree data" xfId="3957"/>
    <cellStyle name="Normal 57 5" xfId="95"/>
    <cellStyle name="Normal 57 5 10" xfId="4109"/>
    <cellStyle name="Normal 57 5 10 2" xfId="5567"/>
    <cellStyle name="Normal 57 5 10 2 2" xfId="14394"/>
    <cellStyle name="Normal 57 5 10 2 2 2" xfId="39949"/>
    <cellStyle name="Normal 57 5 10 2 3" xfId="24645"/>
    <cellStyle name="Normal 57 5 10 2 3 2" xfId="50198"/>
    <cellStyle name="Normal 57 5 10 2 4" xfId="31128"/>
    <cellStyle name="Normal 57 5 10 3" xfId="7011"/>
    <cellStyle name="Normal 57 5 10 3 2" xfId="23198"/>
    <cellStyle name="Normal 57 5 10 3 2 2" xfId="48751"/>
    <cellStyle name="Normal 57 5 10 3 3" xfId="32568"/>
    <cellStyle name="Normal 57 5 10 4" xfId="18191"/>
    <cellStyle name="Normal 57 5 10 4 2" xfId="43744"/>
    <cellStyle name="Normal 57 5 10 5" xfId="29681"/>
    <cellStyle name="Normal 57 5 11" xfId="1428"/>
    <cellStyle name="Normal 57 5 11 2" xfId="10805"/>
    <cellStyle name="Normal 57 5 11 2 2" xfId="36360"/>
    <cellStyle name="Normal 57 5 11 3" xfId="20809"/>
    <cellStyle name="Normal 57 5 11 3 2" xfId="46362"/>
    <cellStyle name="Normal 57 5 11 4" xfId="27292"/>
    <cellStyle name="Normal 57 5 12" xfId="5537"/>
    <cellStyle name="Normal 57 5 12 2" xfId="14364"/>
    <cellStyle name="Normal 57 5 12 2 2" xfId="39919"/>
    <cellStyle name="Normal 57 5 12 3" xfId="24615"/>
    <cellStyle name="Normal 57 5 12 3 2" xfId="50168"/>
    <cellStyle name="Normal 57 5 12 4" xfId="31098"/>
    <cellStyle name="Normal 57 5 13" xfId="6981"/>
    <cellStyle name="Normal 57 5 13 2" xfId="19577"/>
    <cellStyle name="Normal 57 5 13 2 2" xfId="45130"/>
    <cellStyle name="Normal 57 5 13 3" xfId="32538"/>
    <cellStyle name="Normal 57 5 14" xfId="15802"/>
    <cellStyle name="Normal 57 5 14 2" xfId="41355"/>
    <cellStyle name="Normal 57 5 15" xfId="26060"/>
    <cellStyle name="Normal 57 5 2" xfId="163"/>
    <cellStyle name="Normal 57 5 2 10" xfId="5669"/>
    <cellStyle name="Normal 57 5 2 10 2" xfId="14496"/>
    <cellStyle name="Normal 57 5 2 10 2 2" xfId="40051"/>
    <cellStyle name="Normal 57 5 2 10 3" xfId="24747"/>
    <cellStyle name="Normal 57 5 2 10 3 2" xfId="50300"/>
    <cellStyle name="Normal 57 5 2 10 4" xfId="31230"/>
    <cellStyle name="Normal 57 5 2 11" xfId="7113"/>
    <cellStyle name="Normal 57 5 2 11 2" xfId="19622"/>
    <cellStyle name="Normal 57 5 2 11 2 2" xfId="45175"/>
    <cellStyle name="Normal 57 5 2 11 3" xfId="32670"/>
    <cellStyle name="Normal 57 5 2 12" xfId="15859"/>
    <cellStyle name="Normal 57 5 2 12 2" xfId="41412"/>
    <cellStyle name="Normal 57 5 2 13" xfId="26105"/>
    <cellStyle name="Normal 57 5 2 2" xfId="275"/>
    <cellStyle name="Normal 57 5 2 2 10" xfId="16063"/>
    <cellStyle name="Normal 57 5 2 2 10 2" xfId="41616"/>
    <cellStyle name="Normal 57 5 2 2 11" xfId="26209"/>
    <cellStyle name="Normal 57 5 2 2 2" xfId="597"/>
    <cellStyle name="Normal 57 5 2 2 2 2" xfId="3083"/>
    <cellStyle name="Normal 57 5 2 2 2 2 2" xfId="12227"/>
    <cellStyle name="Normal 57 5 2 2 2 2 2 2" xfId="22444"/>
    <cellStyle name="Normal 57 5 2 2 2 2 2 2 2" xfId="47997"/>
    <cellStyle name="Normal 57 5 2 2 2 2 2 3" xfId="37782"/>
    <cellStyle name="Normal 57 5 2 2 2 2 3" xfId="8649"/>
    <cellStyle name="Normal 57 5 2 2 2 2 3 2" xfId="34206"/>
    <cellStyle name="Normal 57 5 2 2 2 2 4" xfId="17437"/>
    <cellStyle name="Normal 57 5 2 2 2 2 4 2" xfId="42990"/>
    <cellStyle name="Normal 57 5 2 2 2 2 5" xfId="28927"/>
    <cellStyle name="Normal 57 5 2 2 2 3" xfId="4678"/>
    <cellStyle name="Normal 57 5 2 2 2 3 2" xfId="13516"/>
    <cellStyle name="Normal 57 5 2 2 2 3 2 2" xfId="23767"/>
    <cellStyle name="Normal 57 5 2 2 2 3 2 2 2" xfId="49320"/>
    <cellStyle name="Normal 57 5 2 2 2 3 2 3" xfId="39071"/>
    <cellStyle name="Normal 57 5 2 2 2 3 3" xfId="9937"/>
    <cellStyle name="Normal 57 5 2 2 2 3 3 2" xfId="35494"/>
    <cellStyle name="Normal 57 5 2 2 2 3 4" xfId="18760"/>
    <cellStyle name="Normal 57 5 2 2 2 3 4 2" xfId="44313"/>
    <cellStyle name="Normal 57 5 2 2 2 3 5" xfId="30250"/>
    <cellStyle name="Normal 57 5 2 2 2 4" xfId="2192"/>
    <cellStyle name="Normal 57 5 2 2 2 4 2" xfId="11557"/>
    <cellStyle name="Normal 57 5 2 2 2 4 2 2" xfId="37112"/>
    <cellStyle name="Normal 57 5 2 2 2 4 3" xfId="21561"/>
    <cellStyle name="Normal 57 5 2 2 2 4 3 2" xfId="47114"/>
    <cellStyle name="Normal 57 5 2 2 2 4 4" xfId="28044"/>
    <cellStyle name="Normal 57 5 2 2 2 5" xfId="6134"/>
    <cellStyle name="Normal 57 5 2 2 2 5 2" xfId="14961"/>
    <cellStyle name="Normal 57 5 2 2 2 5 2 2" xfId="40516"/>
    <cellStyle name="Normal 57 5 2 2 2 5 3" xfId="25212"/>
    <cellStyle name="Normal 57 5 2 2 2 5 3 2" xfId="50765"/>
    <cellStyle name="Normal 57 5 2 2 2 5 4" xfId="31695"/>
    <cellStyle name="Normal 57 5 2 2 2 6" xfId="7579"/>
    <cellStyle name="Normal 57 5 2 2 2 6 2" xfId="20043"/>
    <cellStyle name="Normal 57 5 2 2 2 6 2 2" xfId="45596"/>
    <cellStyle name="Normal 57 5 2 2 2 6 3" xfId="33136"/>
    <cellStyle name="Normal 57 5 2 2 2 7" xfId="16554"/>
    <cellStyle name="Normal 57 5 2 2 2 7 2" xfId="42107"/>
    <cellStyle name="Normal 57 5 2 2 2 8" xfId="26526"/>
    <cellStyle name="Normal 57 5 2 2 3" xfId="864"/>
    <cellStyle name="Normal 57 5 2 2 3 2" xfId="3349"/>
    <cellStyle name="Normal 57 5 2 2 3 2 2" xfId="12491"/>
    <cellStyle name="Normal 57 5 2 2 3 2 2 2" xfId="22710"/>
    <cellStyle name="Normal 57 5 2 2 3 2 2 2 2" xfId="48263"/>
    <cellStyle name="Normal 57 5 2 2 3 2 2 3" xfId="38046"/>
    <cellStyle name="Normal 57 5 2 2 3 2 3" xfId="8913"/>
    <cellStyle name="Normal 57 5 2 2 3 2 3 2" xfId="34470"/>
    <cellStyle name="Normal 57 5 2 2 3 2 4" xfId="17703"/>
    <cellStyle name="Normal 57 5 2 2 3 2 4 2" xfId="43256"/>
    <cellStyle name="Normal 57 5 2 2 3 2 5" xfId="29193"/>
    <cellStyle name="Normal 57 5 2 2 3 3" xfId="5027"/>
    <cellStyle name="Normal 57 5 2 2 3 3 2" xfId="13864"/>
    <cellStyle name="Normal 57 5 2 2 3 3 2 2" xfId="24115"/>
    <cellStyle name="Normal 57 5 2 2 3 3 2 2 2" xfId="49668"/>
    <cellStyle name="Normal 57 5 2 2 3 3 2 3" xfId="39419"/>
    <cellStyle name="Normal 57 5 2 2 3 3 3" xfId="10285"/>
    <cellStyle name="Normal 57 5 2 2 3 3 3 2" xfId="35842"/>
    <cellStyle name="Normal 57 5 2 2 3 3 4" xfId="19108"/>
    <cellStyle name="Normal 57 5 2 2 3 3 4 2" xfId="44661"/>
    <cellStyle name="Normal 57 5 2 2 3 3 5" xfId="30598"/>
    <cellStyle name="Normal 57 5 2 2 3 4" xfId="2458"/>
    <cellStyle name="Normal 57 5 2 2 3 4 2" xfId="11823"/>
    <cellStyle name="Normal 57 5 2 2 3 4 2 2" xfId="37378"/>
    <cellStyle name="Normal 57 5 2 2 3 4 3" xfId="21827"/>
    <cellStyle name="Normal 57 5 2 2 3 4 3 2" xfId="47380"/>
    <cellStyle name="Normal 57 5 2 2 3 4 4" xfId="28310"/>
    <cellStyle name="Normal 57 5 2 2 3 5" xfId="6482"/>
    <cellStyle name="Normal 57 5 2 2 3 5 2" xfId="15309"/>
    <cellStyle name="Normal 57 5 2 2 3 5 2 2" xfId="40864"/>
    <cellStyle name="Normal 57 5 2 2 3 5 3" xfId="25560"/>
    <cellStyle name="Normal 57 5 2 2 3 5 3 2" xfId="51113"/>
    <cellStyle name="Normal 57 5 2 2 3 5 4" xfId="32043"/>
    <cellStyle name="Normal 57 5 2 2 3 6" xfId="7928"/>
    <cellStyle name="Normal 57 5 2 2 3 6 2" xfId="20309"/>
    <cellStyle name="Normal 57 5 2 2 3 6 2 2" xfId="45862"/>
    <cellStyle name="Normal 57 5 2 2 3 6 3" xfId="33485"/>
    <cellStyle name="Normal 57 5 2 2 3 7" xfId="16820"/>
    <cellStyle name="Normal 57 5 2 2 3 7 2" xfId="42373"/>
    <cellStyle name="Normal 57 5 2 2 3 8" xfId="26792"/>
    <cellStyle name="Normal 57 5 2 2 4" xfId="1369"/>
    <cellStyle name="Normal 57 5 2 2 4 2" xfId="3798"/>
    <cellStyle name="Normal 57 5 2 2 4 2 2" xfId="12934"/>
    <cellStyle name="Normal 57 5 2 2 4 2 2 2" xfId="23153"/>
    <cellStyle name="Normal 57 5 2 2 4 2 2 2 2" xfId="48706"/>
    <cellStyle name="Normal 57 5 2 2 4 2 2 3" xfId="38489"/>
    <cellStyle name="Normal 57 5 2 2 4 2 3" xfId="9355"/>
    <cellStyle name="Normal 57 5 2 2 4 2 3 2" xfId="34912"/>
    <cellStyle name="Normal 57 5 2 2 4 2 4" xfId="18146"/>
    <cellStyle name="Normal 57 5 2 2 4 2 4 2" xfId="43699"/>
    <cellStyle name="Normal 57 5 2 2 4 2 5" xfId="29636"/>
    <cellStyle name="Normal 57 5 2 2 4 3" xfId="5461"/>
    <cellStyle name="Normal 57 5 2 2 4 3 2" xfId="14298"/>
    <cellStyle name="Normal 57 5 2 2 4 3 2 2" xfId="24549"/>
    <cellStyle name="Normal 57 5 2 2 4 3 2 2 2" xfId="50102"/>
    <cellStyle name="Normal 57 5 2 2 4 3 2 3" xfId="39853"/>
    <cellStyle name="Normal 57 5 2 2 4 3 3" xfId="10719"/>
    <cellStyle name="Normal 57 5 2 2 4 3 3 2" xfId="36276"/>
    <cellStyle name="Normal 57 5 2 2 4 3 4" xfId="19542"/>
    <cellStyle name="Normal 57 5 2 2 4 3 4 2" xfId="45095"/>
    <cellStyle name="Normal 57 5 2 2 4 3 5" xfId="31032"/>
    <cellStyle name="Normal 57 5 2 2 4 4" xfId="1872"/>
    <cellStyle name="Normal 57 5 2 2 4 4 2" xfId="11240"/>
    <cellStyle name="Normal 57 5 2 2 4 4 2 2" xfId="36795"/>
    <cellStyle name="Normal 57 5 2 2 4 4 3" xfId="21244"/>
    <cellStyle name="Normal 57 5 2 2 4 4 3 2" xfId="46797"/>
    <cellStyle name="Normal 57 5 2 2 4 4 4" xfId="27727"/>
    <cellStyle name="Normal 57 5 2 2 4 5" xfId="6916"/>
    <cellStyle name="Normal 57 5 2 2 4 5 2" xfId="15743"/>
    <cellStyle name="Normal 57 5 2 2 4 5 2 2" xfId="41298"/>
    <cellStyle name="Normal 57 5 2 2 4 5 3" xfId="25994"/>
    <cellStyle name="Normal 57 5 2 2 4 5 3 2" xfId="51547"/>
    <cellStyle name="Normal 57 5 2 2 4 5 4" xfId="32477"/>
    <cellStyle name="Normal 57 5 2 2 4 6" xfId="8362"/>
    <cellStyle name="Normal 57 5 2 2 4 6 2" xfId="20752"/>
    <cellStyle name="Normal 57 5 2 2 4 6 2 2" xfId="46305"/>
    <cellStyle name="Normal 57 5 2 2 4 6 3" xfId="33919"/>
    <cellStyle name="Normal 57 5 2 2 4 7" xfId="16237"/>
    <cellStyle name="Normal 57 5 2 2 4 7 2" xfId="41790"/>
    <cellStyle name="Normal 57 5 2 2 4 8" xfId="27235"/>
    <cellStyle name="Normal 57 5 2 2 5" xfId="2766"/>
    <cellStyle name="Normal 57 5 2 2 5 2" xfId="12083"/>
    <cellStyle name="Normal 57 5 2 2 5 2 2" xfId="22127"/>
    <cellStyle name="Normal 57 5 2 2 5 2 2 2" xfId="47680"/>
    <cellStyle name="Normal 57 5 2 2 5 2 3" xfId="37638"/>
    <cellStyle name="Normal 57 5 2 2 5 3" xfId="8589"/>
    <cellStyle name="Normal 57 5 2 2 5 3 2" xfId="34146"/>
    <cellStyle name="Normal 57 5 2 2 5 4" xfId="17120"/>
    <cellStyle name="Normal 57 5 2 2 5 4 2" xfId="42673"/>
    <cellStyle name="Normal 57 5 2 2 5 5" xfId="28610"/>
    <cellStyle name="Normal 57 5 2 2 6" xfId="4417"/>
    <cellStyle name="Normal 57 5 2 2 6 2" xfId="13255"/>
    <cellStyle name="Normal 57 5 2 2 6 2 2" xfId="23506"/>
    <cellStyle name="Normal 57 5 2 2 6 2 2 2" xfId="49059"/>
    <cellStyle name="Normal 57 5 2 2 6 2 3" xfId="38810"/>
    <cellStyle name="Normal 57 5 2 2 6 3" xfId="9676"/>
    <cellStyle name="Normal 57 5 2 2 6 3 2" xfId="35233"/>
    <cellStyle name="Normal 57 5 2 2 6 4" xfId="18499"/>
    <cellStyle name="Normal 57 5 2 2 6 4 2" xfId="44052"/>
    <cellStyle name="Normal 57 5 2 2 6 5" xfId="29989"/>
    <cellStyle name="Normal 57 5 2 2 7" xfId="1689"/>
    <cellStyle name="Normal 57 5 2 2 7 2" xfId="11066"/>
    <cellStyle name="Normal 57 5 2 2 7 2 2" xfId="36621"/>
    <cellStyle name="Normal 57 5 2 2 7 3" xfId="21070"/>
    <cellStyle name="Normal 57 5 2 2 7 3 2" xfId="46623"/>
    <cellStyle name="Normal 57 5 2 2 7 4" xfId="27553"/>
    <cellStyle name="Normal 57 5 2 2 8" xfId="5873"/>
    <cellStyle name="Normal 57 5 2 2 8 2" xfId="14700"/>
    <cellStyle name="Normal 57 5 2 2 8 2 2" xfId="40255"/>
    <cellStyle name="Normal 57 5 2 2 8 3" xfId="24951"/>
    <cellStyle name="Normal 57 5 2 2 8 3 2" xfId="50504"/>
    <cellStyle name="Normal 57 5 2 2 8 4" xfId="31434"/>
    <cellStyle name="Normal 57 5 2 2 9" xfId="7317"/>
    <cellStyle name="Normal 57 5 2 2 9 2" xfId="19726"/>
    <cellStyle name="Normal 57 5 2 2 9 2 2" xfId="45279"/>
    <cellStyle name="Normal 57 5 2 2 9 3" xfId="32874"/>
    <cellStyle name="Normal 57 5 2 2_Degree data" xfId="3970"/>
    <cellStyle name="Normal 57 5 2 3" xfId="493"/>
    <cellStyle name="Normal 57 5 2 3 10" xfId="26422"/>
    <cellStyle name="Normal 57 5 2 3 2" xfId="865"/>
    <cellStyle name="Normal 57 5 2 3 2 2" xfId="3350"/>
    <cellStyle name="Normal 57 5 2 3 2 2 2" xfId="12492"/>
    <cellStyle name="Normal 57 5 2 3 2 2 2 2" xfId="22711"/>
    <cellStyle name="Normal 57 5 2 3 2 2 2 2 2" xfId="48264"/>
    <cellStyle name="Normal 57 5 2 3 2 2 2 3" xfId="38047"/>
    <cellStyle name="Normal 57 5 2 3 2 2 3" xfId="8914"/>
    <cellStyle name="Normal 57 5 2 3 2 2 3 2" xfId="34471"/>
    <cellStyle name="Normal 57 5 2 3 2 2 4" xfId="17704"/>
    <cellStyle name="Normal 57 5 2 3 2 2 4 2" xfId="43257"/>
    <cellStyle name="Normal 57 5 2 3 2 2 5" xfId="29194"/>
    <cellStyle name="Normal 57 5 2 3 2 3" xfId="4679"/>
    <cellStyle name="Normal 57 5 2 3 2 3 2" xfId="13517"/>
    <cellStyle name="Normal 57 5 2 3 2 3 2 2" xfId="23768"/>
    <cellStyle name="Normal 57 5 2 3 2 3 2 2 2" xfId="49321"/>
    <cellStyle name="Normal 57 5 2 3 2 3 2 3" xfId="39072"/>
    <cellStyle name="Normal 57 5 2 3 2 3 3" xfId="9938"/>
    <cellStyle name="Normal 57 5 2 3 2 3 3 2" xfId="35495"/>
    <cellStyle name="Normal 57 5 2 3 2 3 4" xfId="18761"/>
    <cellStyle name="Normal 57 5 2 3 2 3 4 2" xfId="44314"/>
    <cellStyle name="Normal 57 5 2 3 2 3 5" xfId="30251"/>
    <cellStyle name="Normal 57 5 2 3 2 4" xfId="2459"/>
    <cellStyle name="Normal 57 5 2 3 2 4 2" xfId="11824"/>
    <cellStyle name="Normal 57 5 2 3 2 4 2 2" xfId="37379"/>
    <cellStyle name="Normal 57 5 2 3 2 4 3" xfId="21828"/>
    <cellStyle name="Normal 57 5 2 3 2 4 3 2" xfId="47381"/>
    <cellStyle name="Normal 57 5 2 3 2 4 4" xfId="28311"/>
    <cellStyle name="Normal 57 5 2 3 2 5" xfId="6135"/>
    <cellStyle name="Normal 57 5 2 3 2 5 2" xfId="14962"/>
    <cellStyle name="Normal 57 5 2 3 2 5 2 2" xfId="40517"/>
    <cellStyle name="Normal 57 5 2 3 2 5 3" xfId="25213"/>
    <cellStyle name="Normal 57 5 2 3 2 5 3 2" xfId="50766"/>
    <cellStyle name="Normal 57 5 2 3 2 5 4" xfId="31696"/>
    <cellStyle name="Normal 57 5 2 3 2 6" xfId="7580"/>
    <cellStyle name="Normal 57 5 2 3 2 6 2" xfId="20310"/>
    <cellStyle name="Normal 57 5 2 3 2 6 2 2" xfId="45863"/>
    <cellStyle name="Normal 57 5 2 3 2 6 3" xfId="33137"/>
    <cellStyle name="Normal 57 5 2 3 2 7" xfId="16821"/>
    <cellStyle name="Normal 57 5 2 3 2 7 2" xfId="42374"/>
    <cellStyle name="Normal 57 5 2 3 2 8" xfId="26793"/>
    <cellStyle name="Normal 57 5 2 3 3" xfId="1265"/>
    <cellStyle name="Normal 57 5 2 3 3 2" xfId="3694"/>
    <cellStyle name="Normal 57 5 2 3 3 2 2" xfId="12830"/>
    <cellStyle name="Normal 57 5 2 3 3 2 2 2" xfId="23049"/>
    <cellStyle name="Normal 57 5 2 3 3 2 2 2 2" xfId="48602"/>
    <cellStyle name="Normal 57 5 2 3 3 2 2 3" xfId="38385"/>
    <cellStyle name="Normal 57 5 2 3 3 2 3" xfId="9251"/>
    <cellStyle name="Normal 57 5 2 3 3 2 3 2" xfId="34808"/>
    <cellStyle name="Normal 57 5 2 3 3 2 4" xfId="18042"/>
    <cellStyle name="Normal 57 5 2 3 3 2 4 2" xfId="43595"/>
    <cellStyle name="Normal 57 5 2 3 3 2 5" xfId="29532"/>
    <cellStyle name="Normal 57 5 2 3 3 3" xfId="5028"/>
    <cellStyle name="Normal 57 5 2 3 3 3 2" xfId="13865"/>
    <cellStyle name="Normal 57 5 2 3 3 3 2 2" xfId="24116"/>
    <cellStyle name="Normal 57 5 2 3 3 3 2 2 2" xfId="49669"/>
    <cellStyle name="Normal 57 5 2 3 3 3 2 3" xfId="39420"/>
    <cellStyle name="Normal 57 5 2 3 3 3 3" xfId="10286"/>
    <cellStyle name="Normal 57 5 2 3 3 3 3 2" xfId="35843"/>
    <cellStyle name="Normal 57 5 2 3 3 3 4" xfId="19109"/>
    <cellStyle name="Normal 57 5 2 3 3 3 4 2" xfId="44662"/>
    <cellStyle name="Normal 57 5 2 3 3 3 5" xfId="30599"/>
    <cellStyle name="Normal 57 5 2 3 3 4" xfId="2088"/>
    <cellStyle name="Normal 57 5 2 3 3 4 2" xfId="11453"/>
    <cellStyle name="Normal 57 5 2 3 3 4 2 2" xfId="37008"/>
    <cellStyle name="Normal 57 5 2 3 3 4 3" xfId="21457"/>
    <cellStyle name="Normal 57 5 2 3 3 4 3 2" xfId="47010"/>
    <cellStyle name="Normal 57 5 2 3 3 4 4" xfId="27940"/>
    <cellStyle name="Normal 57 5 2 3 3 5" xfId="6483"/>
    <cellStyle name="Normal 57 5 2 3 3 5 2" xfId="15310"/>
    <cellStyle name="Normal 57 5 2 3 3 5 2 2" xfId="40865"/>
    <cellStyle name="Normal 57 5 2 3 3 5 3" xfId="25561"/>
    <cellStyle name="Normal 57 5 2 3 3 5 3 2" xfId="51114"/>
    <cellStyle name="Normal 57 5 2 3 3 5 4" xfId="32044"/>
    <cellStyle name="Normal 57 5 2 3 3 6" xfId="7929"/>
    <cellStyle name="Normal 57 5 2 3 3 6 2" xfId="20648"/>
    <cellStyle name="Normal 57 5 2 3 3 6 2 2" xfId="46201"/>
    <cellStyle name="Normal 57 5 2 3 3 6 3" xfId="33486"/>
    <cellStyle name="Normal 57 5 2 3 3 7" xfId="16450"/>
    <cellStyle name="Normal 57 5 2 3 3 7 2" xfId="42003"/>
    <cellStyle name="Normal 57 5 2 3 3 8" xfId="27131"/>
    <cellStyle name="Normal 57 5 2 3 4" xfId="2979"/>
    <cellStyle name="Normal 57 5 2 3 4 2" xfId="5357"/>
    <cellStyle name="Normal 57 5 2 3 4 2 2" xfId="14194"/>
    <cellStyle name="Normal 57 5 2 3 4 2 2 2" xfId="24445"/>
    <cellStyle name="Normal 57 5 2 3 4 2 2 2 2" xfId="49998"/>
    <cellStyle name="Normal 57 5 2 3 4 2 2 3" xfId="39749"/>
    <cellStyle name="Normal 57 5 2 3 4 2 3" xfId="10615"/>
    <cellStyle name="Normal 57 5 2 3 4 2 3 2" xfId="36172"/>
    <cellStyle name="Normal 57 5 2 3 4 2 4" xfId="19438"/>
    <cellStyle name="Normal 57 5 2 3 4 2 4 2" xfId="44991"/>
    <cellStyle name="Normal 57 5 2 3 4 2 5" xfId="30928"/>
    <cellStyle name="Normal 57 5 2 3 4 3" xfId="6812"/>
    <cellStyle name="Normal 57 5 2 3 4 3 2" xfId="15639"/>
    <cellStyle name="Normal 57 5 2 3 4 3 2 2" xfId="41194"/>
    <cellStyle name="Normal 57 5 2 3 4 3 3" xfId="25890"/>
    <cellStyle name="Normal 57 5 2 3 4 3 3 2" xfId="51443"/>
    <cellStyle name="Normal 57 5 2 3 4 3 4" xfId="32373"/>
    <cellStyle name="Normal 57 5 2 3 4 4" xfId="8258"/>
    <cellStyle name="Normal 57 5 2 3 4 4 2" xfId="22340"/>
    <cellStyle name="Normal 57 5 2 3 4 4 2 2" xfId="47893"/>
    <cellStyle name="Normal 57 5 2 3 4 4 3" xfId="33815"/>
    <cellStyle name="Normal 57 5 2 3 4 5" xfId="17333"/>
    <cellStyle name="Normal 57 5 2 3 4 5 2" xfId="42886"/>
    <cellStyle name="Normal 57 5 2 3 4 6" xfId="28823"/>
    <cellStyle name="Normal 57 5 2 3 5" xfId="4313"/>
    <cellStyle name="Normal 57 5 2 3 5 2" xfId="13151"/>
    <cellStyle name="Normal 57 5 2 3 5 2 2" xfId="23402"/>
    <cellStyle name="Normal 57 5 2 3 5 2 2 2" xfId="48955"/>
    <cellStyle name="Normal 57 5 2 3 5 2 3" xfId="38706"/>
    <cellStyle name="Normal 57 5 2 3 5 3" xfId="9572"/>
    <cellStyle name="Normal 57 5 2 3 5 3 2" xfId="35129"/>
    <cellStyle name="Normal 57 5 2 3 5 4" xfId="18395"/>
    <cellStyle name="Normal 57 5 2 3 5 4 2" xfId="43948"/>
    <cellStyle name="Normal 57 5 2 3 5 5" xfId="29885"/>
    <cellStyle name="Normal 57 5 2 3 6" xfId="1585"/>
    <cellStyle name="Normal 57 5 2 3 6 2" xfId="10962"/>
    <cellStyle name="Normal 57 5 2 3 6 2 2" xfId="36517"/>
    <cellStyle name="Normal 57 5 2 3 6 3" xfId="20966"/>
    <cellStyle name="Normal 57 5 2 3 6 3 2" xfId="46519"/>
    <cellStyle name="Normal 57 5 2 3 6 4" xfId="27449"/>
    <cellStyle name="Normal 57 5 2 3 7" xfId="5769"/>
    <cellStyle name="Normal 57 5 2 3 7 2" xfId="14596"/>
    <cellStyle name="Normal 57 5 2 3 7 2 2" xfId="40151"/>
    <cellStyle name="Normal 57 5 2 3 7 3" xfId="24847"/>
    <cellStyle name="Normal 57 5 2 3 7 3 2" xfId="50400"/>
    <cellStyle name="Normal 57 5 2 3 7 4" xfId="31330"/>
    <cellStyle name="Normal 57 5 2 3 8" xfId="7213"/>
    <cellStyle name="Normal 57 5 2 3 8 2" xfId="19939"/>
    <cellStyle name="Normal 57 5 2 3 8 2 2" xfId="45492"/>
    <cellStyle name="Normal 57 5 2 3 8 3" xfId="32770"/>
    <cellStyle name="Normal 57 5 2 3 9" xfId="15959"/>
    <cellStyle name="Normal 57 5 2 3 9 2" xfId="41512"/>
    <cellStyle name="Normal 57 5 2 3_Degree data" xfId="3971"/>
    <cellStyle name="Normal 57 5 2 4" xfId="393"/>
    <cellStyle name="Normal 57 5 2 4 2" xfId="2879"/>
    <cellStyle name="Normal 57 5 2 4 2 2" xfId="12167"/>
    <cellStyle name="Normal 57 5 2 4 2 2 2" xfId="22240"/>
    <cellStyle name="Normal 57 5 2 4 2 2 2 2" xfId="47793"/>
    <cellStyle name="Normal 57 5 2 4 2 2 3" xfId="37722"/>
    <cellStyle name="Normal 57 5 2 4 2 3" xfId="8521"/>
    <cellStyle name="Normal 57 5 2 4 2 3 2" xfId="34078"/>
    <cellStyle name="Normal 57 5 2 4 2 4" xfId="17233"/>
    <cellStyle name="Normal 57 5 2 4 2 4 2" xfId="42786"/>
    <cellStyle name="Normal 57 5 2 4 2 5" xfId="28723"/>
    <cellStyle name="Normal 57 5 2 4 3" xfId="4677"/>
    <cellStyle name="Normal 57 5 2 4 3 2" xfId="13515"/>
    <cellStyle name="Normal 57 5 2 4 3 2 2" xfId="23766"/>
    <cellStyle name="Normal 57 5 2 4 3 2 2 2" xfId="49319"/>
    <cellStyle name="Normal 57 5 2 4 3 2 3" xfId="39070"/>
    <cellStyle name="Normal 57 5 2 4 3 3" xfId="9936"/>
    <cellStyle name="Normal 57 5 2 4 3 3 2" xfId="35493"/>
    <cellStyle name="Normal 57 5 2 4 3 4" xfId="18759"/>
    <cellStyle name="Normal 57 5 2 4 3 4 2" xfId="44312"/>
    <cellStyle name="Normal 57 5 2 4 3 5" xfId="30249"/>
    <cellStyle name="Normal 57 5 2 4 4" xfId="1988"/>
    <cellStyle name="Normal 57 5 2 4 4 2" xfId="11353"/>
    <cellStyle name="Normal 57 5 2 4 4 2 2" xfId="36908"/>
    <cellStyle name="Normal 57 5 2 4 4 3" xfId="21357"/>
    <cellStyle name="Normal 57 5 2 4 4 3 2" xfId="46910"/>
    <cellStyle name="Normal 57 5 2 4 4 4" xfId="27840"/>
    <cellStyle name="Normal 57 5 2 4 5" xfId="6133"/>
    <cellStyle name="Normal 57 5 2 4 5 2" xfId="14960"/>
    <cellStyle name="Normal 57 5 2 4 5 2 2" xfId="40515"/>
    <cellStyle name="Normal 57 5 2 4 5 3" xfId="25211"/>
    <cellStyle name="Normal 57 5 2 4 5 3 2" xfId="50764"/>
    <cellStyle name="Normal 57 5 2 4 5 4" xfId="31694"/>
    <cellStyle name="Normal 57 5 2 4 6" xfId="7578"/>
    <cellStyle name="Normal 57 5 2 4 6 2" xfId="19839"/>
    <cellStyle name="Normal 57 5 2 4 6 2 2" xfId="45392"/>
    <cellStyle name="Normal 57 5 2 4 6 3" xfId="33135"/>
    <cellStyle name="Normal 57 5 2 4 7" xfId="16350"/>
    <cellStyle name="Normal 57 5 2 4 7 2" xfId="41903"/>
    <cellStyle name="Normal 57 5 2 4 8" xfId="26322"/>
    <cellStyle name="Normal 57 5 2 5" xfId="863"/>
    <cellStyle name="Normal 57 5 2 5 2" xfId="3348"/>
    <cellStyle name="Normal 57 5 2 5 2 2" xfId="12490"/>
    <cellStyle name="Normal 57 5 2 5 2 2 2" xfId="22709"/>
    <cellStyle name="Normal 57 5 2 5 2 2 2 2" xfId="48262"/>
    <cellStyle name="Normal 57 5 2 5 2 2 3" xfId="38045"/>
    <cellStyle name="Normal 57 5 2 5 2 3" xfId="8912"/>
    <cellStyle name="Normal 57 5 2 5 2 3 2" xfId="34469"/>
    <cellStyle name="Normal 57 5 2 5 2 4" xfId="17702"/>
    <cellStyle name="Normal 57 5 2 5 2 4 2" xfId="43255"/>
    <cellStyle name="Normal 57 5 2 5 2 5" xfId="29192"/>
    <cellStyle name="Normal 57 5 2 5 3" xfId="5026"/>
    <cellStyle name="Normal 57 5 2 5 3 2" xfId="13863"/>
    <cellStyle name="Normal 57 5 2 5 3 2 2" xfId="24114"/>
    <cellStyle name="Normal 57 5 2 5 3 2 2 2" xfId="49667"/>
    <cellStyle name="Normal 57 5 2 5 3 2 3" xfId="39418"/>
    <cellStyle name="Normal 57 5 2 5 3 3" xfId="10284"/>
    <cellStyle name="Normal 57 5 2 5 3 3 2" xfId="35841"/>
    <cellStyle name="Normal 57 5 2 5 3 4" xfId="19107"/>
    <cellStyle name="Normal 57 5 2 5 3 4 2" xfId="44660"/>
    <cellStyle name="Normal 57 5 2 5 3 5" xfId="30597"/>
    <cellStyle name="Normal 57 5 2 5 4" xfId="2457"/>
    <cellStyle name="Normal 57 5 2 5 4 2" xfId="11822"/>
    <cellStyle name="Normal 57 5 2 5 4 2 2" xfId="37377"/>
    <cellStyle name="Normal 57 5 2 5 4 3" xfId="21826"/>
    <cellStyle name="Normal 57 5 2 5 4 3 2" xfId="47379"/>
    <cellStyle name="Normal 57 5 2 5 4 4" xfId="28309"/>
    <cellStyle name="Normal 57 5 2 5 5" xfId="6481"/>
    <cellStyle name="Normal 57 5 2 5 5 2" xfId="15308"/>
    <cellStyle name="Normal 57 5 2 5 5 2 2" xfId="40863"/>
    <cellStyle name="Normal 57 5 2 5 5 3" xfId="25559"/>
    <cellStyle name="Normal 57 5 2 5 5 3 2" xfId="51112"/>
    <cellStyle name="Normal 57 5 2 5 5 4" xfId="32042"/>
    <cellStyle name="Normal 57 5 2 5 6" xfId="7927"/>
    <cellStyle name="Normal 57 5 2 5 6 2" xfId="20308"/>
    <cellStyle name="Normal 57 5 2 5 6 2 2" xfId="45861"/>
    <cellStyle name="Normal 57 5 2 5 6 3" xfId="33484"/>
    <cellStyle name="Normal 57 5 2 5 7" xfId="16819"/>
    <cellStyle name="Normal 57 5 2 5 7 2" xfId="42372"/>
    <cellStyle name="Normal 57 5 2 5 8" xfId="26791"/>
    <cellStyle name="Normal 57 5 2 6" xfId="1165"/>
    <cellStyle name="Normal 57 5 2 6 2" xfId="3594"/>
    <cellStyle name="Normal 57 5 2 6 2 2" xfId="12730"/>
    <cellStyle name="Normal 57 5 2 6 2 2 2" xfId="22949"/>
    <cellStyle name="Normal 57 5 2 6 2 2 2 2" xfId="48502"/>
    <cellStyle name="Normal 57 5 2 6 2 2 3" xfId="38285"/>
    <cellStyle name="Normal 57 5 2 6 2 3" xfId="9151"/>
    <cellStyle name="Normal 57 5 2 6 2 3 2" xfId="34708"/>
    <cellStyle name="Normal 57 5 2 6 2 4" xfId="17942"/>
    <cellStyle name="Normal 57 5 2 6 2 4 2" xfId="43495"/>
    <cellStyle name="Normal 57 5 2 6 2 5" xfId="29432"/>
    <cellStyle name="Normal 57 5 2 6 3" xfId="5257"/>
    <cellStyle name="Normal 57 5 2 6 3 2" xfId="14094"/>
    <cellStyle name="Normal 57 5 2 6 3 2 2" xfId="24345"/>
    <cellStyle name="Normal 57 5 2 6 3 2 2 2" xfId="49898"/>
    <cellStyle name="Normal 57 5 2 6 3 2 3" xfId="39649"/>
    <cellStyle name="Normal 57 5 2 6 3 3" xfId="10515"/>
    <cellStyle name="Normal 57 5 2 6 3 3 2" xfId="36072"/>
    <cellStyle name="Normal 57 5 2 6 3 4" xfId="19338"/>
    <cellStyle name="Normal 57 5 2 6 3 4 2" xfId="44891"/>
    <cellStyle name="Normal 57 5 2 6 3 5" xfId="30828"/>
    <cellStyle name="Normal 57 5 2 6 4" xfId="1765"/>
    <cellStyle name="Normal 57 5 2 6 4 2" xfId="11136"/>
    <cellStyle name="Normal 57 5 2 6 4 2 2" xfId="36691"/>
    <cellStyle name="Normal 57 5 2 6 4 3" xfId="21140"/>
    <cellStyle name="Normal 57 5 2 6 4 3 2" xfId="46693"/>
    <cellStyle name="Normal 57 5 2 6 4 4" xfId="27623"/>
    <cellStyle name="Normal 57 5 2 6 5" xfId="6712"/>
    <cellStyle name="Normal 57 5 2 6 5 2" xfId="15539"/>
    <cellStyle name="Normal 57 5 2 6 5 2 2" xfId="41094"/>
    <cellStyle name="Normal 57 5 2 6 5 3" xfId="25790"/>
    <cellStyle name="Normal 57 5 2 6 5 3 2" xfId="51343"/>
    <cellStyle name="Normal 57 5 2 6 5 4" xfId="32273"/>
    <cellStyle name="Normal 57 5 2 6 6" xfId="8158"/>
    <cellStyle name="Normal 57 5 2 6 6 2" xfId="20548"/>
    <cellStyle name="Normal 57 5 2 6 6 2 2" xfId="46101"/>
    <cellStyle name="Normal 57 5 2 6 6 3" xfId="33715"/>
    <cellStyle name="Normal 57 5 2 6 7" xfId="16133"/>
    <cellStyle name="Normal 57 5 2 6 7 2" xfId="41686"/>
    <cellStyle name="Normal 57 5 2 6 8" xfId="27031"/>
    <cellStyle name="Normal 57 5 2 7" xfId="2662"/>
    <cellStyle name="Normal 57 5 2 7 2" xfId="11980"/>
    <cellStyle name="Normal 57 5 2 7 2 2" xfId="22023"/>
    <cellStyle name="Normal 57 5 2 7 2 2 2" xfId="47576"/>
    <cellStyle name="Normal 57 5 2 7 2 3" xfId="37535"/>
    <cellStyle name="Normal 57 5 2 7 3" xfId="8433"/>
    <cellStyle name="Normal 57 5 2 7 3 2" xfId="33990"/>
    <cellStyle name="Normal 57 5 2 7 4" xfId="17016"/>
    <cellStyle name="Normal 57 5 2 7 4 2" xfId="42569"/>
    <cellStyle name="Normal 57 5 2 7 5" xfId="28506"/>
    <cellStyle name="Normal 57 5 2 8" xfId="4213"/>
    <cellStyle name="Normal 57 5 2 8 2" xfId="13051"/>
    <cellStyle name="Normal 57 5 2 8 2 2" xfId="23302"/>
    <cellStyle name="Normal 57 5 2 8 2 2 2" xfId="48855"/>
    <cellStyle name="Normal 57 5 2 8 2 3" xfId="38606"/>
    <cellStyle name="Normal 57 5 2 8 3" xfId="9472"/>
    <cellStyle name="Normal 57 5 2 8 3 2" xfId="35029"/>
    <cellStyle name="Normal 57 5 2 8 4" xfId="18295"/>
    <cellStyle name="Normal 57 5 2 8 4 2" xfId="43848"/>
    <cellStyle name="Normal 57 5 2 8 5" xfId="29785"/>
    <cellStyle name="Normal 57 5 2 9" xfId="1485"/>
    <cellStyle name="Normal 57 5 2 9 2" xfId="10862"/>
    <cellStyle name="Normal 57 5 2 9 2 2" xfId="36417"/>
    <cellStyle name="Normal 57 5 2 9 3" xfId="20866"/>
    <cellStyle name="Normal 57 5 2 9 3 2" xfId="46419"/>
    <cellStyle name="Normal 57 5 2 9 4" xfId="27349"/>
    <cellStyle name="Normal 57 5 2_Degree data" xfId="3969"/>
    <cellStyle name="Normal 57 5 3" xfId="210"/>
    <cellStyle name="Normal 57 5 3 10" xfId="7156"/>
    <cellStyle name="Normal 57 5 3 10 2" xfId="19665"/>
    <cellStyle name="Normal 57 5 3 10 2 2" xfId="45218"/>
    <cellStyle name="Normal 57 5 3 10 3" xfId="32713"/>
    <cellStyle name="Normal 57 5 3 11" xfId="15902"/>
    <cellStyle name="Normal 57 5 3 11 2" xfId="41455"/>
    <cellStyle name="Normal 57 5 3 12" xfId="26148"/>
    <cellStyle name="Normal 57 5 3 2" xfId="536"/>
    <cellStyle name="Normal 57 5 3 2 10" xfId="26465"/>
    <cellStyle name="Normal 57 5 3 2 2" xfId="867"/>
    <cellStyle name="Normal 57 5 3 2 2 2" xfId="3352"/>
    <cellStyle name="Normal 57 5 3 2 2 2 2" xfId="12494"/>
    <cellStyle name="Normal 57 5 3 2 2 2 2 2" xfId="22713"/>
    <cellStyle name="Normal 57 5 3 2 2 2 2 2 2" xfId="48266"/>
    <cellStyle name="Normal 57 5 3 2 2 2 2 3" xfId="38049"/>
    <cellStyle name="Normal 57 5 3 2 2 2 3" xfId="8916"/>
    <cellStyle name="Normal 57 5 3 2 2 2 3 2" xfId="34473"/>
    <cellStyle name="Normal 57 5 3 2 2 2 4" xfId="17706"/>
    <cellStyle name="Normal 57 5 3 2 2 2 4 2" xfId="43259"/>
    <cellStyle name="Normal 57 5 3 2 2 2 5" xfId="29196"/>
    <cellStyle name="Normal 57 5 3 2 2 3" xfId="4681"/>
    <cellStyle name="Normal 57 5 3 2 2 3 2" xfId="13519"/>
    <cellStyle name="Normal 57 5 3 2 2 3 2 2" xfId="23770"/>
    <cellStyle name="Normal 57 5 3 2 2 3 2 2 2" xfId="49323"/>
    <cellStyle name="Normal 57 5 3 2 2 3 2 3" xfId="39074"/>
    <cellStyle name="Normal 57 5 3 2 2 3 3" xfId="9940"/>
    <cellStyle name="Normal 57 5 3 2 2 3 3 2" xfId="35497"/>
    <cellStyle name="Normal 57 5 3 2 2 3 4" xfId="18763"/>
    <cellStyle name="Normal 57 5 3 2 2 3 4 2" xfId="44316"/>
    <cellStyle name="Normal 57 5 3 2 2 3 5" xfId="30253"/>
    <cellStyle name="Normal 57 5 3 2 2 4" xfId="2461"/>
    <cellStyle name="Normal 57 5 3 2 2 4 2" xfId="11826"/>
    <cellStyle name="Normal 57 5 3 2 2 4 2 2" xfId="37381"/>
    <cellStyle name="Normal 57 5 3 2 2 4 3" xfId="21830"/>
    <cellStyle name="Normal 57 5 3 2 2 4 3 2" xfId="47383"/>
    <cellStyle name="Normal 57 5 3 2 2 4 4" xfId="28313"/>
    <cellStyle name="Normal 57 5 3 2 2 5" xfId="6137"/>
    <cellStyle name="Normal 57 5 3 2 2 5 2" xfId="14964"/>
    <cellStyle name="Normal 57 5 3 2 2 5 2 2" xfId="40519"/>
    <cellStyle name="Normal 57 5 3 2 2 5 3" xfId="25215"/>
    <cellStyle name="Normal 57 5 3 2 2 5 3 2" xfId="50768"/>
    <cellStyle name="Normal 57 5 3 2 2 5 4" xfId="31698"/>
    <cellStyle name="Normal 57 5 3 2 2 6" xfId="7582"/>
    <cellStyle name="Normal 57 5 3 2 2 6 2" xfId="20312"/>
    <cellStyle name="Normal 57 5 3 2 2 6 2 2" xfId="45865"/>
    <cellStyle name="Normal 57 5 3 2 2 6 3" xfId="33139"/>
    <cellStyle name="Normal 57 5 3 2 2 7" xfId="16823"/>
    <cellStyle name="Normal 57 5 3 2 2 7 2" xfId="42376"/>
    <cellStyle name="Normal 57 5 3 2 2 8" xfId="26795"/>
    <cellStyle name="Normal 57 5 3 2 3" xfId="1308"/>
    <cellStyle name="Normal 57 5 3 2 3 2" xfId="3737"/>
    <cellStyle name="Normal 57 5 3 2 3 2 2" xfId="12873"/>
    <cellStyle name="Normal 57 5 3 2 3 2 2 2" xfId="23092"/>
    <cellStyle name="Normal 57 5 3 2 3 2 2 2 2" xfId="48645"/>
    <cellStyle name="Normal 57 5 3 2 3 2 2 3" xfId="38428"/>
    <cellStyle name="Normal 57 5 3 2 3 2 3" xfId="9294"/>
    <cellStyle name="Normal 57 5 3 2 3 2 3 2" xfId="34851"/>
    <cellStyle name="Normal 57 5 3 2 3 2 4" xfId="18085"/>
    <cellStyle name="Normal 57 5 3 2 3 2 4 2" xfId="43638"/>
    <cellStyle name="Normal 57 5 3 2 3 2 5" xfId="29575"/>
    <cellStyle name="Normal 57 5 3 2 3 3" xfId="5030"/>
    <cellStyle name="Normal 57 5 3 2 3 3 2" xfId="13867"/>
    <cellStyle name="Normal 57 5 3 2 3 3 2 2" xfId="24118"/>
    <cellStyle name="Normal 57 5 3 2 3 3 2 2 2" xfId="49671"/>
    <cellStyle name="Normal 57 5 3 2 3 3 2 3" xfId="39422"/>
    <cellStyle name="Normal 57 5 3 2 3 3 3" xfId="10288"/>
    <cellStyle name="Normal 57 5 3 2 3 3 3 2" xfId="35845"/>
    <cellStyle name="Normal 57 5 3 2 3 3 4" xfId="19111"/>
    <cellStyle name="Normal 57 5 3 2 3 3 4 2" xfId="44664"/>
    <cellStyle name="Normal 57 5 3 2 3 3 5" xfId="30601"/>
    <cellStyle name="Normal 57 5 3 2 3 4" xfId="2131"/>
    <cellStyle name="Normal 57 5 3 2 3 4 2" xfId="11496"/>
    <cellStyle name="Normal 57 5 3 2 3 4 2 2" xfId="37051"/>
    <cellStyle name="Normal 57 5 3 2 3 4 3" xfId="21500"/>
    <cellStyle name="Normal 57 5 3 2 3 4 3 2" xfId="47053"/>
    <cellStyle name="Normal 57 5 3 2 3 4 4" xfId="27983"/>
    <cellStyle name="Normal 57 5 3 2 3 5" xfId="6485"/>
    <cellStyle name="Normal 57 5 3 2 3 5 2" xfId="15312"/>
    <cellStyle name="Normal 57 5 3 2 3 5 2 2" xfId="40867"/>
    <cellStyle name="Normal 57 5 3 2 3 5 3" xfId="25563"/>
    <cellStyle name="Normal 57 5 3 2 3 5 3 2" xfId="51116"/>
    <cellStyle name="Normal 57 5 3 2 3 5 4" xfId="32046"/>
    <cellStyle name="Normal 57 5 3 2 3 6" xfId="7931"/>
    <cellStyle name="Normal 57 5 3 2 3 6 2" xfId="20691"/>
    <cellStyle name="Normal 57 5 3 2 3 6 2 2" xfId="46244"/>
    <cellStyle name="Normal 57 5 3 2 3 6 3" xfId="33488"/>
    <cellStyle name="Normal 57 5 3 2 3 7" xfId="16493"/>
    <cellStyle name="Normal 57 5 3 2 3 7 2" xfId="42046"/>
    <cellStyle name="Normal 57 5 3 2 3 8" xfId="27174"/>
    <cellStyle name="Normal 57 5 3 2 4" xfId="3022"/>
    <cellStyle name="Normal 57 5 3 2 4 2" xfId="5400"/>
    <cellStyle name="Normal 57 5 3 2 4 2 2" xfId="14237"/>
    <cellStyle name="Normal 57 5 3 2 4 2 2 2" xfId="24488"/>
    <cellStyle name="Normal 57 5 3 2 4 2 2 2 2" xfId="50041"/>
    <cellStyle name="Normal 57 5 3 2 4 2 2 3" xfId="39792"/>
    <cellStyle name="Normal 57 5 3 2 4 2 3" xfId="10658"/>
    <cellStyle name="Normal 57 5 3 2 4 2 3 2" xfId="36215"/>
    <cellStyle name="Normal 57 5 3 2 4 2 4" xfId="19481"/>
    <cellStyle name="Normal 57 5 3 2 4 2 4 2" xfId="45034"/>
    <cellStyle name="Normal 57 5 3 2 4 2 5" xfId="30971"/>
    <cellStyle name="Normal 57 5 3 2 4 3" xfId="6855"/>
    <cellStyle name="Normal 57 5 3 2 4 3 2" xfId="15682"/>
    <cellStyle name="Normal 57 5 3 2 4 3 2 2" xfId="41237"/>
    <cellStyle name="Normal 57 5 3 2 4 3 3" xfId="25933"/>
    <cellStyle name="Normal 57 5 3 2 4 3 3 2" xfId="51486"/>
    <cellStyle name="Normal 57 5 3 2 4 3 4" xfId="32416"/>
    <cellStyle name="Normal 57 5 3 2 4 4" xfId="8301"/>
    <cellStyle name="Normal 57 5 3 2 4 4 2" xfId="22383"/>
    <cellStyle name="Normal 57 5 3 2 4 4 2 2" xfId="47936"/>
    <cellStyle name="Normal 57 5 3 2 4 4 3" xfId="33858"/>
    <cellStyle name="Normal 57 5 3 2 4 5" xfId="17376"/>
    <cellStyle name="Normal 57 5 3 2 4 5 2" xfId="42929"/>
    <cellStyle name="Normal 57 5 3 2 4 6" xfId="28866"/>
    <cellStyle name="Normal 57 5 3 2 5" xfId="4356"/>
    <cellStyle name="Normal 57 5 3 2 5 2" xfId="13194"/>
    <cellStyle name="Normal 57 5 3 2 5 2 2" xfId="23445"/>
    <cellStyle name="Normal 57 5 3 2 5 2 2 2" xfId="48998"/>
    <cellStyle name="Normal 57 5 3 2 5 2 3" xfId="38749"/>
    <cellStyle name="Normal 57 5 3 2 5 3" xfId="9615"/>
    <cellStyle name="Normal 57 5 3 2 5 3 2" xfId="35172"/>
    <cellStyle name="Normal 57 5 3 2 5 4" xfId="18438"/>
    <cellStyle name="Normal 57 5 3 2 5 4 2" xfId="43991"/>
    <cellStyle name="Normal 57 5 3 2 5 5" xfId="29928"/>
    <cellStyle name="Normal 57 5 3 2 6" xfId="1628"/>
    <cellStyle name="Normal 57 5 3 2 6 2" xfId="11005"/>
    <cellStyle name="Normal 57 5 3 2 6 2 2" xfId="36560"/>
    <cellStyle name="Normal 57 5 3 2 6 3" xfId="21009"/>
    <cellStyle name="Normal 57 5 3 2 6 3 2" xfId="46562"/>
    <cellStyle name="Normal 57 5 3 2 6 4" xfId="27492"/>
    <cellStyle name="Normal 57 5 3 2 7" xfId="5812"/>
    <cellStyle name="Normal 57 5 3 2 7 2" xfId="14639"/>
    <cellStyle name="Normal 57 5 3 2 7 2 2" xfId="40194"/>
    <cellStyle name="Normal 57 5 3 2 7 3" xfId="24890"/>
    <cellStyle name="Normal 57 5 3 2 7 3 2" xfId="50443"/>
    <cellStyle name="Normal 57 5 3 2 7 4" xfId="31373"/>
    <cellStyle name="Normal 57 5 3 2 8" xfId="7256"/>
    <cellStyle name="Normal 57 5 3 2 8 2" xfId="19982"/>
    <cellStyle name="Normal 57 5 3 2 8 2 2" xfId="45535"/>
    <cellStyle name="Normal 57 5 3 2 8 3" xfId="32813"/>
    <cellStyle name="Normal 57 5 3 2 9" xfId="16002"/>
    <cellStyle name="Normal 57 5 3 2 9 2" xfId="41555"/>
    <cellStyle name="Normal 57 5 3 2_Degree data" xfId="3973"/>
    <cellStyle name="Normal 57 5 3 3" xfId="436"/>
    <cellStyle name="Normal 57 5 3 3 2" xfId="2922"/>
    <cellStyle name="Normal 57 5 3 3 2 2" xfId="12210"/>
    <cellStyle name="Normal 57 5 3 3 2 2 2" xfId="22283"/>
    <cellStyle name="Normal 57 5 3 3 2 2 2 2" xfId="47836"/>
    <cellStyle name="Normal 57 5 3 3 2 2 3" xfId="37765"/>
    <cellStyle name="Normal 57 5 3 3 2 3" xfId="8510"/>
    <cellStyle name="Normal 57 5 3 3 2 3 2" xfId="34067"/>
    <cellStyle name="Normal 57 5 3 3 2 4" xfId="17276"/>
    <cellStyle name="Normal 57 5 3 3 2 4 2" xfId="42829"/>
    <cellStyle name="Normal 57 5 3 3 2 5" xfId="28766"/>
    <cellStyle name="Normal 57 5 3 3 3" xfId="4680"/>
    <cellStyle name="Normal 57 5 3 3 3 2" xfId="13518"/>
    <cellStyle name="Normal 57 5 3 3 3 2 2" xfId="23769"/>
    <cellStyle name="Normal 57 5 3 3 3 2 2 2" xfId="49322"/>
    <cellStyle name="Normal 57 5 3 3 3 2 3" xfId="39073"/>
    <cellStyle name="Normal 57 5 3 3 3 3" xfId="9939"/>
    <cellStyle name="Normal 57 5 3 3 3 3 2" xfId="35496"/>
    <cellStyle name="Normal 57 5 3 3 3 4" xfId="18762"/>
    <cellStyle name="Normal 57 5 3 3 3 4 2" xfId="44315"/>
    <cellStyle name="Normal 57 5 3 3 3 5" xfId="30252"/>
    <cellStyle name="Normal 57 5 3 3 4" xfId="2031"/>
    <cellStyle name="Normal 57 5 3 3 4 2" xfId="11396"/>
    <cellStyle name="Normal 57 5 3 3 4 2 2" xfId="36951"/>
    <cellStyle name="Normal 57 5 3 3 4 3" xfId="21400"/>
    <cellStyle name="Normal 57 5 3 3 4 3 2" xfId="46953"/>
    <cellStyle name="Normal 57 5 3 3 4 4" xfId="27883"/>
    <cellStyle name="Normal 57 5 3 3 5" xfId="6136"/>
    <cellStyle name="Normal 57 5 3 3 5 2" xfId="14963"/>
    <cellStyle name="Normal 57 5 3 3 5 2 2" xfId="40518"/>
    <cellStyle name="Normal 57 5 3 3 5 3" xfId="25214"/>
    <cellStyle name="Normal 57 5 3 3 5 3 2" xfId="50767"/>
    <cellStyle name="Normal 57 5 3 3 5 4" xfId="31697"/>
    <cellStyle name="Normal 57 5 3 3 6" xfId="7581"/>
    <cellStyle name="Normal 57 5 3 3 6 2" xfId="19882"/>
    <cellStyle name="Normal 57 5 3 3 6 2 2" xfId="45435"/>
    <cellStyle name="Normal 57 5 3 3 6 3" xfId="33138"/>
    <cellStyle name="Normal 57 5 3 3 7" xfId="16393"/>
    <cellStyle name="Normal 57 5 3 3 7 2" xfId="41946"/>
    <cellStyle name="Normal 57 5 3 3 8" xfId="26365"/>
    <cellStyle name="Normal 57 5 3 4" xfId="866"/>
    <cellStyle name="Normal 57 5 3 4 2" xfId="3351"/>
    <cellStyle name="Normal 57 5 3 4 2 2" xfId="12493"/>
    <cellStyle name="Normal 57 5 3 4 2 2 2" xfId="22712"/>
    <cellStyle name="Normal 57 5 3 4 2 2 2 2" xfId="48265"/>
    <cellStyle name="Normal 57 5 3 4 2 2 3" xfId="38048"/>
    <cellStyle name="Normal 57 5 3 4 2 3" xfId="8915"/>
    <cellStyle name="Normal 57 5 3 4 2 3 2" xfId="34472"/>
    <cellStyle name="Normal 57 5 3 4 2 4" xfId="17705"/>
    <cellStyle name="Normal 57 5 3 4 2 4 2" xfId="43258"/>
    <cellStyle name="Normal 57 5 3 4 2 5" xfId="29195"/>
    <cellStyle name="Normal 57 5 3 4 3" xfId="5029"/>
    <cellStyle name="Normal 57 5 3 4 3 2" xfId="13866"/>
    <cellStyle name="Normal 57 5 3 4 3 2 2" xfId="24117"/>
    <cellStyle name="Normal 57 5 3 4 3 2 2 2" xfId="49670"/>
    <cellStyle name="Normal 57 5 3 4 3 2 3" xfId="39421"/>
    <cellStyle name="Normal 57 5 3 4 3 3" xfId="10287"/>
    <cellStyle name="Normal 57 5 3 4 3 3 2" xfId="35844"/>
    <cellStyle name="Normal 57 5 3 4 3 4" xfId="19110"/>
    <cellStyle name="Normal 57 5 3 4 3 4 2" xfId="44663"/>
    <cellStyle name="Normal 57 5 3 4 3 5" xfId="30600"/>
    <cellStyle name="Normal 57 5 3 4 4" xfId="2460"/>
    <cellStyle name="Normal 57 5 3 4 4 2" xfId="11825"/>
    <cellStyle name="Normal 57 5 3 4 4 2 2" xfId="37380"/>
    <cellStyle name="Normal 57 5 3 4 4 3" xfId="21829"/>
    <cellStyle name="Normal 57 5 3 4 4 3 2" xfId="47382"/>
    <cellStyle name="Normal 57 5 3 4 4 4" xfId="28312"/>
    <cellStyle name="Normal 57 5 3 4 5" xfId="6484"/>
    <cellStyle name="Normal 57 5 3 4 5 2" xfId="15311"/>
    <cellStyle name="Normal 57 5 3 4 5 2 2" xfId="40866"/>
    <cellStyle name="Normal 57 5 3 4 5 3" xfId="25562"/>
    <cellStyle name="Normal 57 5 3 4 5 3 2" xfId="51115"/>
    <cellStyle name="Normal 57 5 3 4 5 4" xfId="32045"/>
    <cellStyle name="Normal 57 5 3 4 6" xfId="7930"/>
    <cellStyle name="Normal 57 5 3 4 6 2" xfId="20311"/>
    <cellStyle name="Normal 57 5 3 4 6 2 2" xfId="45864"/>
    <cellStyle name="Normal 57 5 3 4 6 3" xfId="33487"/>
    <cellStyle name="Normal 57 5 3 4 7" xfId="16822"/>
    <cellStyle name="Normal 57 5 3 4 7 2" xfId="42375"/>
    <cellStyle name="Normal 57 5 3 4 8" xfId="26794"/>
    <cellStyle name="Normal 57 5 3 5" xfId="1208"/>
    <cellStyle name="Normal 57 5 3 5 2" xfId="3637"/>
    <cellStyle name="Normal 57 5 3 5 2 2" xfId="12773"/>
    <cellStyle name="Normal 57 5 3 5 2 2 2" xfId="22992"/>
    <cellStyle name="Normal 57 5 3 5 2 2 2 2" xfId="48545"/>
    <cellStyle name="Normal 57 5 3 5 2 2 3" xfId="38328"/>
    <cellStyle name="Normal 57 5 3 5 2 3" xfId="9194"/>
    <cellStyle name="Normal 57 5 3 5 2 3 2" xfId="34751"/>
    <cellStyle name="Normal 57 5 3 5 2 4" xfId="17985"/>
    <cellStyle name="Normal 57 5 3 5 2 4 2" xfId="43538"/>
    <cellStyle name="Normal 57 5 3 5 2 5" xfId="29475"/>
    <cellStyle name="Normal 57 5 3 5 3" xfId="5300"/>
    <cellStyle name="Normal 57 5 3 5 3 2" xfId="14137"/>
    <cellStyle name="Normal 57 5 3 5 3 2 2" xfId="24388"/>
    <cellStyle name="Normal 57 5 3 5 3 2 2 2" xfId="49941"/>
    <cellStyle name="Normal 57 5 3 5 3 2 3" xfId="39692"/>
    <cellStyle name="Normal 57 5 3 5 3 3" xfId="10558"/>
    <cellStyle name="Normal 57 5 3 5 3 3 2" xfId="36115"/>
    <cellStyle name="Normal 57 5 3 5 3 4" xfId="19381"/>
    <cellStyle name="Normal 57 5 3 5 3 4 2" xfId="44934"/>
    <cellStyle name="Normal 57 5 3 5 3 5" xfId="30871"/>
    <cellStyle name="Normal 57 5 3 5 4" xfId="1811"/>
    <cellStyle name="Normal 57 5 3 5 4 2" xfId="11179"/>
    <cellStyle name="Normal 57 5 3 5 4 2 2" xfId="36734"/>
    <cellStyle name="Normal 57 5 3 5 4 3" xfId="21183"/>
    <cellStyle name="Normal 57 5 3 5 4 3 2" xfId="46736"/>
    <cellStyle name="Normal 57 5 3 5 4 4" xfId="27666"/>
    <cellStyle name="Normal 57 5 3 5 5" xfId="6755"/>
    <cellStyle name="Normal 57 5 3 5 5 2" xfId="15582"/>
    <cellStyle name="Normal 57 5 3 5 5 2 2" xfId="41137"/>
    <cellStyle name="Normal 57 5 3 5 5 3" xfId="25833"/>
    <cellStyle name="Normal 57 5 3 5 5 3 2" xfId="51386"/>
    <cellStyle name="Normal 57 5 3 5 5 4" xfId="32316"/>
    <cellStyle name="Normal 57 5 3 5 6" xfId="8201"/>
    <cellStyle name="Normal 57 5 3 5 6 2" xfId="20591"/>
    <cellStyle name="Normal 57 5 3 5 6 2 2" xfId="46144"/>
    <cellStyle name="Normal 57 5 3 5 6 3" xfId="33758"/>
    <cellStyle name="Normal 57 5 3 5 7" xfId="16176"/>
    <cellStyle name="Normal 57 5 3 5 7 2" xfId="41729"/>
    <cellStyle name="Normal 57 5 3 5 8" xfId="27074"/>
    <cellStyle name="Normal 57 5 3 6" xfId="2705"/>
    <cellStyle name="Normal 57 5 3 6 2" xfId="12022"/>
    <cellStyle name="Normal 57 5 3 6 2 2" xfId="22066"/>
    <cellStyle name="Normal 57 5 3 6 2 2 2" xfId="47619"/>
    <cellStyle name="Normal 57 5 3 6 2 3" xfId="37577"/>
    <cellStyle name="Normal 57 5 3 6 3" xfId="8383"/>
    <cellStyle name="Normal 57 5 3 6 3 2" xfId="33940"/>
    <cellStyle name="Normal 57 5 3 6 4" xfId="17059"/>
    <cellStyle name="Normal 57 5 3 6 4 2" xfId="42612"/>
    <cellStyle name="Normal 57 5 3 6 5" xfId="28549"/>
    <cellStyle name="Normal 57 5 3 7" xfId="4256"/>
    <cellStyle name="Normal 57 5 3 7 2" xfId="13094"/>
    <cellStyle name="Normal 57 5 3 7 2 2" xfId="23345"/>
    <cellStyle name="Normal 57 5 3 7 2 2 2" xfId="48898"/>
    <cellStyle name="Normal 57 5 3 7 2 3" xfId="38649"/>
    <cellStyle name="Normal 57 5 3 7 3" xfId="9515"/>
    <cellStyle name="Normal 57 5 3 7 3 2" xfId="35072"/>
    <cellStyle name="Normal 57 5 3 7 4" xfId="18338"/>
    <cellStyle name="Normal 57 5 3 7 4 2" xfId="43891"/>
    <cellStyle name="Normal 57 5 3 7 5" xfId="29828"/>
    <cellStyle name="Normal 57 5 3 8" xfId="1528"/>
    <cellStyle name="Normal 57 5 3 8 2" xfId="10905"/>
    <cellStyle name="Normal 57 5 3 8 2 2" xfId="36460"/>
    <cellStyle name="Normal 57 5 3 8 3" xfId="20909"/>
    <cellStyle name="Normal 57 5 3 8 3 2" xfId="46462"/>
    <cellStyle name="Normal 57 5 3 8 4" xfId="27392"/>
    <cellStyle name="Normal 57 5 3 9" xfId="5712"/>
    <cellStyle name="Normal 57 5 3 9 2" xfId="14539"/>
    <cellStyle name="Normal 57 5 3 9 2 2" xfId="40094"/>
    <cellStyle name="Normal 57 5 3 9 3" xfId="24790"/>
    <cellStyle name="Normal 57 5 3 9 3 2" xfId="50343"/>
    <cellStyle name="Normal 57 5 3 9 4" xfId="31273"/>
    <cellStyle name="Normal 57 5 3_Degree data" xfId="3972"/>
    <cellStyle name="Normal 57 5 4" xfId="230"/>
    <cellStyle name="Normal 57 5 4 10" xfId="7068"/>
    <cellStyle name="Normal 57 5 4 10 2" xfId="19682"/>
    <cellStyle name="Normal 57 5 4 10 2 2" xfId="45235"/>
    <cellStyle name="Normal 57 5 4 10 3" xfId="32625"/>
    <cellStyle name="Normal 57 5 4 11" xfId="15814"/>
    <cellStyle name="Normal 57 5 4 11 2" xfId="41367"/>
    <cellStyle name="Normal 57 5 4 12" xfId="26165"/>
    <cellStyle name="Normal 57 5 4 2" xfId="553"/>
    <cellStyle name="Normal 57 5 4 2 10" xfId="26482"/>
    <cellStyle name="Normal 57 5 4 2 2" xfId="869"/>
    <cellStyle name="Normal 57 5 4 2 2 2" xfId="3354"/>
    <cellStyle name="Normal 57 5 4 2 2 2 2" xfId="12496"/>
    <cellStyle name="Normal 57 5 4 2 2 2 2 2" xfId="22715"/>
    <cellStyle name="Normal 57 5 4 2 2 2 2 2 2" xfId="48268"/>
    <cellStyle name="Normal 57 5 4 2 2 2 2 3" xfId="38051"/>
    <cellStyle name="Normal 57 5 4 2 2 2 3" xfId="8918"/>
    <cellStyle name="Normal 57 5 4 2 2 2 3 2" xfId="34475"/>
    <cellStyle name="Normal 57 5 4 2 2 2 4" xfId="17708"/>
    <cellStyle name="Normal 57 5 4 2 2 2 4 2" xfId="43261"/>
    <cellStyle name="Normal 57 5 4 2 2 2 5" xfId="29198"/>
    <cellStyle name="Normal 57 5 4 2 2 3" xfId="4683"/>
    <cellStyle name="Normal 57 5 4 2 2 3 2" xfId="13521"/>
    <cellStyle name="Normal 57 5 4 2 2 3 2 2" xfId="23772"/>
    <cellStyle name="Normal 57 5 4 2 2 3 2 2 2" xfId="49325"/>
    <cellStyle name="Normal 57 5 4 2 2 3 2 3" xfId="39076"/>
    <cellStyle name="Normal 57 5 4 2 2 3 3" xfId="9942"/>
    <cellStyle name="Normal 57 5 4 2 2 3 3 2" xfId="35499"/>
    <cellStyle name="Normal 57 5 4 2 2 3 4" xfId="18765"/>
    <cellStyle name="Normal 57 5 4 2 2 3 4 2" xfId="44318"/>
    <cellStyle name="Normal 57 5 4 2 2 3 5" xfId="30255"/>
    <cellStyle name="Normal 57 5 4 2 2 4" xfId="2463"/>
    <cellStyle name="Normal 57 5 4 2 2 4 2" xfId="11828"/>
    <cellStyle name="Normal 57 5 4 2 2 4 2 2" xfId="37383"/>
    <cellStyle name="Normal 57 5 4 2 2 4 3" xfId="21832"/>
    <cellStyle name="Normal 57 5 4 2 2 4 3 2" xfId="47385"/>
    <cellStyle name="Normal 57 5 4 2 2 4 4" xfId="28315"/>
    <cellStyle name="Normal 57 5 4 2 2 5" xfId="6139"/>
    <cellStyle name="Normal 57 5 4 2 2 5 2" xfId="14966"/>
    <cellStyle name="Normal 57 5 4 2 2 5 2 2" xfId="40521"/>
    <cellStyle name="Normal 57 5 4 2 2 5 3" xfId="25217"/>
    <cellStyle name="Normal 57 5 4 2 2 5 3 2" xfId="50770"/>
    <cellStyle name="Normal 57 5 4 2 2 5 4" xfId="31700"/>
    <cellStyle name="Normal 57 5 4 2 2 6" xfId="7584"/>
    <cellStyle name="Normal 57 5 4 2 2 6 2" xfId="20314"/>
    <cellStyle name="Normal 57 5 4 2 2 6 2 2" xfId="45867"/>
    <cellStyle name="Normal 57 5 4 2 2 6 3" xfId="33141"/>
    <cellStyle name="Normal 57 5 4 2 2 7" xfId="16825"/>
    <cellStyle name="Normal 57 5 4 2 2 7 2" xfId="42378"/>
    <cellStyle name="Normal 57 5 4 2 2 8" xfId="26797"/>
    <cellStyle name="Normal 57 5 4 2 3" xfId="1325"/>
    <cellStyle name="Normal 57 5 4 2 3 2" xfId="3754"/>
    <cellStyle name="Normal 57 5 4 2 3 2 2" xfId="12890"/>
    <cellStyle name="Normal 57 5 4 2 3 2 2 2" xfId="23109"/>
    <cellStyle name="Normal 57 5 4 2 3 2 2 2 2" xfId="48662"/>
    <cellStyle name="Normal 57 5 4 2 3 2 2 3" xfId="38445"/>
    <cellStyle name="Normal 57 5 4 2 3 2 3" xfId="9311"/>
    <cellStyle name="Normal 57 5 4 2 3 2 3 2" xfId="34868"/>
    <cellStyle name="Normal 57 5 4 2 3 2 4" xfId="18102"/>
    <cellStyle name="Normal 57 5 4 2 3 2 4 2" xfId="43655"/>
    <cellStyle name="Normal 57 5 4 2 3 2 5" xfId="29592"/>
    <cellStyle name="Normal 57 5 4 2 3 3" xfId="5032"/>
    <cellStyle name="Normal 57 5 4 2 3 3 2" xfId="13869"/>
    <cellStyle name="Normal 57 5 4 2 3 3 2 2" xfId="24120"/>
    <cellStyle name="Normal 57 5 4 2 3 3 2 2 2" xfId="49673"/>
    <cellStyle name="Normal 57 5 4 2 3 3 2 3" xfId="39424"/>
    <cellStyle name="Normal 57 5 4 2 3 3 3" xfId="10290"/>
    <cellStyle name="Normal 57 5 4 2 3 3 3 2" xfId="35847"/>
    <cellStyle name="Normal 57 5 4 2 3 3 4" xfId="19113"/>
    <cellStyle name="Normal 57 5 4 2 3 3 4 2" xfId="44666"/>
    <cellStyle name="Normal 57 5 4 2 3 3 5" xfId="30603"/>
    <cellStyle name="Normal 57 5 4 2 3 4" xfId="2148"/>
    <cellStyle name="Normal 57 5 4 2 3 4 2" xfId="11513"/>
    <cellStyle name="Normal 57 5 4 2 3 4 2 2" xfId="37068"/>
    <cellStyle name="Normal 57 5 4 2 3 4 3" xfId="21517"/>
    <cellStyle name="Normal 57 5 4 2 3 4 3 2" xfId="47070"/>
    <cellStyle name="Normal 57 5 4 2 3 4 4" xfId="28000"/>
    <cellStyle name="Normal 57 5 4 2 3 5" xfId="6487"/>
    <cellStyle name="Normal 57 5 4 2 3 5 2" xfId="15314"/>
    <cellStyle name="Normal 57 5 4 2 3 5 2 2" xfId="40869"/>
    <cellStyle name="Normal 57 5 4 2 3 5 3" xfId="25565"/>
    <cellStyle name="Normal 57 5 4 2 3 5 3 2" xfId="51118"/>
    <cellStyle name="Normal 57 5 4 2 3 5 4" xfId="32048"/>
    <cellStyle name="Normal 57 5 4 2 3 6" xfId="7933"/>
    <cellStyle name="Normal 57 5 4 2 3 6 2" xfId="20708"/>
    <cellStyle name="Normal 57 5 4 2 3 6 2 2" xfId="46261"/>
    <cellStyle name="Normal 57 5 4 2 3 6 3" xfId="33490"/>
    <cellStyle name="Normal 57 5 4 2 3 7" xfId="16510"/>
    <cellStyle name="Normal 57 5 4 2 3 7 2" xfId="42063"/>
    <cellStyle name="Normal 57 5 4 2 3 8" xfId="27191"/>
    <cellStyle name="Normal 57 5 4 2 4" xfId="3039"/>
    <cellStyle name="Normal 57 5 4 2 4 2" xfId="5417"/>
    <cellStyle name="Normal 57 5 4 2 4 2 2" xfId="14254"/>
    <cellStyle name="Normal 57 5 4 2 4 2 2 2" xfId="24505"/>
    <cellStyle name="Normal 57 5 4 2 4 2 2 2 2" xfId="50058"/>
    <cellStyle name="Normal 57 5 4 2 4 2 2 3" xfId="39809"/>
    <cellStyle name="Normal 57 5 4 2 4 2 3" xfId="10675"/>
    <cellStyle name="Normal 57 5 4 2 4 2 3 2" xfId="36232"/>
    <cellStyle name="Normal 57 5 4 2 4 2 4" xfId="19498"/>
    <cellStyle name="Normal 57 5 4 2 4 2 4 2" xfId="45051"/>
    <cellStyle name="Normal 57 5 4 2 4 2 5" xfId="30988"/>
    <cellStyle name="Normal 57 5 4 2 4 3" xfId="6872"/>
    <cellStyle name="Normal 57 5 4 2 4 3 2" xfId="15699"/>
    <cellStyle name="Normal 57 5 4 2 4 3 2 2" xfId="41254"/>
    <cellStyle name="Normal 57 5 4 2 4 3 3" xfId="25950"/>
    <cellStyle name="Normal 57 5 4 2 4 3 3 2" xfId="51503"/>
    <cellStyle name="Normal 57 5 4 2 4 3 4" xfId="32433"/>
    <cellStyle name="Normal 57 5 4 2 4 4" xfId="8318"/>
    <cellStyle name="Normal 57 5 4 2 4 4 2" xfId="22400"/>
    <cellStyle name="Normal 57 5 4 2 4 4 2 2" xfId="47953"/>
    <cellStyle name="Normal 57 5 4 2 4 4 3" xfId="33875"/>
    <cellStyle name="Normal 57 5 4 2 4 5" xfId="17393"/>
    <cellStyle name="Normal 57 5 4 2 4 5 2" xfId="42946"/>
    <cellStyle name="Normal 57 5 4 2 4 6" xfId="28883"/>
    <cellStyle name="Normal 57 5 4 2 5" xfId="4373"/>
    <cellStyle name="Normal 57 5 4 2 5 2" xfId="13211"/>
    <cellStyle name="Normal 57 5 4 2 5 2 2" xfId="23462"/>
    <cellStyle name="Normal 57 5 4 2 5 2 2 2" xfId="49015"/>
    <cellStyle name="Normal 57 5 4 2 5 2 3" xfId="38766"/>
    <cellStyle name="Normal 57 5 4 2 5 3" xfId="9632"/>
    <cellStyle name="Normal 57 5 4 2 5 3 2" xfId="35189"/>
    <cellStyle name="Normal 57 5 4 2 5 4" xfId="18455"/>
    <cellStyle name="Normal 57 5 4 2 5 4 2" xfId="44008"/>
    <cellStyle name="Normal 57 5 4 2 5 5" xfId="29945"/>
    <cellStyle name="Normal 57 5 4 2 6" xfId="1645"/>
    <cellStyle name="Normal 57 5 4 2 6 2" xfId="11022"/>
    <cellStyle name="Normal 57 5 4 2 6 2 2" xfId="36577"/>
    <cellStyle name="Normal 57 5 4 2 6 3" xfId="21026"/>
    <cellStyle name="Normal 57 5 4 2 6 3 2" xfId="46579"/>
    <cellStyle name="Normal 57 5 4 2 6 4" xfId="27509"/>
    <cellStyle name="Normal 57 5 4 2 7" xfId="5829"/>
    <cellStyle name="Normal 57 5 4 2 7 2" xfId="14656"/>
    <cellStyle name="Normal 57 5 4 2 7 2 2" xfId="40211"/>
    <cellStyle name="Normal 57 5 4 2 7 3" xfId="24907"/>
    <cellStyle name="Normal 57 5 4 2 7 3 2" xfId="50460"/>
    <cellStyle name="Normal 57 5 4 2 7 4" xfId="31390"/>
    <cellStyle name="Normal 57 5 4 2 8" xfId="7273"/>
    <cellStyle name="Normal 57 5 4 2 8 2" xfId="19999"/>
    <cellStyle name="Normal 57 5 4 2 8 2 2" xfId="45552"/>
    <cellStyle name="Normal 57 5 4 2 8 3" xfId="32830"/>
    <cellStyle name="Normal 57 5 4 2 9" xfId="16019"/>
    <cellStyle name="Normal 57 5 4 2 9 2" xfId="41572"/>
    <cellStyle name="Normal 57 5 4 2_Degree data" xfId="3975"/>
    <cellStyle name="Normal 57 5 4 3" xfId="348"/>
    <cellStyle name="Normal 57 5 4 3 2" xfId="2834"/>
    <cellStyle name="Normal 57 5 4 3 2 2" xfId="12122"/>
    <cellStyle name="Normal 57 5 4 3 2 2 2" xfId="22195"/>
    <cellStyle name="Normal 57 5 4 3 2 2 2 2" xfId="47748"/>
    <cellStyle name="Normal 57 5 4 3 2 2 3" xfId="37677"/>
    <cellStyle name="Normal 57 5 4 3 2 3" xfId="8602"/>
    <cellStyle name="Normal 57 5 4 3 2 3 2" xfId="34159"/>
    <cellStyle name="Normal 57 5 4 3 2 4" xfId="17188"/>
    <cellStyle name="Normal 57 5 4 3 2 4 2" xfId="42741"/>
    <cellStyle name="Normal 57 5 4 3 2 5" xfId="28678"/>
    <cellStyle name="Normal 57 5 4 3 3" xfId="4682"/>
    <cellStyle name="Normal 57 5 4 3 3 2" xfId="13520"/>
    <cellStyle name="Normal 57 5 4 3 3 2 2" xfId="23771"/>
    <cellStyle name="Normal 57 5 4 3 3 2 2 2" xfId="49324"/>
    <cellStyle name="Normal 57 5 4 3 3 2 3" xfId="39075"/>
    <cellStyle name="Normal 57 5 4 3 3 3" xfId="9941"/>
    <cellStyle name="Normal 57 5 4 3 3 3 2" xfId="35498"/>
    <cellStyle name="Normal 57 5 4 3 3 4" xfId="18764"/>
    <cellStyle name="Normal 57 5 4 3 3 4 2" xfId="44317"/>
    <cellStyle name="Normal 57 5 4 3 3 5" xfId="30254"/>
    <cellStyle name="Normal 57 5 4 3 4" xfId="1943"/>
    <cellStyle name="Normal 57 5 4 3 4 2" xfId="11308"/>
    <cellStyle name="Normal 57 5 4 3 4 2 2" xfId="36863"/>
    <cellStyle name="Normal 57 5 4 3 4 3" xfId="21312"/>
    <cellStyle name="Normal 57 5 4 3 4 3 2" xfId="46865"/>
    <cellStyle name="Normal 57 5 4 3 4 4" xfId="27795"/>
    <cellStyle name="Normal 57 5 4 3 5" xfId="6138"/>
    <cellStyle name="Normal 57 5 4 3 5 2" xfId="14965"/>
    <cellStyle name="Normal 57 5 4 3 5 2 2" xfId="40520"/>
    <cellStyle name="Normal 57 5 4 3 5 3" xfId="25216"/>
    <cellStyle name="Normal 57 5 4 3 5 3 2" xfId="50769"/>
    <cellStyle name="Normal 57 5 4 3 5 4" xfId="31699"/>
    <cellStyle name="Normal 57 5 4 3 6" xfId="7583"/>
    <cellStyle name="Normal 57 5 4 3 6 2" xfId="19794"/>
    <cellStyle name="Normal 57 5 4 3 6 2 2" xfId="45347"/>
    <cellStyle name="Normal 57 5 4 3 6 3" xfId="33140"/>
    <cellStyle name="Normal 57 5 4 3 7" xfId="16305"/>
    <cellStyle name="Normal 57 5 4 3 7 2" xfId="41858"/>
    <cellStyle name="Normal 57 5 4 3 8" xfId="26277"/>
    <cellStyle name="Normal 57 5 4 4" xfId="868"/>
    <cellStyle name="Normal 57 5 4 4 2" xfId="3353"/>
    <cellStyle name="Normal 57 5 4 4 2 2" xfId="12495"/>
    <cellStyle name="Normal 57 5 4 4 2 2 2" xfId="22714"/>
    <cellStyle name="Normal 57 5 4 4 2 2 2 2" xfId="48267"/>
    <cellStyle name="Normal 57 5 4 4 2 2 3" xfId="38050"/>
    <cellStyle name="Normal 57 5 4 4 2 3" xfId="8917"/>
    <cellStyle name="Normal 57 5 4 4 2 3 2" xfId="34474"/>
    <cellStyle name="Normal 57 5 4 4 2 4" xfId="17707"/>
    <cellStyle name="Normal 57 5 4 4 2 4 2" xfId="43260"/>
    <cellStyle name="Normal 57 5 4 4 2 5" xfId="29197"/>
    <cellStyle name="Normal 57 5 4 4 3" xfId="5031"/>
    <cellStyle name="Normal 57 5 4 4 3 2" xfId="13868"/>
    <cellStyle name="Normal 57 5 4 4 3 2 2" xfId="24119"/>
    <cellStyle name="Normal 57 5 4 4 3 2 2 2" xfId="49672"/>
    <cellStyle name="Normal 57 5 4 4 3 2 3" xfId="39423"/>
    <cellStyle name="Normal 57 5 4 4 3 3" xfId="10289"/>
    <cellStyle name="Normal 57 5 4 4 3 3 2" xfId="35846"/>
    <cellStyle name="Normal 57 5 4 4 3 4" xfId="19112"/>
    <cellStyle name="Normal 57 5 4 4 3 4 2" xfId="44665"/>
    <cellStyle name="Normal 57 5 4 4 3 5" xfId="30602"/>
    <cellStyle name="Normal 57 5 4 4 4" xfId="2462"/>
    <cellStyle name="Normal 57 5 4 4 4 2" xfId="11827"/>
    <cellStyle name="Normal 57 5 4 4 4 2 2" xfId="37382"/>
    <cellStyle name="Normal 57 5 4 4 4 3" xfId="21831"/>
    <cellStyle name="Normal 57 5 4 4 4 3 2" xfId="47384"/>
    <cellStyle name="Normal 57 5 4 4 4 4" xfId="28314"/>
    <cellStyle name="Normal 57 5 4 4 5" xfId="6486"/>
    <cellStyle name="Normal 57 5 4 4 5 2" xfId="15313"/>
    <cellStyle name="Normal 57 5 4 4 5 2 2" xfId="40868"/>
    <cellStyle name="Normal 57 5 4 4 5 3" xfId="25564"/>
    <cellStyle name="Normal 57 5 4 4 5 3 2" xfId="51117"/>
    <cellStyle name="Normal 57 5 4 4 5 4" xfId="32047"/>
    <cellStyle name="Normal 57 5 4 4 6" xfId="7932"/>
    <cellStyle name="Normal 57 5 4 4 6 2" xfId="20313"/>
    <cellStyle name="Normal 57 5 4 4 6 2 2" xfId="45866"/>
    <cellStyle name="Normal 57 5 4 4 6 3" xfId="33489"/>
    <cellStyle name="Normal 57 5 4 4 7" xfId="16824"/>
    <cellStyle name="Normal 57 5 4 4 7 2" xfId="42377"/>
    <cellStyle name="Normal 57 5 4 4 8" xfId="26796"/>
    <cellStyle name="Normal 57 5 4 5" xfId="1120"/>
    <cellStyle name="Normal 57 5 4 5 2" xfId="3549"/>
    <cellStyle name="Normal 57 5 4 5 2 2" xfId="12685"/>
    <cellStyle name="Normal 57 5 4 5 2 2 2" xfId="22904"/>
    <cellStyle name="Normal 57 5 4 5 2 2 2 2" xfId="48457"/>
    <cellStyle name="Normal 57 5 4 5 2 2 3" xfId="38240"/>
    <cellStyle name="Normal 57 5 4 5 2 3" xfId="9106"/>
    <cellStyle name="Normal 57 5 4 5 2 3 2" xfId="34663"/>
    <cellStyle name="Normal 57 5 4 5 2 4" xfId="17897"/>
    <cellStyle name="Normal 57 5 4 5 2 4 2" xfId="43450"/>
    <cellStyle name="Normal 57 5 4 5 2 5" xfId="29387"/>
    <cellStyle name="Normal 57 5 4 5 3" xfId="5212"/>
    <cellStyle name="Normal 57 5 4 5 3 2" xfId="14049"/>
    <cellStyle name="Normal 57 5 4 5 3 2 2" xfId="24300"/>
    <cellStyle name="Normal 57 5 4 5 3 2 2 2" xfId="49853"/>
    <cellStyle name="Normal 57 5 4 5 3 2 3" xfId="39604"/>
    <cellStyle name="Normal 57 5 4 5 3 3" xfId="10470"/>
    <cellStyle name="Normal 57 5 4 5 3 3 2" xfId="36027"/>
    <cellStyle name="Normal 57 5 4 5 3 4" xfId="19293"/>
    <cellStyle name="Normal 57 5 4 5 3 4 2" xfId="44846"/>
    <cellStyle name="Normal 57 5 4 5 3 5" xfId="30783"/>
    <cellStyle name="Normal 57 5 4 5 4" xfId="1828"/>
    <cellStyle name="Normal 57 5 4 5 4 2" xfId="11196"/>
    <cellStyle name="Normal 57 5 4 5 4 2 2" xfId="36751"/>
    <cellStyle name="Normal 57 5 4 5 4 3" xfId="21200"/>
    <cellStyle name="Normal 57 5 4 5 4 3 2" xfId="46753"/>
    <cellStyle name="Normal 57 5 4 5 4 4" xfId="27683"/>
    <cellStyle name="Normal 57 5 4 5 5" xfId="6667"/>
    <cellStyle name="Normal 57 5 4 5 5 2" xfId="15494"/>
    <cellStyle name="Normal 57 5 4 5 5 2 2" xfId="41049"/>
    <cellStyle name="Normal 57 5 4 5 5 3" xfId="25745"/>
    <cellStyle name="Normal 57 5 4 5 5 3 2" xfId="51298"/>
    <cellStyle name="Normal 57 5 4 5 5 4" xfId="32228"/>
    <cellStyle name="Normal 57 5 4 5 6" xfId="8113"/>
    <cellStyle name="Normal 57 5 4 5 6 2" xfId="20503"/>
    <cellStyle name="Normal 57 5 4 5 6 2 2" xfId="46056"/>
    <cellStyle name="Normal 57 5 4 5 6 3" xfId="33670"/>
    <cellStyle name="Normal 57 5 4 5 7" xfId="16193"/>
    <cellStyle name="Normal 57 5 4 5 7 2" xfId="41746"/>
    <cellStyle name="Normal 57 5 4 5 8" xfId="26986"/>
    <cellStyle name="Normal 57 5 4 6" xfId="2722"/>
    <cellStyle name="Normal 57 5 4 6 2" xfId="12039"/>
    <cellStyle name="Normal 57 5 4 6 2 2" xfId="22083"/>
    <cellStyle name="Normal 57 5 4 6 2 2 2" xfId="47636"/>
    <cellStyle name="Normal 57 5 4 6 2 3" xfId="37594"/>
    <cellStyle name="Normal 57 5 4 6 3" xfId="8489"/>
    <cellStyle name="Normal 57 5 4 6 3 2" xfId="34046"/>
    <cellStyle name="Normal 57 5 4 6 4" xfId="17076"/>
    <cellStyle name="Normal 57 5 4 6 4 2" xfId="42629"/>
    <cellStyle name="Normal 57 5 4 6 5" xfId="28566"/>
    <cellStyle name="Normal 57 5 4 7" xfId="4168"/>
    <cellStyle name="Normal 57 5 4 7 2" xfId="13006"/>
    <cellStyle name="Normal 57 5 4 7 2 2" xfId="23257"/>
    <cellStyle name="Normal 57 5 4 7 2 2 2" xfId="48810"/>
    <cellStyle name="Normal 57 5 4 7 2 3" xfId="38561"/>
    <cellStyle name="Normal 57 5 4 7 3" xfId="9427"/>
    <cellStyle name="Normal 57 5 4 7 3 2" xfId="34984"/>
    <cellStyle name="Normal 57 5 4 7 4" xfId="18250"/>
    <cellStyle name="Normal 57 5 4 7 4 2" xfId="43803"/>
    <cellStyle name="Normal 57 5 4 7 5" xfId="29740"/>
    <cellStyle name="Normal 57 5 4 8" xfId="1440"/>
    <cellStyle name="Normal 57 5 4 8 2" xfId="10817"/>
    <cellStyle name="Normal 57 5 4 8 2 2" xfId="36372"/>
    <cellStyle name="Normal 57 5 4 8 3" xfId="20821"/>
    <cellStyle name="Normal 57 5 4 8 3 2" xfId="46374"/>
    <cellStyle name="Normal 57 5 4 8 4" xfId="27304"/>
    <cellStyle name="Normal 57 5 4 9" xfId="5624"/>
    <cellStyle name="Normal 57 5 4 9 2" xfId="14451"/>
    <cellStyle name="Normal 57 5 4 9 2 2" xfId="40006"/>
    <cellStyle name="Normal 57 5 4 9 3" xfId="24702"/>
    <cellStyle name="Normal 57 5 4 9 3 2" xfId="50255"/>
    <cellStyle name="Normal 57 5 4 9 4" xfId="31185"/>
    <cellStyle name="Normal 57 5 4_Degree data" xfId="3974"/>
    <cellStyle name="Normal 57 5 5" xfId="448"/>
    <cellStyle name="Normal 57 5 5 10" xfId="26377"/>
    <cellStyle name="Normal 57 5 5 2" xfId="870"/>
    <cellStyle name="Normal 57 5 5 2 2" xfId="3355"/>
    <cellStyle name="Normal 57 5 5 2 2 2" xfId="12497"/>
    <cellStyle name="Normal 57 5 5 2 2 2 2" xfId="22716"/>
    <cellStyle name="Normal 57 5 5 2 2 2 2 2" xfId="48269"/>
    <cellStyle name="Normal 57 5 5 2 2 2 3" xfId="38052"/>
    <cellStyle name="Normal 57 5 5 2 2 3" xfId="8919"/>
    <cellStyle name="Normal 57 5 5 2 2 3 2" xfId="34476"/>
    <cellStyle name="Normal 57 5 5 2 2 4" xfId="17709"/>
    <cellStyle name="Normal 57 5 5 2 2 4 2" xfId="43262"/>
    <cellStyle name="Normal 57 5 5 2 2 5" xfId="29199"/>
    <cellStyle name="Normal 57 5 5 2 3" xfId="4684"/>
    <cellStyle name="Normal 57 5 5 2 3 2" xfId="13522"/>
    <cellStyle name="Normal 57 5 5 2 3 2 2" xfId="23773"/>
    <cellStyle name="Normal 57 5 5 2 3 2 2 2" xfId="49326"/>
    <cellStyle name="Normal 57 5 5 2 3 2 3" xfId="39077"/>
    <cellStyle name="Normal 57 5 5 2 3 3" xfId="9943"/>
    <cellStyle name="Normal 57 5 5 2 3 3 2" xfId="35500"/>
    <cellStyle name="Normal 57 5 5 2 3 4" xfId="18766"/>
    <cellStyle name="Normal 57 5 5 2 3 4 2" xfId="44319"/>
    <cellStyle name="Normal 57 5 5 2 3 5" xfId="30256"/>
    <cellStyle name="Normal 57 5 5 2 4" xfId="2464"/>
    <cellStyle name="Normal 57 5 5 2 4 2" xfId="11829"/>
    <cellStyle name="Normal 57 5 5 2 4 2 2" xfId="37384"/>
    <cellStyle name="Normal 57 5 5 2 4 3" xfId="21833"/>
    <cellStyle name="Normal 57 5 5 2 4 3 2" xfId="47386"/>
    <cellStyle name="Normal 57 5 5 2 4 4" xfId="28316"/>
    <cellStyle name="Normal 57 5 5 2 5" xfId="6140"/>
    <cellStyle name="Normal 57 5 5 2 5 2" xfId="14967"/>
    <cellStyle name="Normal 57 5 5 2 5 2 2" xfId="40522"/>
    <cellStyle name="Normal 57 5 5 2 5 3" xfId="25218"/>
    <cellStyle name="Normal 57 5 5 2 5 3 2" xfId="50771"/>
    <cellStyle name="Normal 57 5 5 2 5 4" xfId="31701"/>
    <cellStyle name="Normal 57 5 5 2 6" xfId="7585"/>
    <cellStyle name="Normal 57 5 5 2 6 2" xfId="20315"/>
    <cellStyle name="Normal 57 5 5 2 6 2 2" xfId="45868"/>
    <cellStyle name="Normal 57 5 5 2 6 3" xfId="33142"/>
    <cellStyle name="Normal 57 5 5 2 7" xfId="16826"/>
    <cellStyle name="Normal 57 5 5 2 7 2" xfId="42379"/>
    <cellStyle name="Normal 57 5 5 2 8" xfId="26798"/>
    <cellStyle name="Normal 57 5 5 3" xfId="1220"/>
    <cellStyle name="Normal 57 5 5 3 2" xfId="3649"/>
    <cellStyle name="Normal 57 5 5 3 2 2" xfId="12785"/>
    <cellStyle name="Normal 57 5 5 3 2 2 2" xfId="23004"/>
    <cellStyle name="Normal 57 5 5 3 2 2 2 2" xfId="48557"/>
    <cellStyle name="Normal 57 5 5 3 2 2 3" xfId="38340"/>
    <cellStyle name="Normal 57 5 5 3 2 3" xfId="9206"/>
    <cellStyle name="Normal 57 5 5 3 2 3 2" xfId="34763"/>
    <cellStyle name="Normal 57 5 5 3 2 4" xfId="17997"/>
    <cellStyle name="Normal 57 5 5 3 2 4 2" xfId="43550"/>
    <cellStyle name="Normal 57 5 5 3 2 5" xfId="29487"/>
    <cellStyle name="Normal 57 5 5 3 3" xfId="5033"/>
    <cellStyle name="Normal 57 5 5 3 3 2" xfId="13870"/>
    <cellStyle name="Normal 57 5 5 3 3 2 2" xfId="24121"/>
    <cellStyle name="Normal 57 5 5 3 3 2 2 2" xfId="49674"/>
    <cellStyle name="Normal 57 5 5 3 3 2 3" xfId="39425"/>
    <cellStyle name="Normal 57 5 5 3 3 3" xfId="10291"/>
    <cellStyle name="Normal 57 5 5 3 3 3 2" xfId="35848"/>
    <cellStyle name="Normal 57 5 5 3 3 4" xfId="19114"/>
    <cellStyle name="Normal 57 5 5 3 3 4 2" xfId="44667"/>
    <cellStyle name="Normal 57 5 5 3 3 5" xfId="30604"/>
    <cellStyle name="Normal 57 5 5 3 4" xfId="2043"/>
    <cellStyle name="Normal 57 5 5 3 4 2" xfId="11408"/>
    <cellStyle name="Normal 57 5 5 3 4 2 2" xfId="36963"/>
    <cellStyle name="Normal 57 5 5 3 4 3" xfId="21412"/>
    <cellStyle name="Normal 57 5 5 3 4 3 2" xfId="46965"/>
    <cellStyle name="Normal 57 5 5 3 4 4" xfId="27895"/>
    <cellStyle name="Normal 57 5 5 3 5" xfId="6488"/>
    <cellStyle name="Normal 57 5 5 3 5 2" xfId="15315"/>
    <cellStyle name="Normal 57 5 5 3 5 2 2" xfId="40870"/>
    <cellStyle name="Normal 57 5 5 3 5 3" xfId="25566"/>
    <cellStyle name="Normal 57 5 5 3 5 3 2" xfId="51119"/>
    <cellStyle name="Normal 57 5 5 3 5 4" xfId="32049"/>
    <cellStyle name="Normal 57 5 5 3 6" xfId="7934"/>
    <cellStyle name="Normal 57 5 5 3 6 2" xfId="20603"/>
    <cellStyle name="Normal 57 5 5 3 6 2 2" xfId="46156"/>
    <cellStyle name="Normal 57 5 5 3 6 3" xfId="33491"/>
    <cellStyle name="Normal 57 5 5 3 7" xfId="16405"/>
    <cellStyle name="Normal 57 5 5 3 7 2" xfId="41958"/>
    <cellStyle name="Normal 57 5 5 3 8" xfId="27086"/>
    <cellStyle name="Normal 57 5 5 4" xfId="2934"/>
    <cellStyle name="Normal 57 5 5 4 2" xfId="5312"/>
    <cellStyle name="Normal 57 5 5 4 2 2" xfId="14149"/>
    <cellStyle name="Normal 57 5 5 4 2 2 2" xfId="24400"/>
    <cellStyle name="Normal 57 5 5 4 2 2 2 2" xfId="49953"/>
    <cellStyle name="Normal 57 5 5 4 2 2 3" xfId="39704"/>
    <cellStyle name="Normal 57 5 5 4 2 3" xfId="10570"/>
    <cellStyle name="Normal 57 5 5 4 2 3 2" xfId="36127"/>
    <cellStyle name="Normal 57 5 5 4 2 4" xfId="19393"/>
    <cellStyle name="Normal 57 5 5 4 2 4 2" xfId="44946"/>
    <cellStyle name="Normal 57 5 5 4 2 5" xfId="30883"/>
    <cellStyle name="Normal 57 5 5 4 3" xfId="6767"/>
    <cellStyle name="Normal 57 5 5 4 3 2" xfId="15594"/>
    <cellStyle name="Normal 57 5 5 4 3 2 2" xfId="41149"/>
    <cellStyle name="Normal 57 5 5 4 3 3" xfId="25845"/>
    <cellStyle name="Normal 57 5 5 4 3 3 2" xfId="51398"/>
    <cellStyle name="Normal 57 5 5 4 3 4" xfId="32328"/>
    <cellStyle name="Normal 57 5 5 4 4" xfId="8213"/>
    <cellStyle name="Normal 57 5 5 4 4 2" xfId="22295"/>
    <cellStyle name="Normal 57 5 5 4 4 2 2" xfId="47848"/>
    <cellStyle name="Normal 57 5 5 4 4 3" xfId="33770"/>
    <cellStyle name="Normal 57 5 5 4 5" xfId="17288"/>
    <cellStyle name="Normal 57 5 5 4 5 2" xfId="42841"/>
    <cellStyle name="Normal 57 5 5 4 6" xfId="28778"/>
    <cellStyle name="Normal 57 5 5 5" xfId="4268"/>
    <cellStyle name="Normal 57 5 5 5 2" xfId="13106"/>
    <cellStyle name="Normal 57 5 5 5 2 2" xfId="23357"/>
    <cellStyle name="Normal 57 5 5 5 2 2 2" xfId="48910"/>
    <cellStyle name="Normal 57 5 5 5 2 3" xfId="38661"/>
    <cellStyle name="Normal 57 5 5 5 3" xfId="9527"/>
    <cellStyle name="Normal 57 5 5 5 3 2" xfId="35084"/>
    <cellStyle name="Normal 57 5 5 5 4" xfId="18350"/>
    <cellStyle name="Normal 57 5 5 5 4 2" xfId="43903"/>
    <cellStyle name="Normal 57 5 5 5 5" xfId="29840"/>
    <cellStyle name="Normal 57 5 5 6" xfId="1540"/>
    <cellStyle name="Normal 57 5 5 6 2" xfId="10917"/>
    <cellStyle name="Normal 57 5 5 6 2 2" xfId="36472"/>
    <cellStyle name="Normal 57 5 5 6 3" xfId="20921"/>
    <cellStyle name="Normal 57 5 5 6 3 2" xfId="46474"/>
    <cellStyle name="Normal 57 5 5 6 4" xfId="27404"/>
    <cellStyle name="Normal 57 5 5 7" xfId="5724"/>
    <cellStyle name="Normal 57 5 5 7 2" xfId="14551"/>
    <cellStyle name="Normal 57 5 5 7 2 2" xfId="40106"/>
    <cellStyle name="Normal 57 5 5 7 3" xfId="24802"/>
    <cellStyle name="Normal 57 5 5 7 3 2" xfId="50355"/>
    <cellStyle name="Normal 57 5 5 7 4" xfId="31285"/>
    <cellStyle name="Normal 57 5 5 8" xfId="7168"/>
    <cellStyle name="Normal 57 5 5 8 2" xfId="19894"/>
    <cellStyle name="Normal 57 5 5 8 2 2" xfId="45447"/>
    <cellStyle name="Normal 57 5 5 8 3" xfId="32725"/>
    <cellStyle name="Normal 57 5 5 9" xfId="15914"/>
    <cellStyle name="Normal 57 5 5 9 2" xfId="41467"/>
    <cellStyle name="Normal 57 5 5_Degree data" xfId="3976"/>
    <cellStyle name="Normal 57 5 6" xfId="336"/>
    <cellStyle name="Normal 57 5 6 10" xfId="26265"/>
    <cellStyle name="Normal 57 5 6 2" xfId="871"/>
    <cellStyle name="Normal 57 5 6 2 2" xfId="3356"/>
    <cellStyle name="Normal 57 5 6 2 2 2" xfId="12498"/>
    <cellStyle name="Normal 57 5 6 2 2 2 2" xfId="22717"/>
    <cellStyle name="Normal 57 5 6 2 2 2 2 2" xfId="48270"/>
    <cellStyle name="Normal 57 5 6 2 2 2 3" xfId="38053"/>
    <cellStyle name="Normal 57 5 6 2 2 3" xfId="8920"/>
    <cellStyle name="Normal 57 5 6 2 2 3 2" xfId="34477"/>
    <cellStyle name="Normal 57 5 6 2 2 4" xfId="17710"/>
    <cellStyle name="Normal 57 5 6 2 2 4 2" xfId="43263"/>
    <cellStyle name="Normal 57 5 6 2 2 5" xfId="29200"/>
    <cellStyle name="Normal 57 5 6 2 3" xfId="4685"/>
    <cellStyle name="Normal 57 5 6 2 3 2" xfId="13523"/>
    <cellStyle name="Normal 57 5 6 2 3 2 2" xfId="23774"/>
    <cellStyle name="Normal 57 5 6 2 3 2 2 2" xfId="49327"/>
    <cellStyle name="Normal 57 5 6 2 3 2 3" xfId="39078"/>
    <cellStyle name="Normal 57 5 6 2 3 3" xfId="9944"/>
    <cellStyle name="Normal 57 5 6 2 3 3 2" xfId="35501"/>
    <cellStyle name="Normal 57 5 6 2 3 4" xfId="18767"/>
    <cellStyle name="Normal 57 5 6 2 3 4 2" xfId="44320"/>
    <cellStyle name="Normal 57 5 6 2 3 5" xfId="30257"/>
    <cellStyle name="Normal 57 5 6 2 4" xfId="2465"/>
    <cellStyle name="Normal 57 5 6 2 4 2" xfId="11830"/>
    <cellStyle name="Normal 57 5 6 2 4 2 2" xfId="37385"/>
    <cellStyle name="Normal 57 5 6 2 4 3" xfId="21834"/>
    <cellStyle name="Normal 57 5 6 2 4 3 2" xfId="47387"/>
    <cellStyle name="Normal 57 5 6 2 4 4" xfId="28317"/>
    <cellStyle name="Normal 57 5 6 2 5" xfId="6141"/>
    <cellStyle name="Normal 57 5 6 2 5 2" xfId="14968"/>
    <cellStyle name="Normal 57 5 6 2 5 2 2" xfId="40523"/>
    <cellStyle name="Normal 57 5 6 2 5 3" xfId="25219"/>
    <cellStyle name="Normal 57 5 6 2 5 3 2" xfId="50772"/>
    <cellStyle name="Normal 57 5 6 2 5 4" xfId="31702"/>
    <cellStyle name="Normal 57 5 6 2 6" xfId="7586"/>
    <cellStyle name="Normal 57 5 6 2 6 2" xfId="20316"/>
    <cellStyle name="Normal 57 5 6 2 6 2 2" xfId="45869"/>
    <cellStyle name="Normal 57 5 6 2 6 3" xfId="33143"/>
    <cellStyle name="Normal 57 5 6 2 7" xfId="16827"/>
    <cellStyle name="Normal 57 5 6 2 7 2" xfId="42380"/>
    <cellStyle name="Normal 57 5 6 2 8" xfId="26799"/>
    <cellStyle name="Normal 57 5 6 3" xfId="1108"/>
    <cellStyle name="Normal 57 5 6 3 2" xfId="3537"/>
    <cellStyle name="Normal 57 5 6 3 2 2" xfId="12673"/>
    <cellStyle name="Normal 57 5 6 3 2 2 2" xfId="22892"/>
    <cellStyle name="Normal 57 5 6 3 2 2 2 2" xfId="48445"/>
    <cellStyle name="Normal 57 5 6 3 2 2 3" xfId="38228"/>
    <cellStyle name="Normal 57 5 6 3 2 3" xfId="9094"/>
    <cellStyle name="Normal 57 5 6 3 2 3 2" xfId="34651"/>
    <cellStyle name="Normal 57 5 6 3 2 4" xfId="17885"/>
    <cellStyle name="Normal 57 5 6 3 2 4 2" xfId="43438"/>
    <cellStyle name="Normal 57 5 6 3 2 5" xfId="29375"/>
    <cellStyle name="Normal 57 5 6 3 3" xfId="5034"/>
    <cellStyle name="Normal 57 5 6 3 3 2" xfId="13871"/>
    <cellStyle name="Normal 57 5 6 3 3 2 2" xfId="24122"/>
    <cellStyle name="Normal 57 5 6 3 3 2 2 2" xfId="49675"/>
    <cellStyle name="Normal 57 5 6 3 3 2 3" xfId="39426"/>
    <cellStyle name="Normal 57 5 6 3 3 3" xfId="10292"/>
    <cellStyle name="Normal 57 5 6 3 3 3 2" xfId="35849"/>
    <cellStyle name="Normal 57 5 6 3 3 4" xfId="19115"/>
    <cellStyle name="Normal 57 5 6 3 3 4 2" xfId="44668"/>
    <cellStyle name="Normal 57 5 6 3 3 5" xfId="30605"/>
    <cellStyle name="Normal 57 5 6 3 4" xfId="2595"/>
    <cellStyle name="Normal 57 5 6 3 4 2" xfId="11959"/>
    <cellStyle name="Normal 57 5 6 3 4 2 2" xfId="37514"/>
    <cellStyle name="Normal 57 5 6 3 4 3" xfId="21963"/>
    <cellStyle name="Normal 57 5 6 3 4 3 2" xfId="47516"/>
    <cellStyle name="Normal 57 5 6 3 4 4" xfId="28446"/>
    <cellStyle name="Normal 57 5 6 3 5" xfId="6489"/>
    <cellStyle name="Normal 57 5 6 3 5 2" xfId="15316"/>
    <cellStyle name="Normal 57 5 6 3 5 2 2" xfId="40871"/>
    <cellStyle name="Normal 57 5 6 3 5 3" xfId="25567"/>
    <cellStyle name="Normal 57 5 6 3 5 3 2" xfId="51120"/>
    <cellStyle name="Normal 57 5 6 3 5 4" xfId="32050"/>
    <cellStyle name="Normal 57 5 6 3 6" xfId="7935"/>
    <cellStyle name="Normal 57 5 6 3 6 2" xfId="20491"/>
    <cellStyle name="Normal 57 5 6 3 6 2 2" xfId="46044"/>
    <cellStyle name="Normal 57 5 6 3 6 3" xfId="33492"/>
    <cellStyle name="Normal 57 5 6 3 7" xfId="16956"/>
    <cellStyle name="Normal 57 5 6 3 7 2" xfId="42509"/>
    <cellStyle name="Normal 57 5 6 3 8" xfId="26974"/>
    <cellStyle name="Normal 57 5 6 4" xfId="2822"/>
    <cellStyle name="Normal 57 5 6 4 2" xfId="5200"/>
    <cellStyle name="Normal 57 5 6 4 2 2" xfId="14037"/>
    <cellStyle name="Normal 57 5 6 4 2 2 2" xfId="24288"/>
    <cellStyle name="Normal 57 5 6 4 2 2 2 2" xfId="49841"/>
    <cellStyle name="Normal 57 5 6 4 2 2 3" xfId="39592"/>
    <cellStyle name="Normal 57 5 6 4 2 3" xfId="10458"/>
    <cellStyle name="Normal 57 5 6 4 2 3 2" xfId="36015"/>
    <cellStyle name="Normal 57 5 6 4 2 4" xfId="19281"/>
    <cellStyle name="Normal 57 5 6 4 2 4 2" xfId="44834"/>
    <cellStyle name="Normal 57 5 6 4 2 5" xfId="30771"/>
    <cellStyle name="Normal 57 5 6 4 3" xfId="6655"/>
    <cellStyle name="Normal 57 5 6 4 3 2" xfId="15482"/>
    <cellStyle name="Normal 57 5 6 4 3 2 2" xfId="41037"/>
    <cellStyle name="Normal 57 5 6 4 3 3" xfId="25733"/>
    <cellStyle name="Normal 57 5 6 4 3 3 2" xfId="51286"/>
    <cellStyle name="Normal 57 5 6 4 3 4" xfId="32216"/>
    <cellStyle name="Normal 57 5 6 4 4" xfId="8101"/>
    <cellStyle name="Normal 57 5 6 4 4 2" xfId="22183"/>
    <cellStyle name="Normal 57 5 6 4 4 2 2" xfId="47736"/>
    <cellStyle name="Normal 57 5 6 4 4 3" xfId="33658"/>
    <cellStyle name="Normal 57 5 6 4 5" xfId="17176"/>
    <cellStyle name="Normal 57 5 6 4 5 2" xfId="42729"/>
    <cellStyle name="Normal 57 5 6 4 6" xfId="28666"/>
    <cellStyle name="Normal 57 5 6 5" xfId="4154"/>
    <cellStyle name="Normal 57 5 6 5 2" xfId="12992"/>
    <cellStyle name="Normal 57 5 6 5 2 2" xfId="23243"/>
    <cellStyle name="Normal 57 5 6 5 2 2 2" xfId="48796"/>
    <cellStyle name="Normal 57 5 6 5 2 3" xfId="38547"/>
    <cellStyle name="Normal 57 5 6 5 3" xfId="9413"/>
    <cellStyle name="Normal 57 5 6 5 3 2" xfId="34970"/>
    <cellStyle name="Normal 57 5 6 5 4" xfId="18236"/>
    <cellStyle name="Normal 57 5 6 5 4 2" xfId="43789"/>
    <cellStyle name="Normal 57 5 6 5 5" xfId="29726"/>
    <cellStyle name="Normal 57 5 6 6" xfId="1931"/>
    <cellStyle name="Normal 57 5 6 6 2" xfId="11296"/>
    <cellStyle name="Normal 57 5 6 6 2 2" xfId="36851"/>
    <cellStyle name="Normal 57 5 6 6 3" xfId="21300"/>
    <cellStyle name="Normal 57 5 6 6 3 2" xfId="46853"/>
    <cellStyle name="Normal 57 5 6 6 4" xfId="27783"/>
    <cellStyle name="Normal 57 5 6 7" xfId="5612"/>
    <cellStyle name="Normal 57 5 6 7 2" xfId="14439"/>
    <cellStyle name="Normal 57 5 6 7 2 2" xfId="39994"/>
    <cellStyle name="Normal 57 5 6 7 3" xfId="24690"/>
    <cellStyle name="Normal 57 5 6 7 3 2" xfId="50243"/>
    <cellStyle name="Normal 57 5 6 7 4" xfId="31173"/>
    <cellStyle name="Normal 57 5 6 8" xfId="7056"/>
    <cellStyle name="Normal 57 5 6 8 2" xfId="19782"/>
    <cellStyle name="Normal 57 5 6 8 2 2" xfId="45335"/>
    <cellStyle name="Normal 57 5 6 8 3" xfId="32613"/>
    <cellStyle name="Normal 57 5 6 9" xfId="16293"/>
    <cellStyle name="Normal 57 5 6 9 2" xfId="41846"/>
    <cellStyle name="Normal 57 5 6_Degree data" xfId="3977"/>
    <cellStyle name="Normal 57 5 7" xfId="862"/>
    <cellStyle name="Normal 57 5 7 2" xfId="3347"/>
    <cellStyle name="Normal 57 5 7 2 2" xfId="12489"/>
    <cellStyle name="Normal 57 5 7 2 2 2" xfId="22708"/>
    <cellStyle name="Normal 57 5 7 2 2 2 2" xfId="48261"/>
    <cellStyle name="Normal 57 5 7 2 2 3" xfId="38044"/>
    <cellStyle name="Normal 57 5 7 2 3" xfId="8911"/>
    <cellStyle name="Normal 57 5 7 2 3 2" xfId="34468"/>
    <cellStyle name="Normal 57 5 7 2 4" xfId="17701"/>
    <cellStyle name="Normal 57 5 7 2 4 2" xfId="43254"/>
    <cellStyle name="Normal 57 5 7 2 5" xfId="29191"/>
    <cellStyle name="Normal 57 5 7 3" xfId="4676"/>
    <cellStyle name="Normal 57 5 7 3 2" xfId="13514"/>
    <cellStyle name="Normal 57 5 7 3 2 2" xfId="23765"/>
    <cellStyle name="Normal 57 5 7 3 2 2 2" xfId="49318"/>
    <cellStyle name="Normal 57 5 7 3 2 3" xfId="39069"/>
    <cellStyle name="Normal 57 5 7 3 3" xfId="9935"/>
    <cellStyle name="Normal 57 5 7 3 3 2" xfId="35492"/>
    <cellStyle name="Normal 57 5 7 3 4" xfId="18758"/>
    <cellStyle name="Normal 57 5 7 3 4 2" xfId="44311"/>
    <cellStyle name="Normal 57 5 7 3 5" xfId="30248"/>
    <cellStyle name="Normal 57 5 7 4" xfId="2456"/>
    <cellStyle name="Normal 57 5 7 4 2" xfId="11821"/>
    <cellStyle name="Normal 57 5 7 4 2 2" xfId="37376"/>
    <cellStyle name="Normal 57 5 7 4 3" xfId="21825"/>
    <cellStyle name="Normal 57 5 7 4 3 2" xfId="47378"/>
    <cellStyle name="Normal 57 5 7 4 4" xfId="28308"/>
    <cellStyle name="Normal 57 5 7 5" xfId="6132"/>
    <cellStyle name="Normal 57 5 7 5 2" xfId="14959"/>
    <cellStyle name="Normal 57 5 7 5 2 2" xfId="40514"/>
    <cellStyle name="Normal 57 5 7 5 3" xfId="25210"/>
    <cellStyle name="Normal 57 5 7 5 3 2" xfId="50763"/>
    <cellStyle name="Normal 57 5 7 5 4" xfId="31693"/>
    <cellStyle name="Normal 57 5 7 6" xfId="7577"/>
    <cellStyle name="Normal 57 5 7 6 2" xfId="20307"/>
    <cellStyle name="Normal 57 5 7 6 2 2" xfId="45860"/>
    <cellStyle name="Normal 57 5 7 6 3" xfId="33134"/>
    <cellStyle name="Normal 57 5 7 7" xfId="16818"/>
    <cellStyle name="Normal 57 5 7 7 2" xfId="42371"/>
    <cellStyle name="Normal 57 5 7 8" xfId="26790"/>
    <cellStyle name="Normal 57 5 8" xfId="1063"/>
    <cellStyle name="Normal 57 5 8 2" xfId="3492"/>
    <cellStyle name="Normal 57 5 8 2 2" xfId="12628"/>
    <cellStyle name="Normal 57 5 8 2 2 2" xfId="22847"/>
    <cellStyle name="Normal 57 5 8 2 2 2 2" xfId="48400"/>
    <cellStyle name="Normal 57 5 8 2 2 3" xfId="38183"/>
    <cellStyle name="Normal 57 5 8 2 3" xfId="9050"/>
    <cellStyle name="Normal 57 5 8 2 3 2" xfId="34607"/>
    <cellStyle name="Normal 57 5 8 2 4" xfId="17840"/>
    <cellStyle name="Normal 57 5 8 2 4 2" xfId="43393"/>
    <cellStyle name="Normal 57 5 8 2 5" xfId="29330"/>
    <cellStyle name="Normal 57 5 8 3" xfId="5025"/>
    <cellStyle name="Normal 57 5 8 3 2" xfId="13862"/>
    <cellStyle name="Normal 57 5 8 3 2 2" xfId="24113"/>
    <cellStyle name="Normal 57 5 8 3 2 2 2" xfId="49666"/>
    <cellStyle name="Normal 57 5 8 3 2 3" xfId="39417"/>
    <cellStyle name="Normal 57 5 8 3 3" xfId="10283"/>
    <cellStyle name="Normal 57 5 8 3 3 2" xfId="35840"/>
    <cellStyle name="Normal 57 5 8 3 4" xfId="19106"/>
    <cellStyle name="Normal 57 5 8 3 4 2" xfId="44659"/>
    <cellStyle name="Normal 57 5 8 3 5" xfId="30596"/>
    <cellStyle name="Normal 57 5 8 4" xfId="1716"/>
    <cellStyle name="Normal 57 5 8 4 2" xfId="11090"/>
    <cellStyle name="Normal 57 5 8 4 2 2" xfId="36645"/>
    <cellStyle name="Normal 57 5 8 4 3" xfId="21094"/>
    <cellStyle name="Normal 57 5 8 4 3 2" xfId="46647"/>
    <cellStyle name="Normal 57 5 8 4 4" xfId="27577"/>
    <cellStyle name="Normal 57 5 8 5" xfId="6480"/>
    <cellStyle name="Normal 57 5 8 5 2" xfId="15307"/>
    <cellStyle name="Normal 57 5 8 5 2 2" xfId="40862"/>
    <cellStyle name="Normal 57 5 8 5 3" xfId="25558"/>
    <cellStyle name="Normal 57 5 8 5 3 2" xfId="51111"/>
    <cellStyle name="Normal 57 5 8 5 4" xfId="32041"/>
    <cellStyle name="Normal 57 5 8 6" xfId="7926"/>
    <cellStyle name="Normal 57 5 8 6 2" xfId="20446"/>
    <cellStyle name="Normal 57 5 8 6 2 2" xfId="45999"/>
    <cellStyle name="Normal 57 5 8 6 3" xfId="33483"/>
    <cellStyle name="Normal 57 5 8 7" xfId="16087"/>
    <cellStyle name="Normal 57 5 8 7 2" xfId="41640"/>
    <cellStyle name="Normal 57 5 8 8" xfId="26929"/>
    <cellStyle name="Normal 57 5 9" xfId="2614"/>
    <cellStyle name="Normal 57 5 9 2" xfId="5155"/>
    <cellStyle name="Normal 57 5 9 2 2" xfId="13992"/>
    <cellStyle name="Normal 57 5 9 2 2 2" xfId="24243"/>
    <cellStyle name="Normal 57 5 9 2 2 2 2" xfId="49796"/>
    <cellStyle name="Normal 57 5 9 2 2 3" xfId="39547"/>
    <cellStyle name="Normal 57 5 9 2 3" xfId="10413"/>
    <cellStyle name="Normal 57 5 9 2 3 2" xfId="35970"/>
    <cellStyle name="Normal 57 5 9 2 4" xfId="19236"/>
    <cellStyle name="Normal 57 5 9 2 4 2" xfId="44789"/>
    <cellStyle name="Normal 57 5 9 2 5" xfId="30726"/>
    <cellStyle name="Normal 57 5 9 3" xfId="6610"/>
    <cellStyle name="Normal 57 5 9 3 2" xfId="15437"/>
    <cellStyle name="Normal 57 5 9 3 2 2" xfId="40992"/>
    <cellStyle name="Normal 57 5 9 3 3" xfId="25688"/>
    <cellStyle name="Normal 57 5 9 3 3 2" xfId="51241"/>
    <cellStyle name="Normal 57 5 9 3 4" xfId="32171"/>
    <cellStyle name="Normal 57 5 9 4" xfId="8056"/>
    <cellStyle name="Normal 57 5 9 4 2" xfId="21977"/>
    <cellStyle name="Normal 57 5 9 4 2 2" xfId="47530"/>
    <cellStyle name="Normal 57 5 9 4 3" xfId="33613"/>
    <cellStyle name="Normal 57 5 9 5" xfId="16970"/>
    <cellStyle name="Normal 57 5 9 5 2" xfId="42523"/>
    <cellStyle name="Normal 57 5 9 6" xfId="28460"/>
    <cellStyle name="Normal 57 5_Degree data" xfId="3968"/>
    <cellStyle name="Normal 57 6" xfId="128"/>
    <cellStyle name="Normal 57 6 10" xfId="1402"/>
    <cellStyle name="Normal 57 6 10 2" xfId="10779"/>
    <cellStyle name="Normal 57 6 10 2 2" xfId="36334"/>
    <cellStyle name="Normal 57 6 10 3" xfId="20783"/>
    <cellStyle name="Normal 57 6 10 3 2" xfId="46336"/>
    <cellStyle name="Normal 57 6 10 4" xfId="27266"/>
    <cellStyle name="Normal 57 6 11" xfId="5513"/>
    <cellStyle name="Normal 57 6 11 2" xfId="14340"/>
    <cellStyle name="Normal 57 6 11 2 2" xfId="39895"/>
    <cellStyle name="Normal 57 6 11 3" xfId="24591"/>
    <cellStyle name="Normal 57 6 11 3 2" xfId="50144"/>
    <cellStyle name="Normal 57 6 11 4" xfId="31074"/>
    <cellStyle name="Normal 57 6 12" xfId="6953"/>
    <cellStyle name="Normal 57 6 12 2" xfId="19595"/>
    <cellStyle name="Normal 57 6 12 2 2" xfId="45148"/>
    <cellStyle name="Normal 57 6 12 3" xfId="32511"/>
    <cellStyle name="Normal 57 6 13" xfId="15776"/>
    <cellStyle name="Normal 57 6 13 2" xfId="41329"/>
    <cellStyle name="Normal 57 6 14" xfId="26078"/>
    <cellStyle name="Normal 57 6 2" xfId="184"/>
    <cellStyle name="Normal 57 6 2 10" xfId="7132"/>
    <cellStyle name="Normal 57 6 2 10 2" xfId="19641"/>
    <cellStyle name="Normal 57 6 2 10 2 2" xfId="45194"/>
    <cellStyle name="Normal 57 6 2 10 3" xfId="32689"/>
    <cellStyle name="Normal 57 6 2 11" xfId="15878"/>
    <cellStyle name="Normal 57 6 2 11 2" xfId="41431"/>
    <cellStyle name="Normal 57 6 2 12" xfId="26124"/>
    <cellStyle name="Normal 57 6 2 2" xfId="512"/>
    <cellStyle name="Normal 57 6 2 2 10" xfId="26441"/>
    <cellStyle name="Normal 57 6 2 2 2" xfId="874"/>
    <cellStyle name="Normal 57 6 2 2 2 2" xfId="3359"/>
    <cellStyle name="Normal 57 6 2 2 2 2 2" xfId="12501"/>
    <cellStyle name="Normal 57 6 2 2 2 2 2 2" xfId="22720"/>
    <cellStyle name="Normal 57 6 2 2 2 2 2 2 2" xfId="48273"/>
    <cellStyle name="Normal 57 6 2 2 2 2 2 3" xfId="38056"/>
    <cellStyle name="Normal 57 6 2 2 2 2 3" xfId="8923"/>
    <cellStyle name="Normal 57 6 2 2 2 2 3 2" xfId="34480"/>
    <cellStyle name="Normal 57 6 2 2 2 2 4" xfId="17713"/>
    <cellStyle name="Normal 57 6 2 2 2 2 4 2" xfId="43266"/>
    <cellStyle name="Normal 57 6 2 2 2 2 5" xfId="29203"/>
    <cellStyle name="Normal 57 6 2 2 2 3" xfId="4688"/>
    <cellStyle name="Normal 57 6 2 2 2 3 2" xfId="13526"/>
    <cellStyle name="Normal 57 6 2 2 2 3 2 2" xfId="23777"/>
    <cellStyle name="Normal 57 6 2 2 2 3 2 2 2" xfId="49330"/>
    <cellStyle name="Normal 57 6 2 2 2 3 2 3" xfId="39081"/>
    <cellStyle name="Normal 57 6 2 2 2 3 3" xfId="9947"/>
    <cellStyle name="Normal 57 6 2 2 2 3 3 2" xfId="35504"/>
    <cellStyle name="Normal 57 6 2 2 2 3 4" xfId="18770"/>
    <cellStyle name="Normal 57 6 2 2 2 3 4 2" xfId="44323"/>
    <cellStyle name="Normal 57 6 2 2 2 3 5" xfId="30260"/>
    <cellStyle name="Normal 57 6 2 2 2 4" xfId="2468"/>
    <cellStyle name="Normal 57 6 2 2 2 4 2" xfId="11833"/>
    <cellStyle name="Normal 57 6 2 2 2 4 2 2" xfId="37388"/>
    <cellStyle name="Normal 57 6 2 2 2 4 3" xfId="21837"/>
    <cellStyle name="Normal 57 6 2 2 2 4 3 2" xfId="47390"/>
    <cellStyle name="Normal 57 6 2 2 2 4 4" xfId="28320"/>
    <cellStyle name="Normal 57 6 2 2 2 5" xfId="6144"/>
    <cellStyle name="Normal 57 6 2 2 2 5 2" xfId="14971"/>
    <cellStyle name="Normal 57 6 2 2 2 5 2 2" xfId="40526"/>
    <cellStyle name="Normal 57 6 2 2 2 5 3" xfId="25222"/>
    <cellStyle name="Normal 57 6 2 2 2 5 3 2" xfId="50775"/>
    <cellStyle name="Normal 57 6 2 2 2 5 4" xfId="31705"/>
    <cellStyle name="Normal 57 6 2 2 2 6" xfId="7589"/>
    <cellStyle name="Normal 57 6 2 2 2 6 2" xfId="20319"/>
    <cellStyle name="Normal 57 6 2 2 2 6 2 2" xfId="45872"/>
    <cellStyle name="Normal 57 6 2 2 2 6 3" xfId="33146"/>
    <cellStyle name="Normal 57 6 2 2 2 7" xfId="16830"/>
    <cellStyle name="Normal 57 6 2 2 2 7 2" xfId="42383"/>
    <cellStyle name="Normal 57 6 2 2 2 8" xfId="26802"/>
    <cellStyle name="Normal 57 6 2 2 3" xfId="1284"/>
    <cellStyle name="Normal 57 6 2 2 3 2" xfId="3713"/>
    <cellStyle name="Normal 57 6 2 2 3 2 2" xfId="12849"/>
    <cellStyle name="Normal 57 6 2 2 3 2 2 2" xfId="23068"/>
    <cellStyle name="Normal 57 6 2 2 3 2 2 2 2" xfId="48621"/>
    <cellStyle name="Normal 57 6 2 2 3 2 2 3" xfId="38404"/>
    <cellStyle name="Normal 57 6 2 2 3 2 3" xfId="9270"/>
    <cellStyle name="Normal 57 6 2 2 3 2 3 2" xfId="34827"/>
    <cellStyle name="Normal 57 6 2 2 3 2 4" xfId="18061"/>
    <cellStyle name="Normal 57 6 2 2 3 2 4 2" xfId="43614"/>
    <cellStyle name="Normal 57 6 2 2 3 2 5" xfId="29551"/>
    <cellStyle name="Normal 57 6 2 2 3 3" xfId="5037"/>
    <cellStyle name="Normal 57 6 2 2 3 3 2" xfId="13874"/>
    <cellStyle name="Normal 57 6 2 2 3 3 2 2" xfId="24125"/>
    <cellStyle name="Normal 57 6 2 2 3 3 2 2 2" xfId="49678"/>
    <cellStyle name="Normal 57 6 2 2 3 3 2 3" xfId="39429"/>
    <cellStyle name="Normal 57 6 2 2 3 3 3" xfId="10295"/>
    <cellStyle name="Normal 57 6 2 2 3 3 3 2" xfId="35852"/>
    <cellStyle name="Normal 57 6 2 2 3 3 4" xfId="19118"/>
    <cellStyle name="Normal 57 6 2 2 3 3 4 2" xfId="44671"/>
    <cellStyle name="Normal 57 6 2 2 3 3 5" xfId="30608"/>
    <cellStyle name="Normal 57 6 2 2 3 4" xfId="2107"/>
    <cellStyle name="Normal 57 6 2 2 3 4 2" xfId="11472"/>
    <cellStyle name="Normal 57 6 2 2 3 4 2 2" xfId="37027"/>
    <cellStyle name="Normal 57 6 2 2 3 4 3" xfId="21476"/>
    <cellStyle name="Normal 57 6 2 2 3 4 3 2" xfId="47029"/>
    <cellStyle name="Normal 57 6 2 2 3 4 4" xfId="27959"/>
    <cellStyle name="Normal 57 6 2 2 3 5" xfId="6492"/>
    <cellStyle name="Normal 57 6 2 2 3 5 2" xfId="15319"/>
    <cellStyle name="Normal 57 6 2 2 3 5 2 2" xfId="40874"/>
    <cellStyle name="Normal 57 6 2 2 3 5 3" xfId="25570"/>
    <cellStyle name="Normal 57 6 2 2 3 5 3 2" xfId="51123"/>
    <cellStyle name="Normal 57 6 2 2 3 5 4" xfId="32053"/>
    <cellStyle name="Normal 57 6 2 2 3 6" xfId="7938"/>
    <cellStyle name="Normal 57 6 2 2 3 6 2" xfId="20667"/>
    <cellStyle name="Normal 57 6 2 2 3 6 2 2" xfId="46220"/>
    <cellStyle name="Normal 57 6 2 2 3 6 3" xfId="33495"/>
    <cellStyle name="Normal 57 6 2 2 3 7" xfId="16469"/>
    <cellStyle name="Normal 57 6 2 2 3 7 2" xfId="42022"/>
    <cellStyle name="Normal 57 6 2 2 3 8" xfId="27150"/>
    <cellStyle name="Normal 57 6 2 2 4" xfId="2998"/>
    <cellStyle name="Normal 57 6 2 2 4 2" xfId="5376"/>
    <cellStyle name="Normal 57 6 2 2 4 2 2" xfId="14213"/>
    <cellStyle name="Normal 57 6 2 2 4 2 2 2" xfId="24464"/>
    <cellStyle name="Normal 57 6 2 2 4 2 2 2 2" xfId="50017"/>
    <cellStyle name="Normal 57 6 2 2 4 2 2 3" xfId="39768"/>
    <cellStyle name="Normal 57 6 2 2 4 2 3" xfId="10634"/>
    <cellStyle name="Normal 57 6 2 2 4 2 3 2" xfId="36191"/>
    <cellStyle name="Normal 57 6 2 2 4 2 4" xfId="19457"/>
    <cellStyle name="Normal 57 6 2 2 4 2 4 2" xfId="45010"/>
    <cellStyle name="Normal 57 6 2 2 4 2 5" xfId="30947"/>
    <cellStyle name="Normal 57 6 2 2 4 3" xfId="6831"/>
    <cellStyle name="Normal 57 6 2 2 4 3 2" xfId="15658"/>
    <cellStyle name="Normal 57 6 2 2 4 3 2 2" xfId="41213"/>
    <cellStyle name="Normal 57 6 2 2 4 3 3" xfId="25909"/>
    <cellStyle name="Normal 57 6 2 2 4 3 3 2" xfId="51462"/>
    <cellStyle name="Normal 57 6 2 2 4 3 4" xfId="32392"/>
    <cellStyle name="Normal 57 6 2 2 4 4" xfId="8277"/>
    <cellStyle name="Normal 57 6 2 2 4 4 2" xfId="22359"/>
    <cellStyle name="Normal 57 6 2 2 4 4 2 2" xfId="47912"/>
    <cellStyle name="Normal 57 6 2 2 4 4 3" xfId="33834"/>
    <cellStyle name="Normal 57 6 2 2 4 5" xfId="17352"/>
    <cellStyle name="Normal 57 6 2 2 4 5 2" xfId="42905"/>
    <cellStyle name="Normal 57 6 2 2 4 6" xfId="28842"/>
    <cellStyle name="Normal 57 6 2 2 5" xfId="4332"/>
    <cellStyle name="Normal 57 6 2 2 5 2" xfId="13170"/>
    <cellStyle name="Normal 57 6 2 2 5 2 2" xfId="23421"/>
    <cellStyle name="Normal 57 6 2 2 5 2 2 2" xfId="48974"/>
    <cellStyle name="Normal 57 6 2 2 5 2 3" xfId="38725"/>
    <cellStyle name="Normal 57 6 2 2 5 3" xfId="9591"/>
    <cellStyle name="Normal 57 6 2 2 5 3 2" xfId="35148"/>
    <cellStyle name="Normal 57 6 2 2 5 4" xfId="18414"/>
    <cellStyle name="Normal 57 6 2 2 5 4 2" xfId="43967"/>
    <cellStyle name="Normal 57 6 2 2 5 5" xfId="29904"/>
    <cellStyle name="Normal 57 6 2 2 6" xfId="1604"/>
    <cellStyle name="Normal 57 6 2 2 6 2" xfId="10981"/>
    <cellStyle name="Normal 57 6 2 2 6 2 2" xfId="36536"/>
    <cellStyle name="Normal 57 6 2 2 6 3" xfId="20985"/>
    <cellStyle name="Normal 57 6 2 2 6 3 2" xfId="46538"/>
    <cellStyle name="Normal 57 6 2 2 6 4" xfId="27468"/>
    <cellStyle name="Normal 57 6 2 2 7" xfId="5788"/>
    <cellStyle name="Normal 57 6 2 2 7 2" xfId="14615"/>
    <cellStyle name="Normal 57 6 2 2 7 2 2" xfId="40170"/>
    <cellStyle name="Normal 57 6 2 2 7 3" xfId="24866"/>
    <cellStyle name="Normal 57 6 2 2 7 3 2" xfId="50419"/>
    <cellStyle name="Normal 57 6 2 2 7 4" xfId="31349"/>
    <cellStyle name="Normal 57 6 2 2 8" xfId="7232"/>
    <cellStyle name="Normal 57 6 2 2 8 2" xfId="19958"/>
    <cellStyle name="Normal 57 6 2 2 8 2 2" xfId="45511"/>
    <cellStyle name="Normal 57 6 2 2 8 3" xfId="32789"/>
    <cellStyle name="Normal 57 6 2 2 9" xfId="15978"/>
    <cellStyle name="Normal 57 6 2 2 9 2" xfId="41531"/>
    <cellStyle name="Normal 57 6 2 2_Degree data" xfId="3980"/>
    <cellStyle name="Normal 57 6 2 3" xfId="412"/>
    <cellStyle name="Normal 57 6 2 3 2" xfId="2898"/>
    <cellStyle name="Normal 57 6 2 3 2 2" xfId="12186"/>
    <cellStyle name="Normal 57 6 2 3 2 2 2" xfId="22259"/>
    <cellStyle name="Normal 57 6 2 3 2 2 2 2" xfId="47812"/>
    <cellStyle name="Normal 57 6 2 3 2 2 3" xfId="37741"/>
    <cellStyle name="Normal 57 6 2 3 2 3" xfId="8515"/>
    <cellStyle name="Normal 57 6 2 3 2 3 2" xfId="34072"/>
    <cellStyle name="Normal 57 6 2 3 2 4" xfId="17252"/>
    <cellStyle name="Normal 57 6 2 3 2 4 2" xfId="42805"/>
    <cellStyle name="Normal 57 6 2 3 2 5" xfId="28742"/>
    <cellStyle name="Normal 57 6 2 3 3" xfId="4687"/>
    <cellStyle name="Normal 57 6 2 3 3 2" xfId="13525"/>
    <cellStyle name="Normal 57 6 2 3 3 2 2" xfId="23776"/>
    <cellStyle name="Normal 57 6 2 3 3 2 2 2" xfId="49329"/>
    <cellStyle name="Normal 57 6 2 3 3 2 3" xfId="39080"/>
    <cellStyle name="Normal 57 6 2 3 3 3" xfId="9946"/>
    <cellStyle name="Normal 57 6 2 3 3 3 2" xfId="35503"/>
    <cellStyle name="Normal 57 6 2 3 3 4" xfId="18769"/>
    <cellStyle name="Normal 57 6 2 3 3 4 2" xfId="44322"/>
    <cellStyle name="Normal 57 6 2 3 3 5" xfId="30259"/>
    <cellStyle name="Normal 57 6 2 3 4" xfId="2007"/>
    <cellStyle name="Normal 57 6 2 3 4 2" xfId="11372"/>
    <cellStyle name="Normal 57 6 2 3 4 2 2" xfId="36927"/>
    <cellStyle name="Normal 57 6 2 3 4 3" xfId="21376"/>
    <cellStyle name="Normal 57 6 2 3 4 3 2" xfId="46929"/>
    <cellStyle name="Normal 57 6 2 3 4 4" xfId="27859"/>
    <cellStyle name="Normal 57 6 2 3 5" xfId="6143"/>
    <cellStyle name="Normal 57 6 2 3 5 2" xfId="14970"/>
    <cellStyle name="Normal 57 6 2 3 5 2 2" xfId="40525"/>
    <cellStyle name="Normal 57 6 2 3 5 3" xfId="25221"/>
    <cellStyle name="Normal 57 6 2 3 5 3 2" xfId="50774"/>
    <cellStyle name="Normal 57 6 2 3 5 4" xfId="31704"/>
    <cellStyle name="Normal 57 6 2 3 6" xfId="7588"/>
    <cellStyle name="Normal 57 6 2 3 6 2" xfId="19858"/>
    <cellStyle name="Normal 57 6 2 3 6 2 2" xfId="45411"/>
    <cellStyle name="Normal 57 6 2 3 6 3" xfId="33145"/>
    <cellStyle name="Normal 57 6 2 3 7" xfId="16369"/>
    <cellStyle name="Normal 57 6 2 3 7 2" xfId="41922"/>
    <cellStyle name="Normal 57 6 2 3 8" xfId="26341"/>
    <cellStyle name="Normal 57 6 2 4" xfId="873"/>
    <cellStyle name="Normal 57 6 2 4 2" xfId="3358"/>
    <cellStyle name="Normal 57 6 2 4 2 2" xfId="12500"/>
    <cellStyle name="Normal 57 6 2 4 2 2 2" xfId="22719"/>
    <cellStyle name="Normal 57 6 2 4 2 2 2 2" xfId="48272"/>
    <cellStyle name="Normal 57 6 2 4 2 2 3" xfId="38055"/>
    <cellStyle name="Normal 57 6 2 4 2 3" xfId="8922"/>
    <cellStyle name="Normal 57 6 2 4 2 3 2" xfId="34479"/>
    <cellStyle name="Normal 57 6 2 4 2 4" xfId="17712"/>
    <cellStyle name="Normal 57 6 2 4 2 4 2" xfId="43265"/>
    <cellStyle name="Normal 57 6 2 4 2 5" xfId="29202"/>
    <cellStyle name="Normal 57 6 2 4 3" xfId="5036"/>
    <cellStyle name="Normal 57 6 2 4 3 2" xfId="13873"/>
    <cellStyle name="Normal 57 6 2 4 3 2 2" xfId="24124"/>
    <cellStyle name="Normal 57 6 2 4 3 2 2 2" xfId="49677"/>
    <cellStyle name="Normal 57 6 2 4 3 2 3" xfId="39428"/>
    <cellStyle name="Normal 57 6 2 4 3 3" xfId="10294"/>
    <cellStyle name="Normal 57 6 2 4 3 3 2" xfId="35851"/>
    <cellStyle name="Normal 57 6 2 4 3 4" xfId="19117"/>
    <cellStyle name="Normal 57 6 2 4 3 4 2" xfId="44670"/>
    <cellStyle name="Normal 57 6 2 4 3 5" xfId="30607"/>
    <cellStyle name="Normal 57 6 2 4 4" xfId="2467"/>
    <cellStyle name="Normal 57 6 2 4 4 2" xfId="11832"/>
    <cellStyle name="Normal 57 6 2 4 4 2 2" xfId="37387"/>
    <cellStyle name="Normal 57 6 2 4 4 3" xfId="21836"/>
    <cellStyle name="Normal 57 6 2 4 4 3 2" xfId="47389"/>
    <cellStyle name="Normal 57 6 2 4 4 4" xfId="28319"/>
    <cellStyle name="Normal 57 6 2 4 5" xfId="6491"/>
    <cellStyle name="Normal 57 6 2 4 5 2" xfId="15318"/>
    <cellStyle name="Normal 57 6 2 4 5 2 2" xfId="40873"/>
    <cellStyle name="Normal 57 6 2 4 5 3" xfId="25569"/>
    <cellStyle name="Normal 57 6 2 4 5 3 2" xfId="51122"/>
    <cellStyle name="Normal 57 6 2 4 5 4" xfId="32052"/>
    <cellStyle name="Normal 57 6 2 4 6" xfId="7937"/>
    <cellStyle name="Normal 57 6 2 4 6 2" xfId="20318"/>
    <cellStyle name="Normal 57 6 2 4 6 2 2" xfId="45871"/>
    <cellStyle name="Normal 57 6 2 4 6 3" xfId="33494"/>
    <cellStyle name="Normal 57 6 2 4 7" xfId="16829"/>
    <cellStyle name="Normal 57 6 2 4 7 2" xfId="42382"/>
    <cellStyle name="Normal 57 6 2 4 8" xfId="26801"/>
    <cellStyle name="Normal 57 6 2 5" xfId="1184"/>
    <cellStyle name="Normal 57 6 2 5 2" xfId="3613"/>
    <cellStyle name="Normal 57 6 2 5 2 2" xfId="12749"/>
    <cellStyle name="Normal 57 6 2 5 2 2 2" xfId="22968"/>
    <cellStyle name="Normal 57 6 2 5 2 2 2 2" xfId="48521"/>
    <cellStyle name="Normal 57 6 2 5 2 2 3" xfId="38304"/>
    <cellStyle name="Normal 57 6 2 5 2 3" xfId="9170"/>
    <cellStyle name="Normal 57 6 2 5 2 3 2" xfId="34727"/>
    <cellStyle name="Normal 57 6 2 5 2 4" xfId="17961"/>
    <cellStyle name="Normal 57 6 2 5 2 4 2" xfId="43514"/>
    <cellStyle name="Normal 57 6 2 5 2 5" xfId="29451"/>
    <cellStyle name="Normal 57 6 2 5 3" xfId="5276"/>
    <cellStyle name="Normal 57 6 2 5 3 2" xfId="14113"/>
    <cellStyle name="Normal 57 6 2 5 3 2 2" xfId="24364"/>
    <cellStyle name="Normal 57 6 2 5 3 2 2 2" xfId="49917"/>
    <cellStyle name="Normal 57 6 2 5 3 2 3" xfId="39668"/>
    <cellStyle name="Normal 57 6 2 5 3 3" xfId="10534"/>
    <cellStyle name="Normal 57 6 2 5 3 3 2" xfId="36091"/>
    <cellStyle name="Normal 57 6 2 5 3 4" xfId="19357"/>
    <cellStyle name="Normal 57 6 2 5 3 4 2" xfId="44910"/>
    <cellStyle name="Normal 57 6 2 5 3 5" xfId="30847"/>
    <cellStyle name="Normal 57 6 2 5 4" xfId="1786"/>
    <cellStyle name="Normal 57 6 2 5 4 2" xfId="11155"/>
    <cellStyle name="Normal 57 6 2 5 4 2 2" xfId="36710"/>
    <cellStyle name="Normal 57 6 2 5 4 3" xfId="21159"/>
    <cellStyle name="Normal 57 6 2 5 4 3 2" xfId="46712"/>
    <cellStyle name="Normal 57 6 2 5 4 4" xfId="27642"/>
    <cellStyle name="Normal 57 6 2 5 5" xfId="6731"/>
    <cellStyle name="Normal 57 6 2 5 5 2" xfId="15558"/>
    <cellStyle name="Normal 57 6 2 5 5 2 2" xfId="41113"/>
    <cellStyle name="Normal 57 6 2 5 5 3" xfId="25809"/>
    <cellStyle name="Normal 57 6 2 5 5 3 2" xfId="51362"/>
    <cellStyle name="Normal 57 6 2 5 5 4" xfId="32292"/>
    <cellStyle name="Normal 57 6 2 5 6" xfId="8177"/>
    <cellStyle name="Normal 57 6 2 5 6 2" xfId="20567"/>
    <cellStyle name="Normal 57 6 2 5 6 2 2" xfId="46120"/>
    <cellStyle name="Normal 57 6 2 5 6 3" xfId="33734"/>
    <cellStyle name="Normal 57 6 2 5 7" xfId="16152"/>
    <cellStyle name="Normal 57 6 2 5 7 2" xfId="41705"/>
    <cellStyle name="Normal 57 6 2 5 8" xfId="27050"/>
    <cellStyle name="Normal 57 6 2 6" xfId="2681"/>
    <cellStyle name="Normal 57 6 2 6 2" xfId="11998"/>
    <cellStyle name="Normal 57 6 2 6 2 2" xfId="22042"/>
    <cellStyle name="Normal 57 6 2 6 2 2 2" xfId="47595"/>
    <cellStyle name="Normal 57 6 2 6 2 3" xfId="37553"/>
    <cellStyle name="Normal 57 6 2 6 3" xfId="8559"/>
    <cellStyle name="Normal 57 6 2 6 3 2" xfId="34116"/>
    <cellStyle name="Normal 57 6 2 6 4" xfId="17035"/>
    <cellStyle name="Normal 57 6 2 6 4 2" xfId="42588"/>
    <cellStyle name="Normal 57 6 2 6 5" xfId="28525"/>
    <cellStyle name="Normal 57 6 2 7" xfId="4232"/>
    <cellStyle name="Normal 57 6 2 7 2" xfId="13070"/>
    <cellStyle name="Normal 57 6 2 7 2 2" xfId="23321"/>
    <cellStyle name="Normal 57 6 2 7 2 2 2" xfId="48874"/>
    <cellStyle name="Normal 57 6 2 7 2 3" xfId="38625"/>
    <cellStyle name="Normal 57 6 2 7 3" xfId="9491"/>
    <cellStyle name="Normal 57 6 2 7 3 2" xfId="35048"/>
    <cellStyle name="Normal 57 6 2 7 4" xfId="18314"/>
    <cellStyle name="Normal 57 6 2 7 4 2" xfId="43867"/>
    <cellStyle name="Normal 57 6 2 7 5" xfId="29804"/>
    <cellStyle name="Normal 57 6 2 8" xfId="1504"/>
    <cellStyle name="Normal 57 6 2 8 2" xfId="10881"/>
    <cellStyle name="Normal 57 6 2 8 2 2" xfId="36436"/>
    <cellStyle name="Normal 57 6 2 8 3" xfId="20885"/>
    <cellStyle name="Normal 57 6 2 8 3 2" xfId="46438"/>
    <cellStyle name="Normal 57 6 2 8 4" xfId="27368"/>
    <cellStyle name="Normal 57 6 2 9" xfId="5688"/>
    <cellStyle name="Normal 57 6 2 9 2" xfId="14515"/>
    <cellStyle name="Normal 57 6 2 9 2 2" xfId="40070"/>
    <cellStyle name="Normal 57 6 2 9 3" xfId="24766"/>
    <cellStyle name="Normal 57 6 2 9 3 2" xfId="50319"/>
    <cellStyle name="Normal 57 6 2 9 4" xfId="31249"/>
    <cellStyle name="Normal 57 6 2_Degree data" xfId="3979"/>
    <cellStyle name="Normal 57 6 3" xfId="248"/>
    <cellStyle name="Normal 57 6 3 10" xfId="7086"/>
    <cellStyle name="Normal 57 6 3 10 2" xfId="19700"/>
    <cellStyle name="Normal 57 6 3 10 2 2" xfId="45253"/>
    <cellStyle name="Normal 57 6 3 10 3" xfId="32643"/>
    <cellStyle name="Normal 57 6 3 11" xfId="15832"/>
    <cellStyle name="Normal 57 6 3 11 2" xfId="41385"/>
    <cellStyle name="Normal 57 6 3 12" xfId="26183"/>
    <cellStyle name="Normal 57 6 3 2" xfId="571"/>
    <cellStyle name="Normal 57 6 3 2 10" xfId="26500"/>
    <cellStyle name="Normal 57 6 3 2 2" xfId="876"/>
    <cellStyle name="Normal 57 6 3 2 2 2" xfId="3361"/>
    <cellStyle name="Normal 57 6 3 2 2 2 2" xfId="12503"/>
    <cellStyle name="Normal 57 6 3 2 2 2 2 2" xfId="22722"/>
    <cellStyle name="Normal 57 6 3 2 2 2 2 2 2" xfId="48275"/>
    <cellStyle name="Normal 57 6 3 2 2 2 2 3" xfId="38058"/>
    <cellStyle name="Normal 57 6 3 2 2 2 3" xfId="8925"/>
    <cellStyle name="Normal 57 6 3 2 2 2 3 2" xfId="34482"/>
    <cellStyle name="Normal 57 6 3 2 2 2 4" xfId="17715"/>
    <cellStyle name="Normal 57 6 3 2 2 2 4 2" xfId="43268"/>
    <cellStyle name="Normal 57 6 3 2 2 2 5" xfId="29205"/>
    <cellStyle name="Normal 57 6 3 2 2 3" xfId="4690"/>
    <cellStyle name="Normal 57 6 3 2 2 3 2" xfId="13528"/>
    <cellStyle name="Normal 57 6 3 2 2 3 2 2" xfId="23779"/>
    <cellStyle name="Normal 57 6 3 2 2 3 2 2 2" xfId="49332"/>
    <cellStyle name="Normal 57 6 3 2 2 3 2 3" xfId="39083"/>
    <cellStyle name="Normal 57 6 3 2 2 3 3" xfId="9949"/>
    <cellStyle name="Normal 57 6 3 2 2 3 3 2" xfId="35506"/>
    <cellStyle name="Normal 57 6 3 2 2 3 4" xfId="18772"/>
    <cellStyle name="Normal 57 6 3 2 2 3 4 2" xfId="44325"/>
    <cellStyle name="Normal 57 6 3 2 2 3 5" xfId="30262"/>
    <cellStyle name="Normal 57 6 3 2 2 4" xfId="2470"/>
    <cellStyle name="Normal 57 6 3 2 2 4 2" xfId="11835"/>
    <cellStyle name="Normal 57 6 3 2 2 4 2 2" xfId="37390"/>
    <cellStyle name="Normal 57 6 3 2 2 4 3" xfId="21839"/>
    <cellStyle name="Normal 57 6 3 2 2 4 3 2" xfId="47392"/>
    <cellStyle name="Normal 57 6 3 2 2 4 4" xfId="28322"/>
    <cellStyle name="Normal 57 6 3 2 2 5" xfId="6146"/>
    <cellStyle name="Normal 57 6 3 2 2 5 2" xfId="14973"/>
    <cellStyle name="Normal 57 6 3 2 2 5 2 2" xfId="40528"/>
    <cellStyle name="Normal 57 6 3 2 2 5 3" xfId="25224"/>
    <cellStyle name="Normal 57 6 3 2 2 5 3 2" xfId="50777"/>
    <cellStyle name="Normal 57 6 3 2 2 5 4" xfId="31707"/>
    <cellStyle name="Normal 57 6 3 2 2 6" xfId="7591"/>
    <cellStyle name="Normal 57 6 3 2 2 6 2" xfId="20321"/>
    <cellStyle name="Normal 57 6 3 2 2 6 2 2" xfId="45874"/>
    <cellStyle name="Normal 57 6 3 2 2 6 3" xfId="33148"/>
    <cellStyle name="Normal 57 6 3 2 2 7" xfId="16832"/>
    <cellStyle name="Normal 57 6 3 2 2 7 2" xfId="42385"/>
    <cellStyle name="Normal 57 6 3 2 2 8" xfId="26804"/>
    <cellStyle name="Normal 57 6 3 2 3" xfId="1343"/>
    <cellStyle name="Normal 57 6 3 2 3 2" xfId="3772"/>
    <cellStyle name="Normal 57 6 3 2 3 2 2" xfId="12908"/>
    <cellStyle name="Normal 57 6 3 2 3 2 2 2" xfId="23127"/>
    <cellStyle name="Normal 57 6 3 2 3 2 2 2 2" xfId="48680"/>
    <cellStyle name="Normal 57 6 3 2 3 2 2 3" xfId="38463"/>
    <cellStyle name="Normal 57 6 3 2 3 2 3" xfId="9329"/>
    <cellStyle name="Normal 57 6 3 2 3 2 3 2" xfId="34886"/>
    <cellStyle name="Normal 57 6 3 2 3 2 4" xfId="18120"/>
    <cellStyle name="Normal 57 6 3 2 3 2 4 2" xfId="43673"/>
    <cellStyle name="Normal 57 6 3 2 3 2 5" xfId="29610"/>
    <cellStyle name="Normal 57 6 3 2 3 3" xfId="5039"/>
    <cellStyle name="Normal 57 6 3 2 3 3 2" xfId="13876"/>
    <cellStyle name="Normal 57 6 3 2 3 3 2 2" xfId="24127"/>
    <cellStyle name="Normal 57 6 3 2 3 3 2 2 2" xfId="49680"/>
    <cellStyle name="Normal 57 6 3 2 3 3 2 3" xfId="39431"/>
    <cellStyle name="Normal 57 6 3 2 3 3 3" xfId="10297"/>
    <cellStyle name="Normal 57 6 3 2 3 3 3 2" xfId="35854"/>
    <cellStyle name="Normal 57 6 3 2 3 3 4" xfId="19120"/>
    <cellStyle name="Normal 57 6 3 2 3 3 4 2" xfId="44673"/>
    <cellStyle name="Normal 57 6 3 2 3 3 5" xfId="30610"/>
    <cellStyle name="Normal 57 6 3 2 3 4" xfId="2166"/>
    <cellStyle name="Normal 57 6 3 2 3 4 2" xfId="11531"/>
    <cellStyle name="Normal 57 6 3 2 3 4 2 2" xfId="37086"/>
    <cellStyle name="Normal 57 6 3 2 3 4 3" xfId="21535"/>
    <cellStyle name="Normal 57 6 3 2 3 4 3 2" xfId="47088"/>
    <cellStyle name="Normal 57 6 3 2 3 4 4" xfId="28018"/>
    <cellStyle name="Normal 57 6 3 2 3 5" xfId="6494"/>
    <cellStyle name="Normal 57 6 3 2 3 5 2" xfId="15321"/>
    <cellStyle name="Normal 57 6 3 2 3 5 2 2" xfId="40876"/>
    <cellStyle name="Normal 57 6 3 2 3 5 3" xfId="25572"/>
    <cellStyle name="Normal 57 6 3 2 3 5 3 2" xfId="51125"/>
    <cellStyle name="Normal 57 6 3 2 3 5 4" xfId="32055"/>
    <cellStyle name="Normal 57 6 3 2 3 6" xfId="7940"/>
    <cellStyle name="Normal 57 6 3 2 3 6 2" xfId="20726"/>
    <cellStyle name="Normal 57 6 3 2 3 6 2 2" xfId="46279"/>
    <cellStyle name="Normal 57 6 3 2 3 6 3" xfId="33497"/>
    <cellStyle name="Normal 57 6 3 2 3 7" xfId="16528"/>
    <cellStyle name="Normal 57 6 3 2 3 7 2" xfId="42081"/>
    <cellStyle name="Normal 57 6 3 2 3 8" xfId="27209"/>
    <cellStyle name="Normal 57 6 3 2 4" xfId="3057"/>
    <cellStyle name="Normal 57 6 3 2 4 2" xfId="5435"/>
    <cellStyle name="Normal 57 6 3 2 4 2 2" xfId="14272"/>
    <cellStyle name="Normal 57 6 3 2 4 2 2 2" xfId="24523"/>
    <cellStyle name="Normal 57 6 3 2 4 2 2 2 2" xfId="50076"/>
    <cellStyle name="Normal 57 6 3 2 4 2 2 3" xfId="39827"/>
    <cellStyle name="Normal 57 6 3 2 4 2 3" xfId="10693"/>
    <cellStyle name="Normal 57 6 3 2 4 2 3 2" xfId="36250"/>
    <cellStyle name="Normal 57 6 3 2 4 2 4" xfId="19516"/>
    <cellStyle name="Normal 57 6 3 2 4 2 4 2" xfId="45069"/>
    <cellStyle name="Normal 57 6 3 2 4 2 5" xfId="31006"/>
    <cellStyle name="Normal 57 6 3 2 4 3" xfId="6890"/>
    <cellStyle name="Normal 57 6 3 2 4 3 2" xfId="15717"/>
    <cellStyle name="Normal 57 6 3 2 4 3 2 2" xfId="41272"/>
    <cellStyle name="Normal 57 6 3 2 4 3 3" xfId="25968"/>
    <cellStyle name="Normal 57 6 3 2 4 3 3 2" xfId="51521"/>
    <cellStyle name="Normal 57 6 3 2 4 3 4" xfId="32451"/>
    <cellStyle name="Normal 57 6 3 2 4 4" xfId="8336"/>
    <cellStyle name="Normal 57 6 3 2 4 4 2" xfId="22418"/>
    <cellStyle name="Normal 57 6 3 2 4 4 2 2" xfId="47971"/>
    <cellStyle name="Normal 57 6 3 2 4 4 3" xfId="33893"/>
    <cellStyle name="Normal 57 6 3 2 4 5" xfId="17411"/>
    <cellStyle name="Normal 57 6 3 2 4 5 2" xfId="42964"/>
    <cellStyle name="Normal 57 6 3 2 4 6" xfId="28901"/>
    <cellStyle name="Normal 57 6 3 2 5" xfId="4391"/>
    <cellStyle name="Normal 57 6 3 2 5 2" xfId="13229"/>
    <cellStyle name="Normal 57 6 3 2 5 2 2" xfId="23480"/>
    <cellStyle name="Normal 57 6 3 2 5 2 2 2" xfId="49033"/>
    <cellStyle name="Normal 57 6 3 2 5 2 3" xfId="38784"/>
    <cellStyle name="Normal 57 6 3 2 5 3" xfId="9650"/>
    <cellStyle name="Normal 57 6 3 2 5 3 2" xfId="35207"/>
    <cellStyle name="Normal 57 6 3 2 5 4" xfId="18473"/>
    <cellStyle name="Normal 57 6 3 2 5 4 2" xfId="44026"/>
    <cellStyle name="Normal 57 6 3 2 5 5" xfId="29963"/>
    <cellStyle name="Normal 57 6 3 2 6" xfId="1663"/>
    <cellStyle name="Normal 57 6 3 2 6 2" xfId="11040"/>
    <cellStyle name="Normal 57 6 3 2 6 2 2" xfId="36595"/>
    <cellStyle name="Normal 57 6 3 2 6 3" xfId="21044"/>
    <cellStyle name="Normal 57 6 3 2 6 3 2" xfId="46597"/>
    <cellStyle name="Normal 57 6 3 2 6 4" xfId="27527"/>
    <cellStyle name="Normal 57 6 3 2 7" xfId="5847"/>
    <cellStyle name="Normal 57 6 3 2 7 2" xfId="14674"/>
    <cellStyle name="Normal 57 6 3 2 7 2 2" xfId="40229"/>
    <cellStyle name="Normal 57 6 3 2 7 3" xfId="24925"/>
    <cellStyle name="Normal 57 6 3 2 7 3 2" xfId="50478"/>
    <cellStyle name="Normal 57 6 3 2 7 4" xfId="31408"/>
    <cellStyle name="Normal 57 6 3 2 8" xfId="7291"/>
    <cellStyle name="Normal 57 6 3 2 8 2" xfId="20017"/>
    <cellStyle name="Normal 57 6 3 2 8 2 2" xfId="45570"/>
    <cellStyle name="Normal 57 6 3 2 8 3" xfId="32848"/>
    <cellStyle name="Normal 57 6 3 2 9" xfId="16037"/>
    <cellStyle name="Normal 57 6 3 2 9 2" xfId="41590"/>
    <cellStyle name="Normal 57 6 3 2_Degree data" xfId="3982"/>
    <cellStyle name="Normal 57 6 3 3" xfId="366"/>
    <cellStyle name="Normal 57 6 3 3 2" xfId="2852"/>
    <cellStyle name="Normal 57 6 3 3 2 2" xfId="12140"/>
    <cellStyle name="Normal 57 6 3 3 2 2 2" xfId="22213"/>
    <cellStyle name="Normal 57 6 3 3 2 2 2 2" xfId="47766"/>
    <cellStyle name="Normal 57 6 3 3 2 2 3" xfId="37695"/>
    <cellStyle name="Normal 57 6 3 3 2 3" xfId="8527"/>
    <cellStyle name="Normal 57 6 3 3 2 3 2" xfId="34084"/>
    <cellStyle name="Normal 57 6 3 3 2 4" xfId="17206"/>
    <cellStyle name="Normal 57 6 3 3 2 4 2" xfId="42759"/>
    <cellStyle name="Normal 57 6 3 3 2 5" xfId="28696"/>
    <cellStyle name="Normal 57 6 3 3 3" xfId="4689"/>
    <cellStyle name="Normal 57 6 3 3 3 2" xfId="13527"/>
    <cellStyle name="Normal 57 6 3 3 3 2 2" xfId="23778"/>
    <cellStyle name="Normal 57 6 3 3 3 2 2 2" xfId="49331"/>
    <cellStyle name="Normal 57 6 3 3 3 2 3" xfId="39082"/>
    <cellStyle name="Normal 57 6 3 3 3 3" xfId="9948"/>
    <cellStyle name="Normal 57 6 3 3 3 3 2" xfId="35505"/>
    <cellStyle name="Normal 57 6 3 3 3 4" xfId="18771"/>
    <cellStyle name="Normal 57 6 3 3 3 4 2" xfId="44324"/>
    <cellStyle name="Normal 57 6 3 3 3 5" xfId="30261"/>
    <cellStyle name="Normal 57 6 3 3 4" xfId="1961"/>
    <cellStyle name="Normal 57 6 3 3 4 2" xfId="11326"/>
    <cellStyle name="Normal 57 6 3 3 4 2 2" xfId="36881"/>
    <cellStyle name="Normal 57 6 3 3 4 3" xfId="21330"/>
    <cellStyle name="Normal 57 6 3 3 4 3 2" xfId="46883"/>
    <cellStyle name="Normal 57 6 3 3 4 4" xfId="27813"/>
    <cellStyle name="Normal 57 6 3 3 5" xfId="6145"/>
    <cellStyle name="Normal 57 6 3 3 5 2" xfId="14972"/>
    <cellStyle name="Normal 57 6 3 3 5 2 2" xfId="40527"/>
    <cellStyle name="Normal 57 6 3 3 5 3" xfId="25223"/>
    <cellStyle name="Normal 57 6 3 3 5 3 2" xfId="50776"/>
    <cellStyle name="Normal 57 6 3 3 5 4" xfId="31706"/>
    <cellStyle name="Normal 57 6 3 3 6" xfId="7590"/>
    <cellStyle name="Normal 57 6 3 3 6 2" xfId="19812"/>
    <cellStyle name="Normal 57 6 3 3 6 2 2" xfId="45365"/>
    <cellStyle name="Normal 57 6 3 3 6 3" xfId="33147"/>
    <cellStyle name="Normal 57 6 3 3 7" xfId="16323"/>
    <cellStyle name="Normal 57 6 3 3 7 2" xfId="41876"/>
    <cellStyle name="Normal 57 6 3 3 8" xfId="26295"/>
    <cellStyle name="Normal 57 6 3 4" xfId="875"/>
    <cellStyle name="Normal 57 6 3 4 2" xfId="3360"/>
    <cellStyle name="Normal 57 6 3 4 2 2" xfId="12502"/>
    <cellStyle name="Normal 57 6 3 4 2 2 2" xfId="22721"/>
    <cellStyle name="Normal 57 6 3 4 2 2 2 2" xfId="48274"/>
    <cellStyle name="Normal 57 6 3 4 2 2 3" xfId="38057"/>
    <cellStyle name="Normal 57 6 3 4 2 3" xfId="8924"/>
    <cellStyle name="Normal 57 6 3 4 2 3 2" xfId="34481"/>
    <cellStyle name="Normal 57 6 3 4 2 4" xfId="17714"/>
    <cellStyle name="Normal 57 6 3 4 2 4 2" xfId="43267"/>
    <cellStyle name="Normal 57 6 3 4 2 5" xfId="29204"/>
    <cellStyle name="Normal 57 6 3 4 3" xfId="5038"/>
    <cellStyle name="Normal 57 6 3 4 3 2" xfId="13875"/>
    <cellStyle name="Normal 57 6 3 4 3 2 2" xfId="24126"/>
    <cellStyle name="Normal 57 6 3 4 3 2 2 2" xfId="49679"/>
    <cellStyle name="Normal 57 6 3 4 3 2 3" xfId="39430"/>
    <cellStyle name="Normal 57 6 3 4 3 3" xfId="10296"/>
    <cellStyle name="Normal 57 6 3 4 3 3 2" xfId="35853"/>
    <cellStyle name="Normal 57 6 3 4 3 4" xfId="19119"/>
    <cellStyle name="Normal 57 6 3 4 3 4 2" xfId="44672"/>
    <cellStyle name="Normal 57 6 3 4 3 5" xfId="30609"/>
    <cellStyle name="Normal 57 6 3 4 4" xfId="2469"/>
    <cellStyle name="Normal 57 6 3 4 4 2" xfId="11834"/>
    <cellStyle name="Normal 57 6 3 4 4 2 2" xfId="37389"/>
    <cellStyle name="Normal 57 6 3 4 4 3" xfId="21838"/>
    <cellStyle name="Normal 57 6 3 4 4 3 2" xfId="47391"/>
    <cellStyle name="Normal 57 6 3 4 4 4" xfId="28321"/>
    <cellStyle name="Normal 57 6 3 4 5" xfId="6493"/>
    <cellStyle name="Normal 57 6 3 4 5 2" xfId="15320"/>
    <cellStyle name="Normal 57 6 3 4 5 2 2" xfId="40875"/>
    <cellStyle name="Normal 57 6 3 4 5 3" xfId="25571"/>
    <cellStyle name="Normal 57 6 3 4 5 3 2" xfId="51124"/>
    <cellStyle name="Normal 57 6 3 4 5 4" xfId="32054"/>
    <cellStyle name="Normal 57 6 3 4 6" xfId="7939"/>
    <cellStyle name="Normal 57 6 3 4 6 2" xfId="20320"/>
    <cellStyle name="Normal 57 6 3 4 6 2 2" xfId="45873"/>
    <cellStyle name="Normal 57 6 3 4 6 3" xfId="33496"/>
    <cellStyle name="Normal 57 6 3 4 7" xfId="16831"/>
    <cellStyle name="Normal 57 6 3 4 7 2" xfId="42384"/>
    <cellStyle name="Normal 57 6 3 4 8" xfId="26803"/>
    <cellStyle name="Normal 57 6 3 5" xfId="1138"/>
    <cellStyle name="Normal 57 6 3 5 2" xfId="3567"/>
    <cellStyle name="Normal 57 6 3 5 2 2" xfId="12703"/>
    <cellStyle name="Normal 57 6 3 5 2 2 2" xfId="22922"/>
    <cellStyle name="Normal 57 6 3 5 2 2 2 2" xfId="48475"/>
    <cellStyle name="Normal 57 6 3 5 2 2 3" xfId="38258"/>
    <cellStyle name="Normal 57 6 3 5 2 3" xfId="9124"/>
    <cellStyle name="Normal 57 6 3 5 2 3 2" xfId="34681"/>
    <cellStyle name="Normal 57 6 3 5 2 4" xfId="17915"/>
    <cellStyle name="Normal 57 6 3 5 2 4 2" xfId="43468"/>
    <cellStyle name="Normal 57 6 3 5 2 5" xfId="29405"/>
    <cellStyle name="Normal 57 6 3 5 3" xfId="5230"/>
    <cellStyle name="Normal 57 6 3 5 3 2" xfId="14067"/>
    <cellStyle name="Normal 57 6 3 5 3 2 2" xfId="24318"/>
    <cellStyle name="Normal 57 6 3 5 3 2 2 2" xfId="49871"/>
    <cellStyle name="Normal 57 6 3 5 3 2 3" xfId="39622"/>
    <cellStyle name="Normal 57 6 3 5 3 3" xfId="10488"/>
    <cellStyle name="Normal 57 6 3 5 3 3 2" xfId="36045"/>
    <cellStyle name="Normal 57 6 3 5 3 4" xfId="19311"/>
    <cellStyle name="Normal 57 6 3 5 3 4 2" xfId="44864"/>
    <cellStyle name="Normal 57 6 3 5 3 5" xfId="30801"/>
    <cellStyle name="Normal 57 6 3 5 4" xfId="1846"/>
    <cellStyle name="Normal 57 6 3 5 4 2" xfId="11214"/>
    <cellStyle name="Normal 57 6 3 5 4 2 2" xfId="36769"/>
    <cellStyle name="Normal 57 6 3 5 4 3" xfId="21218"/>
    <cellStyle name="Normal 57 6 3 5 4 3 2" xfId="46771"/>
    <cellStyle name="Normal 57 6 3 5 4 4" xfId="27701"/>
    <cellStyle name="Normal 57 6 3 5 5" xfId="6685"/>
    <cellStyle name="Normal 57 6 3 5 5 2" xfId="15512"/>
    <cellStyle name="Normal 57 6 3 5 5 2 2" xfId="41067"/>
    <cellStyle name="Normal 57 6 3 5 5 3" xfId="25763"/>
    <cellStyle name="Normal 57 6 3 5 5 3 2" xfId="51316"/>
    <cellStyle name="Normal 57 6 3 5 5 4" xfId="32246"/>
    <cellStyle name="Normal 57 6 3 5 6" xfId="8131"/>
    <cellStyle name="Normal 57 6 3 5 6 2" xfId="20521"/>
    <cellStyle name="Normal 57 6 3 5 6 2 2" xfId="46074"/>
    <cellStyle name="Normal 57 6 3 5 6 3" xfId="33688"/>
    <cellStyle name="Normal 57 6 3 5 7" xfId="16211"/>
    <cellStyle name="Normal 57 6 3 5 7 2" xfId="41764"/>
    <cellStyle name="Normal 57 6 3 5 8" xfId="27004"/>
    <cellStyle name="Normal 57 6 3 6" xfId="2740"/>
    <cellStyle name="Normal 57 6 3 6 2" xfId="12057"/>
    <cellStyle name="Normal 57 6 3 6 2 2" xfId="22101"/>
    <cellStyle name="Normal 57 6 3 6 2 2 2" xfId="47654"/>
    <cellStyle name="Normal 57 6 3 6 2 3" xfId="37612"/>
    <cellStyle name="Normal 57 6 3 6 3" xfId="8547"/>
    <cellStyle name="Normal 57 6 3 6 3 2" xfId="34104"/>
    <cellStyle name="Normal 57 6 3 6 4" xfId="17094"/>
    <cellStyle name="Normal 57 6 3 6 4 2" xfId="42647"/>
    <cellStyle name="Normal 57 6 3 6 5" xfId="28584"/>
    <cellStyle name="Normal 57 6 3 7" xfId="4186"/>
    <cellStyle name="Normal 57 6 3 7 2" xfId="13024"/>
    <cellStyle name="Normal 57 6 3 7 2 2" xfId="23275"/>
    <cellStyle name="Normal 57 6 3 7 2 2 2" xfId="48828"/>
    <cellStyle name="Normal 57 6 3 7 2 3" xfId="38579"/>
    <cellStyle name="Normal 57 6 3 7 3" xfId="9445"/>
    <cellStyle name="Normal 57 6 3 7 3 2" xfId="35002"/>
    <cellStyle name="Normal 57 6 3 7 4" xfId="18268"/>
    <cellStyle name="Normal 57 6 3 7 4 2" xfId="43821"/>
    <cellStyle name="Normal 57 6 3 7 5" xfId="29758"/>
    <cellStyle name="Normal 57 6 3 8" xfId="1458"/>
    <cellStyle name="Normal 57 6 3 8 2" xfId="10835"/>
    <cellStyle name="Normal 57 6 3 8 2 2" xfId="36390"/>
    <cellStyle name="Normal 57 6 3 8 3" xfId="20839"/>
    <cellStyle name="Normal 57 6 3 8 3 2" xfId="46392"/>
    <cellStyle name="Normal 57 6 3 8 4" xfId="27322"/>
    <cellStyle name="Normal 57 6 3 9" xfId="5642"/>
    <cellStyle name="Normal 57 6 3 9 2" xfId="14469"/>
    <cellStyle name="Normal 57 6 3 9 2 2" xfId="40024"/>
    <cellStyle name="Normal 57 6 3 9 3" xfId="24720"/>
    <cellStyle name="Normal 57 6 3 9 3 2" xfId="50273"/>
    <cellStyle name="Normal 57 6 3 9 4" xfId="31203"/>
    <cellStyle name="Normal 57 6 3_Degree data" xfId="3981"/>
    <cellStyle name="Normal 57 6 4" xfId="466"/>
    <cellStyle name="Normal 57 6 4 10" xfId="26395"/>
    <cellStyle name="Normal 57 6 4 2" xfId="877"/>
    <cellStyle name="Normal 57 6 4 2 2" xfId="3362"/>
    <cellStyle name="Normal 57 6 4 2 2 2" xfId="12504"/>
    <cellStyle name="Normal 57 6 4 2 2 2 2" xfId="22723"/>
    <cellStyle name="Normal 57 6 4 2 2 2 2 2" xfId="48276"/>
    <cellStyle name="Normal 57 6 4 2 2 2 3" xfId="38059"/>
    <cellStyle name="Normal 57 6 4 2 2 3" xfId="8926"/>
    <cellStyle name="Normal 57 6 4 2 2 3 2" xfId="34483"/>
    <cellStyle name="Normal 57 6 4 2 2 4" xfId="17716"/>
    <cellStyle name="Normal 57 6 4 2 2 4 2" xfId="43269"/>
    <cellStyle name="Normal 57 6 4 2 2 5" xfId="29206"/>
    <cellStyle name="Normal 57 6 4 2 3" xfId="4691"/>
    <cellStyle name="Normal 57 6 4 2 3 2" xfId="13529"/>
    <cellStyle name="Normal 57 6 4 2 3 2 2" xfId="23780"/>
    <cellStyle name="Normal 57 6 4 2 3 2 2 2" xfId="49333"/>
    <cellStyle name="Normal 57 6 4 2 3 2 3" xfId="39084"/>
    <cellStyle name="Normal 57 6 4 2 3 3" xfId="9950"/>
    <cellStyle name="Normal 57 6 4 2 3 3 2" xfId="35507"/>
    <cellStyle name="Normal 57 6 4 2 3 4" xfId="18773"/>
    <cellStyle name="Normal 57 6 4 2 3 4 2" xfId="44326"/>
    <cellStyle name="Normal 57 6 4 2 3 5" xfId="30263"/>
    <cellStyle name="Normal 57 6 4 2 4" xfId="2471"/>
    <cellStyle name="Normal 57 6 4 2 4 2" xfId="11836"/>
    <cellStyle name="Normal 57 6 4 2 4 2 2" xfId="37391"/>
    <cellStyle name="Normal 57 6 4 2 4 3" xfId="21840"/>
    <cellStyle name="Normal 57 6 4 2 4 3 2" xfId="47393"/>
    <cellStyle name="Normal 57 6 4 2 4 4" xfId="28323"/>
    <cellStyle name="Normal 57 6 4 2 5" xfId="6147"/>
    <cellStyle name="Normal 57 6 4 2 5 2" xfId="14974"/>
    <cellStyle name="Normal 57 6 4 2 5 2 2" xfId="40529"/>
    <cellStyle name="Normal 57 6 4 2 5 3" xfId="25225"/>
    <cellStyle name="Normal 57 6 4 2 5 3 2" xfId="50778"/>
    <cellStyle name="Normal 57 6 4 2 5 4" xfId="31708"/>
    <cellStyle name="Normal 57 6 4 2 6" xfId="7592"/>
    <cellStyle name="Normal 57 6 4 2 6 2" xfId="20322"/>
    <cellStyle name="Normal 57 6 4 2 6 2 2" xfId="45875"/>
    <cellStyle name="Normal 57 6 4 2 6 3" xfId="33149"/>
    <cellStyle name="Normal 57 6 4 2 7" xfId="16833"/>
    <cellStyle name="Normal 57 6 4 2 7 2" xfId="42386"/>
    <cellStyle name="Normal 57 6 4 2 8" xfId="26805"/>
    <cellStyle name="Normal 57 6 4 3" xfId="1238"/>
    <cellStyle name="Normal 57 6 4 3 2" xfId="3667"/>
    <cellStyle name="Normal 57 6 4 3 2 2" xfId="12803"/>
    <cellStyle name="Normal 57 6 4 3 2 2 2" xfId="23022"/>
    <cellStyle name="Normal 57 6 4 3 2 2 2 2" xfId="48575"/>
    <cellStyle name="Normal 57 6 4 3 2 2 3" xfId="38358"/>
    <cellStyle name="Normal 57 6 4 3 2 3" xfId="9224"/>
    <cellStyle name="Normal 57 6 4 3 2 3 2" xfId="34781"/>
    <cellStyle name="Normal 57 6 4 3 2 4" xfId="18015"/>
    <cellStyle name="Normal 57 6 4 3 2 4 2" xfId="43568"/>
    <cellStyle name="Normal 57 6 4 3 2 5" xfId="29505"/>
    <cellStyle name="Normal 57 6 4 3 3" xfId="5040"/>
    <cellStyle name="Normal 57 6 4 3 3 2" xfId="13877"/>
    <cellStyle name="Normal 57 6 4 3 3 2 2" xfId="24128"/>
    <cellStyle name="Normal 57 6 4 3 3 2 2 2" xfId="49681"/>
    <cellStyle name="Normal 57 6 4 3 3 2 3" xfId="39432"/>
    <cellStyle name="Normal 57 6 4 3 3 3" xfId="10298"/>
    <cellStyle name="Normal 57 6 4 3 3 3 2" xfId="35855"/>
    <cellStyle name="Normal 57 6 4 3 3 4" xfId="19121"/>
    <cellStyle name="Normal 57 6 4 3 3 4 2" xfId="44674"/>
    <cellStyle name="Normal 57 6 4 3 3 5" xfId="30611"/>
    <cellStyle name="Normal 57 6 4 3 4" xfId="2061"/>
    <cellStyle name="Normal 57 6 4 3 4 2" xfId="11426"/>
    <cellStyle name="Normal 57 6 4 3 4 2 2" xfId="36981"/>
    <cellStyle name="Normal 57 6 4 3 4 3" xfId="21430"/>
    <cellStyle name="Normal 57 6 4 3 4 3 2" xfId="46983"/>
    <cellStyle name="Normal 57 6 4 3 4 4" xfId="27913"/>
    <cellStyle name="Normal 57 6 4 3 5" xfId="6495"/>
    <cellStyle name="Normal 57 6 4 3 5 2" xfId="15322"/>
    <cellStyle name="Normal 57 6 4 3 5 2 2" xfId="40877"/>
    <cellStyle name="Normal 57 6 4 3 5 3" xfId="25573"/>
    <cellStyle name="Normal 57 6 4 3 5 3 2" xfId="51126"/>
    <cellStyle name="Normal 57 6 4 3 5 4" xfId="32056"/>
    <cellStyle name="Normal 57 6 4 3 6" xfId="7941"/>
    <cellStyle name="Normal 57 6 4 3 6 2" xfId="20621"/>
    <cellStyle name="Normal 57 6 4 3 6 2 2" xfId="46174"/>
    <cellStyle name="Normal 57 6 4 3 6 3" xfId="33498"/>
    <cellStyle name="Normal 57 6 4 3 7" xfId="16423"/>
    <cellStyle name="Normal 57 6 4 3 7 2" xfId="41976"/>
    <cellStyle name="Normal 57 6 4 3 8" xfId="27104"/>
    <cellStyle name="Normal 57 6 4 4" xfId="2952"/>
    <cellStyle name="Normal 57 6 4 4 2" xfId="5330"/>
    <cellStyle name="Normal 57 6 4 4 2 2" xfId="14167"/>
    <cellStyle name="Normal 57 6 4 4 2 2 2" xfId="24418"/>
    <cellStyle name="Normal 57 6 4 4 2 2 2 2" xfId="49971"/>
    <cellStyle name="Normal 57 6 4 4 2 2 3" xfId="39722"/>
    <cellStyle name="Normal 57 6 4 4 2 3" xfId="10588"/>
    <cellStyle name="Normal 57 6 4 4 2 3 2" xfId="36145"/>
    <cellStyle name="Normal 57 6 4 4 2 4" xfId="19411"/>
    <cellStyle name="Normal 57 6 4 4 2 4 2" xfId="44964"/>
    <cellStyle name="Normal 57 6 4 4 2 5" xfId="30901"/>
    <cellStyle name="Normal 57 6 4 4 3" xfId="6785"/>
    <cellStyle name="Normal 57 6 4 4 3 2" xfId="15612"/>
    <cellStyle name="Normal 57 6 4 4 3 2 2" xfId="41167"/>
    <cellStyle name="Normal 57 6 4 4 3 3" xfId="25863"/>
    <cellStyle name="Normal 57 6 4 4 3 3 2" xfId="51416"/>
    <cellStyle name="Normal 57 6 4 4 3 4" xfId="32346"/>
    <cellStyle name="Normal 57 6 4 4 4" xfId="8231"/>
    <cellStyle name="Normal 57 6 4 4 4 2" xfId="22313"/>
    <cellStyle name="Normal 57 6 4 4 4 2 2" xfId="47866"/>
    <cellStyle name="Normal 57 6 4 4 4 3" xfId="33788"/>
    <cellStyle name="Normal 57 6 4 4 5" xfId="17306"/>
    <cellStyle name="Normal 57 6 4 4 5 2" xfId="42859"/>
    <cellStyle name="Normal 57 6 4 4 6" xfId="28796"/>
    <cellStyle name="Normal 57 6 4 5" xfId="4286"/>
    <cellStyle name="Normal 57 6 4 5 2" xfId="13124"/>
    <cellStyle name="Normal 57 6 4 5 2 2" xfId="23375"/>
    <cellStyle name="Normal 57 6 4 5 2 2 2" xfId="48928"/>
    <cellStyle name="Normal 57 6 4 5 2 3" xfId="38679"/>
    <cellStyle name="Normal 57 6 4 5 3" xfId="9545"/>
    <cellStyle name="Normal 57 6 4 5 3 2" xfId="35102"/>
    <cellStyle name="Normal 57 6 4 5 4" xfId="18368"/>
    <cellStyle name="Normal 57 6 4 5 4 2" xfId="43921"/>
    <cellStyle name="Normal 57 6 4 5 5" xfId="29858"/>
    <cellStyle name="Normal 57 6 4 6" xfId="1558"/>
    <cellStyle name="Normal 57 6 4 6 2" xfId="10935"/>
    <cellStyle name="Normal 57 6 4 6 2 2" xfId="36490"/>
    <cellStyle name="Normal 57 6 4 6 3" xfId="20939"/>
    <cellStyle name="Normal 57 6 4 6 3 2" xfId="46492"/>
    <cellStyle name="Normal 57 6 4 6 4" xfId="27422"/>
    <cellStyle name="Normal 57 6 4 7" xfId="5742"/>
    <cellStyle name="Normal 57 6 4 7 2" xfId="14569"/>
    <cellStyle name="Normal 57 6 4 7 2 2" xfId="40124"/>
    <cellStyle name="Normal 57 6 4 7 3" xfId="24820"/>
    <cellStyle name="Normal 57 6 4 7 3 2" xfId="50373"/>
    <cellStyle name="Normal 57 6 4 7 4" xfId="31303"/>
    <cellStyle name="Normal 57 6 4 8" xfId="7186"/>
    <cellStyle name="Normal 57 6 4 8 2" xfId="19912"/>
    <cellStyle name="Normal 57 6 4 8 2 2" xfId="45465"/>
    <cellStyle name="Normal 57 6 4 8 3" xfId="32743"/>
    <cellStyle name="Normal 57 6 4 9" xfId="15932"/>
    <cellStyle name="Normal 57 6 4 9 2" xfId="41485"/>
    <cellStyle name="Normal 57 6 4_Degree data" xfId="3983"/>
    <cellStyle name="Normal 57 6 5" xfId="310"/>
    <cellStyle name="Normal 57 6 5 2" xfId="2796"/>
    <cellStyle name="Normal 57 6 5 2 2" xfId="12100"/>
    <cellStyle name="Normal 57 6 5 2 2 2" xfId="22157"/>
    <cellStyle name="Normal 57 6 5 2 2 2 2" xfId="47710"/>
    <cellStyle name="Normal 57 6 5 2 2 3" xfId="37655"/>
    <cellStyle name="Normal 57 6 5 2 3" xfId="8436"/>
    <cellStyle name="Normal 57 6 5 2 3 2" xfId="33993"/>
    <cellStyle name="Normal 57 6 5 2 4" xfId="17150"/>
    <cellStyle name="Normal 57 6 5 2 4 2" xfId="42703"/>
    <cellStyle name="Normal 57 6 5 2 5" xfId="28640"/>
    <cellStyle name="Normal 57 6 5 3" xfId="4686"/>
    <cellStyle name="Normal 57 6 5 3 2" xfId="13524"/>
    <cellStyle name="Normal 57 6 5 3 2 2" xfId="23775"/>
    <cellStyle name="Normal 57 6 5 3 2 2 2" xfId="49328"/>
    <cellStyle name="Normal 57 6 5 3 2 3" xfId="39079"/>
    <cellStyle name="Normal 57 6 5 3 3" xfId="9945"/>
    <cellStyle name="Normal 57 6 5 3 3 2" xfId="35502"/>
    <cellStyle name="Normal 57 6 5 3 4" xfId="18768"/>
    <cellStyle name="Normal 57 6 5 3 4 2" xfId="44321"/>
    <cellStyle name="Normal 57 6 5 3 5" xfId="30258"/>
    <cellStyle name="Normal 57 6 5 4" xfId="1905"/>
    <cellStyle name="Normal 57 6 5 4 2" xfId="11270"/>
    <cellStyle name="Normal 57 6 5 4 2 2" xfId="36825"/>
    <cellStyle name="Normal 57 6 5 4 3" xfId="21274"/>
    <cellStyle name="Normal 57 6 5 4 3 2" xfId="46827"/>
    <cellStyle name="Normal 57 6 5 4 4" xfId="27757"/>
    <cellStyle name="Normal 57 6 5 5" xfId="6142"/>
    <cellStyle name="Normal 57 6 5 5 2" xfId="14969"/>
    <cellStyle name="Normal 57 6 5 5 2 2" xfId="40524"/>
    <cellStyle name="Normal 57 6 5 5 3" xfId="25220"/>
    <cellStyle name="Normal 57 6 5 5 3 2" xfId="50773"/>
    <cellStyle name="Normal 57 6 5 5 4" xfId="31703"/>
    <cellStyle name="Normal 57 6 5 6" xfId="7587"/>
    <cellStyle name="Normal 57 6 5 6 2" xfId="19756"/>
    <cellStyle name="Normal 57 6 5 6 2 2" xfId="45309"/>
    <cellStyle name="Normal 57 6 5 6 3" xfId="33144"/>
    <cellStyle name="Normal 57 6 5 7" xfId="16267"/>
    <cellStyle name="Normal 57 6 5 7 2" xfId="41820"/>
    <cellStyle name="Normal 57 6 5 8" xfId="26239"/>
    <cellStyle name="Normal 57 6 6" xfId="872"/>
    <cellStyle name="Normal 57 6 6 2" xfId="3357"/>
    <cellStyle name="Normal 57 6 6 2 2" xfId="12499"/>
    <cellStyle name="Normal 57 6 6 2 2 2" xfId="22718"/>
    <cellStyle name="Normal 57 6 6 2 2 2 2" xfId="48271"/>
    <cellStyle name="Normal 57 6 6 2 2 3" xfId="38054"/>
    <cellStyle name="Normal 57 6 6 2 3" xfId="8921"/>
    <cellStyle name="Normal 57 6 6 2 3 2" xfId="34478"/>
    <cellStyle name="Normal 57 6 6 2 4" xfId="17711"/>
    <cellStyle name="Normal 57 6 6 2 4 2" xfId="43264"/>
    <cellStyle name="Normal 57 6 6 2 5" xfId="29201"/>
    <cellStyle name="Normal 57 6 6 3" xfId="5035"/>
    <cellStyle name="Normal 57 6 6 3 2" xfId="13872"/>
    <cellStyle name="Normal 57 6 6 3 2 2" xfId="24123"/>
    <cellStyle name="Normal 57 6 6 3 2 2 2" xfId="49676"/>
    <cellStyle name="Normal 57 6 6 3 2 3" xfId="39427"/>
    <cellStyle name="Normal 57 6 6 3 3" xfId="10293"/>
    <cellStyle name="Normal 57 6 6 3 3 2" xfId="35850"/>
    <cellStyle name="Normal 57 6 6 3 4" xfId="19116"/>
    <cellStyle name="Normal 57 6 6 3 4 2" xfId="44669"/>
    <cellStyle name="Normal 57 6 6 3 5" xfId="30606"/>
    <cellStyle name="Normal 57 6 6 4" xfId="2466"/>
    <cellStyle name="Normal 57 6 6 4 2" xfId="11831"/>
    <cellStyle name="Normal 57 6 6 4 2 2" xfId="37386"/>
    <cellStyle name="Normal 57 6 6 4 3" xfId="21835"/>
    <cellStyle name="Normal 57 6 6 4 3 2" xfId="47388"/>
    <cellStyle name="Normal 57 6 6 4 4" xfId="28318"/>
    <cellStyle name="Normal 57 6 6 5" xfId="6490"/>
    <cellStyle name="Normal 57 6 6 5 2" xfId="15317"/>
    <cellStyle name="Normal 57 6 6 5 2 2" xfId="40872"/>
    <cellStyle name="Normal 57 6 6 5 3" xfId="25568"/>
    <cellStyle name="Normal 57 6 6 5 3 2" xfId="51121"/>
    <cellStyle name="Normal 57 6 6 5 4" xfId="32051"/>
    <cellStyle name="Normal 57 6 6 6" xfId="7936"/>
    <cellStyle name="Normal 57 6 6 6 2" xfId="20317"/>
    <cellStyle name="Normal 57 6 6 6 2 2" xfId="45870"/>
    <cellStyle name="Normal 57 6 6 6 3" xfId="33493"/>
    <cellStyle name="Normal 57 6 6 7" xfId="16828"/>
    <cellStyle name="Normal 57 6 6 7 2" xfId="42381"/>
    <cellStyle name="Normal 57 6 6 8" xfId="26800"/>
    <cellStyle name="Normal 57 6 7" xfId="1082"/>
    <cellStyle name="Normal 57 6 7 2" xfId="3511"/>
    <cellStyle name="Normal 57 6 7 2 2" xfId="12647"/>
    <cellStyle name="Normal 57 6 7 2 2 2" xfId="22866"/>
    <cellStyle name="Normal 57 6 7 2 2 2 2" xfId="48419"/>
    <cellStyle name="Normal 57 6 7 2 2 3" xfId="38202"/>
    <cellStyle name="Normal 57 6 7 2 3" xfId="9069"/>
    <cellStyle name="Normal 57 6 7 2 3 2" xfId="34626"/>
    <cellStyle name="Normal 57 6 7 2 4" xfId="17859"/>
    <cellStyle name="Normal 57 6 7 2 4 2" xfId="43412"/>
    <cellStyle name="Normal 57 6 7 2 5" xfId="29349"/>
    <cellStyle name="Normal 57 6 7 3" xfId="5174"/>
    <cellStyle name="Normal 57 6 7 3 2" xfId="14011"/>
    <cellStyle name="Normal 57 6 7 3 2 2" xfId="24262"/>
    <cellStyle name="Normal 57 6 7 3 2 2 2" xfId="49815"/>
    <cellStyle name="Normal 57 6 7 3 2 3" xfId="39566"/>
    <cellStyle name="Normal 57 6 7 3 3" xfId="10432"/>
    <cellStyle name="Normal 57 6 7 3 3 2" xfId="35989"/>
    <cellStyle name="Normal 57 6 7 3 4" xfId="19255"/>
    <cellStyle name="Normal 57 6 7 3 4 2" xfId="44808"/>
    <cellStyle name="Normal 57 6 7 3 5" xfId="30745"/>
    <cellStyle name="Normal 57 6 7 4" xfId="1734"/>
    <cellStyle name="Normal 57 6 7 4 2" xfId="11108"/>
    <cellStyle name="Normal 57 6 7 4 2 2" xfId="36663"/>
    <cellStyle name="Normal 57 6 7 4 3" xfId="21112"/>
    <cellStyle name="Normal 57 6 7 4 3 2" xfId="46665"/>
    <cellStyle name="Normal 57 6 7 4 4" xfId="27595"/>
    <cellStyle name="Normal 57 6 7 5" xfId="6629"/>
    <cellStyle name="Normal 57 6 7 5 2" xfId="15456"/>
    <cellStyle name="Normal 57 6 7 5 2 2" xfId="41011"/>
    <cellStyle name="Normal 57 6 7 5 3" xfId="25707"/>
    <cellStyle name="Normal 57 6 7 5 3 2" xfId="51260"/>
    <cellStyle name="Normal 57 6 7 5 4" xfId="32190"/>
    <cellStyle name="Normal 57 6 7 6" xfId="8075"/>
    <cellStyle name="Normal 57 6 7 6 2" xfId="20465"/>
    <cellStyle name="Normal 57 6 7 6 2 2" xfId="46018"/>
    <cellStyle name="Normal 57 6 7 6 3" xfId="33632"/>
    <cellStyle name="Normal 57 6 7 7" xfId="16105"/>
    <cellStyle name="Normal 57 6 7 7 2" xfId="41658"/>
    <cellStyle name="Normal 57 6 7 8" xfId="26948"/>
    <cellStyle name="Normal 57 6 8" xfId="2634"/>
    <cellStyle name="Normal 57 6 8 2" xfId="5586"/>
    <cellStyle name="Normal 57 6 8 2 2" xfId="14413"/>
    <cellStyle name="Normal 57 6 8 2 2 2" xfId="39968"/>
    <cellStyle name="Normal 57 6 8 2 3" xfId="24664"/>
    <cellStyle name="Normal 57 6 8 2 3 2" xfId="50217"/>
    <cellStyle name="Normal 57 6 8 2 4" xfId="31147"/>
    <cellStyle name="Normal 57 6 8 3" xfId="7030"/>
    <cellStyle name="Normal 57 6 8 3 2" xfId="21996"/>
    <cellStyle name="Normal 57 6 8 3 2 2" xfId="47549"/>
    <cellStyle name="Normal 57 6 8 3 3" xfId="32587"/>
    <cellStyle name="Normal 57 6 8 4" xfId="16989"/>
    <cellStyle name="Normal 57 6 8 4 2" xfId="42542"/>
    <cellStyle name="Normal 57 6 8 5" xfId="28479"/>
    <cellStyle name="Normal 57 6 9" xfId="4128"/>
    <cellStyle name="Normal 57 6 9 2" xfId="12966"/>
    <cellStyle name="Normal 57 6 9 2 2" xfId="23217"/>
    <cellStyle name="Normal 57 6 9 2 2 2" xfId="48770"/>
    <cellStyle name="Normal 57 6 9 2 3" xfId="38521"/>
    <cellStyle name="Normal 57 6 9 3" xfId="9387"/>
    <cellStyle name="Normal 57 6 9 3 2" xfId="34944"/>
    <cellStyle name="Normal 57 6 9 4" xfId="18210"/>
    <cellStyle name="Normal 57 6 9 4 2" xfId="43763"/>
    <cellStyle name="Normal 57 6 9 5" xfId="29700"/>
    <cellStyle name="Normal 57 6_Degree data" xfId="3978"/>
    <cellStyle name="Normal 57 7" xfId="134"/>
    <cellStyle name="Normal 57 7 10" xfId="5645"/>
    <cellStyle name="Normal 57 7 10 2" xfId="14472"/>
    <cellStyle name="Normal 57 7 10 2 2" xfId="40027"/>
    <cellStyle name="Normal 57 7 10 3" xfId="24723"/>
    <cellStyle name="Normal 57 7 10 3 2" xfId="50276"/>
    <cellStyle name="Normal 57 7 10 4" xfId="31206"/>
    <cellStyle name="Normal 57 7 11" xfId="7089"/>
    <cellStyle name="Normal 57 7 11 2" xfId="19598"/>
    <cellStyle name="Normal 57 7 11 2 2" xfId="45151"/>
    <cellStyle name="Normal 57 7 11 3" xfId="32646"/>
    <cellStyle name="Normal 57 7 12" xfId="15835"/>
    <cellStyle name="Normal 57 7 12 2" xfId="41388"/>
    <cellStyle name="Normal 57 7 13" xfId="26081"/>
    <cellStyle name="Normal 57 7 2" xfId="251"/>
    <cellStyle name="Normal 57 7 2 10" xfId="16040"/>
    <cellStyle name="Normal 57 7 2 10 2" xfId="41593"/>
    <cellStyle name="Normal 57 7 2 11" xfId="26186"/>
    <cellStyle name="Normal 57 7 2 2" xfId="574"/>
    <cellStyle name="Normal 57 7 2 2 2" xfId="3060"/>
    <cellStyle name="Normal 57 7 2 2 2 2" xfId="12221"/>
    <cellStyle name="Normal 57 7 2 2 2 2 2" xfId="22421"/>
    <cellStyle name="Normal 57 7 2 2 2 2 2 2" xfId="47974"/>
    <cellStyle name="Normal 57 7 2 2 2 2 3" xfId="37776"/>
    <cellStyle name="Normal 57 7 2 2 2 3" xfId="8643"/>
    <cellStyle name="Normal 57 7 2 2 2 3 2" xfId="34200"/>
    <cellStyle name="Normal 57 7 2 2 2 4" xfId="17414"/>
    <cellStyle name="Normal 57 7 2 2 2 4 2" xfId="42967"/>
    <cellStyle name="Normal 57 7 2 2 2 5" xfId="28904"/>
    <cellStyle name="Normal 57 7 2 2 3" xfId="4693"/>
    <cellStyle name="Normal 57 7 2 2 3 2" xfId="13531"/>
    <cellStyle name="Normal 57 7 2 2 3 2 2" xfId="23782"/>
    <cellStyle name="Normal 57 7 2 2 3 2 2 2" xfId="49335"/>
    <cellStyle name="Normal 57 7 2 2 3 2 3" xfId="39086"/>
    <cellStyle name="Normal 57 7 2 2 3 3" xfId="9952"/>
    <cellStyle name="Normal 57 7 2 2 3 3 2" xfId="35509"/>
    <cellStyle name="Normal 57 7 2 2 3 4" xfId="18775"/>
    <cellStyle name="Normal 57 7 2 2 3 4 2" xfId="44328"/>
    <cellStyle name="Normal 57 7 2 2 3 5" xfId="30265"/>
    <cellStyle name="Normal 57 7 2 2 4" xfId="2169"/>
    <cellStyle name="Normal 57 7 2 2 4 2" xfId="11534"/>
    <cellStyle name="Normal 57 7 2 2 4 2 2" xfId="37089"/>
    <cellStyle name="Normal 57 7 2 2 4 3" xfId="21538"/>
    <cellStyle name="Normal 57 7 2 2 4 3 2" xfId="47091"/>
    <cellStyle name="Normal 57 7 2 2 4 4" xfId="28021"/>
    <cellStyle name="Normal 57 7 2 2 5" xfId="6149"/>
    <cellStyle name="Normal 57 7 2 2 5 2" xfId="14976"/>
    <cellStyle name="Normal 57 7 2 2 5 2 2" xfId="40531"/>
    <cellStyle name="Normal 57 7 2 2 5 3" xfId="25227"/>
    <cellStyle name="Normal 57 7 2 2 5 3 2" xfId="50780"/>
    <cellStyle name="Normal 57 7 2 2 5 4" xfId="31710"/>
    <cellStyle name="Normal 57 7 2 2 6" xfId="7594"/>
    <cellStyle name="Normal 57 7 2 2 6 2" xfId="20020"/>
    <cellStyle name="Normal 57 7 2 2 6 2 2" xfId="45573"/>
    <cellStyle name="Normal 57 7 2 2 6 3" xfId="33151"/>
    <cellStyle name="Normal 57 7 2 2 7" xfId="16531"/>
    <cellStyle name="Normal 57 7 2 2 7 2" xfId="42084"/>
    <cellStyle name="Normal 57 7 2 2 8" xfId="26503"/>
    <cellStyle name="Normal 57 7 2 3" xfId="879"/>
    <cellStyle name="Normal 57 7 2 3 2" xfId="3364"/>
    <cellStyle name="Normal 57 7 2 3 2 2" xfId="12506"/>
    <cellStyle name="Normal 57 7 2 3 2 2 2" xfId="22725"/>
    <cellStyle name="Normal 57 7 2 3 2 2 2 2" xfId="48278"/>
    <cellStyle name="Normal 57 7 2 3 2 2 3" xfId="38061"/>
    <cellStyle name="Normal 57 7 2 3 2 3" xfId="8928"/>
    <cellStyle name="Normal 57 7 2 3 2 3 2" xfId="34485"/>
    <cellStyle name="Normal 57 7 2 3 2 4" xfId="17718"/>
    <cellStyle name="Normal 57 7 2 3 2 4 2" xfId="43271"/>
    <cellStyle name="Normal 57 7 2 3 2 5" xfId="29208"/>
    <cellStyle name="Normal 57 7 2 3 3" xfId="5042"/>
    <cellStyle name="Normal 57 7 2 3 3 2" xfId="13879"/>
    <cellStyle name="Normal 57 7 2 3 3 2 2" xfId="24130"/>
    <cellStyle name="Normal 57 7 2 3 3 2 2 2" xfId="49683"/>
    <cellStyle name="Normal 57 7 2 3 3 2 3" xfId="39434"/>
    <cellStyle name="Normal 57 7 2 3 3 3" xfId="10300"/>
    <cellStyle name="Normal 57 7 2 3 3 3 2" xfId="35857"/>
    <cellStyle name="Normal 57 7 2 3 3 4" xfId="19123"/>
    <cellStyle name="Normal 57 7 2 3 3 4 2" xfId="44676"/>
    <cellStyle name="Normal 57 7 2 3 3 5" xfId="30613"/>
    <cellStyle name="Normal 57 7 2 3 4" xfId="2473"/>
    <cellStyle name="Normal 57 7 2 3 4 2" xfId="11838"/>
    <cellStyle name="Normal 57 7 2 3 4 2 2" xfId="37393"/>
    <cellStyle name="Normal 57 7 2 3 4 3" xfId="21842"/>
    <cellStyle name="Normal 57 7 2 3 4 3 2" xfId="47395"/>
    <cellStyle name="Normal 57 7 2 3 4 4" xfId="28325"/>
    <cellStyle name="Normal 57 7 2 3 5" xfId="6497"/>
    <cellStyle name="Normal 57 7 2 3 5 2" xfId="15324"/>
    <cellStyle name="Normal 57 7 2 3 5 2 2" xfId="40879"/>
    <cellStyle name="Normal 57 7 2 3 5 3" xfId="25575"/>
    <cellStyle name="Normal 57 7 2 3 5 3 2" xfId="51128"/>
    <cellStyle name="Normal 57 7 2 3 5 4" xfId="32058"/>
    <cellStyle name="Normal 57 7 2 3 6" xfId="7943"/>
    <cellStyle name="Normal 57 7 2 3 6 2" xfId="20324"/>
    <cellStyle name="Normal 57 7 2 3 6 2 2" xfId="45877"/>
    <cellStyle name="Normal 57 7 2 3 6 3" xfId="33500"/>
    <cellStyle name="Normal 57 7 2 3 7" xfId="16835"/>
    <cellStyle name="Normal 57 7 2 3 7 2" xfId="42388"/>
    <cellStyle name="Normal 57 7 2 3 8" xfId="26807"/>
    <cellStyle name="Normal 57 7 2 4" xfId="1346"/>
    <cellStyle name="Normal 57 7 2 4 2" xfId="3775"/>
    <cellStyle name="Normal 57 7 2 4 2 2" xfId="12911"/>
    <cellStyle name="Normal 57 7 2 4 2 2 2" xfId="23130"/>
    <cellStyle name="Normal 57 7 2 4 2 2 2 2" xfId="48683"/>
    <cellStyle name="Normal 57 7 2 4 2 2 3" xfId="38466"/>
    <cellStyle name="Normal 57 7 2 4 2 3" xfId="9332"/>
    <cellStyle name="Normal 57 7 2 4 2 3 2" xfId="34889"/>
    <cellStyle name="Normal 57 7 2 4 2 4" xfId="18123"/>
    <cellStyle name="Normal 57 7 2 4 2 4 2" xfId="43676"/>
    <cellStyle name="Normal 57 7 2 4 2 5" xfId="29613"/>
    <cellStyle name="Normal 57 7 2 4 3" xfId="5438"/>
    <cellStyle name="Normal 57 7 2 4 3 2" xfId="14275"/>
    <cellStyle name="Normal 57 7 2 4 3 2 2" xfId="24526"/>
    <cellStyle name="Normal 57 7 2 4 3 2 2 2" xfId="50079"/>
    <cellStyle name="Normal 57 7 2 4 3 2 3" xfId="39830"/>
    <cellStyle name="Normal 57 7 2 4 3 3" xfId="10696"/>
    <cellStyle name="Normal 57 7 2 4 3 3 2" xfId="36253"/>
    <cellStyle name="Normal 57 7 2 4 3 4" xfId="19519"/>
    <cellStyle name="Normal 57 7 2 4 3 4 2" xfId="45072"/>
    <cellStyle name="Normal 57 7 2 4 3 5" xfId="31009"/>
    <cellStyle name="Normal 57 7 2 4 4" xfId="1849"/>
    <cellStyle name="Normal 57 7 2 4 4 2" xfId="11217"/>
    <cellStyle name="Normal 57 7 2 4 4 2 2" xfId="36772"/>
    <cellStyle name="Normal 57 7 2 4 4 3" xfId="21221"/>
    <cellStyle name="Normal 57 7 2 4 4 3 2" xfId="46774"/>
    <cellStyle name="Normal 57 7 2 4 4 4" xfId="27704"/>
    <cellStyle name="Normal 57 7 2 4 5" xfId="6893"/>
    <cellStyle name="Normal 57 7 2 4 5 2" xfId="15720"/>
    <cellStyle name="Normal 57 7 2 4 5 2 2" xfId="41275"/>
    <cellStyle name="Normal 57 7 2 4 5 3" xfId="25971"/>
    <cellStyle name="Normal 57 7 2 4 5 3 2" xfId="51524"/>
    <cellStyle name="Normal 57 7 2 4 5 4" xfId="32454"/>
    <cellStyle name="Normal 57 7 2 4 6" xfId="8339"/>
    <cellStyle name="Normal 57 7 2 4 6 2" xfId="20729"/>
    <cellStyle name="Normal 57 7 2 4 6 2 2" xfId="46282"/>
    <cellStyle name="Normal 57 7 2 4 6 3" xfId="33896"/>
    <cellStyle name="Normal 57 7 2 4 7" xfId="16214"/>
    <cellStyle name="Normal 57 7 2 4 7 2" xfId="41767"/>
    <cellStyle name="Normal 57 7 2 4 8" xfId="27212"/>
    <cellStyle name="Normal 57 7 2 5" xfId="2743"/>
    <cellStyle name="Normal 57 7 2 5 2" xfId="12060"/>
    <cellStyle name="Normal 57 7 2 5 2 2" xfId="22104"/>
    <cellStyle name="Normal 57 7 2 5 2 2 2" xfId="47657"/>
    <cellStyle name="Normal 57 7 2 5 2 3" xfId="37615"/>
    <cellStyle name="Normal 57 7 2 5 3" xfId="8630"/>
    <cellStyle name="Normal 57 7 2 5 3 2" xfId="34187"/>
    <cellStyle name="Normal 57 7 2 5 4" xfId="17097"/>
    <cellStyle name="Normal 57 7 2 5 4 2" xfId="42650"/>
    <cellStyle name="Normal 57 7 2 5 5" xfId="28587"/>
    <cellStyle name="Normal 57 7 2 6" xfId="4394"/>
    <cellStyle name="Normal 57 7 2 6 2" xfId="13232"/>
    <cellStyle name="Normal 57 7 2 6 2 2" xfId="23483"/>
    <cellStyle name="Normal 57 7 2 6 2 2 2" xfId="49036"/>
    <cellStyle name="Normal 57 7 2 6 2 3" xfId="38787"/>
    <cellStyle name="Normal 57 7 2 6 3" xfId="9653"/>
    <cellStyle name="Normal 57 7 2 6 3 2" xfId="35210"/>
    <cellStyle name="Normal 57 7 2 6 4" xfId="18476"/>
    <cellStyle name="Normal 57 7 2 6 4 2" xfId="44029"/>
    <cellStyle name="Normal 57 7 2 6 5" xfId="29966"/>
    <cellStyle name="Normal 57 7 2 7" xfId="1666"/>
    <cellStyle name="Normal 57 7 2 7 2" xfId="11043"/>
    <cellStyle name="Normal 57 7 2 7 2 2" xfId="36598"/>
    <cellStyle name="Normal 57 7 2 7 3" xfId="21047"/>
    <cellStyle name="Normal 57 7 2 7 3 2" xfId="46600"/>
    <cellStyle name="Normal 57 7 2 7 4" xfId="27530"/>
    <cellStyle name="Normal 57 7 2 8" xfId="5850"/>
    <cellStyle name="Normal 57 7 2 8 2" xfId="14677"/>
    <cellStyle name="Normal 57 7 2 8 2 2" xfId="40232"/>
    <cellStyle name="Normal 57 7 2 8 3" xfId="24928"/>
    <cellStyle name="Normal 57 7 2 8 3 2" xfId="50481"/>
    <cellStyle name="Normal 57 7 2 8 4" xfId="31411"/>
    <cellStyle name="Normal 57 7 2 9" xfId="7294"/>
    <cellStyle name="Normal 57 7 2 9 2" xfId="19703"/>
    <cellStyle name="Normal 57 7 2 9 2 2" xfId="45256"/>
    <cellStyle name="Normal 57 7 2 9 3" xfId="32851"/>
    <cellStyle name="Normal 57 7 2_Degree data" xfId="3985"/>
    <cellStyle name="Normal 57 7 3" xfId="469"/>
    <cellStyle name="Normal 57 7 3 10" xfId="26398"/>
    <cellStyle name="Normal 57 7 3 2" xfId="880"/>
    <cellStyle name="Normal 57 7 3 2 2" xfId="3365"/>
    <cellStyle name="Normal 57 7 3 2 2 2" xfId="12507"/>
    <cellStyle name="Normal 57 7 3 2 2 2 2" xfId="22726"/>
    <cellStyle name="Normal 57 7 3 2 2 2 2 2" xfId="48279"/>
    <cellStyle name="Normal 57 7 3 2 2 2 3" xfId="38062"/>
    <cellStyle name="Normal 57 7 3 2 2 3" xfId="8929"/>
    <cellStyle name="Normal 57 7 3 2 2 3 2" xfId="34486"/>
    <cellStyle name="Normal 57 7 3 2 2 4" xfId="17719"/>
    <cellStyle name="Normal 57 7 3 2 2 4 2" xfId="43272"/>
    <cellStyle name="Normal 57 7 3 2 2 5" xfId="29209"/>
    <cellStyle name="Normal 57 7 3 2 3" xfId="4694"/>
    <cellStyle name="Normal 57 7 3 2 3 2" xfId="13532"/>
    <cellStyle name="Normal 57 7 3 2 3 2 2" xfId="23783"/>
    <cellStyle name="Normal 57 7 3 2 3 2 2 2" xfId="49336"/>
    <cellStyle name="Normal 57 7 3 2 3 2 3" xfId="39087"/>
    <cellStyle name="Normal 57 7 3 2 3 3" xfId="9953"/>
    <cellStyle name="Normal 57 7 3 2 3 3 2" xfId="35510"/>
    <cellStyle name="Normal 57 7 3 2 3 4" xfId="18776"/>
    <cellStyle name="Normal 57 7 3 2 3 4 2" xfId="44329"/>
    <cellStyle name="Normal 57 7 3 2 3 5" xfId="30266"/>
    <cellStyle name="Normal 57 7 3 2 4" xfId="2474"/>
    <cellStyle name="Normal 57 7 3 2 4 2" xfId="11839"/>
    <cellStyle name="Normal 57 7 3 2 4 2 2" xfId="37394"/>
    <cellStyle name="Normal 57 7 3 2 4 3" xfId="21843"/>
    <cellStyle name="Normal 57 7 3 2 4 3 2" xfId="47396"/>
    <cellStyle name="Normal 57 7 3 2 4 4" xfId="28326"/>
    <cellStyle name="Normal 57 7 3 2 5" xfId="6150"/>
    <cellStyle name="Normal 57 7 3 2 5 2" xfId="14977"/>
    <cellStyle name="Normal 57 7 3 2 5 2 2" xfId="40532"/>
    <cellStyle name="Normal 57 7 3 2 5 3" xfId="25228"/>
    <cellStyle name="Normal 57 7 3 2 5 3 2" xfId="50781"/>
    <cellStyle name="Normal 57 7 3 2 5 4" xfId="31711"/>
    <cellStyle name="Normal 57 7 3 2 6" xfId="7595"/>
    <cellStyle name="Normal 57 7 3 2 6 2" xfId="20325"/>
    <cellStyle name="Normal 57 7 3 2 6 2 2" xfId="45878"/>
    <cellStyle name="Normal 57 7 3 2 6 3" xfId="33152"/>
    <cellStyle name="Normal 57 7 3 2 7" xfId="16836"/>
    <cellStyle name="Normal 57 7 3 2 7 2" xfId="42389"/>
    <cellStyle name="Normal 57 7 3 2 8" xfId="26808"/>
    <cellStyle name="Normal 57 7 3 3" xfId="1241"/>
    <cellStyle name="Normal 57 7 3 3 2" xfId="3670"/>
    <cellStyle name="Normal 57 7 3 3 2 2" xfId="12806"/>
    <cellStyle name="Normal 57 7 3 3 2 2 2" xfId="23025"/>
    <cellStyle name="Normal 57 7 3 3 2 2 2 2" xfId="48578"/>
    <cellStyle name="Normal 57 7 3 3 2 2 3" xfId="38361"/>
    <cellStyle name="Normal 57 7 3 3 2 3" xfId="9227"/>
    <cellStyle name="Normal 57 7 3 3 2 3 2" xfId="34784"/>
    <cellStyle name="Normal 57 7 3 3 2 4" xfId="18018"/>
    <cellStyle name="Normal 57 7 3 3 2 4 2" xfId="43571"/>
    <cellStyle name="Normal 57 7 3 3 2 5" xfId="29508"/>
    <cellStyle name="Normal 57 7 3 3 3" xfId="5043"/>
    <cellStyle name="Normal 57 7 3 3 3 2" xfId="13880"/>
    <cellStyle name="Normal 57 7 3 3 3 2 2" xfId="24131"/>
    <cellStyle name="Normal 57 7 3 3 3 2 2 2" xfId="49684"/>
    <cellStyle name="Normal 57 7 3 3 3 2 3" xfId="39435"/>
    <cellStyle name="Normal 57 7 3 3 3 3" xfId="10301"/>
    <cellStyle name="Normal 57 7 3 3 3 3 2" xfId="35858"/>
    <cellStyle name="Normal 57 7 3 3 3 4" xfId="19124"/>
    <cellStyle name="Normal 57 7 3 3 3 4 2" xfId="44677"/>
    <cellStyle name="Normal 57 7 3 3 3 5" xfId="30614"/>
    <cellStyle name="Normal 57 7 3 3 4" xfId="2064"/>
    <cellStyle name="Normal 57 7 3 3 4 2" xfId="11429"/>
    <cellStyle name="Normal 57 7 3 3 4 2 2" xfId="36984"/>
    <cellStyle name="Normal 57 7 3 3 4 3" xfId="21433"/>
    <cellStyle name="Normal 57 7 3 3 4 3 2" xfId="46986"/>
    <cellStyle name="Normal 57 7 3 3 4 4" xfId="27916"/>
    <cellStyle name="Normal 57 7 3 3 5" xfId="6498"/>
    <cellStyle name="Normal 57 7 3 3 5 2" xfId="15325"/>
    <cellStyle name="Normal 57 7 3 3 5 2 2" xfId="40880"/>
    <cellStyle name="Normal 57 7 3 3 5 3" xfId="25576"/>
    <cellStyle name="Normal 57 7 3 3 5 3 2" xfId="51129"/>
    <cellStyle name="Normal 57 7 3 3 5 4" xfId="32059"/>
    <cellStyle name="Normal 57 7 3 3 6" xfId="7944"/>
    <cellStyle name="Normal 57 7 3 3 6 2" xfId="20624"/>
    <cellStyle name="Normal 57 7 3 3 6 2 2" xfId="46177"/>
    <cellStyle name="Normal 57 7 3 3 6 3" xfId="33501"/>
    <cellStyle name="Normal 57 7 3 3 7" xfId="16426"/>
    <cellStyle name="Normal 57 7 3 3 7 2" xfId="41979"/>
    <cellStyle name="Normal 57 7 3 3 8" xfId="27107"/>
    <cellStyle name="Normal 57 7 3 4" xfId="2955"/>
    <cellStyle name="Normal 57 7 3 4 2" xfId="5333"/>
    <cellStyle name="Normal 57 7 3 4 2 2" xfId="14170"/>
    <cellStyle name="Normal 57 7 3 4 2 2 2" xfId="24421"/>
    <cellStyle name="Normal 57 7 3 4 2 2 2 2" xfId="49974"/>
    <cellStyle name="Normal 57 7 3 4 2 2 3" xfId="39725"/>
    <cellStyle name="Normal 57 7 3 4 2 3" xfId="10591"/>
    <cellStyle name="Normal 57 7 3 4 2 3 2" xfId="36148"/>
    <cellStyle name="Normal 57 7 3 4 2 4" xfId="19414"/>
    <cellStyle name="Normal 57 7 3 4 2 4 2" xfId="44967"/>
    <cellStyle name="Normal 57 7 3 4 2 5" xfId="30904"/>
    <cellStyle name="Normal 57 7 3 4 3" xfId="6788"/>
    <cellStyle name="Normal 57 7 3 4 3 2" xfId="15615"/>
    <cellStyle name="Normal 57 7 3 4 3 2 2" xfId="41170"/>
    <cellStyle name="Normal 57 7 3 4 3 3" xfId="25866"/>
    <cellStyle name="Normal 57 7 3 4 3 3 2" xfId="51419"/>
    <cellStyle name="Normal 57 7 3 4 3 4" xfId="32349"/>
    <cellStyle name="Normal 57 7 3 4 4" xfId="8234"/>
    <cellStyle name="Normal 57 7 3 4 4 2" xfId="22316"/>
    <cellStyle name="Normal 57 7 3 4 4 2 2" xfId="47869"/>
    <cellStyle name="Normal 57 7 3 4 4 3" xfId="33791"/>
    <cellStyle name="Normal 57 7 3 4 5" xfId="17309"/>
    <cellStyle name="Normal 57 7 3 4 5 2" xfId="42862"/>
    <cellStyle name="Normal 57 7 3 4 6" xfId="28799"/>
    <cellStyle name="Normal 57 7 3 5" xfId="4289"/>
    <cellStyle name="Normal 57 7 3 5 2" xfId="13127"/>
    <cellStyle name="Normal 57 7 3 5 2 2" xfId="23378"/>
    <cellStyle name="Normal 57 7 3 5 2 2 2" xfId="48931"/>
    <cellStyle name="Normal 57 7 3 5 2 3" xfId="38682"/>
    <cellStyle name="Normal 57 7 3 5 3" xfId="9548"/>
    <cellStyle name="Normal 57 7 3 5 3 2" xfId="35105"/>
    <cellStyle name="Normal 57 7 3 5 4" xfId="18371"/>
    <cellStyle name="Normal 57 7 3 5 4 2" xfId="43924"/>
    <cellStyle name="Normal 57 7 3 5 5" xfId="29861"/>
    <cellStyle name="Normal 57 7 3 6" xfId="1561"/>
    <cellStyle name="Normal 57 7 3 6 2" xfId="10938"/>
    <cellStyle name="Normal 57 7 3 6 2 2" xfId="36493"/>
    <cellStyle name="Normal 57 7 3 6 3" xfId="20942"/>
    <cellStyle name="Normal 57 7 3 6 3 2" xfId="46495"/>
    <cellStyle name="Normal 57 7 3 6 4" xfId="27425"/>
    <cellStyle name="Normal 57 7 3 7" xfId="5745"/>
    <cellStyle name="Normal 57 7 3 7 2" xfId="14572"/>
    <cellStyle name="Normal 57 7 3 7 2 2" xfId="40127"/>
    <cellStyle name="Normal 57 7 3 7 3" xfId="24823"/>
    <cellStyle name="Normal 57 7 3 7 3 2" xfId="50376"/>
    <cellStyle name="Normal 57 7 3 7 4" xfId="31306"/>
    <cellStyle name="Normal 57 7 3 8" xfId="7189"/>
    <cellStyle name="Normal 57 7 3 8 2" xfId="19915"/>
    <cellStyle name="Normal 57 7 3 8 2 2" xfId="45468"/>
    <cellStyle name="Normal 57 7 3 8 3" xfId="32746"/>
    <cellStyle name="Normal 57 7 3 9" xfId="15935"/>
    <cellStyle name="Normal 57 7 3 9 2" xfId="41488"/>
    <cellStyle name="Normal 57 7 3_Degree data" xfId="3986"/>
    <cellStyle name="Normal 57 7 4" xfId="369"/>
    <cellStyle name="Normal 57 7 4 2" xfId="2855"/>
    <cellStyle name="Normal 57 7 4 2 2" xfId="12143"/>
    <cellStyle name="Normal 57 7 4 2 2 2" xfId="22216"/>
    <cellStyle name="Normal 57 7 4 2 2 2 2" xfId="47769"/>
    <cellStyle name="Normal 57 7 4 2 2 3" xfId="37698"/>
    <cellStyle name="Normal 57 7 4 2 3" xfId="8614"/>
    <cellStyle name="Normal 57 7 4 2 3 2" xfId="34171"/>
    <cellStyle name="Normal 57 7 4 2 4" xfId="17209"/>
    <cellStyle name="Normal 57 7 4 2 4 2" xfId="42762"/>
    <cellStyle name="Normal 57 7 4 2 5" xfId="28699"/>
    <cellStyle name="Normal 57 7 4 3" xfId="4692"/>
    <cellStyle name="Normal 57 7 4 3 2" xfId="13530"/>
    <cellStyle name="Normal 57 7 4 3 2 2" xfId="23781"/>
    <cellStyle name="Normal 57 7 4 3 2 2 2" xfId="49334"/>
    <cellStyle name="Normal 57 7 4 3 2 3" xfId="39085"/>
    <cellStyle name="Normal 57 7 4 3 3" xfId="9951"/>
    <cellStyle name="Normal 57 7 4 3 3 2" xfId="35508"/>
    <cellStyle name="Normal 57 7 4 3 4" xfId="18774"/>
    <cellStyle name="Normal 57 7 4 3 4 2" xfId="44327"/>
    <cellStyle name="Normal 57 7 4 3 5" xfId="30264"/>
    <cellStyle name="Normal 57 7 4 4" xfId="1964"/>
    <cellStyle name="Normal 57 7 4 4 2" xfId="11329"/>
    <cellStyle name="Normal 57 7 4 4 2 2" xfId="36884"/>
    <cellStyle name="Normal 57 7 4 4 3" xfId="21333"/>
    <cellStyle name="Normal 57 7 4 4 3 2" xfId="46886"/>
    <cellStyle name="Normal 57 7 4 4 4" xfId="27816"/>
    <cellStyle name="Normal 57 7 4 5" xfId="6148"/>
    <cellStyle name="Normal 57 7 4 5 2" xfId="14975"/>
    <cellStyle name="Normal 57 7 4 5 2 2" xfId="40530"/>
    <cellStyle name="Normal 57 7 4 5 3" xfId="25226"/>
    <cellStyle name="Normal 57 7 4 5 3 2" xfId="50779"/>
    <cellStyle name="Normal 57 7 4 5 4" xfId="31709"/>
    <cellStyle name="Normal 57 7 4 6" xfId="7593"/>
    <cellStyle name="Normal 57 7 4 6 2" xfId="19815"/>
    <cellStyle name="Normal 57 7 4 6 2 2" xfId="45368"/>
    <cellStyle name="Normal 57 7 4 6 3" xfId="33150"/>
    <cellStyle name="Normal 57 7 4 7" xfId="16326"/>
    <cellStyle name="Normal 57 7 4 7 2" xfId="41879"/>
    <cellStyle name="Normal 57 7 4 8" xfId="26298"/>
    <cellStyle name="Normal 57 7 5" xfId="878"/>
    <cellStyle name="Normal 57 7 5 2" xfId="3363"/>
    <cellStyle name="Normal 57 7 5 2 2" xfId="12505"/>
    <cellStyle name="Normal 57 7 5 2 2 2" xfId="22724"/>
    <cellStyle name="Normal 57 7 5 2 2 2 2" xfId="48277"/>
    <cellStyle name="Normal 57 7 5 2 2 3" xfId="38060"/>
    <cellStyle name="Normal 57 7 5 2 3" xfId="8927"/>
    <cellStyle name="Normal 57 7 5 2 3 2" xfId="34484"/>
    <cellStyle name="Normal 57 7 5 2 4" xfId="17717"/>
    <cellStyle name="Normal 57 7 5 2 4 2" xfId="43270"/>
    <cellStyle name="Normal 57 7 5 2 5" xfId="29207"/>
    <cellStyle name="Normal 57 7 5 3" xfId="5041"/>
    <cellStyle name="Normal 57 7 5 3 2" xfId="13878"/>
    <cellStyle name="Normal 57 7 5 3 2 2" xfId="24129"/>
    <cellStyle name="Normal 57 7 5 3 2 2 2" xfId="49682"/>
    <cellStyle name="Normal 57 7 5 3 2 3" xfId="39433"/>
    <cellStyle name="Normal 57 7 5 3 3" xfId="10299"/>
    <cellStyle name="Normal 57 7 5 3 3 2" xfId="35856"/>
    <cellStyle name="Normal 57 7 5 3 4" xfId="19122"/>
    <cellStyle name="Normal 57 7 5 3 4 2" xfId="44675"/>
    <cellStyle name="Normal 57 7 5 3 5" xfId="30612"/>
    <cellStyle name="Normal 57 7 5 4" xfId="2472"/>
    <cellStyle name="Normal 57 7 5 4 2" xfId="11837"/>
    <cellStyle name="Normal 57 7 5 4 2 2" xfId="37392"/>
    <cellStyle name="Normal 57 7 5 4 3" xfId="21841"/>
    <cellStyle name="Normal 57 7 5 4 3 2" xfId="47394"/>
    <cellStyle name="Normal 57 7 5 4 4" xfId="28324"/>
    <cellStyle name="Normal 57 7 5 5" xfId="6496"/>
    <cellStyle name="Normal 57 7 5 5 2" xfId="15323"/>
    <cellStyle name="Normal 57 7 5 5 2 2" xfId="40878"/>
    <cellStyle name="Normal 57 7 5 5 3" xfId="25574"/>
    <cellStyle name="Normal 57 7 5 5 3 2" xfId="51127"/>
    <cellStyle name="Normal 57 7 5 5 4" xfId="32057"/>
    <cellStyle name="Normal 57 7 5 6" xfId="7942"/>
    <cellStyle name="Normal 57 7 5 6 2" xfId="20323"/>
    <cellStyle name="Normal 57 7 5 6 2 2" xfId="45876"/>
    <cellStyle name="Normal 57 7 5 6 3" xfId="33499"/>
    <cellStyle name="Normal 57 7 5 7" xfId="16834"/>
    <cellStyle name="Normal 57 7 5 7 2" xfId="42387"/>
    <cellStyle name="Normal 57 7 5 8" xfId="26806"/>
    <cellStyle name="Normal 57 7 6" xfId="1141"/>
    <cellStyle name="Normal 57 7 6 2" xfId="3570"/>
    <cellStyle name="Normal 57 7 6 2 2" xfId="12706"/>
    <cellStyle name="Normal 57 7 6 2 2 2" xfId="22925"/>
    <cellStyle name="Normal 57 7 6 2 2 2 2" xfId="48478"/>
    <cellStyle name="Normal 57 7 6 2 2 3" xfId="38261"/>
    <cellStyle name="Normal 57 7 6 2 3" xfId="9127"/>
    <cellStyle name="Normal 57 7 6 2 3 2" xfId="34684"/>
    <cellStyle name="Normal 57 7 6 2 4" xfId="17918"/>
    <cellStyle name="Normal 57 7 6 2 4 2" xfId="43471"/>
    <cellStyle name="Normal 57 7 6 2 5" xfId="29408"/>
    <cellStyle name="Normal 57 7 6 3" xfId="5233"/>
    <cellStyle name="Normal 57 7 6 3 2" xfId="14070"/>
    <cellStyle name="Normal 57 7 6 3 2 2" xfId="24321"/>
    <cellStyle name="Normal 57 7 6 3 2 2 2" xfId="49874"/>
    <cellStyle name="Normal 57 7 6 3 2 3" xfId="39625"/>
    <cellStyle name="Normal 57 7 6 3 3" xfId="10491"/>
    <cellStyle name="Normal 57 7 6 3 3 2" xfId="36048"/>
    <cellStyle name="Normal 57 7 6 3 4" xfId="19314"/>
    <cellStyle name="Normal 57 7 6 3 4 2" xfId="44867"/>
    <cellStyle name="Normal 57 7 6 3 5" xfId="30804"/>
    <cellStyle name="Normal 57 7 6 4" xfId="1740"/>
    <cellStyle name="Normal 57 7 6 4 2" xfId="11111"/>
    <cellStyle name="Normal 57 7 6 4 2 2" xfId="36666"/>
    <cellStyle name="Normal 57 7 6 4 3" xfId="21115"/>
    <cellStyle name="Normal 57 7 6 4 3 2" xfId="46668"/>
    <cellStyle name="Normal 57 7 6 4 4" xfId="27598"/>
    <cellStyle name="Normal 57 7 6 5" xfId="6688"/>
    <cellStyle name="Normal 57 7 6 5 2" xfId="15515"/>
    <cellStyle name="Normal 57 7 6 5 2 2" xfId="41070"/>
    <cellStyle name="Normal 57 7 6 5 3" xfId="25766"/>
    <cellStyle name="Normal 57 7 6 5 3 2" xfId="51319"/>
    <cellStyle name="Normal 57 7 6 5 4" xfId="32249"/>
    <cellStyle name="Normal 57 7 6 6" xfId="8134"/>
    <cellStyle name="Normal 57 7 6 6 2" xfId="20524"/>
    <cellStyle name="Normal 57 7 6 6 2 2" xfId="46077"/>
    <cellStyle name="Normal 57 7 6 6 3" xfId="33691"/>
    <cellStyle name="Normal 57 7 6 7" xfId="16108"/>
    <cellStyle name="Normal 57 7 6 7 2" xfId="41661"/>
    <cellStyle name="Normal 57 7 6 8" xfId="27007"/>
    <cellStyle name="Normal 57 7 7" xfId="2638"/>
    <cellStyle name="Normal 57 7 7 2" xfId="11970"/>
    <cellStyle name="Normal 57 7 7 2 2" xfId="21999"/>
    <cellStyle name="Normal 57 7 7 2 2 2" xfId="47552"/>
    <cellStyle name="Normal 57 7 7 2 3" xfId="37525"/>
    <cellStyle name="Normal 57 7 7 3" xfId="8390"/>
    <cellStyle name="Normal 57 7 7 3 2" xfId="33947"/>
    <cellStyle name="Normal 57 7 7 4" xfId="16992"/>
    <cellStyle name="Normal 57 7 7 4 2" xfId="42545"/>
    <cellStyle name="Normal 57 7 7 5" xfId="28482"/>
    <cellStyle name="Normal 57 7 8" xfId="4189"/>
    <cellStyle name="Normal 57 7 8 2" xfId="13027"/>
    <cellStyle name="Normal 57 7 8 2 2" xfId="23278"/>
    <cellStyle name="Normal 57 7 8 2 2 2" xfId="48831"/>
    <cellStyle name="Normal 57 7 8 2 3" xfId="38582"/>
    <cellStyle name="Normal 57 7 8 3" xfId="9448"/>
    <cellStyle name="Normal 57 7 8 3 2" xfId="35005"/>
    <cellStyle name="Normal 57 7 8 4" xfId="18271"/>
    <cellStyle name="Normal 57 7 8 4 2" xfId="43824"/>
    <cellStyle name="Normal 57 7 8 5" xfId="29761"/>
    <cellStyle name="Normal 57 7 9" xfId="1461"/>
    <cellStyle name="Normal 57 7 9 2" xfId="10838"/>
    <cellStyle name="Normal 57 7 9 2 2" xfId="36393"/>
    <cellStyle name="Normal 57 7 9 3" xfId="20842"/>
    <cellStyle name="Normal 57 7 9 3 2" xfId="46395"/>
    <cellStyle name="Normal 57 7 9 4" xfId="27325"/>
    <cellStyle name="Normal 57 7_Degree data" xfId="3984"/>
    <cellStyle name="Normal 57 8" xfId="171"/>
    <cellStyle name="Normal 57 8 10" xfId="7119"/>
    <cellStyle name="Normal 57 8 10 2" xfId="19628"/>
    <cellStyle name="Normal 57 8 10 2 2" xfId="45181"/>
    <cellStyle name="Normal 57 8 10 3" xfId="32676"/>
    <cellStyle name="Normal 57 8 11" xfId="15865"/>
    <cellStyle name="Normal 57 8 11 2" xfId="41418"/>
    <cellStyle name="Normal 57 8 12" xfId="26111"/>
    <cellStyle name="Normal 57 8 2" xfId="499"/>
    <cellStyle name="Normal 57 8 2 10" xfId="26428"/>
    <cellStyle name="Normal 57 8 2 2" xfId="882"/>
    <cellStyle name="Normal 57 8 2 2 2" xfId="3367"/>
    <cellStyle name="Normal 57 8 2 2 2 2" xfId="12509"/>
    <cellStyle name="Normal 57 8 2 2 2 2 2" xfId="22728"/>
    <cellStyle name="Normal 57 8 2 2 2 2 2 2" xfId="48281"/>
    <cellStyle name="Normal 57 8 2 2 2 2 3" xfId="38064"/>
    <cellStyle name="Normal 57 8 2 2 2 3" xfId="8931"/>
    <cellStyle name="Normal 57 8 2 2 2 3 2" xfId="34488"/>
    <cellStyle name="Normal 57 8 2 2 2 4" xfId="17721"/>
    <cellStyle name="Normal 57 8 2 2 2 4 2" xfId="43274"/>
    <cellStyle name="Normal 57 8 2 2 2 5" xfId="29211"/>
    <cellStyle name="Normal 57 8 2 2 3" xfId="4696"/>
    <cellStyle name="Normal 57 8 2 2 3 2" xfId="13534"/>
    <cellStyle name="Normal 57 8 2 2 3 2 2" xfId="23785"/>
    <cellStyle name="Normal 57 8 2 2 3 2 2 2" xfId="49338"/>
    <cellStyle name="Normal 57 8 2 2 3 2 3" xfId="39089"/>
    <cellStyle name="Normal 57 8 2 2 3 3" xfId="9955"/>
    <cellStyle name="Normal 57 8 2 2 3 3 2" xfId="35512"/>
    <cellStyle name="Normal 57 8 2 2 3 4" xfId="18778"/>
    <cellStyle name="Normal 57 8 2 2 3 4 2" xfId="44331"/>
    <cellStyle name="Normal 57 8 2 2 3 5" xfId="30268"/>
    <cellStyle name="Normal 57 8 2 2 4" xfId="2476"/>
    <cellStyle name="Normal 57 8 2 2 4 2" xfId="11841"/>
    <cellStyle name="Normal 57 8 2 2 4 2 2" xfId="37396"/>
    <cellStyle name="Normal 57 8 2 2 4 3" xfId="21845"/>
    <cellStyle name="Normal 57 8 2 2 4 3 2" xfId="47398"/>
    <cellStyle name="Normal 57 8 2 2 4 4" xfId="28328"/>
    <cellStyle name="Normal 57 8 2 2 5" xfId="6152"/>
    <cellStyle name="Normal 57 8 2 2 5 2" xfId="14979"/>
    <cellStyle name="Normal 57 8 2 2 5 2 2" xfId="40534"/>
    <cellStyle name="Normal 57 8 2 2 5 3" xfId="25230"/>
    <cellStyle name="Normal 57 8 2 2 5 3 2" xfId="50783"/>
    <cellStyle name="Normal 57 8 2 2 5 4" xfId="31713"/>
    <cellStyle name="Normal 57 8 2 2 6" xfId="7597"/>
    <cellStyle name="Normal 57 8 2 2 6 2" xfId="20327"/>
    <cellStyle name="Normal 57 8 2 2 6 2 2" xfId="45880"/>
    <cellStyle name="Normal 57 8 2 2 6 3" xfId="33154"/>
    <cellStyle name="Normal 57 8 2 2 7" xfId="16838"/>
    <cellStyle name="Normal 57 8 2 2 7 2" xfId="42391"/>
    <cellStyle name="Normal 57 8 2 2 8" xfId="26810"/>
    <cellStyle name="Normal 57 8 2 3" xfId="1271"/>
    <cellStyle name="Normal 57 8 2 3 2" xfId="3700"/>
    <cellStyle name="Normal 57 8 2 3 2 2" xfId="12836"/>
    <cellStyle name="Normal 57 8 2 3 2 2 2" xfId="23055"/>
    <cellStyle name="Normal 57 8 2 3 2 2 2 2" xfId="48608"/>
    <cellStyle name="Normal 57 8 2 3 2 2 3" xfId="38391"/>
    <cellStyle name="Normal 57 8 2 3 2 3" xfId="9257"/>
    <cellStyle name="Normal 57 8 2 3 2 3 2" xfId="34814"/>
    <cellStyle name="Normal 57 8 2 3 2 4" xfId="18048"/>
    <cellStyle name="Normal 57 8 2 3 2 4 2" xfId="43601"/>
    <cellStyle name="Normal 57 8 2 3 2 5" xfId="29538"/>
    <cellStyle name="Normal 57 8 2 3 3" xfId="5045"/>
    <cellStyle name="Normal 57 8 2 3 3 2" xfId="13882"/>
    <cellStyle name="Normal 57 8 2 3 3 2 2" xfId="24133"/>
    <cellStyle name="Normal 57 8 2 3 3 2 2 2" xfId="49686"/>
    <cellStyle name="Normal 57 8 2 3 3 2 3" xfId="39437"/>
    <cellStyle name="Normal 57 8 2 3 3 3" xfId="10303"/>
    <cellStyle name="Normal 57 8 2 3 3 3 2" xfId="35860"/>
    <cellStyle name="Normal 57 8 2 3 3 4" xfId="19126"/>
    <cellStyle name="Normal 57 8 2 3 3 4 2" xfId="44679"/>
    <cellStyle name="Normal 57 8 2 3 3 5" xfId="30616"/>
    <cellStyle name="Normal 57 8 2 3 4" xfId="2094"/>
    <cellStyle name="Normal 57 8 2 3 4 2" xfId="11459"/>
    <cellStyle name="Normal 57 8 2 3 4 2 2" xfId="37014"/>
    <cellStyle name="Normal 57 8 2 3 4 3" xfId="21463"/>
    <cellStyle name="Normal 57 8 2 3 4 3 2" xfId="47016"/>
    <cellStyle name="Normal 57 8 2 3 4 4" xfId="27946"/>
    <cellStyle name="Normal 57 8 2 3 5" xfId="6500"/>
    <cellStyle name="Normal 57 8 2 3 5 2" xfId="15327"/>
    <cellStyle name="Normal 57 8 2 3 5 2 2" xfId="40882"/>
    <cellStyle name="Normal 57 8 2 3 5 3" xfId="25578"/>
    <cellStyle name="Normal 57 8 2 3 5 3 2" xfId="51131"/>
    <cellStyle name="Normal 57 8 2 3 5 4" xfId="32061"/>
    <cellStyle name="Normal 57 8 2 3 6" xfId="7946"/>
    <cellStyle name="Normal 57 8 2 3 6 2" xfId="20654"/>
    <cellStyle name="Normal 57 8 2 3 6 2 2" xfId="46207"/>
    <cellStyle name="Normal 57 8 2 3 6 3" xfId="33503"/>
    <cellStyle name="Normal 57 8 2 3 7" xfId="16456"/>
    <cellStyle name="Normal 57 8 2 3 7 2" xfId="42009"/>
    <cellStyle name="Normal 57 8 2 3 8" xfId="27137"/>
    <cellStyle name="Normal 57 8 2 4" xfId="2985"/>
    <cellStyle name="Normal 57 8 2 4 2" xfId="5363"/>
    <cellStyle name="Normal 57 8 2 4 2 2" xfId="14200"/>
    <cellStyle name="Normal 57 8 2 4 2 2 2" xfId="24451"/>
    <cellStyle name="Normal 57 8 2 4 2 2 2 2" xfId="50004"/>
    <cellStyle name="Normal 57 8 2 4 2 2 3" xfId="39755"/>
    <cellStyle name="Normal 57 8 2 4 2 3" xfId="10621"/>
    <cellStyle name="Normal 57 8 2 4 2 3 2" xfId="36178"/>
    <cellStyle name="Normal 57 8 2 4 2 4" xfId="19444"/>
    <cellStyle name="Normal 57 8 2 4 2 4 2" xfId="44997"/>
    <cellStyle name="Normal 57 8 2 4 2 5" xfId="30934"/>
    <cellStyle name="Normal 57 8 2 4 3" xfId="6818"/>
    <cellStyle name="Normal 57 8 2 4 3 2" xfId="15645"/>
    <cellStyle name="Normal 57 8 2 4 3 2 2" xfId="41200"/>
    <cellStyle name="Normal 57 8 2 4 3 3" xfId="25896"/>
    <cellStyle name="Normal 57 8 2 4 3 3 2" xfId="51449"/>
    <cellStyle name="Normal 57 8 2 4 3 4" xfId="32379"/>
    <cellStyle name="Normal 57 8 2 4 4" xfId="8264"/>
    <cellStyle name="Normal 57 8 2 4 4 2" xfId="22346"/>
    <cellStyle name="Normal 57 8 2 4 4 2 2" xfId="47899"/>
    <cellStyle name="Normal 57 8 2 4 4 3" xfId="33821"/>
    <cellStyle name="Normal 57 8 2 4 5" xfId="17339"/>
    <cellStyle name="Normal 57 8 2 4 5 2" xfId="42892"/>
    <cellStyle name="Normal 57 8 2 4 6" xfId="28829"/>
    <cellStyle name="Normal 57 8 2 5" xfId="4319"/>
    <cellStyle name="Normal 57 8 2 5 2" xfId="13157"/>
    <cellStyle name="Normal 57 8 2 5 2 2" xfId="23408"/>
    <cellStyle name="Normal 57 8 2 5 2 2 2" xfId="48961"/>
    <cellStyle name="Normal 57 8 2 5 2 3" xfId="38712"/>
    <cellStyle name="Normal 57 8 2 5 3" xfId="9578"/>
    <cellStyle name="Normal 57 8 2 5 3 2" xfId="35135"/>
    <cellStyle name="Normal 57 8 2 5 4" xfId="18401"/>
    <cellStyle name="Normal 57 8 2 5 4 2" xfId="43954"/>
    <cellStyle name="Normal 57 8 2 5 5" xfId="29891"/>
    <cellStyle name="Normal 57 8 2 6" xfId="1591"/>
    <cellStyle name="Normal 57 8 2 6 2" xfId="10968"/>
    <cellStyle name="Normal 57 8 2 6 2 2" xfId="36523"/>
    <cellStyle name="Normal 57 8 2 6 3" xfId="20972"/>
    <cellStyle name="Normal 57 8 2 6 3 2" xfId="46525"/>
    <cellStyle name="Normal 57 8 2 6 4" xfId="27455"/>
    <cellStyle name="Normal 57 8 2 7" xfId="5775"/>
    <cellStyle name="Normal 57 8 2 7 2" xfId="14602"/>
    <cellStyle name="Normal 57 8 2 7 2 2" xfId="40157"/>
    <cellStyle name="Normal 57 8 2 7 3" xfId="24853"/>
    <cellStyle name="Normal 57 8 2 7 3 2" xfId="50406"/>
    <cellStyle name="Normal 57 8 2 7 4" xfId="31336"/>
    <cellStyle name="Normal 57 8 2 8" xfId="7219"/>
    <cellStyle name="Normal 57 8 2 8 2" xfId="19945"/>
    <cellStyle name="Normal 57 8 2 8 2 2" xfId="45498"/>
    <cellStyle name="Normal 57 8 2 8 3" xfId="32776"/>
    <cellStyle name="Normal 57 8 2 9" xfId="15965"/>
    <cellStyle name="Normal 57 8 2 9 2" xfId="41518"/>
    <cellStyle name="Normal 57 8 2_Degree data" xfId="3988"/>
    <cellStyle name="Normal 57 8 3" xfId="399"/>
    <cellStyle name="Normal 57 8 3 2" xfId="2885"/>
    <cellStyle name="Normal 57 8 3 2 2" xfId="12173"/>
    <cellStyle name="Normal 57 8 3 2 2 2" xfId="22246"/>
    <cellStyle name="Normal 57 8 3 2 2 2 2" xfId="47799"/>
    <cellStyle name="Normal 57 8 3 2 2 3" xfId="37728"/>
    <cellStyle name="Normal 57 8 3 2 3" xfId="8439"/>
    <cellStyle name="Normal 57 8 3 2 3 2" xfId="33996"/>
    <cellStyle name="Normal 57 8 3 2 4" xfId="17239"/>
    <cellStyle name="Normal 57 8 3 2 4 2" xfId="42792"/>
    <cellStyle name="Normal 57 8 3 2 5" xfId="28729"/>
    <cellStyle name="Normal 57 8 3 3" xfId="4695"/>
    <cellStyle name="Normal 57 8 3 3 2" xfId="13533"/>
    <cellStyle name="Normal 57 8 3 3 2 2" xfId="23784"/>
    <cellStyle name="Normal 57 8 3 3 2 2 2" xfId="49337"/>
    <cellStyle name="Normal 57 8 3 3 2 3" xfId="39088"/>
    <cellStyle name="Normal 57 8 3 3 3" xfId="9954"/>
    <cellStyle name="Normal 57 8 3 3 3 2" xfId="35511"/>
    <cellStyle name="Normal 57 8 3 3 4" xfId="18777"/>
    <cellStyle name="Normal 57 8 3 3 4 2" xfId="44330"/>
    <cellStyle name="Normal 57 8 3 3 5" xfId="30267"/>
    <cellStyle name="Normal 57 8 3 4" xfId="1994"/>
    <cellStyle name="Normal 57 8 3 4 2" xfId="11359"/>
    <cellStyle name="Normal 57 8 3 4 2 2" xfId="36914"/>
    <cellStyle name="Normal 57 8 3 4 3" xfId="21363"/>
    <cellStyle name="Normal 57 8 3 4 3 2" xfId="46916"/>
    <cellStyle name="Normal 57 8 3 4 4" xfId="27846"/>
    <cellStyle name="Normal 57 8 3 5" xfId="6151"/>
    <cellStyle name="Normal 57 8 3 5 2" xfId="14978"/>
    <cellStyle name="Normal 57 8 3 5 2 2" xfId="40533"/>
    <cellStyle name="Normal 57 8 3 5 3" xfId="25229"/>
    <cellStyle name="Normal 57 8 3 5 3 2" xfId="50782"/>
    <cellStyle name="Normal 57 8 3 5 4" xfId="31712"/>
    <cellStyle name="Normal 57 8 3 6" xfId="7596"/>
    <cellStyle name="Normal 57 8 3 6 2" xfId="19845"/>
    <cellStyle name="Normal 57 8 3 6 2 2" xfId="45398"/>
    <cellStyle name="Normal 57 8 3 6 3" xfId="33153"/>
    <cellStyle name="Normal 57 8 3 7" xfId="16356"/>
    <cellStyle name="Normal 57 8 3 7 2" xfId="41909"/>
    <cellStyle name="Normal 57 8 3 8" xfId="26328"/>
    <cellStyle name="Normal 57 8 4" xfId="881"/>
    <cellStyle name="Normal 57 8 4 2" xfId="3366"/>
    <cellStyle name="Normal 57 8 4 2 2" xfId="12508"/>
    <cellStyle name="Normal 57 8 4 2 2 2" xfId="22727"/>
    <cellStyle name="Normal 57 8 4 2 2 2 2" xfId="48280"/>
    <cellStyle name="Normal 57 8 4 2 2 3" xfId="38063"/>
    <cellStyle name="Normal 57 8 4 2 3" xfId="8930"/>
    <cellStyle name="Normal 57 8 4 2 3 2" xfId="34487"/>
    <cellStyle name="Normal 57 8 4 2 4" xfId="17720"/>
    <cellStyle name="Normal 57 8 4 2 4 2" xfId="43273"/>
    <cellStyle name="Normal 57 8 4 2 5" xfId="29210"/>
    <cellStyle name="Normal 57 8 4 3" xfId="5044"/>
    <cellStyle name="Normal 57 8 4 3 2" xfId="13881"/>
    <cellStyle name="Normal 57 8 4 3 2 2" xfId="24132"/>
    <cellStyle name="Normal 57 8 4 3 2 2 2" xfId="49685"/>
    <cellStyle name="Normal 57 8 4 3 2 3" xfId="39436"/>
    <cellStyle name="Normal 57 8 4 3 3" xfId="10302"/>
    <cellStyle name="Normal 57 8 4 3 3 2" xfId="35859"/>
    <cellStyle name="Normal 57 8 4 3 4" xfId="19125"/>
    <cellStyle name="Normal 57 8 4 3 4 2" xfId="44678"/>
    <cellStyle name="Normal 57 8 4 3 5" xfId="30615"/>
    <cellStyle name="Normal 57 8 4 4" xfId="2475"/>
    <cellStyle name="Normal 57 8 4 4 2" xfId="11840"/>
    <cellStyle name="Normal 57 8 4 4 2 2" xfId="37395"/>
    <cellStyle name="Normal 57 8 4 4 3" xfId="21844"/>
    <cellStyle name="Normal 57 8 4 4 3 2" xfId="47397"/>
    <cellStyle name="Normal 57 8 4 4 4" xfId="28327"/>
    <cellStyle name="Normal 57 8 4 5" xfId="6499"/>
    <cellStyle name="Normal 57 8 4 5 2" xfId="15326"/>
    <cellStyle name="Normal 57 8 4 5 2 2" xfId="40881"/>
    <cellStyle name="Normal 57 8 4 5 3" xfId="25577"/>
    <cellStyle name="Normal 57 8 4 5 3 2" xfId="51130"/>
    <cellStyle name="Normal 57 8 4 5 4" xfId="32060"/>
    <cellStyle name="Normal 57 8 4 6" xfId="7945"/>
    <cellStyle name="Normal 57 8 4 6 2" xfId="20326"/>
    <cellStyle name="Normal 57 8 4 6 2 2" xfId="45879"/>
    <cellStyle name="Normal 57 8 4 6 3" xfId="33502"/>
    <cellStyle name="Normal 57 8 4 7" xfId="16837"/>
    <cellStyle name="Normal 57 8 4 7 2" xfId="42390"/>
    <cellStyle name="Normal 57 8 4 8" xfId="26809"/>
    <cellStyle name="Normal 57 8 5" xfId="1171"/>
    <cellStyle name="Normal 57 8 5 2" xfId="3600"/>
    <cellStyle name="Normal 57 8 5 2 2" xfId="12736"/>
    <cellStyle name="Normal 57 8 5 2 2 2" xfId="22955"/>
    <cellStyle name="Normal 57 8 5 2 2 2 2" xfId="48508"/>
    <cellStyle name="Normal 57 8 5 2 2 3" xfId="38291"/>
    <cellStyle name="Normal 57 8 5 2 3" xfId="9157"/>
    <cellStyle name="Normal 57 8 5 2 3 2" xfId="34714"/>
    <cellStyle name="Normal 57 8 5 2 4" xfId="17948"/>
    <cellStyle name="Normal 57 8 5 2 4 2" xfId="43501"/>
    <cellStyle name="Normal 57 8 5 2 5" xfId="29438"/>
    <cellStyle name="Normal 57 8 5 3" xfId="5263"/>
    <cellStyle name="Normal 57 8 5 3 2" xfId="14100"/>
    <cellStyle name="Normal 57 8 5 3 2 2" xfId="24351"/>
    <cellStyle name="Normal 57 8 5 3 2 2 2" xfId="49904"/>
    <cellStyle name="Normal 57 8 5 3 2 3" xfId="39655"/>
    <cellStyle name="Normal 57 8 5 3 3" xfId="10521"/>
    <cellStyle name="Normal 57 8 5 3 3 2" xfId="36078"/>
    <cellStyle name="Normal 57 8 5 3 4" xfId="19344"/>
    <cellStyle name="Normal 57 8 5 3 4 2" xfId="44897"/>
    <cellStyle name="Normal 57 8 5 3 5" xfId="30834"/>
    <cellStyle name="Normal 57 8 5 4" xfId="1773"/>
    <cellStyle name="Normal 57 8 5 4 2" xfId="11142"/>
    <cellStyle name="Normal 57 8 5 4 2 2" xfId="36697"/>
    <cellStyle name="Normal 57 8 5 4 3" xfId="21146"/>
    <cellStyle name="Normal 57 8 5 4 3 2" xfId="46699"/>
    <cellStyle name="Normal 57 8 5 4 4" xfId="27629"/>
    <cellStyle name="Normal 57 8 5 5" xfId="6718"/>
    <cellStyle name="Normal 57 8 5 5 2" xfId="15545"/>
    <cellStyle name="Normal 57 8 5 5 2 2" xfId="41100"/>
    <cellStyle name="Normal 57 8 5 5 3" xfId="25796"/>
    <cellStyle name="Normal 57 8 5 5 3 2" xfId="51349"/>
    <cellStyle name="Normal 57 8 5 5 4" xfId="32279"/>
    <cellStyle name="Normal 57 8 5 6" xfId="8164"/>
    <cellStyle name="Normal 57 8 5 6 2" xfId="20554"/>
    <cellStyle name="Normal 57 8 5 6 2 2" xfId="46107"/>
    <cellStyle name="Normal 57 8 5 6 3" xfId="33721"/>
    <cellStyle name="Normal 57 8 5 7" xfId="16139"/>
    <cellStyle name="Normal 57 8 5 7 2" xfId="41692"/>
    <cellStyle name="Normal 57 8 5 8" xfId="27037"/>
    <cellStyle name="Normal 57 8 6" xfId="2668"/>
    <cellStyle name="Normal 57 8 6 2" xfId="11985"/>
    <cellStyle name="Normal 57 8 6 2 2" xfId="22029"/>
    <cellStyle name="Normal 57 8 6 2 2 2" xfId="47582"/>
    <cellStyle name="Normal 57 8 6 2 3" xfId="37540"/>
    <cellStyle name="Normal 57 8 6 3" xfId="8569"/>
    <cellStyle name="Normal 57 8 6 3 2" xfId="34126"/>
    <cellStyle name="Normal 57 8 6 4" xfId="17022"/>
    <cellStyle name="Normal 57 8 6 4 2" xfId="42575"/>
    <cellStyle name="Normal 57 8 6 5" xfId="28512"/>
    <cellStyle name="Normal 57 8 7" xfId="4219"/>
    <cellStyle name="Normal 57 8 7 2" xfId="13057"/>
    <cellStyle name="Normal 57 8 7 2 2" xfId="23308"/>
    <cellStyle name="Normal 57 8 7 2 2 2" xfId="48861"/>
    <cellStyle name="Normal 57 8 7 2 3" xfId="38612"/>
    <cellStyle name="Normal 57 8 7 3" xfId="9478"/>
    <cellStyle name="Normal 57 8 7 3 2" xfId="35035"/>
    <cellStyle name="Normal 57 8 7 4" xfId="18301"/>
    <cellStyle name="Normal 57 8 7 4 2" xfId="43854"/>
    <cellStyle name="Normal 57 8 7 5" xfId="29791"/>
    <cellStyle name="Normal 57 8 8" xfId="1491"/>
    <cellStyle name="Normal 57 8 8 2" xfId="10868"/>
    <cellStyle name="Normal 57 8 8 2 2" xfId="36423"/>
    <cellStyle name="Normal 57 8 8 3" xfId="20872"/>
    <cellStyle name="Normal 57 8 8 3 2" xfId="46425"/>
    <cellStyle name="Normal 57 8 8 4" xfId="27355"/>
    <cellStyle name="Normal 57 8 9" xfId="5675"/>
    <cellStyle name="Normal 57 8 9 2" xfId="14502"/>
    <cellStyle name="Normal 57 8 9 2 2" xfId="40057"/>
    <cellStyle name="Normal 57 8 9 3" xfId="24753"/>
    <cellStyle name="Normal 57 8 9 3 2" xfId="50306"/>
    <cellStyle name="Normal 57 8 9 4" xfId="31236"/>
    <cellStyle name="Normal 57 8_Degree data" xfId="3987"/>
    <cellStyle name="Normal 57 9" xfId="224"/>
    <cellStyle name="Normal 57 9 10" xfId="7062"/>
    <cellStyle name="Normal 57 9 10 2" xfId="19676"/>
    <cellStyle name="Normal 57 9 10 2 2" xfId="45229"/>
    <cellStyle name="Normal 57 9 10 3" xfId="32619"/>
    <cellStyle name="Normal 57 9 11" xfId="15808"/>
    <cellStyle name="Normal 57 9 11 2" xfId="41361"/>
    <cellStyle name="Normal 57 9 12" xfId="26159"/>
    <cellStyle name="Normal 57 9 2" xfId="547"/>
    <cellStyle name="Normal 57 9 2 10" xfId="26476"/>
    <cellStyle name="Normal 57 9 2 2" xfId="884"/>
    <cellStyle name="Normal 57 9 2 2 2" xfId="3369"/>
    <cellStyle name="Normal 57 9 2 2 2 2" xfId="12511"/>
    <cellStyle name="Normal 57 9 2 2 2 2 2" xfId="22730"/>
    <cellStyle name="Normal 57 9 2 2 2 2 2 2" xfId="48283"/>
    <cellStyle name="Normal 57 9 2 2 2 2 3" xfId="38066"/>
    <cellStyle name="Normal 57 9 2 2 2 3" xfId="8933"/>
    <cellStyle name="Normal 57 9 2 2 2 3 2" xfId="34490"/>
    <cellStyle name="Normal 57 9 2 2 2 4" xfId="17723"/>
    <cellStyle name="Normal 57 9 2 2 2 4 2" xfId="43276"/>
    <cellStyle name="Normal 57 9 2 2 2 5" xfId="29213"/>
    <cellStyle name="Normal 57 9 2 2 3" xfId="4698"/>
    <cellStyle name="Normal 57 9 2 2 3 2" xfId="13536"/>
    <cellStyle name="Normal 57 9 2 2 3 2 2" xfId="23787"/>
    <cellStyle name="Normal 57 9 2 2 3 2 2 2" xfId="49340"/>
    <cellStyle name="Normal 57 9 2 2 3 2 3" xfId="39091"/>
    <cellStyle name="Normal 57 9 2 2 3 3" xfId="9957"/>
    <cellStyle name="Normal 57 9 2 2 3 3 2" xfId="35514"/>
    <cellStyle name="Normal 57 9 2 2 3 4" xfId="18780"/>
    <cellStyle name="Normal 57 9 2 2 3 4 2" xfId="44333"/>
    <cellStyle name="Normal 57 9 2 2 3 5" xfId="30270"/>
    <cellStyle name="Normal 57 9 2 2 4" xfId="2478"/>
    <cellStyle name="Normal 57 9 2 2 4 2" xfId="11843"/>
    <cellStyle name="Normal 57 9 2 2 4 2 2" xfId="37398"/>
    <cellStyle name="Normal 57 9 2 2 4 3" xfId="21847"/>
    <cellStyle name="Normal 57 9 2 2 4 3 2" xfId="47400"/>
    <cellStyle name="Normal 57 9 2 2 4 4" xfId="28330"/>
    <cellStyle name="Normal 57 9 2 2 5" xfId="6154"/>
    <cellStyle name="Normal 57 9 2 2 5 2" xfId="14981"/>
    <cellStyle name="Normal 57 9 2 2 5 2 2" xfId="40536"/>
    <cellStyle name="Normal 57 9 2 2 5 3" xfId="25232"/>
    <cellStyle name="Normal 57 9 2 2 5 3 2" xfId="50785"/>
    <cellStyle name="Normal 57 9 2 2 5 4" xfId="31715"/>
    <cellStyle name="Normal 57 9 2 2 6" xfId="7599"/>
    <cellStyle name="Normal 57 9 2 2 6 2" xfId="20329"/>
    <cellStyle name="Normal 57 9 2 2 6 2 2" xfId="45882"/>
    <cellStyle name="Normal 57 9 2 2 6 3" xfId="33156"/>
    <cellStyle name="Normal 57 9 2 2 7" xfId="16840"/>
    <cellStyle name="Normal 57 9 2 2 7 2" xfId="42393"/>
    <cellStyle name="Normal 57 9 2 2 8" xfId="26812"/>
    <cellStyle name="Normal 57 9 2 3" xfId="1319"/>
    <cellStyle name="Normal 57 9 2 3 2" xfId="3748"/>
    <cellStyle name="Normal 57 9 2 3 2 2" xfId="12884"/>
    <cellStyle name="Normal 57 9 2 3 2 2 2" xfId="23103"/>
    <cellStyle name="Normal 57 9 2 3 2 2 2 2" xfId="48656"/>
    <cellStyle name="Normal 57 9 2 3 2 2 3" xfId="38439"/>
    <cellStyle name="Normal 57 9 2 3 2 3" xfId="9305"/>
    <cellStyle name="Normal 57 9 2 3 2 3 2" xfId="34862"/>
    <cellStyle name="Normal 57 9 2 3 2 4" xfId="18096"/>
    <cellStyle name="Normal 57 9 2 3 2 4 2" xfId="43649"/>
    <cellStyle name="Normal 57 9 2 3 2 5" xfId="29586"/>
    <cellStyle name="Normal 57 9 2 3 3" xfId="5047"/>
    <cellStyle name="Normal 57 9 2 3 3 2" xfId="13884"/>
    <cellStyle name="Normal 57 9 2 3 3 2 2" xfId="24135"/>
    <cellStyle name="Normal 57 9 2 3 3 2 2 2" xfId="49688"/>
    <cellStyle name="Normal 57 9 2 3 3 2 3" xfId="39439"/>
    <cellStyle name="Normal 57 9 2 3 3 3" xfId="10305"/>
    <cellStyle name="Normal 57 9 2 3 3 3 2" xfId="35862"/>
    <cellStyle name="Normal 57 9 2 3 3 4" xfId="19128"/>
    <cellStyle name="Normal 57 9 2 3 3 4 2" xfId="44681"/>
    <cellStyle name="Normal 57 9 2 3 3 5" xfId="30618"/>
    <cellStyle name="Normal 57 9 2 3 4" xfId="2142"/>
    <cellStyle name="Normal 57 9 2 3 4 2" xfId="11507"/>
    <cellStyle name="Normal 57 9 2 3 4 2 2" xfId="37062"/>
    <cellStyle name="Normal 57 9 2 3 4 3" xfId="21511"/>
    <cellStyle name="Normal 57 9 2 3 4 3 2" xfId="47064"/>
    <cellStyle name="Normal 57 9 2 3 4 4" xfId="27994"/>
    <cellStyle name="Normal 57 9 2 3 5" xfId="6502"/>
    <cellStyle name="Normal 57 9 2 3 5 2" xfId="15329"/>
    <cellStyle name="Normal 57 9 2 3 5 2 2" xfId="40884"/>
    <cellStyle name="Normal 57 9 2 3 5 3" xfId="25580"/>
    <cellStyle name="Normal 57 9 2 3 5 3 2" xfId="51133"/>
    <cellStyle name="Normal 57 9 2 3 5 4" xfId="32063"/>
    <cellStyle name="Normal 57 9 2 3 6" xfId="7948"/>
    <cellStyle name="Normal 57 9 2 3 6 2" xfId="20702"/>
    <cellStyle name="Normal 57 9 2 3 6 2 2" xfId="46255"/>
    <cellStyle name="Normal 57 9 2 3 6 3" xfId="33505"/>
    <cellStyle name="Normal 57 9 2 3 7" xfId="16504"/>
    <cellStyle name="Normal 57 9 2 3 7 2" xfId="42057"/>
    <cellStyle name="Normal 57 9 2 3 8" xfId="27185"/>
    <cellStyle name="Normal 57 9 2 4" xfId="3033"/>
    <cellStyle name="Normal 57 9 2 4 2" xfId="5411"/>
    <cellStyle name="Normal 57 9 2 4 2 2" xfId="14248"/>
    <cellStyle name="Normal 57 9 2 4 2 2 2" xfId="24499"/>
    <cellStyle name="Normal 57 9 2 4 2 2 2 2" xfId="50052"/>
    <cellStyle name="Normal 57 9 2 4 2 2 3" xfId="39803"/>
    <cellStyle name="Normal 57 9 2 4 2 3" xfId="10669"/>
    <cellStyle name="Normal 57 9 2 4 2 3 2" xfId="36226"/>
    <cellStyle name="Normal 57 9 2 4 2 4" xfId="19492"/>
    <cellStyle name="Normal 57 9 2 4 2 4 2" xfId="45045"/>
    <cellStyle name="Normal 57 9 2 4 2 5" xfId="30982"/>
    <cellStyle name="Normal 57 9 2 4 3" xfId="6866"/>
    <cellStyle name="Normal 57 9 2 4 3 2" xfId="15693"/>
    <cellStyle name="Normal 57 9 2 4 3 2 2" xfId="41248"/>
    <cellStyle name="Normal 57 9 2 4 3 3" xfId="25944"/>
    <cellStyle name="Normal 57 9 2 4 3 3 2" xfId="51497"/>
    <cellStyle name="Normal 57 9 2 4 3 4" xfId="32427"/>
    <cellStyle name="Normal 57 9 2 4 4" xfId="8312"/>
    <cellStyle name="Normal 57 9 2 4 4 2" xfId="22394"/>
    <cellStyle name="Normal 57 9 2 4 4 2 2" xfId="47947"/>
    <cellStyle name="Normal 57 9 2 4 4 3" xfId="33869"/>
    <cellStyle name="Normal 57 9 2 4 5" xfId="17387"/>
    <cellStyle name="Normal 57 9 2 4 5 2" xfId="42940"/>
    <cellStyle name="Normal 57 9 2 4 6" xfId="28877"/>
    <cellStyle name="Normal 57 9 2 5" xfId="4367"/>
    <cellStyle name="Normal 57 9 2 5 2" xfId="13205"/>
    <cellStyle name="Normal 57 9 2 5 2 2" xfId="23456"/>
    <cellStyle name="Normal 57 9 2 5 2 2 2" xfId="49009"/>
    <cellStyle name="Normal 57 9 2 5 2 3" xfId="38760"/>
    <cellStyle name="Normal 57 9 2 5 3" xfId="9626"/>
    <cellStyle name="Normal 57 9 2 5 3 2" xfId="35183"/>
    <cellStyle name="Normal 57 9 2 5 4" xfId="18449"/>
    <cellStyle name="Normal 57 9 2 5 4 2" xfId="44002"/>
    <cellStyle name="Normal 57 9 2 5 5" xfId="29939"/>
    <cellStyle name="Normal 57 9 2 6" xfId="1639"/>
    <cellStyle name="Normal 57 9 2 6 2" xfId="11016"/>
    <cellStyle name="Normal 57 9 2 6 2 2" xfId="36571"/>
    <cellStyle name="Normal 57 9 2 6 3" xfId="21020"/>
    <cellStyle name="Normal 57 9 2 6 3 2" xfId="46573"/>
    <cellStyle name="Normal 57 9 2 6 4" xfId="27503"/>
    <cellStyle name="Normal 57 9 2 7" xfId="5823"/>
    <cellStyle name="Normal 57 9 2 7 2" xfId="14650"/>
    <cellStyle name="Normal 57 9 2 7 2 2" xfId="40205"/>
    <cellStyle name="Normal 57 9 2 7 3" xfId="24901"/>
    <cellStyle name="Normal 57 9 2 7 3 2" xfId="50454"/>
    <cellStyle name="Normal 57 9 2 7 4" xfId="31384"/>
    <cellStyle name="Normal 57 9 2 8" xfId="7267"/>
    <cellStyle name="Normal 57 9 2 8 2" xfId="19993"/>
    <cellStyle name="Normal 57 9 2 8 2 2" xfId="45546"/>
    <cellStyle name="Normal 57 9 2 8 3" xfId="32824"/>
    <cellStyle name="Normal 57 9 2 9" xfId="16013"/>
    <cellStyle name="Normal 57 9 2 9 2" xfId="41566"/>
    <cellStyle name="Normal 57 9 2_Degree data" xfId="3990"/>
    <cellStyle name="Normal 57 9 3" xfId="342"/>
    <cellStyle name="Normal 57 9 3 2" xfId="2828"/>
    <cellStyle name="Normal 57 9 3 2 2" xfId="12116"/>
    <cellStyle name="Normal 57 9 3 2 2 2" xfId="22189"/>
    <cellStyle name="Normal 57 9 3 2 2 2 2" xfId="47742"/>
    <cellStyle name="Normal 57 9 3 2 2 3" xfId="37671"/>
    <cellStyle name="Normal 57 9 3 2 3" xfId="8469"/>
    <cellStyle name="Normal 57 9 3 2 3 2" xfId="34026"/>
    <cellStyle name="Normal 57 9 3 2 4" xfId="17182"/>
    <cellStyle name="Normal 57 9 3 2 4 2" xfId="42735"/>
    <cellStyle name="Normal 57 9 3 2 5" xfId="28672"/>
    <cellStyle name="Normal 57 9 3 3" xfId="4697"/>
    <cellStyle name="Normal 57 9 3 3 2" xfId="13535"/>
    <cellStyle name="Normal 57 9 3 3 2 2" xfId="23786"/>
    <cellStyle name="Normal 57 9 3 3 2 2 2" xfId="49339"/>
    <cellStyle name="Normal 57 9 3 3 2 3" xfId="39090"/>
    <cellStyle name="Normal 57 9 3 3 3" xfId="9956"/>
    <cellStyle name="Normal 57 9 3 3 3 2" xfId="35513"/>
    <cellStyle name="Normal 57 9 3 3 4" xfId="18779"/>
    <cellStyle name="Normal 57 9 3 3 4 2" xfId="44332"/>
    <cellStyle name="Normal 57 9 3 3 5" xfId="30269"/>
    <cellStyle name="Normal 57 9 3 4" xfId="1937"/>
    <cellStyle name="Normal 57 9 3 4 2" xfId="11302"/>
    <cellStyle name="Normal 57 9 3 4 2 2" xfId="36857"/>
    <cellStyle name="Normal 57 9 3 4 3" xfId="21306"/>
    <cellStyle name="Normal 57 9 3 4 3 2" xfId="46859"/>
    <cellStyle name="Normal 57 9 3 4 4" xfId="27789"/>
    <cellStyle name="Normal 57 9 3 5" xfId="6153"/>
    <cellStyle name="Normal 57 9 3 5 2" xfId="14980"/>
    <cellStyle name="Normal 57 9 3 5 2 2" xfId="40535"/>
    <cellStyle name="Normal 57 9 3 5 3" xfId="25231"/>
    <cellStyle name="Normal 57 9 3 5 3 2" xfId="50784"/>
    <cellStyle name="Normal 57 9 3 5 4" xfId="31714"/>
    <cellStyle name="Normal 57 9 3 6" xfId="7598"/>
    <cellStyle name="Normal 57 9 3 6 2" xfId="19788"/>
    <cellStyle name="Normal 57 9 3 6 2 2" xfId="45341"/>
    <cellStyle name="Normal 57 9 3 6 3" xfId="33155"/>
    <cellStyle name="Normal 57 9 3 7" xfId="16299"/>
    <cellStyle name="Normal 57 9 3 7 2" xfId="41852"/>
    <cellStyle name="Normal 57 9 3 8" xfId="26271"/>
    <cellStyle name="Normal 57 9 4" xfId="883"/>
    <cellStyle name="Normal 57 9 4 2" xfId="3368"/>
    <cellStyle name="Normal 57 9 4 2 2" xfId="12510"/>
    <cellStyle name="Normal 57 9 4 2 2 2" xfId="22729"/>
    <cellStyle name="Normal 57 9 4 2 2 2 2" xfId="48282"/>
    <cellStyle name="Normal 57 9 4 2 2 3" xfId="38065"/>
    <cellStyle name="Normal 57 9 4 2 3" xfId="8932"/>
    <cellStyle name="Normal 57 9 4 2 3 2" xfId="34489"/>
    <cellStyle name="Normal 57 9 4 2 4" xfId="17722"/>
    <cellStyle name="Normal 57 9 4 2 4 2" xfId="43275"/>
    <cellStyle name="Normal 57 9 4 2 5" xfId="29212"/>
    <cellStyle name="Normal 57 9 4 3" xfId="5046"/>
    <cellStyle name="Normal 57 9 4 3 2" xfId="13883"/>
    <cellStyle name="Normal 57 9 4 3 2 2" xfId="24134"/>
    <cellStyle name="Normal 57 9 4 3 2 2 2" xfId="49687"/>
    <cellStyle name="Normal 57 9 4 3 2 3" xfId="39438"/>
    <cellStyle name="Normal 57 9 4 3 3" xfId="10304"/>
    <cellStyle name="Normal 57 9 4 3 3 2" xfId="35861"/>
    <cellStyle name="Normal 57 9 4 3 4" xfId="19127"/>
    <cellStyle name="Normal 57 9 4 3 4 2" xfId="44680"/>
    <cellStyle name="Normal 57 9 4 3 5" xfId="30617"/>
    <cellStyle name="Normal 57 9 4 4" xfId="2477"/>
    <cellStyle name="Normal 57 9 4 4 2" xfId="11842"/>
    <cellStyle name="Normal 57 9 4 4 2 2" xfId="37397"/>
    <cellStyle name="Normal 57 9 4 4 3" xfId="21846"/>
    <cellStyle name="Normal 57 9 4 4 3 2" xfId="47399"/>
    <cellStyle name="Normal 57 9 4 4 4" xfId="28329"/>
    <cellStyle name="Normal 57 9 4 5" xfId="6501"/>
    <cellStyle name="Normal 57 9 4 5 2" xfId="15328"/>
    <cellStyle name="Normal 57 9 4 5 2 2" xfId="40883"/>
    <cellStyle name="Normal 57 9 4 5 3" xfId="25579"/>
    <cellStyle name="Normal 57 9 4 5 3 2" xfId="51132"/>
    <cellStyle name="Normal 57 9 4 5 4" xfId="32062"/>
    <cellStyle name="Normal 57 9 4 6" xfId="7947"/>
    <cellStyle name="Normal 57 9 4 6 2" xfId="20328"/>
    <cellStyle name="Normal 57 9 4 6 2 2" xfId="45881"/>
    <cellStyle name="Normal 57 9 4 6 3" xfId="33504"/>
    <cellStyle name="Normal 57 9 4 7" xfId="16839"/>
    <cellStyle name="Normal 57 9 4 7 2" xfId="42392"/>
    <cellStyle name="Normal 57 9 4 8" xfId="26811"/>
    <cellStyle name="Normal 57 9 5" xfId="1114"/>
    <cellStyle name="Normal 57 9 5 2" xfId="3543"/>
    <cellStyle name="Normal 57 9 5 2 2" xfId="12679"/>
    <cellStyle name="Normal 57 9 5 2 2 2" xfId="22898"/>
    <cellStyle name="Normal 57 9 5 2 2 2 2" xfId="48451"/>
    <cellStyle name="Normal 57 9 5 2 2 3" xfId="38234"/>
    <cellStyle name="Normal 57 9 5 2 3" xfId="9100"/>
    <cellStyle name="Normal 57 9 5 2 3 2" xfId="34657"/>
    <cellStyle name="Normal 57 9 5 2 4" xfId="17891"/>
    <cellStyle name="Normal 57 9 5 2 4 2" xfId="43444"/>
    <cellStyle name="Normal 57 9 5 2 5" xfId="29381"/>
    <cellStyle name="Normal 57 9 5 3" xfId="5206"/>
    <cellStyle name="Normal 57 9 5 3 2" xfId="14043"/>
    <cellStyle name="Normal 57 9 5 3 2 2" xfId="24294"/>
    <cellStyle name="Normal 57 9 5 3 2 2 2" xfId="49847"/>
    <cellStyle name="Normal 57 9 5 3 2 3" xfId="39598"/>
    <cellStyle name="Normal 57 9 5 3 3" xfId="10464"/>
    <cellStyle name="Normal 57 9 5 3 3 2" xfId="36021"/>
    <cellStyle name="Normal 57 9 5 3 4" xfId="19287"/>
    <cellStyle name="Normal 57 9 5 3 4 2" xfId="44840"/>
    <cellStyle name="Normal 57 9 5 3 5" xfId="30777"/>
    <cellStyle name="Normal 57 9 5 4" xfId="1822"/>
    <cellStyle name="Normal 57 9 5 4 2" xfId="11190"/>
    <cellStyle name="Normal 57 9 5 4 2 2" xfId="36745"/>
    <cellStyle name="Normal 57 9 5 4 3" xfId="21194"/>
    <cellStyle name="Normal 57 9 5 4 3 2" xfId="46747"/>
    <cellStyle name="Normal 57 9 5 4 4" xfId="27677"/>
    <cellStyle name="Normal 57 9 5 5" xfId="6661"/>
    <cellStyle name="Normal 57 9 5 5 2" xfId="15488"/>
    <cellStyle name="Normal 57 9 5 5 2 2" xfId="41043"/>
    <cellStyle name="Normal 57 9 5 5 3" xfId="25739"/>
    <cellStyle name="Normal 57 9 5 5 3 2" xfId="51292"/>
    <cellStyle name="Normal 57 9 5 5 4" xfId="32222"/>
    <cellStyle name="Normal 57 9 5 6" xfId="8107"/>
    <cellStyle name="Normal 57 9 5 6 2" xfId="20497"/>
    <cellStyle name="Normal 57 9 5 6 2 2" xfId="46050"/>
    <cellStyle name="Normal 57 9 5 6 3" xfId="33664"/>
    <cellStyle name="Normal 57 9 5 7" xfId="16187"/>
    <cellStyle name="Normal 57 9 5 7 2" xfId="41740"/>
    <cellStyle name="Normal 57 9 5 8" xfId="26980"/>
    <cellStyle name="Normal 57 9 6" xfId="2716"/>
    <cellStyle name="Normal 57 9 6 2" xfId="12033"/>
    <cellStyle name="Normal 57 9 6 2 2" xfId="22077"/>
    <cellStyle name="Normal 57 9 6 2 2 2" xfId="47630"/>
    <cellStyle name="Normal 57 9 6 2 3" xfId="37588"/>
    <cellStyle name="Normal 57 9 6 3" xfId="8615"/>
    <cellStyle name="Normal 57 9 6 3 2" xfId="34172"/>
    <cellStyle name="Normal 57 9 6 4" xfId="17070"/>
    <cellStyle name="Normal 57 9 6 4 2" xfId="42623"/>
    <cellStyle name="Normal 57 9 6 5" xfId="28560"/>
    <cellStyle name="Normal 57 9 7" xfId="4162"/>
    <cellStyle name="Normal 57 9 7 2" xfId="13000"/>
    <cellStyle name="Normal 57 9 7 2 2" xfId="23251"/>
    <cellStyle name="Normal 57 9 7 2 2 2" xfId="48804"/>
    <cellStyle name="Normal 57 9 7 2 3" xfId="38555"/>
    <cellStyle name="Normal 57 9 7 3" xfId="9421"/>
    <cellStyle name="Normal 57 9 7 3 2" xfId="34978"/>
    <cellStyle name="Normal 57 9 7 4" xfId="18244"/>
    <cellStyle name="Normal 57 9 7 4 2" xfId="43797"/>
    <cellStyle name="Normal 57 9 7 5" xfId="29734"/>
    <cellStyle name="Normal 57 9 8" xfId="1434"/>
    <cellStyle name="Normal 57 9 8 2" xfId="10811"/>
    <cellStyle name="Normal 57 9 8 2 2" xfId="36366"/>
    <cellStyle name="Normal 57 9 8 3" xfId="20815"/>
    <cellStyle name="Normal 57 9 8 3 2" xfId="46368"/>
    <cellStyle name="Normal 57 9 8 4" xfId="27298"/>
    <cellStyle name="Normal 57 9 9" xfId="5618"/>
    <cellStyle name="Normal 57 9 9 2" xfId="14445"/>
    <cellStyle name="Normal 57 9 9 2 2" xfId="40000"/>
    <cellStyle name="Normal 57 9 9 3" xfId="24696"/>
    <cellStyle name="Normal 57 9 9 3 2" xfId="50249"/>
    <cellStyle name="Normal 57 9 9 4" xfId="31179"/>
    <cellStyle name="Normal 57 9_Degree data" xfId="3989"/>
    <cellStyle name="Normal 57_Degree data" xfId="3933"/>
    <cellStyle name="Normal 58" xfId="40"/>
    <cellStyle name="Normal 58 10" xfId="443"/>
    <cellStyle name="Normal 58 10 10" xfId="26372"/>
    <cellStyle name="Normal 58 10 2" xfId="886"/>
    <cellStyle name="Normal 58 10 2 2" xfId="3371"/>
    <cellStyle name="Normal 58 10 2 2 2" xfId="12513"/>
    <cellStyle name="Normal 58 10 2 2 2 2" xfId="22732"/>
    <cellStyle name="Normal 58 10 2 2 2 2 2" xfId="48285"/>
    <cellStyle name="Normal 58 10 2 2 2 3" xfId="38068"/>
    <cellStyle name="Normal 58 10 2 2 3" xfId="8935"/>
    <cellStyle name="Normal 58 10 2 2 3 2" xfId="34492"/>
    <cellStyle name="Normal 58 10 2 2 4" xfId="17725"/>
    <cellStyle name="Normal 58 10 2 2 4 2" xfId="43278"/>
    <cellStyle name="Normal 58 10 2 2 5" xfId="29215"/>
    <cellStyle name="Normal 58 10 2 3" xfId="4700"/>
    <cellStyle name="Normal 58 10 2 3 2" xfId="13538"/>
    <cellStyle name="Normal 58 10 2 3 2 2" xfId="23789"/>
    <cellStyle name="Normal 58 10 2 3 2 2 2" xfId="49342"/>
    <cellStyle name="Normal 58 10 2 3 2 3" xfId="39093"/>
    <cellStyle name="Normal 58 10 2 3 3" xfId="9959"/>
    <cellStyle name="Normal 58 10 2 3 3 2" xfId="35516"/>
    <cellStyle name="Normal 58 10 2 3 4" xfId="18782"/>
    <cellStyle name="Normal 58 10 2 3 4 2" xfId="44335"/>
    <cellStyle name="Normal 58 10 2 3 5" xfId="30272"/>
    <cellStyle name="Normal 58 10 2 4" xfId="2480"/>
    <cellStyle name="Normal 58 10 2 4 2" xfId="11845"/>
    <cellStyle name="Normal 58 10 2 4 2 2" xfId="37400"/>
    <cellStyle name="Normal 58 10 2 4 3" xfId="21849"/>
    <cellStyle name="Normal 58 10 2 4 3 2" xfId="47402"/>
    <cellStyle name="Normal 58 10 2 4 4" xfId="28332"/>
    <cellStyle name="Normal 58 10 2 5" xfId="6156"/>
    <cellStyle name="Normal 58 10 2 5 2" xfId="14983"/>
    <cellStyle name="Normal 58 10 2 5 2 2" xfId="40538"/>
    <cellStyle name="Normal 58 10 2 5 3" xfId="25234"/>
    <cellStyle name="Normal 58 10 2 5 3 2" xfId="50787"/>
    <cellStyle name="Normal 58 10 2 5 4" xfId="31717"/>
    <cellStyle name="Normal 58 10 2 6" xfId="7601"/>
    <cellStyle name="Normal 58 10 2 6 2" xfId="20331"/>
    <cellStyle name="Normal 58 10 2 6 2 2" xfId="45884"/>
    <cellStyle name="Normal 58 10 2 6 3" xfId="33158"/>
    <cellStyle name="Normal 58 10 2 7" xfId="16842"/>
    <cellStyle name="Normal 58 10 2 7 2" xfId="42395"/>
    <cellStyle name="Normal 58 10 2 8" xfId="26814"/>
    <cellStyle name="Normal 58 10 3" xfId="1215"/>
    <cellStyle name="Normal 58 10 3 2" xfId="3644"/>
    <cellStyle name="Normal 58 10 3 2 2" xfId="12780"/>
    <cellStyle name="Normal 58 10 3 2 2 2" xfId="22999"/>
    <cellStyle name="Normal 58 10 3 2 2 2 2" xfId="48552"/>
    <cellStyle name="Normal 58 10 3 2 2 3" xfId="38335"/>
    <cellStyle name="Normal 58 10 3 2 3" xfId="9201"/>
    <cellStyle name="Normal 58 10 3 2 3 2" xfId="34758"/>
    <cellStyle name="Normal 58 10 3 2 4" xfId="17992"/>
    <cellStyle name="Normal 58 10 3 2 4 2" xfId="43545"/>
    <cellStyle name="Normal 58 10 3 2 5" xfId="29482"/>
    <cellStyle name="Normal 58 10 3 3" xfId="5049"/>
    <cellStyle name="Normal 58 10 3 3 2" xfId="13886"/>
    <cellStyle name="Normal 58 10 3 3 2 2" xfId="24137"/>
    <cellStyle name="Normal 58 10 3 3 2 2 2" xfId="49690"/>
    <cellStyle name="Normal 58 10 3 3 2 3" xfId="39441"/>
    <cellStyle name="Normal 58 10 3 3 3" xfId="10307"/>
    <cellStyle name="Normal 58 10 3 3 3 2" xfId="35864"/>
    <cellStyle name="Normal 58 10 3 3 4" xfId="19130"/>
    <cellStyle name="Normal 58 10 3 3 4 2" xfId="44683"/>
    <cellStyle name="Normal 58 10 3 3 5" xfId="30620"/>
    <cellStyle name="Normal 58 10 3 4" xfId="2038"/>
    <cellStyle name="Normal 58 10 3 4 2" xfId="11403"/>
    <cellStyle name="Normal 58 10 3 4 2 2" xfId="36958"/>
    <cellStyle name="Normal 58 10 3 4 3" xfId="21407"/>
    <cellStyle name="Normal 58 10 3 4 3 2" xfId="46960"/>
    <cellStyle name="Normal 58 10 3 4 4" xfId="27890"/>
    <cellStyle name="Normal 58 10 3 5" xfId="6504"/>
    <cellStyle name="Normal 58 10 3 5 2" xfId="15331"/>
    <cellStyle name="Normal 58 10 3 5 2 2" xfId="40886"/>
    <cellStyle name="Normal 58 10 3 5 3" xfId="25582"/>
    <cellStyle name="Normal 58 10 3 5 3 2" xfId="51135"/>
    <cellStyle name="Normal 58 10 3 5 4" xfId="32065"/>
    <cellStyle name="Normal 58 10 3 6" xfId="7950"/>
    <cellStyle name="Normal 58 10 3 6 2" xfId="20598"/>
    <cellStyle name="Normal 58 10 3 6 2 2" xfId="46151"/>
    <cellStyle name="Normal 58 10 3 6 3" xfId="33507"/>
    <cellStyle name="Normal 58 10 3 7" xfId="16400"/>
    <cellStyle name="Normal 58 10 3 7 2" xfId="41953"/>
    <cellStyle name="Normal 58 10 3 8" xfId="27081"/>
    <cellStyle name="Normal 58 10 4" xfId="2929"/>
    <cellStyle name="Normal 58 10 4 2" xfId="5307"/>
    <cellStyle name="Normal 58 10 4 2 2" xfId="14144"/>
    <cellStyle name="Normal 58 10 4 2 2 2" xfId="24395"/>
    <cellStyle name="Normal 58 10 4 2 2 2 2" xfId="49948"/>
    <cellStyle name="Normal 58 10 4 2 2 3" xfId="39699"/>
    <cellStyle name="Normal 58 10 4 2 3" xfId="10565"/>
    <cellStyle name="Normal 58 10 4 2 3 2" xfId="36122"/>
    <cellStyle name="Normal 58 10 4 2 4" xfId="19388"/>
    <cellStyle name="Normal 58 10 4 2 4 2" xfId="44941"/>
    <cellStyle name="Normal 58 10 4 2 5" xfId="30878"/>
    <cellStyle name="Normal 58 10 4 3" xfId="6762"/>
    <cellStyle name="Normal 58 10 4 3 2" xfId="15589"/>
    <cellStyle name="Normal 58 10 4 3 2 2" xfId="41144"/>
    <cellStyle name="Normal 58 10 4 3 3" xfId="25840"/>
    <cellStyle name="Normal 58 10 4 3 3 2" xfId="51393"/>
    <cellStyle name="Normal 58 10 4 3 4" xfId="32323"/>
    <cellStyle name="Normal 58 10 4 4" xfId="8208"/>
    <cellStyle name="Normal 58 10 4 4 2" xfId="22290"/>
    <cellStyle name="Normal 58 10 4 4 2 2" xfId="47843"/>
    <cellStyle name="Normal 58 10 4 4 3" xfId="33765"/>
    <cellStyle name="Normal 58 10 4 5" xfId="17283"/>
    <cellStyle name="Normal 58 10 4 5 2" xfId="42836"/>
    <cellStyle name="Normal 58 10 4 6" xfId="28773"/>
    <cellStyle name="Normal 58 10 5" xfId="4263"/>
    <cellStyle name="Normal 58 10 5 2" xfId="13101"/>
    <cellStyle name="Normal 58 10 5 2 2" xfId="23352"/>
    <cellStyle name="Normal 58 10 5 2 2 2" xfId="48905"/>
    <cellStyle name="Normal 58 10 5 2 3" xfId="38656"/>
    <cellStyle name="Normal 58 10 5 3" xfId="9522"/>
    <cellStyle name="Normal 58 10 5 3 2" xfId="35079"/>
    <cellStyle name="Normal 58 10 5 4" xfId="18345"/>
    <cellStyle name="Normal 58 10 5 4 2" xfId="43898"/>
    <cellStyle name="Normal 58 10 5 5" xfId="29835"/>
    <cellStyle name="Normal 58 10 6" xfId="1535"/>
    <cellStyle name="Normal 58 10 6 2" xfId="10912"/>
    <cellStyle name="Normal 58 10 6 2 2" xfId="36467"/>
    <cellStyle name="Normal 58 10 6 3" xfId="20916"/>
    <cellStyle name="Normal 58 10 6 3 2" xfId="46469"/>
    <cellStyle name="Normal 58 10 6 4" xfId="27399"/>
    <cellStyle name="Normal 58 10 7" xfId="5719"/>
    <cellStyle name="Normal 58 10 7 2" xfId="14546"/>
    <cellStyle name="Normal 58 10 7 2 2" xfId="40101"/>
    <cellStyle name="Normal 58 10 7 3" xfId="24797"/>
    <cellStyle name="Normal 58 10 7 3 2" xfId="50350"/>
    <cellStyle name="Normal 58 10 7 4" xfId="31280"/>
    <cellStyle name="Normal 58 10 8" xfId="7163"/>
    <cellStyle name="Normal 58 10 8 2" xfId="19889"/>
    <cellStyle name="Normal 58 10 8 2 2" xfId="45442"/>
    <cellStyle name="Normal 58 10 8 3" xfId="32720"/>
    <cellStyle name="Normal 58 10 9" xfId="15909"/>
    <cellStyle name="Normal 58 10 9 2" xfId="41462"/>
    <cellStyle name="Normal 58 10_Degree data" xfId="3992"/>
    <cellStyle name="Normal 58 11" xfId="299"/>
    <cellStyle name="Normal 58 11 10" xfId="26228"/>
    <cellStyle name="Normal 58 11 2" xfId="887"/>
    <cellStyle name="Normal 58 11 2 2" xfId="3372"/>
    <cellStyle name="Normal 58 11 2 2 2" xfId="12514"/>
    <cellStyle name="Normal 58 11 2 2 2 2" xfId="22733"/>
    <cellStyle name="Normal 58 11 2 2 2 2 2" xfId="48286"/>
    <cellStyle name="Normal 58 11 2 2 2 3" xfId="38069"/>
    <cellStyle name="Normal 58 11 2 2 3" xfId="8936"/>
    <cellStyle name="Normal 58 11 2 2 3 2" xfId="34493"/>
    <cellStyle name="Normal 58 11 2 2 4" xfId="17726"/>
    <cellStyle name="Normal 58 11 2 2 4 2" xfId="43279"/>
    <cellStyle name="Normal 58 11 2 2 5" xfId="29216"/>
    <cellStyle name="Normal 58 11 2 3" xfId="4701"/>
    <cellStyle name="Normal 58 11 2 3 2" xfId="13539"/>
    <cellStyle name="Normal 58 11 2 3 2 2" xfId="23790"/>
    <cellStyle name="Normal 58 11 2 3 2 2 2" xfId="49343"/>
    <cellStyle name="Normal 58 11 2 3 2 3" xfId="39094"/>
    <cellStyle name="Normal 58 11 2 3 3" xfId="9960"/>
    <cellStyle name="Normal 58 11 2 3 3 2" xfId="35517"/>
    <cellStyle name="Normal 58 11 2 3 4" xfId="18783"/>
    <cellStyle name="Normal 58 11 2 3 4 2" xfId="44336"/>
    <cellStyle name="Normal 58 11 2 3 5" xfId="30273"/>
    <cellStyle name="Normal 58 11 2 4" xfId="2481"/>
    <cellStyle name="Normal 58 11 2 4 2" xfId="11846"/>
    <cellStyle name="Normal 58 11 2 4 2 2" xfId="37401"/>
    <cellStyle name="Normal 58 11 2 4 3" xfId="21850"/>
    <cellStyle name="Normal 58 11 2 4 3 2" xfId="47403"/>
    <cellStyle name="Normal 58 11 2 4 4" xfId="28333"/>
    <cellStyle name="Normal 58 11 2 5" xfId="6157"/>
    <cellStyle name="Normal 58 11 2 5 2" xfId="14984"/>
    <cellStyle name="Normal 58 11 2 5 2 2" xfId="40539"/>
    <cellStyle name="Normal 58 11 2 5 3" xfId="25235"/>
    <cellStyle name="Normal 58 11 2 5 3 2" xfId="50788"/>
    <cellStyle name="Normal 58 11 2 5 4" xfId="31718"/>
    <cellStyle name="Normal 58 11 2 6" xfId="7602"/>
    <cellStyle name="Normal 58 11 2 6 2" xfId="20332"/>
    <cellStyle name="Normal 58 11 2 6 2 2" xfId="45885"/>
    <cellStyle name="Normal 58 11 2 6 3" xfId="33159"/>
    <cellStyle name="Normal 58 11 2 7" xfId="16843"/>
    <cellStyle name="Normal 58 11 2 7 2" xfId="42396"/>
    <cellStyle name="Normal 58 11 2 8" xfId="26815"/>
    <cellStyle name="Normal 58 11 3" xfId="1071"/>
    <cellStyle name="Normal 58 11 3 2" xfId="3500"/>
    <cellStyle name="Normal 58 11 3 2 2" xfId="12636"/>
    <cellStyle name="Normal 58 11 3 2 2 2" xfId="22855"/>
    <cellStyle name="Normal 58 11 3 2 2 2 2" xfId="48408"/>
    <cellStyle name="Normal 58 11 3 2 2 3" xfId="38191"/>
    <cellStyle name="Normal 58 11 3 2 3" xfId="9058"/>
    <cellStyle name="Normal 58 11 3 2 3 2" xfId="34615"/>
    <cellStyle name="Normal 58 11 3 2 4" xfId="17848"/>
    <cellStyle name="Normal 58 11 3 2 4 2" xfId="43401"/>
    <cellStyle name="Normal 58 11 3 2 5" xfId="29338"/>
    <cellStyle name="Normal 58 11 3 3" xfId="5050"/>
    <cellStyle name="Normal 58 11 3 3 2" xfId="13887"/>
    <cellStyle name="Normal 58 11 3 3 2 2" xfId="24138"/>
    <cellStyle name="Normal 58 11 3 3 2 2 2" xfId="49691"/>
    <cellStyle name="Normal 58 11 3 3 2 3" xfId="39442"/>
    <cellStyle name="Normal 58 11 3 3 3" xfId="10308"/>
    <cellStyle name="Normal 58 11 3 3 3 2" xfId="35865"/>
    <cellStyle name="Normal 58 11 3 3 4" xfId="19131"/>
    <cellStyle name="Normal 58 11 3 3 4 2" xfId="44684"/>
    <cellStyle name="Normal 58 11 3 3 5" xfId="30621"/>
    <cellStyle name="Normal 58 11 3 4" xfId="2596"/>
    <cellStyle name="Normal 58 11 3 4 2" xfId="11960"/>
    <cellStyle name="Normal 58 11 3 4 2 2" xfId="37515"/>
    <cellStyle name="Normal 58 11 3 4 3" xfId="21964"/>
    <cellStyle name="Normal 58 11 3 4 3 2" xfId="47517"/>
    <cellStyle name="Normal 58 11 3 4 4" xfId="28447"/>
    <cellStyle name="Normal 58 11 3 5" xfId="6505"/>
    <cellStyle name="Normal 58 11 3 5 2" xfId="15332"/>
    <cellStyle name="Normal 58 11 3 5 2 2" xfId="40887"/>
    <cellStyle name="Normal 58 11 3 5 3" xfId="25583"/>
    <cellStyle name="Normal 58 11 3 5 3 2" xfId="51136"/>
    <cellStyle name="Normal 58 11 3 5 4" xfId="32066"/>
    <cellStyle name="Normal 58 11 3 6" xfId="7951"/>
    <cellStyle name="Normal 58 11 3 6 2" xfId="20454"/>
    <cellStyle name="Normal 58 11 3 6 2 2" xfId="46007"/>
    <cellStyle name="Normal 58 11 3 6 3" xfId="33508"/>
    <cellStyle name="Normal 58 11 3 7" xfId="16957"/>
    <cellStyle name="Normal 58 11 3 7 2" xfId="42510"/>
    <cellStyle name="Normal 58 11 3 8" xfId="26937"/>
    <cellStyle name="Normal 58 11 4" xfId="2785"/>
    <cellStyle name="Normal 58 11 4 2" xfId="5163"/>
    <cellStyle name="Normal 58 11 4 2 2" xfId="14000"/>
    <cellStyle name="Normal 58 11 4 2 2 2" xfId="24251"/>
    <cellStyle name="Normal 58 11 4 2 2 2 2" xfId="49804"/>
    <cellStyle name="Normal 58 11 4 2 2 3" xfId="39555"/>
    <cellStyle name="Normal 58 11 4 2 3" xfId="10421"/>
    <cellStyle name="Normal 58 11 4 2 3 2" xfId="35978"/>
    <cellStyle name="Normal 58 11 4 2 4" xfId="19244"/>
    <cellStyle name="Normal 58 11 4 2 4 2" xfId="44797"/>
    <cellStyle name="Normal 58 11 4 2 5" xfId="30734"/>
    <cellStyle name="Normal 58 11 4 3" xfId="6618"/>
    <cellStyle name="Normal 58 11 4 3 2" xfId="15445"/>
    <cellStyle name="Normal 58 11 4 3 2 2" xfId="41000"/>
    <cellStyle name="Normal 58 11 4 3 3" xfId="25696"/>
    <cellStyle name="Normal 58 11 4 3 3 2" xfId="51249"/>
    <cellStyle name="Normal 58 11 4 3 4" xfId="32179"/>
    <cellStyle name="Normal 58 11 4 4" xfId="8064"/>
    <cellStyle name="Normal 58 11 4 4 2" xfId="22146"/>
    <cellStyle name="Normal 58 11 4 4 2 2" xfId="47699"/>
    <cellStyle name="Normal 58 11 4 4 3" xfId="33621"/>
    <cellStyle name="Normal 58 11 4 5" xfId="17139"/>
    <cellStyle name="Normal 58 11 4 5 2" xfId="42692"/>
    <cellStyle name="Normal 58 11 4 6" xfId="28629"/>
    <cellStyle name="Normal 58 11 5" xfId="4117"/>
    <cellStyle name="Normal 58 11 5 2" xfId="12955"/>
    <cellStyle name="Normal 58 11 5 2 2" xfId="23206"/>
    <cellStyle name="Normal 58 11 5 2 2 2" xfId="48759"/>
    <cellStyle name="Normal 58 11 5 2 3" xfId="38510"/>
    <cellStyle name="Normal 58 11 5 3" xfId="9376"/>
    <cellStyle name="Normal 58 11 5 3 2" xfId="34933"/>
    <cellStyle name="Normal 58 11 5 4" xfId="18199"/>
    <cellStyle name="Normal 58 11 5 4 2" xfId="43752"/>
    <cellStyle name="Normal 58 11 5 5" xfId="29689"/>
    <cellStyle name="Normal 58 11 6" xfId="1894"/>
    <cellStyle name="Normal 58 11 6 2" xfId="11259"/>
    <cellStyle name="Normal 58 11 6 2 2" xfId="36814"/>
    <cellStyle name="Normal 58 11 6 3" xfId="21263"/>
    <cellStyle name="Normal 58 11 6 3 2" xfId="46816"/>
    <cellStyle name="Normal 58 11 6 4" xfId="27746"/>
    <cellStyle name="Normal 58 11 7" xfId="5575"/>
    <cellStyle name="Normal 58 11 7 2" xfId="14402"/>
    <cellStyle name="Normal 58 11 7 2 2" xfId="39957"/>
    <cellStyle name="Normal 58 11 7 3" xfId="24653"/>
    <cellStyle name="Normal 58 11 7 3 2" xfId="50206"/>
    <cellStyle name="Normal 58 11 7 4" xfId="31136"/>
    <cellStyle name="Normal 58 11 8" xfId="7019"/>
    <cellStyle name="Normal 58 11 8 2" xfId="19745"/>
    <cellStyle name="Normal 58 11 8 2 2" xfId="45298"/>
    <cellStyle name="Normal 58 11 8 3" xfId="32576"/>
    <cellStyle name="Normal 58 11 9" xfId="16256"/>
    <cellStyle name="Normal 58 11 9 2" xfId="41809"/>
    <cellStyle name="Normal 58 11_Degree data" xfId="3993"/>
    <cellStyle name="Normal 58 12" xfId="885"/>
    <cellStyle name="Normal 58 12 2" xfId="3370"/>
    <cellStyle name="Normal 58 12 2 2" xfId="12512"/>
    <cellStyle name="Normal 58 12 2 2 2" xfId="22731"/>
    <cellStyle name="Normal 58 12 2 2 2 2" xfId="48284"/>
    <cellStyle name="Normal 58 12 2 2 3" xfId="38067"/>
    <cellStyle name="Normal 58 12 2 3" xfId="8934"/>
    <cellStyle name="Normal 58 12 2 3 2" xfId="34491"/>
    <cellStyle name="Normal 58 12 2 4" xfId="17724"/>
    <cellStyle name="Normal 58 12 2 4 2" xfId="43277"/>
    <cellStyle name="Normal 58 12 2 5" xfId="29214"/>
    <cellStyle name="Normal 58 12 3" xfId="4699"/>
    <cellStyle name="Normal 58 12 3 2" xfId="13537"/>
    <cellStyle name="Normal 58 12 3 2 2" xfId="23788"/>
    <cellStyle name="Normal 58 12 3 2 2 2" xfId="49341"/>
    <cellStyle name="Normal 58 12 3 2 3" xfId="39092"/>
    <cellStyle name="Normal 58 12 3 3" xfId="9958"/>
    <cellStyle name="Normal 58 12 3 3 2" xfId="35515"/>
    <cellStyle name="Normal 58 12 3 4" xfId="18781"/>
    <cellStyle name="Normal 58 12 3 4 2" xfId="44334"/>
    <cellStyle name="Normal 58 12 3 5" xfId="30271"/>
    <cellStyle name="Normal 58 12 4" xfId="2479"/>
    <cellStyle name="Normal 58 12 4 2" xfId="11844"/>
    <cellStyle name="Normal 58 12 4 2 2" xfId="37399"/>
    <cellStyle name="Normal 58 12 4 3" xfId="21848"/>
    <cellStyle name="Normal 58 12 4 3 2" xfId="47401"/>
    <cellStyle name="Normal 58 12 4 4" xfId="28331"/>
    <cellStyle name="Normal 58 12 5" xfId="6155"/>
    <cellStyle name="Normal 58 12 5 2" xfId="14982"/>
    <cellStyle name="Normal 58 12 5 2 2" xfId="40537"/>
    <cellStyle name="Normal 58 12 5 3" xfId="25233"/>
    <cellStyle name="Normal 58 12 5 3 2" xfId="50786"/>
    <cellStyle name="Normal 58 12 5 4" xfId="31716"/>
    <cellStyle name="Normal 58 12 6" xfId="7600"/>
    <cellStyle name="Normal 58 12 6 2" xfId="20330"/>
    <cellStyle name="Normal 58 12 6 2 2" xfId="45883"/>
    <cellStyle name="Normal 58 12 6 3" xfId="33157"/>
    <cellStyle name="Normal 58 12 7" xfId="16841"/>
    <cellStyle name="Normal 58 12 7 2" xfId="42394"/>
    <cellStyle name="Normal 58 12 8" xfId="26813"/>
    <cellStyle name="Normal 58 13" xfId="1044"/>
    <cellStyle name="Normal 58 13 2" xfId="3473"/>
    <cellStyle name="Normal 58 13 2 2" xfId="12609"/>
    <cellStyle name="Normal 58 13 2 2 2" xfId="22828"/>
    <cellStyle name="Normal 58 13 2 2 2 2" xfId="48381"/>
    <cellStyle name="Normal 58 13 2 2 3" xfId="38164"/>
    <cellStyle name="Normal 58 13 2 3" xfId="9031"/>
    <cellStyle name="Normal 58 13 2 3 2" xfId="34588"/>
    <cellStyle name="Normal 58 13 2 4" xfId="17821"/>
    <cellStyle name="Normal 58 13 2 4 2" xfId="43374"/>
    <cellStyle name="Normal 58 13 2 5" xfId="29311"/>
    <cellStyle name="Normal 58 13 3" xfId="5048"/>
    <cellStyle name="Normal 58 13 3 2" xfId="13885"/>
    <cellStyle name="Normal 58 13 3 2 2" xfId="24136"/>
    <cellStyle name="Normal 58 13 3 2 2 2" xfId="49689"/>
    <cellStyle name="Normal 58 13 3 2 3" xfId="39440"/>
    <cellStyle name="Normal 58 13 3 3" xfId="10306"/>
    <cellStyle name="Normal 58 13 3 3 2" xfId="35863"/>
    <cellStyle name="Normal 58 13 3 4" xfId="19129"/>
    <cellStyle name="Normal 58 13 3 4 2" xfId="44682"/>
    <cellStyle name="Normal 58 13 3 5" xfId="30619"/>
    <cellStyle name="Normal 58 13 4" xfId="1708"/>
    <cellStyle name="Normal 58 13 4 2" xfId="11085"/>
    <cellStyle name="Normal 58 13 4 2 2" xfId="36640"/>
    <cellStyle name="Normal 58 13 4 3" xfId="21089"/>
    <cellStyle name="Normal 58 13 4 3 2" xfId="46642"/>
    <cellStyle name="Normal 58 13 4 4" xfId="27572"/>
    <cellStyle name="Normal 58 13 5" xfId="6503"/>
    <cellStyle name="Normal 58 13 5 2" xfId="15330"/>
    <cellStyle name="Normal 58 13 5 2 2" xfId="40885"/>
    <cellStyle name="Normal 58 13 5 3" xfId="25581"/>
    <cellStyle name="Normal 58 13 5 3 2" xfId="51134"/>
    <cellStyle name="Normal 58 13 5 4" xfId="32064"/>
    <cellStyle name="Normal 58 13 6" xfId="7949"/>
    <cellStyle name="Normal 58 13 6 2" xfId="20427"/>
    <cellStyle name="Normal 58 13 6 2 2" xfId="45980"/>
    <cellStyle name="Normal 58 13 6 3" xfId="33506"/>
    <cellStyle name="Normal 58 13 7" xfId="16082"/>
    <cellStyle name="Normal 58 13 7 2" xfId="41635"/>
    <cellStyle name="Normal 58 13 8" xfId="26910"/>
    <cellStyle name="Normal 58 14" xfId="2608"/>
    <cellStyle name="Normal 58 14 2" xfId="5136"/>
    <cellStyle name="Normal 58 14 2 2" xfId="13973"/>
    <cellStyle name="Normal 58 14 2 2 2" xfId="24224"/>
    <cellStyle name="Normal 58 14 2 2 2 2" xfId="49777"/>
    <cellStyle name="Normal 58 14 2 2 3" xfId="39528"/>
    <cellStyle name="Normal 58 14 2 3" xfId="10394"/>
    <cellStyle name="Normal 58 14 2 3 2" xfId="35951"/>
    <cellStyle name="Normal 58 14 2 4" xfId="19217"/>
    <cellStyle name="Normal 58 14 2 4 2" xfId="44770"/>
    <cellStyle name="Normal 58 14 2 5" xfId="30707"/>
    <cellStyle name="Normal 58 14 3" xfId="6591"/>
    <cellStyle name="Normal 58 14 3 2" xfId="15418"/>
    <cellStyle name="Normal 58 14 3 2 2" xfId="40973"/>
    <cellStyle name="Normal 58 14 3 3" xfId="25669"/>
    <cellStyle name="Normal 58 14 3 3 2" xfId="51222"/>
    <cellStyle name="Normal 58 14 3 4" xfId="32152"/>
    <cellStyle name="Normal 58 14 4" xfId="8037"/>
    <cellStyle name="Normal 58 14 4 2" xfId="21972"/>
    <cellStyle name="Normal 58 14 4 2 2" xfId="47525"/>
    <cellStyle name="Normal 58 14 4 3" xfId="33594"/>
    <cellStyle name="Normal 58 14 5" xfId="16965"/>
    <cellStyle name="Normal 58 14 5 2" xfId="42518"/>
    <cellStyle name="Normal 58 14 6" xfId="28455"/>
    <cellStyle name="Normal 58 15" xfId="4090"/>
    <cellStyle name="Normal 58 15 2" xfId="5548"/>
    <cellStyle name="Normal 58 15 2 2" xfId="14375"/>
    <cellStyle name="Normal 58 15 2 2 2" xfId="39930"/>
    <cellStyle name="Normal 58 15 2 3" xfId="24626"/>
    <cellStyle name="Normal 58 15 2 3 2" xfId="50179"/>
    <cellStyle name="Normal 58 15 2 4" xfId="31109"/>
    <cellStyle name="Normal 58 15 3" xfId="6992"/>
    <cellStyle name="Normal 58 15 3 2" xfId="23179"/>
    <cellStyle name="Normal 58 15 3 2 2" xfId="48732"/>
    <cellStyle name="Normal 58 15 3 3" xfId="32549"/>
    <cellStyle name="Normal 58 15 4" xfId="18172"/>
    <cellStyle name="Normal 58 15 4 2" xfId="43725"/>
    <cellStyle name="Normal 58 15 5" xfId="29662"/>
    <cellStyle name="Normal 58 16" xfId="1391"/>
    <cellStyle name="Normal 58 16 2" xfId="10768"/>
    <cellStyle name="Normal 58 16 2 2" xfId="36323"/>
    <cellStyle name="Normal 58 16 3" xfId="20772"/>
    <cellStyle name="Normal 58 16 3 2" xfId="46325"/>
    <cellStyle name="Normal 58 16 4" xfId="27255"/>
    <cellStyle name="Normal 58 17" xfId="5508"/>
    <cellStyle name="Normal 58 17 2" xfId="14335"/>
    <cellStyle name="Normal 58 17 2 2" xfId="39890"/>
    <cellStyle name="Normal 58 17 3" xfId="24586"/>
    <cellStyle name="Normal 58 17 3 2" xfId="50139"/>
    <cellStyle name="Normal 58 17 4" xfId="31069"/>
    <cellStyle name="Normal 58 18" xfId="6947"/>
    <cellStyle name="Normal 58 18 2" xfId="19572"/>
    <cellStyle name="Normal 58 18 2 2" xfId="45125"/>
    <cellStyle name="Normal 58 18 3" xfId="32505"/>
    <cellStyle name="Normal 58 19" xfId="15765"/>
    <cellStyle name="Normal 58 19 2" xfId="41318"/>
    <cellStyle name="Normal 58 2" xfId="39"/>
    <cellStyle name="Normal 58 20" xfId="26055"/>
    <cellStyle name="Normal 58 3" xfId="112"/>
    <cellStyle name="Normal 58 3 10" xfId="4102"/>
    <cellStyle name="Normal 58 3 10 2" xfId="5560"/>
    <cellStyle name="Normal 58 3 10 2 2" xfId="14387"/>
    <cellStyle name="Normal 58 3 10 2 2 2" xfId="39942"/>
    <cellStyle name="Normal 58 3 10 2 3" xfId="24638"/>
    <cellStyle name="Normal 58 3 10 2 3 2" xfId="50191"/>
    <cellStyle name="Normal 58 3 10 2 4" xfId="31121"/>
    <cellStyle name="Normal 58 3 10 3" xfId="7004"/>
    <cellStyle name="Normal 58 3 10 3 2" xfId="23191"/>
    <cellStyle name="Normal 58 3 10 3 2 2" xfId="48744"/>
    <cellStyle name="Normal 58 3 10 3 3" xfId="32561"/>
    <cellStyle name="Normal 58 3 10 4" xfId="18184"/>
    <cellStyle name="Normal 58 3 10 4 2" xfId="43737"/>
    <cellStyle name="Normal 58 3 10 5" xfId="29674"/>
    <cellStyle name="Normal 58 3 11" xfId="1396"/>
    <cellStyle name="Normal 58 3 11 2" xfId="10773"/>
    <cellStyle name="Normal 58 3 11 2 2" xfId="36328"/>
    <cellStyle name="Normal 58 3 11 3" xfId="20777"/>
    <cellStyle name="Normal 58 3 11 3 2" xfId="46330"/>
    <cellStyle name="Normal 58 3 11 4" xfId="27260"/>
    <cellStyle name="Normal 58 3 12" xfId="5530"/>
    <cellStyle name="Normal 58 3 12 2" xfId="14357"/>
    <cellStyle name="Normal 58 3 12 2 2" xfId="39912"/>
    <cellStyle name="Normal 58 3 12 3" xfId="24608"/>
    <cellStyle name="Normal 58 3 12 3 2" xfId="50161"/>
    <cellStyle name="Normal 58 3 12 4" xfId="31091"/>
    <cellStyle name="Normal 58 3 13" xfId="6974"/>
    <cellStyle name="Normal 58 3 13 2" xfId="19585"/>
    <cellStyle name="Normal 58 3 13 2 2" xfId="45138"/>
    <cellStyle name="Normal 58 3 13 3" xfId="32531"/>
    <cellStyle name="Normal 58 3 14" xfId="15770"/>
    <cellStyle name="Normal 58 3 14 2" xfId="41323"/>
    <cellStyle name="Normal 58 3 15" xfId="26068"/>
    <cellStyle name="Normal 58 3 2" xfId="156"/>
    <cellStyle name="Normal 58 3 2 10" xfId="1421"/>
    <cellStyle name="Normal 58 3 2 10 2" xfId="10798"/>
    <cellStyle name="Normal 58 3 2 10 2 2" xfId="36353"/>
    <cellStyle name="Normal 58 3 2 10 3" xfId="20802"/>
    <cellStyle name="Normal 58 3 2 10 3 2" xfId="46355"/>
    <cellStyle name="Normal 58 3 2 10 4" xfId="27285"/>
    <cellStyle name="Normal 58 3 2 11" xfId="5605"/>
    <cellStyle name="Normal 58 3 2 11 2" xfId="14432"/>
    <cellStyle name="Normal 58 3 2 11 2 2" xfId="39987"/>
    <cellStyle name="Normal 58 3 2 11 3" xfId="24683"/>
    <cellStyle name="Normal 58 3 2 11 3 2" xfId="50236"/>
    <cellStyle name="Normal 58 3 2 11 4" xfId="31166"/>
    <cellStyle name="Normal 58 3 2 12" xfId="7049"/>
    <cellStyle name="Normal 58 3 2 12 2" xfId="19615"/>
    <cellStyle name="Normal 58 3 2 12 2 2" xfId="45168"/>
    <cellStyle name="Normal 58 3 2 12 3" xfId="32606"/>
    <cellStyle name="Normal 58 3 2 13" xfId="15795"/>
    <cellStyle name="Normal 58 3 2 13 2" xfId="41348"/>
    <cellStyle name="Normal 58 3 2 14" xfId="26098"/>
    <cellStyle name="Normal 58 3 2 2" xfId="268"/>
    <cellStyle name="Normal 58 3 2 2 10" xfId="7106"/>
    <cellStyle name="Normal 58 3 2 2 10 2" xfId="19719"/>
    <cellStyle name="Normal 58 3 2 2 10 2 2" xfId="45272"/>
    <cellStyle name="Normal 58 3 2 2 10 3" xfId="32663"/>
    <cellStyle name="Normal 58 3 2 2 11" xfId="15852"/>
    <cellStyle name="Normal 58 3 2 2 11 2" xfId="41405"/>
    <cellStyle name="Normal 58 3 2 2 12" xfId="26202"/>
    <cellStyle name="Normal 58 3 2 2 2" xfId="590"/>
    <cellStyle name="Normal 58 3 2 2 2 10" xfId="26519"/>
    <cellStyle name="Normal 58 3 2 2 2 2" xfId="891"/>
    <cellStyle name="Normal 58 3 2 2 2 2 2" xfId="3376"/>
    <cellStyle name="Normal 58 3 2 2 2 2 2 2" xfId="12518"/>
    <cellStyle name="Normal 58 3 2 2 2 2 2 2 2" xfId="22737"/>
    <cellStyle name="Normal 58 3 2 2 2 2 2 2 2 2" xfId="48290"/>
    <cellStyle name="Normal 58 3 2 2 2 2 2 2 3" xfId="38073"/>
    <cellStyle name="Normal 58 3 2 2 2 2 2 3" xfId="8940"/>
    <cellStyle name="Normal 58 3 2 2 2 2 2 3 2" xfId="34497"/>
    <cellStyle name="Normal 58 3 2 2 2 2 2 4" xfId="17730"/>
    <cellStyle name="Normal 58 3 2 2 2 2 2 4 2" xfId="43283"/>
    <cellStyle name="Normal 58 3 2 2 2 2 2 5" xfId="29220"/>
    <cellStyle name="Normal 58 3 2 2 2 2 3" xfId="4705"/>
    <cellStyle name="Normal 58 3 2 2 2 2 3 2" xfId="13543"/>
    <cellStyle name="Normal 58 3 2 2 2 2 3 2 2" xfId="23794"/>
    <cellStyle name="Normal 58 3 2 2 2 2 3 2 2 2" xfId="49347"/>
    <cellStyle name="Normal 58 3 2 2 2 2 3 2 3" xfId="39098"/>
    <cellStyle name="Normal 58 3 2 2 2 2 3 3" xfId="9964"/>
    <cellStyle name="Normal 58 3 2 2 2 2 3 3 2" xfId="35521"/>
    <cellStyle name="Normal 58 3 2 2 2 2 3 4" xfId="18787"/>
    <cellStyle name="Normal 58 3 2 2 2 2 3 4 2" xfId="44340"/>
    <cellStyle name="Normal 58 3 2 2 2 2 3 5" xfId="30277"/>
    <cellStyle name="Normal 58 3 2 2 2 2 4" xfId="2485"/>
    <cellStyle name="Normal 58 3 2 2 2 2 4 2" xfId="11850"/>
    <cellStyle name="Normal 58 3 2 2 2 2 4 2 2" xfId="37405"/>
    <cellStyle name="Normal 58 3 2 2 2 2 4 3" xfId="21854"/>
    <cellStyle name="Normal 58 3 2 2 2 2 4 3 2" xfId="47407"/>
    <cellStyle name="Normal 58 3 2 2 2 2 4 4" xfId="28337"/>
    <cellStyle name="Normal 58 3 2 2 2 2 5" xfId="6161"/>
    <cellStyle name="Normal 58 3 2 2 2 2 5 2" xfId="14988"/>
    <cellStyle name="Normal 58 3 2 2 2 2 5 2 2" xfId="40543"/>
    <cellStyle name="Normal 58 3 2 2 2 2 5 3" xfId="25239"/>
    <cellStyle name="Normal 58 3 2 2 2 2 5 3 2" xfId="50792"/>
    <cellStyle name="Normal 58 3 2 2 2 2 5 4" xfId="31722"/>
    <cellStyle name="Normal 58 3 2 2 2 2 6" xfId="7606"/>
    <cellStyle name="Normal 58 3 2 2 2 2 6 2" xfId="20336"/>
    <cellStyle name="Normal 58 3 2 2 2 2 6 2 2" xfId="45889"/>
    <cellStyle name="Normal 58 3 2 2 2 2 6 3" xfId="33163"/>
    <cellStyle name="Normal 58 3 2 2 2 2 7" xfId="16847"/>
    <cellStyle name="Normal 58 3 2 2 2 2 7 2" xfId="42400"/>
    <cellStyle name="Normal 58 3 2 2 2 2 8" xfId="26819"/>
    <cellStyle name="Normal 58 3 2 2 2 3" xfId="1362"/>
    <cellStyle name="Normal 58 3 2 2 2 3 2" xfId="3791"/>
    <cellStyle name="Normal 58 3 2 2 2 3 2 2" xfId="12927"/>
    <cellStyle name="Normal 58 3 2 2 2 3 2 2 2" xfId="23146"/>
    <cellStyle name="Normal 58 3 2 2 2 3 2 2 2 2" xfId="48699"/>
    <cellStyle name="Normal 58 3 2 2 2 3 2 2 3" xfId="38482"/>
    <cellStyle name="Normal 58 3 2 2 2 3 2 3" xfId="9348"/>
    <cellStyle name="Normal 58 3 2 2 2 3 2 3 2" xfId="34905"/>
    <cellStyle name="Normal 58 3 2 2 2 3 2 4" xfId="18139"/>
    <cellStyle name="Normal 58 3 2 2 2 3 2 4 2" xfId="43692"/>
    <cellStyle name="Normal 58 3 2 2 2 3 2 5" xfId="29629"/>
    <cellStyle name="Normal 58 3 2 2 2 3 3" xfId="5054"/>
    <cellStyle name="Normal 58 3 2 2 2 3 3 2" xfId="13891"/>
    <cellStyle name="Normal 58 3 2 2 2 3 3 2 2" xfId="24142"/>
    <cellStyle name="Normal 58 3 2 2 2 3 3 2 2 2" xfId="49695"/>
    <cellStyle name="Normal 58 3 2 2 2 3 3 2 3" xfId="39446"/>
    <cellStyle name="Normal 58 3 2 2 2 3 3 3" xfId="10312"/>
    <cellStyle name="Normal 58 3 2 2 2 3 3 3 2" xfId="35869"/>
    <cellStyle name="Normal 58 3 2 2 2 3 3 4" xfId="19135"/>
    <cellStyle name="Normal 58 3 2 2 2 3 3 4 2" xfId="44688"/>
    <cellStyle name="Normal 58 3 2 2 2 3 3 5" xfId="30625"/>
    <cellStyle name="Normal 58 3 2 2 2 3 4" xfId="2185"/>
    <cellStyle name="Normal 58 3 2 2 2 3 4 2" xfId="11550"/>
    <cellStyle name="Normal 58 3 2 2 2 3 4 2 2" xfId="37105"/>
    <cellStyle name="Normal 58 3 2 2 2 3 4 3" xfId="21554"/>
    <cellStyle name="Normal 58 3 2 2 2 3 4 3 2" xfId="47107"/>
    <cellStyle name="Normal 58 3 2 2 2 3 4 4" xfId="28037"/>
    <cellStyle name="Normal 58 3 2 2 2 3 5" xfId="6509"/>
    <cellStyle name="Normal 58 3 2 2 2 3 5 2" xfId="15336"/>
    <cellStyle name="Normal 58 3 2 2 2 3 5 2 2" xfId="40891"/>
    <cellStyle name="Normal 58 3 2 2 2 3 5 3" xfId="25587"/>
    <cellStyle name="Normal 58 3 2 2 2 3 5 3 2" xfId="51140"/>
    <cellStyle name="Normal 58 3 2 2 2 3 5 4" xfId="32070"/>
    <cellStyle name="Normal 58 3 2 2 2 3 6" xfId="7955"/>
    <cellStyle name="Normal 58 3 2 2 2 3 6 2" xfId="20745"/>
    <cellStyle name="Normal 58 3 2 2 2 3 6 2 2" xfId="46298"/>
    <cellStyle name="Normal 58 3 2 2 2 3 6 3" xfId="33512"/>
    <cellStyle name="Normal 58 3 2 2 2 3 7" xfId="16547"/>
    <cellStyle name="Normal 58 3 2 2 2 3 7 2" xfId="42100"/>
    <cellStyle name="Normal 58 3 2 2 2 3 8" xfId="27228"/>
    <cellStyle name="Normal 58 3 2 2 2 4" xfId="3076"/>
    <cellStyle name="Normal 58 3 2 2 2 4 2" xfId="5454"/>
    <cellStyle name="Normal 58 3 2 2 2 4 2 2" xfId="14291"/>
    <cellStyle name="Normal 58 3 2 2 2 4 2 2 2" xfId="24542"/>
    <cellStyle name="Normal 58 3 2 2 2 4 2 2 2 2" xfId="50095"/>
    <cellStyle name="Normal 58 3 2 2 2 4 2 2 3" xfId="39846"/>
    <cellStyle name="Normal 58 3 2 2 2 4 2 3" xfId="10712"/>
    <cellStyle name="Normal 58 3 2 2 2 4 2 3 2" xfId="36269"/>
    <cellStyle name="Normal 58 3 2 2 2 4 2 4" xfId="19535"/>
    <cellStyle name="Normal 58 3 2 2 2 4 2 4 2" xfId="45088"/>
    <cellStyle name="Normal 58 3 2 2 2 4 2 5" xfId="31025"/>
    <cellStyle name="Normal 58 3 2 2 2 4 3" xfId="6909"/>
    <cellStyle name="Normal 58 3 2 2 2 4 3 2" xfId="15736"/>
    <cellStyle name="Normal 58 3 2 2 2 4 3 2 2" xfId="41291"/>
    <cellStyle name="Normal 58 3 2 2 2 4 3 3" xfId="25987"/>
    <cellStyle name="Normal 58 3 2 2 2 4 3 3 2" xfId="51540"/>
    <cellStyle name="Normal 58 3 2 2 2 4 3 4" xfId="32470"/>
    <cellStyle name="Normal 58 3 2 2 2 4 4" xfId="8355"/>
    <cellStyle name="Normal 58 3 2 2 2 4 4 2" xfId="22437"/>
    <cellStyle name="Normal 58 3 2 2 2 4 4 2 2" xfId="47990"/>
    <cellStyle name="Normal 58 3 2 2 2 4 4 3" xfId="33912"/>
    <cellStyle name="Normal 58 3 2 2 2 4 5" xfId="17430"/>
    <cellStyle name="Normal 58 3 2 2 2 4 5 2" xfId="42983"/>
    <cellStyle name="Normal 58 3 2 2 2 4 6" xfId="28920"/>
    <cellStyle name="Normal 58 3 2 2 2 5" xfId="4410"/>
    <cellStyle name="Normal 58 3 2 2 2 5 2" xfId="13248"/>
    <cellStyle name="Normal 58 3 2 2 2 5 2 2" xfId="23499"/>
    <cellStyle name="Normal 58 3 2 2 2 5 2 2 2" xfId="49052"/>
    <cellStyle name="Normal 58 3 2 2 2 5 2 3" xfId="38803"/>
    <cellStyle name="Normal 58 3 2 2 2 5 3" xfId="9669"/>
    <cellStyle name="Normal 58 3 2 2 2 5 3 2" xfId="35226"/>
    <cellStyle name="Normal 58 3 2 2 2 5 4" xfId="18492"/>
    <cellStyle name="Normal 58 3 2 2 2 5 4 2" xfId="44045"/>
    <cellStyle name="Normal 58 3 2 2 2 5 5" xfId="29982"/>
    <cellStyle name="Normal 58 3 2 2 2 6" xfId="1682"/>
    <cellStyle name="Normal 58 3 2 2 2 6 2" xfId="11059"/>
    <cellStyle name="Normal 58 3 2 2 2 6 2 2" xfId="36614"/>
    <cellStyle name="Normal 58 3 2 2 2 6 3" xfId="21063"/>
    <cellStyle name="Normal 58 3 2 2 2 6 3 2" xfId="46616"/>
    <cellStyle name="Normal 58 3 2 2 2 6 4" xfId="27546"/>
    <cellStyle name="Normal 58 3 2 2 2 7" xfId="5866"/>
    <cellStyle name="Normal 58 3 2 2 2 7 2" xfId="14693"/>
    <cellStyle name="Normal 58 3 2 2 2 7 2 2" xfId="40248"/>
    <cellStyle name="Normal 58 3 2 2 2 7 3" xfId="24944"/>
    <cellStyle name="Normal 58 3 2 2 2 7 3 2" xfId="50497"/>
    <cellStyle name="Normal 58 3 2 2 2 7 4" xfId="31427"/>
    <cellStyle name="Normal 58 3 2 2 2 8" xfId="7310"/>
    <cellStyle name="Normal 58 3 2 2 2 8 2" xfId="20036"/>
    <cellStyle name="Normal 58 3 2 2 2 8 2 2" xfId="45589"/>
    <cellStyle name="Normal 58 3 2 2 2 8 3" xfId="32867"/>
    <cellStyle name="Normal 58 3 2 2 2 9" xfId="16056"/>
    <cellStyle name="Normal 58 3 2 2 2 9 2" xfId="41609"/>
    <cellStyle name="Normal 58 3 2 2 2_Degree data" xfId="3997"/>
    <cellStyle name="Normal 58 3 2 2 3" xfId="386"/>
    <cellStyle name="Normal 58 3 2 2 3 2" xfId="2872"/>
    <cellStyle name="Normal 58 3 2 2 3 2 2" xfId="12160"/>
    <cellStyle name="Normal 58 3 2 2 3 2 2 2" xfId="22233"/>
    <cellStyle name="Normal 58 3 2 2 3 2 2 2 2" xfId="47786"/>
    <cellStyle name="Normal 58 3 2 2 3 2 2 3" xfId="37715"/>
    <cellStyle name="Normal 58 3 2 2 3 2 3" xfId="8461"/>
    <cellStyle name="Normal 58 3 2 2 3 2 3 2" xfId="34018"/>
    <cellStyle name="Normal 58 3 2 2 3 2 4" xfId="17226"/>
    <cellStyle name="Normal 58 3 2 2 3 2 4 2" xfId="42779"/>
    <cellStyle name="Normal 58 3 2 2 3 2 5" xfId="28716"/>
    <cellStyle name="Normal 58 3 2 2 3 3" xfId="4704"/>
    <cellStyle name="Normal 58 3 2 2 3 3 2" xfId="13542"/>
    <cellStyle name="Normal 58 3 2 2 3 3 2 2" xfId="23793"/>
    <cellStyle name="Normal 58 3 2 2 3 3 2 2 2" xfId="49346"/>
    <cellStyle name="Normal 58 3 2 2 3 3 2 3" xfId="39097"/>
    <cellStyle name="Normal 58 3 2 2 3 3 3" xfId="9963"/>
    <cellStyle name="Normal 58 3 2 2 3 3 3 2" xfId="35520"/>
    <cellStyle name="Normal 58 3 2 2 3 3 4" xfId="18786"/>
    <cellStyle name="Normal 58 3 2 2 3 3 4 2" xfId="44339"/>
    <cellStyle name="Normal 58 3 2 2 3 3 5" xfId="30276"/>
    <cellStyle name="Normal 58 3 2 2 3 4" xfId="1981"/>
    <cellStyle name="Normal 58 3 2 2 3 4 2" xfId="11346"/>
    <cellStyle name="Normal 58 3 2 2 3 4 2 2" xfId="36901"/>
    <cellStyle name="Normal 58 3 2 2 3 4 3" xfId="21350"/>
    <cellStyle name="Normal 58 3 2 2 3 4 3 2" xfId="46903"/>
    <cellStyle name="Normal 58 3 2 2 3 4 4" xfId="27833"/>
    <cellStyle name="Normal 58 3 2 2 3 5" xfId="6160"/>
    <cellStyle name="Normal 58 3 2 2 3 5 2" xfId="14987"/>
    <cellStyle name="Normal 58 3 2 2 3 5 2 2" xfId="40542"/>
    <cellStyle name="Normal 58 3 2 2 3 5 3" xfId="25238"/>
    <cellStyle name="Normal 58 3 2 2 3 5 3 2" xfId="50791"/>
    <cellStyle name="Normal 58 3 2 2 3 5 4" xfId="31721"/>
    <cellStyle name="Normal 58 3 2 2 3 6" xfId="7605"/>
    <cellStyle name="Normal 58 3 2 2 3 6 2" xfId="19832"/>
    <cellStyle name="Normal 58 3 2 2 3 6 2 2" xfId="45385"/>
    <cellStyle name="Normal 58 3 2 2 3 6 3" xfId="33162"/>
    <cellStyle name="Normal 58 3 2 2 3 7" xfId="16343"/>
    <cellStyle name="Normal 58 3 2 2 3 7 2" xfId="41896"/>
    <cellStyle name="Normal 58 3 2 2 3 8" xfId="26315"/>
    <cellStyle name="Normal 58 3 2 2 4" xfId="890"/>
    <cellStyle name="Normal 58 3 2 2 4 2" xfId="3375"/>
    <cellStyle name="Normal 58 3 2 2 4 2 2" xfId="12517"/>
    <cellStyle name="Normal 58 3 2 2 4 2 2 2" xfId="22736"/>
    <cellStyle name="Normal 58 3 2 2 4 2 2 2 2" xfId="48289"/>
    <cellStyle name="Normal 58 3 2 2 4 2 2 3" xfId="38072"/>
    <cellStyle name="Normal 58 3 2 2 4 2 3" xfId="8939"/>
    <cellStyle name="Normal 58 3 2 2 4 2 3 2" xfId="34496"/>
    <cellStyle name="Normal 58 3 2 2 4 2 4" xfId="17729"/>
    <cellStyle name="Normal 58 3 2 2 4 2 4 2" xfId="43282"/>
    <cellStyle name="Normal 58 3 2 2 4 2 5" xfId="29219"/>
    <cellStyle name="Normal 58 3 2 2 4 3" xfId="5053"/>
    <cellStyle name="Normal 58 3 2 2 4 3 2" xfId="13890"/>
    <cellStyle name="Normal 58 3 2 2 4 3 2 2" xfId="24141"/>
    <cellStyle name="Normal 58 3 2 2 4 3 2 2 2" xfId="49694"/>
    <cellStyle name="Normal 58 3 2 2 4 3 2 3" xfId="39445"/>
    <cellStyle name="Normal 58 3 2 2 4 3 3" xfId="10311"/>
    <cellStyle name="Normal 58 3 2 2 4 3 3 2" xfId="35868"/>
    <cellStyle name="Normal 58 3 2 2 4 3 4" xfId="19134"/>
    <cellStyle name="Normal 58 3 2 2 4 3 4 2" xfId="44687"/>
    <cellStyle name="Normal 58 3 2 2 4 3 5" xfId="30624"/>
    <cellStyle name="Normal 58 3 2 2 4 4" xfId="2484"/>
    <cellStyle name="Normal 58 3 2 2 4 4 2" xfId="11849"/>
    <cellStyle name="Normal 58 3 2 2 4 4 2 2" xfId="37404"/>
    <cellStyle name="Normal 58 3 2 2 4 4 3" xfId="21853"/>
    <cellStyle name="Normal 58 3 2 2 4 4 3 2" xfId="47406"/>
    <cellStyle name="Normal 58 3 2 2 4 4 4" xfId="28336"/>
    <cellStyle name="Normal 58 3 2 2 4 5" xfId="6508"/>
    <cellStyle name="Normal 58 3 2 2 4 5 2" xfId="15335"/>
    <cellStyle name="Normal 58 3 2 2 4 5 2 2" xfId="40890"/>
    <cellStyle name="Normal 58 3 2 2 4 5 3" xfId="25586"/>
    <cellStyle name="Normal 58 3 2 2 4 5 3 2" xfId="51139"/>
    <cellStyle name="Normal 58 3 2 2 4 5 4" xfId="32069"/>
    <cellStyle name="Normal 58 3 2 2 4 6" xfId="7954"/>
    <cellStyle name="Normal 58 3 2 2 4 6 2" xfId="20335"/>
    <cellStyle name="Normal 58 3 2 2 4 6 2 2" xfId="45888"/>
    <cellStyle name="Normal 58 3 2 2 4 6 3" xfId="33511"/>
    <cellStyle name="Normal 58 3 2 2 4 7" xfId="16846"/>
    <cellStyle name="Normal 58 3 2 2 4 7 2" xfId="42399"/>
    <cellStyle name="Normal 58 3 2 2 4 8" xfId="26818"/>
    <cellStyle name="Normal 58 3 2 2 5" xfId="1158"/>
    <cellStyle name="Normal 58 3 2 2 5 2" xfId="3587"/>
    <cellStyle name="Normal 58 3 2 2 5 2 2" xfId="12723"/>
    <cellStyle name="Normal 58 3 2 2 5 2 2 2" xfId="22942"/>
    <cellStyle name="Normal 58 3 2 2 5 2 2 2 2" xfId="48495"/>
    <cellStyle name="Normal 58 3 2 2 5 2 2 3" xfId="38278"/>
    <cellStyle name="Normal 58 3 2 2 5 2 3" xfId="9144"/>
    <cellStyle name="Normal 58 3 2 2 5 2 3 2" xfId="34701"/>
    <cellStyle name="Normal 58 3 2 2 5 2 4" xfId="17935"/>
    <cellStyle name="Normal 58 3 2 2 5 2 4 2" xfId="43488"/>
    <cellStyle name="Normal 58 3 2 2 5 2 5" xfId="29425"/>
    <cellStyle name="Normal 58 3 2 2 5 3" xfId="5250"/>
    <cellStyle name="Normal 58 3 2 2 5 3 2" xfId="14087"/>
    <cellStyle name="Normal 58 3 2 2 5 3 2 2" xfId="24338"/>
    <cellStyle name="Normal 58 3 2 2 5 3 2 2 2" xfId="49891"/>
    <cellStyle name="Normal 58 3 2 2 5 3 2 3" xfId="39642"/>
    <cellStyle name="Normal 58 3 2 2 5 3 3" xfId="10508"/>
    <cellStyle name="Normal 58 3 2 2 5 3 3 2" xfId="36065"/>
    <cellStyle name="Normal 58 3 2 2 5 3 4" xfId="19331"/>
    <cellStyle name="Normal 58 3 2 2 5 3 4 2" xfId="44884"/>
    <cellStyle name="Normal 58 3 2 2 5 3 5" xfId="30821"/>
    <cellStyle name="Normal 58 3 2 2 5 4" xfId="1865"/>
    <cellStyle name="Normal 58 3 2 2 5 4 2" xfId="11233"/>
    <cellStyle name="Normal 58 3 2 2 5 4 2 2" xfId="36788"/>
    <cellStyle name="Normal 58 3 2 2 5 4 3" xfId="21237"/>
    <cellStyle name="Normal 58 3 2 2 5 4 3 2" xfId="46790"/>
    <cellStyle name="Normal 58 3 2 2 5 4 4" xfId="27720"/>
    <cellStyle name="Normal 58 3 2 2 5 5" xfId="6705"/>
    <cellStyle name="Normal 58 3 2 2 5 5 2" xfId="15532"/>
    <cellStyle name="Normal 58 3 2 2 5 5 2 2" xfId="41087"/>
    <cellStyle name="Normal 58 3 2 2 5 5 3" xfId="25783"/>
    <cellStyle name="Normal 58 3 2 2 5 5 3 2" xfId="51336"/>
    <cellStyle name="Normal 58 3 2 2 5 5 4" xfId="32266"/>
    <cellStyle name="Normal 58 3 2 2 5 6" xfId="8151"/>
    <cellStyle name="Normal 58 3 2 2 5 6 2" xfId="20541"/>
    <cellStyle name="Normal 58 3 2 2 5 6 2 2" xfId="46094"/>
    <cellStyle name="Normal 58 3 2 2 5 6 3" xfId="33708"/>
    <cellStyle name="Normal 58 3 2 2 5 7" xfId="16230"/>
    <cellStyle name="Normal 58 3 2 2 5 7 2" xfId="41783"/>
    <cellStyle name="Normal 58 3 2 2 5 8" xfId="27024"/>
    <cellStyle name="Normal 58 3 2 2 6" xfId="2759"/>
    <cellStyle name="Normal 58 3 2 2 6 2" xfId="12076"/>
    <cellStyle name="Normal 58 3 2 2 6 2 2" xfId="22120"/>
    <cellStyle name="Normal 58 3 2 2 6 2 2 2" xfId="47673"/>
    <cellStyle name="Normal 58 3 2 2 6 2 3" xfId="37631"/>
    <cellStyle name="Normal 58 3 2 2 6 3" xfId="8541"/>
    <cellStyle name="Normal 58 3 2 2 6 3 2" xfId="34098"/>
    <cellStyle name="Normal 58 3 2 2 6 4" xfId="17113"/>
    <cellStyle name="Normal 58 3 2 2 6 4 2" xfId="42666"/>
    <cellStyle name="Normal 58 3 2 2 6 5" xfId="28603"/>
    <cellStyle name="Normal 58 3 2 2 7" xfId="4206"/>
    <cellStyle name="Normal 58 3 2 2 7 2" xfId="13044"/>
    <cellStyle name="Normal 58 3 2 2 7 2 2" xfId="23295"/>
    <cellStyle name="Normal 58 3 2 2 7 2 2 2" xfId="48848"/>
    <cellStyle name="Normal 58 3 2 2 7 2 3" xfId="38599"/>
    <cellStyle name="Normal 58 3 2 2 7 3" xfId="9465"/>
    <cellStyle name="Normal 58 3 2 2 7 3 2" xfId="35022"/>
    <cellStyle name="Normal 58 3 2 2 7 4" xfId="18288"/>
    <cellStyle name="Normal 58 3 2 2 7 4 2" xfId="43841"/>
    <cellStyle name="Normal 58 3 2 2 7 5" xfId="29778"/>
    <cellStyle name="Normal 58 3 2 2 8" xfId="1478"/>
    <cellStyle name="Normal 58 3 2 2 8 2" xfId="10855"/>
    <cellStyle name="Normal 58 3 2 2 8 2 2" xfId="36410"/>
    <cellStyle name="Normal 58 3 2 2 8 3" xfId="20859"/>
    <cellStyle name="Normal 58 3 2 2 8 3 2" xfId="46412"/>
    <cellStyle name="Normal 58 3 2 2 8 4" xfId="27342"/>
    <cellStyle name="Normal 58 3 2 2 9" xfId="5662"/>
    <cellStyle name="Normal 58 3 2 2 9 2" xfId="14489"/>
    <cellStyle name="Normal 58 3 2 2 9 2 2" xfId="40044"/>
    <cellStyle name="Normal 58 3 2 2 9 3" xfId="24740"/>
    <cellStyle name="Normal 58 3 2 2 9 3 2" xfId="50293"/>
    <cellStyle name="Normal 58 3 2 2 9 4" xfId="31223"/>
    <cellStyle name="Normal 58 3 2 2_Degree data" xfId="3996"/>
    <cellStyle name="Normal 58 3 2 3" xfId="222"/>
    <cellStyle name="Normal 58 3 2 3 10" xfId="16012"/>
    <cellStyle name="Normal 58 3 2 3 10 2" xfId="41565"/>
    <cellStyle name="Normal 58 3 2 3 11" xfId="26158"/>
    <cellStyle name="Normal 58 3 2 3 2" xfId="546"/>
    <cellStyle name="Normal 58 3 2 3 2 2" xfId="3032"/>
    <cellStyle name="Normal 58 3 2 3 2 2 2" xfId="12220"/>
    <cellStyle name="Normal 58 3 2 3 2 2 2 2" xfId="22393"/>
    <cellStyle name="Normal 58 3 2 3 2 2 2 2 2" xfId="47946"/>
    <cellStyle name="Normal 58 3 2 3 2 2 2 3" xfId="37775"/>
    <cellStyle name="Normal 58 3 2 3 2 2 3" xfId="8445"/>
    <cellStyle name="Normal 58 3 2 3 2 2 3 2" xfId="34002"/>
    <cellStyle name="Normal 58 3 2 3 2 2 4" xfId="17386"/>
    <cellStyle name="Normal 58 3 2 3 2 2 4 2" xfId="42939"/>
    <cellStyle name="Normal 58 3 2 3 2 2 5" xfId="28876"/>
    <cellStyle name="Normal 58 3 2 3 2 3" xfId="4706"/>
    <cellStyle name="Normal 58 3 2 3 2 3 2" xfId="13544"/>
    <cellStyle name="Normal 58 3 2 3 2 3 2 2" xfId="23795"/>
    <cellStyle name="Normal 58 3 2 3 2 3 2 2 2" xfId="49348"/>
    <cellStyle name="Normal 58 3 2 3 2 3 2 3" xfId="39099"/>
    <cellStyle name="Normal 58 3 2 3 2 3 3" xfId="9965"/>
    <cellStyle name="Normal 58 3 2 3 2 3 3 2" xfId="35522"/>
    <cellStyle name="Normal 58 3 2 3 2 3 4" xfId="18788"/>
    <cellStyle name="Normal 58 3 2 3 2 3 4 2" xfId="44341"/>
    <cellStyle name="Normal 58 3 2 3 2 3 5" xfId="30278"/>
    <cellStyle name="Normal 58 3 2 3 2 4" xfId="2141"/>
    <cellStyle name="Normal 58 3 2 3 2 4 2" xfId="11506"/>
    <cellStyle name="Normal 58 3 2 3 2 4 2 2" xfId="37061"/>
    <cellStyle name="Normal 58 3 2 3 2 4 3" xfId="21510"/>
    <cellStyle name="Normal 58 3 2 3 2 4 3 2" xfId="47063"/>
    <cellStyle name="Normal 58 3 2 3 2 4 4" xfId="27993"/>
    <cellStyle name="Normal 58 3 2 3 2 5" xfId="6162"/>
    <cellStyle name="Normal 58 3 2 3 2 5 2" xfId="14989"/>
    <cellStyle name="Normal 58 3 2 3 2 5 2 2" xfId="40544"/>
    <cellStyle name="Normal 58 3 2 3 2 5 3" xfId="25240"/>
    <cellStyle name="Normal 58 3 2 3 2 5 3 2" xfId="50793"/>
    <cellStyle name="Normal 58 3 2 3 2 5 4" xfId="31723"/>
    <cellStyle name="Normal 58 3 2 3 2 6" xfId="7607"/>
    <cellStyle name="Normal 58 3 2 3 2 6 2" xfId="19992"/>
    <cellStyle name="Normal 58 3 2 3 2 6 2 2" xfId="45545"/>
    <cellStyle name="Normal 58 3 2 3 2 6 3" xfId="33164"/>
    <cellStyle name="Normal 58 3 2 3 2 7" xfId="16503"/>
    <cellStyle name="Normal 58 3 2 3 2 7 2" xfId="42056"/>
    <cellStyle name="Normal 58 3 2 3 2 8" xfId="26475"/>
    <cellStyle name="Normal 58 3 2 3 3" xfId="892"/>
    <cellStyle name="Normal 58 3 2 3 3 2" xfId="3377"/>
    <cellStyle name="Normal 58 3 2 3 3 2 2" xfId="12519"/>
    <cellStyle name="Normal 58 3 2 3 3 2 2 2" xfId="22738"/>
    <cellStyle name="Normal 58 3 2 3 3 2 2 2 2" xfId="48291"/>
    <cellStyle name="Normal 58 3 2 3 3 2 2 3" xfId="38074"/>
    <cellStyle name="Normal 58 3 2 3 3 2 3" xfId="8941"/>
    <cellStyle name="Normal 58 3 2 3 3 2 3 2" xfId="34498"/>
    <cellStyle name="Normal 58 3 2 3 3 2 4" xfId="17731"/>
    <cellStyle name="Normal 58 3 2 3 3 2 4 2" xfId="43284"/>
    <cellStyle name="Normal 58 3 2 3 3 2 5" xfId="29221"/>
    <cellStyle name="Normal 58 3 2 3 3 3" xfId="5055"/>
    <cellStyle name="Normal 58 3 2 3 3 3 2" xfId="13892"/>
    <cellStyle name="Normal 58 3 2 3 3 3 2 2" xfId="24143"/>
    <cellStyle name="Normal 58 3 2 3 3 3 2 2 2" xfId="49696"/>
    <cellStyle name="Normal 58 3 2 3 3 3 2 3" xfId="39447"/>
    <cellStyle name="Normal 58 3 2 3 3 3 3" xfId="10313"/>
    <cellStyle name="Normal 58 3 2 3 3 3 3 2" xfId="35870"/>
    <cellStyle name="Normal 58 3 2 3 3 3 4" xfId="19136"/>
    <cellStyle name="Normal 58 3 2 3 3 3 4 2" xfId="44689"/>
    <cellStyle name="Normal 58 3 2 3 3 3 5" xfId="30626"/>
    <cellStyle name="Normal 58 3 2 3 3 4" xfId="2486"/>
    <cellStyle name="Normal 58 3 2 3 3 4 2" xfId="11851"/>
    <cellStyle name="Normal 58 3 2 3 3 4 2 2" xfId="37406"/>
    <cellStyle name="Normal 58 3 2 3 3 4 3" xfId="21855"/>
    <cellStyle name="Normal 58 3 2 3 3 4 3 2" xfId="47408"/>
    <cellStyle name="Normal 58 3 2 3 3 4 4" xfId="28338"/>
    <cellStyle name="Normal 58 3 2 3 3 5" xfId="6510"/>
    <cellStyle name="Normal 58 3 2 3 3 5 2" xfId="15337"/>
    <cellStyle name="Normal 58 3 2 3 3 5 2 2" xfId="40892"/>
    <cellStyle name="Normal 58 3 2 3 3 5 3" xfId="25588"/>
    <cellStyle name="Normal 58 3 2 3 3 5 3 2" xfId="51141"/>
    <cellStyle name="Normal 58 3 2 3 3 5 4" xfId="32071"/>
    <cellStyle name="Normal 58 3 2 3 3 6" xfId="7956"/>
    <cellStyle name="Normal 58 3 2 3 3 6 2" xfId="20337"/>
    <cellStyle name="Normal 58 3 2 3 3 6 2 2" xfId="45890"/>
    <cellStyle name="Normal 58 3 2 3 3 6 3" xfId="33513"/>
    <cellStyle name="Normal 58 3 2 3 3 7" xfId="16848"/>
    <cellStyle name="Normal 58 3 2 3 3 7 2" xfId="42401"/>
    <cellStyle name="Normal 58 3 2 3 3 8" xfId="26820"/>
    <cellStyle name="Normal 58 3 2 3 4" xfId="1318"/>
    <cellStyle name="Normal 58 3 2 3 4 2" xfId="3747"/>
    <cellStyle name="Normal 58 3 2 3 4 2 2" xfId="12883"/>
    <cellStyle name="Normal 58 3 2 3 4 2 2 2" xfId="23102"/>
    <cellStyle name="Normal 58 3 2 3 4 2 2 2 2" xfId="48655"/>
    <cellStyle name="Normal 58 3 2 3 4 2 2 3" xfId="38438"/>
    <cellStyle name="Normal 58 3 2 3 4 2 3" xfId="9304"/>
    <cellStyle name="Normal 58 3 2 3 4 2 3 2" xfId="34861"/>
    <cellStyle name="Normal 58 3 2 3 4 2 4" xfId="18095"/>
    <cellStyle name="Normal 58 3 2 3 4 2 4 2" xfId="43648"/>
    <cellStyle name="Normal 58 3 2 3 4 2 5" xfId="29585"/>
    <cellStyle name="Normal 58 3 2 3 4 3" xfId="5410"/>
    <cellStyle name="Normal 58 3 2 3 4 3 2" xfId="14247"/>
    <cellStyle name="Normal 58 3 2 3 4 3 2 2" xfId="24498"/>
    <cellStyle name="Normal 58 3 2 3 4 3 2 2 2" xfId="50051"/>
    <cellStyle name="Normal 58 3 2 3 4 3 2 3" xfId="39802"/>
    <cellStyle name="Normal 58 3 2 3 4 3 3" xfId="10668"/>
    <cellStyle name="Normal 58 3 2 3 4 3 3 2" xfId="36225"/>
    <cellStyle name="Normal 58 3 2 3 4 3 4" xfId="19491"/>
    <cellStyle name="Normal 58 3 2 3 4 3 4 2" xfId="45044"/>
    <cellStyle name="Normal 58 3 2 3 4 3 5" xfId="30981"/>
    <cellStyle name="Normal 58 3 2 3 4 4" xfId="1821"/>
    <cellStyle name="Normal 58 3 2 3 4 4 2" xfId="11189"/>
    <cellStyle name="Normal 58 3 2 3 4 4 2 2" xfId="36744"/>
    <cellStyle name="Normal 58 3 2 3 4 4 3" xfId="21193"/>
    <cellStyle name="Normal 58 3 2 3 4 4 3 2" xfId="46746"/>
    <cellStyle name="Normal 58 3 2 3 4 4 4" xfId="27676"/>
    <cellStyle name="Normal 58 3 2 3 4 5" xfId="6865"/>
    <cellStyle name="Normal 58 3 2 3 4 5 2" xfId="15692"/>
    <cellStyle name="Normal 58 3 2 3 4 5 2 2" xfId="41247"/>
    <cellStyle name="Normal 58 3 2 3 4 5 3" xfId="25943"/>
    <cellStyle name="Normal 58 3 2 3 4 5 3 2" xfId="51496"/>
    <cellStyle name="Normal 58 3 2 3 4 5 4" xfId="32426"/>
    <cellStyle name="Normal 58 3 2 3 4 6" xfId="8311"/>
    <cellStyle name="Normal 58 3 2 3 4 6 2" xfId="20701"/>
    <cellStyle name="Normal 58 3 2 3 4 6 2 2" xfId="46254"/>
    <cellStyle name="Normal 58 3 2 3 4 6 3" xfId="33868"/>
    <cellStyle name="Normal 58 3 2 3 4 7" xfId="16186"/>
    <cellStyle name="Normal 58 3 2 3 4 7 2" xfId="41739"/>
    <cellStyle name="Normal 58 3 2 3 4 8" xfId="27184"/>
    <cellStyle name="Normal 58 3 2 3 5" xfId="2715"/>
    <cellStyle name="Normal 58 3 2 3 5 2" xfId="12032"/>
    <cellStyle name="Normal 58 3 2 3 5 2 2" xfId="22076"/>
    <cellStyle name="Normal 58 3 2 3 5 2 2 2" xfId="47629"/>
    <cellStyle name="Normal 58 3 2 3 5 2 3" xfId="37587"/>
    <cellStyle name="Normal 58 3 2 3 5 3" xfId="8385"/>
    <cellStyle name="Normal 58 3 2 3 5 3 2" xfId="33942"/>
    <cellStyle name="Normal 58 3 2 3 5 4" xfId="17069"/>
    <cellStyle name="Normal 58 3 2 3 5 4 2" xfId="42622"/>
    <cellStyle name="Normal 58 3 2 3 5 5" xfId="28559"/>
    <cellStyle name="Normal 58 3 2 3 6" xfId="4366"/>
    <cellStyle name="Normal 58 3 2 3 6 2" xfId="13204"/>
    <cellStyle name="Normal 58 3 2 3 6 2 2" xfId="23455"/>
    <cellStyle name="Normal 58 3 2 3 6 2 2 2" xfId="49008"/>
    <cellStyle name="Normal 58 3 2 3 6 2 3" xfId="38759"/>
    <cellStyle name="Normal 58 3 2 3 6 3" xfId="9625"/>
    <cellStyle name="Normal 58 3 2 3 6 3 2" xfId="35182"/>
    <cellStyle name="Normal 58 3 2 3 6 4" xfId="18448"/>
    <cellStyle name="Normal 58 3 2 3 6 4 2" xfId="44001"/>
    <cellStyle name="Normal 58 3 2 3 6 5" xfId="29938"/>
    <cellStyle name="Normal 58 3 2 3 7" xfId="1638"/>
    <cellStyle name="Normal 58 3 2 3 7 2" xfId="11015"/>
    <cellStyle name="Normal 58 3 2 3 7 2 2" xfId="36570"/>
    <cellStyle name="Normal 58 3 2 3 7 3" xfId="21019"/>
    <cellStyle name="Normal 58 3 2 3 7 3 2" xfId="46572"/>
    <cellStyle name="Normal 58 3 2 3 7 4" xfId="27502"/>
    <cellStyle name="Normal 58 3 2 3 8" xfId="5822"/>
    <cellStyle name="Normal 58 3 2 3 8 2" xfId="14649"/>
    <cellStyle name="Normal 58 3 2 3 8 2 2" xfId="40204"/>
    <cellStyle name="Normal 58 3 2 3 8 3" xfId="24900"/>
    <cellStyle name="Normal 58 3 2 3 8 3 2" xfId="50453"/>
    <cellStyle name="Normal 58 3 2 3 8 4" xfId="31383"/>
    <cellStyle name="Normal 58 3 2 3 9" xfId="7266"/>
    <cellStyle name="Normal 58 3 2 3 9 2" xfId="19675"/>
    <cellStyle name="Normal 58 3 2 3 9 2 2" xfId="45228"/>
    <cellStyle name="Normal 58 3 2 3 9 3" xfId="32823"/>
    <cellStyle name="Normal 58 3 2 3_Degree data" xfId="3998"/>
    <cellStyle name="Normal 58 3 2 4" xfId="486"/>
    <cellStyle name="Normal 58 3 2 4 10" xfId="26415"/>
    <cellStyle name="Normal 58 3 2 4 2" xfId="893"/>
    <cellStyle name="Normal 58 3 2 4 2 2" xfId="3378"/>
    <cellStyle name="Normal 58 3 2 4 2 2 2" xfId="12520"/>
    <cellStyle name="Normal 58 3 2 4 2 2 2 2" xfId="22739"/>
    <cellStyle name="Normal 58 3 2 4 2 2 2 2 2" xfId="48292"/>
    <cellStyle name="Normal 58 3 2 4 2 2 2 3" xfId="38075"/>
    <cellStyle name="Normal 58 3 2 4 2 2 3" xfId="8942"/>
    <cellStyle name="Normal 58 3 2 4 2 2 3 2" xfId="34499"/>
    <cellStyle name="Normal 58 3 2 4 2 2 4" xfId="17732"/>
    <cellStyle name="Normal 58 3 2 4 2 2 4 2" xfId="43285"/>
    <cellStyle name="Normal 58 3 2 4 2 2 5" xfId="29222"/>
    <cellStyle name="Normal 58 3 2 4 2 3" xfId="4707"/>
    <cellStyle name="Normal 58 3 2 4 2 3 2" xfId="13545"/>
    <cellStyle name="Normal 58 3 2 4 2 3 2 2" xfId="23796"/>
    <cellStyle name="Normal 58 3 2 4 2 3 2 2 2" xfId="49349"/>
    <cellStyle name="Normal 58 3 2 4 2 3 2 3" xfId="39100"/>
    <cellStyle name="Normal 58 3 2 4 2 3 3" xfId="9966"/>
    <cellStyle name="Normal 58 3 2 4 2 3 3 2" xfId="35523"/>
    <cellStyle name="Normal 58 3 2 4 2 3 4" xfId="18789"/>
    <cellStyle name="Normal 58 3 2 4 2 3 4 2" xfId="44342"/>
    <cellStyle name="Normal 58 3 2 4 2 3 5" xfId="30279"/>
    <cellStyle name="Normal 58 3 2 4 2 4" xfId="2487"/>
    <cellStyle name="Normal 58 3 2 4 2 4 2" xfId="11852"/>
    <cellStyle name="Normal 58 3 2 4 2 4 2 2" xfId="37407"/>
    <cellStyle name="Normal 58 3 2 4 2 4 3" xfId="21856"/>
    <cellStyle name="Normal 58 3 2 4 2 4 3 2" xfId="47409"/>
    <cellStyle name="Normal 58 3 2 4 2 4 4" xfId="28339"/>
    <cellStyle name="Normal 58 3 2 4 2 5" xfId="6163"/>
    <cellStyle name="Normal 58 3 2 4 2 5 2" xfId="14990"/>
    <cellStyle name="Normal 58 3 2 4 2 5 2 2" xfId="40545"/>
    <cellStyle name="Normal 58 3 2 4 2 5 3" xfId="25241"/>
    <cellStyle name="Normal 58 3 2 4 2 5 3 2" xfId="50794"/>
    <cellStyle name="Normal 58 3 2 4 2 5 4" xfId="31724"/>
    <cellStyle name="Normal 58 3 2 4 2 6" xfId="7608"/>
    <cellStyle name="Normal 58 3 2 4 2 6 2" xfId="20338"/>
    <cellStyle name="Normal 58 3 2 4 2 6 2 2" xfId="45891"/>
    <cellStyle name="Normal 58 3 2 4 2 6 3" xfId="33165"/>
    <cellStyle name="Normal 58 3 2 4 2 7" xfId="16849"/>
    <cellStyle name="Normal 58 3 2 4 2 7 2" xfId="42402"/>
    <cellStyle name="Normal 58 3 2 4 2 8" xfId="26821"/>
    <cellStyle name="Normal 58 3 2 4 3" xfId="1258"/>
    <cellStyle name="Normal 58 3 2 4 3 2" xfId="3687"/>
    <cellStyle name="Normal 58 3 2 4 3 2 2" xfId="12823"/>
    <cellStyle name="Normal 58 3 2 4 3 2 2 2" xfId="23042"/>
    <cellStyle name="Normal 58 3 2 4 3 2 2 2 2" xfId="48595"/>
    <cellStyle name="Normal 58 3 2 4 3 2 2 3" xfId="38378"/>
    <cellStyle name="Normal 58 3 2 4 3 2 3" xfId="9244"/>
    <cellStyle name="Normal 58 3 2 4 3 2 3 2" xfId="34801"/>
    <cellStyle name="Normal 58 3 2 4 3 2 4" xfId="18035"/>
    <cellStyle name="Normal 58 3 2 4 3 2 4 2" xfId="43588"/>
    <cellStyle name="Normal 58 3 2 4 3 2 5" xfId="29525"/>
    <cellStyle name="Normal 58 3 2 4 3 3" xfId="5056"/>
    <cellStyle name="Normal 58 3 2 4 3 3 2" xfId="13893"/>
    <cellStyle name="Normal 58 3 2 4 3 3 2 2" xfId="24144"/>
    <cellStyle name="Normal 58 3 2 4 3 3 2 2 2" xfId="49697"/>
    <cellStyle name="Normal 58 3 2 4 3 3 2 3" xfId="39448"/>
    <cellStyle name="Normal 58 3 2 4 3 3 3" xfId="10314"/>
    <cellStyle name="Normal 58 3 2 4 3 3 3 2" xfId="35871"/>
    <cellStyle name="Normal 58 3 2 4 3 3 4" xfId="19137"/>
    <cellStyle name="Normal 58 3 2 4 3 3 4 2" xfId="44690"/>
    <cellStyle name="Normal 58 3 2 4 3 3 5" xfId="30627"/>
    <cellStyle name="Normal 58 3 2 4 3 4" xfId="2081"/>
    <cellStyle name="Normal 58 3 2 4 3 4 2" xfId="11446"/>
    <cellStyle name="Normal 58 3 2 4 3 4 2 2" xfId="37001"/>
    <cellStyle name="Normal 58 3 2 4 3 4 3" xfId="21450"/>
    <cellStyle name="Normal 58 3 2 4 3 4 3 2" xfId="47003"/>
    <cellStyle name="Normal 58 3 2 4 3 4 4" xfId="27933"/>
    <cellStyle name="Normal 58 3 2 4 3 5" xfId="6511"/>
    <cellStyle name="Normal 58 3 2 4 3 5 2" xfId="15338"/>
    <cellStyle name="Normal 58 3 2 4 3 5 2 2" xfId="40893"/>
    <cellStyle name="Normal 58 3 2 4 3 5 3" xfId="25589"/>
    <cellStyle name="Normal 58 3 2 4 3 5 3 2" xfId="51142"/>
    <cellStyle name="Normal 58 3 2 4 3 5 4" xfId="32072"/>
    <cellStyle name="Normal 58 3 2 4 3 6" xfId="7957"/>
    <cellStyle name="Normal 58 3 2 4 3 6 2" xfId="20641"/>
    <cellStyle name="Normal 58 3 2 4 3 6 2 2" xfId="46194"/>
    <cellStyle name="Normal 58 3 2 4 3 6 3" xfId="33514"/>
    <cellStyle name="Normal 58 3 2 4 3 7" xfId="16443"/>
    <cellStyle name="Normal 58 3 2 4 3 7 2" xfId="41996"/>
    <cellStyle name="Normal 58 3 2 4 3 8" xfId="27124"/>
    <cellStyle name="Normal 58 3 2 4 4" xfId="2972"/>
    <cellStyle name="Normal 58 3 2 4 4 2" xfId="5350"/>
    <cellStyle name="Normal 58 3 2 4 4 2 2" xfId="14187"/>
    <cellStyle name="Normal 58 3 2 4 4 2 2 2" xfId="24438"/>
    <cellStyle name="Normal 58 3 2 4 4 2 2 2 2" xfId="49991"/>
    <cellStyle name="Normal 58 3 2 4 4 2 2 3" xfId="39742"/>
    <cellStyle name="Normal 58 3 2 4 4 2 3" xfId="10608"/>
    <cellStyle name="Normal 58 3 2 4 4 2 3 2" xfId="36165"/>
    <cellStyle name="Normal 58 3 2 4 4 2 4" xfId="19431"/>
    <cellStyle name="Normal 58 3 2 4 4 2 4 2" xfId="44984"/>
    <cellStyle name="Normal 58 3 2 4 4 2 5" xfId="30921"/>
    <cellStyle name="Normal 58 3 2 4 4 3" xfId="6805"/>
    <cellStyle name="Normal 58 3 2 4 4 3 2" xfId="15632"/>
    <cellStyle name="Normal 58 3 2 4 4 3 2 2" xfId="41187"/>
    <cellStyle name="Normal 58 3 2 4 4 3 3" xfId="25883"/>
    <cellStyle name="Normal 58 3 2 4 4 3 3 2" xfId="51436"/>
    <cellStyle name="Normal 58 3 2 4 4 3 4" xfId="32366"/>
    <cellStyle name="Normal 58 3 2 4 4 4" xfId="8251"/>
    <cellStyle name="Normal 58 3 2 4 4 4 2" xfId="22333"/>
    <cellStyle name="Normal 58 3 2 4 4 4 2 2" xfId="47886"/>
    <cellStyle name="Normal 58 3 2 4 4 4 3" xfId="33808"/>
    <cellStyle name="Normal 58 3 2 4 4 5" xfId="17326"/>
    <cellStyle name="Normal 58 3 2 4 4 5 2" xfId="42879"/>
    <cellStyle name="Normal 58 3 2 4 4 6" xfId="28816"/>
    <cellStyle name="Normal 58 3 2 4 5" xfId="4306"/>
    <cellStyle name="Normal 58 3 2 4 5 2" xfId="13144"/>
    <cellStyle name="Normal 58 3 2 4 5 2 2" xfId="23395"/>
    <cellStyle name="Normal 58 3 2 4 5 2 2 2" xfId="48948"/>
    <cellStyle name="Normal 58 3 2 4 5 2 3" xfId="38699"/>
    <cellStyle name="Normal 58 3 2 4 5 3" xfId="9565"/>
    <cellStyle name="Normal 58 3 2 4 5 3 2" xfId="35122"/>
    <cellStyle name="Normal 58 3 2 4 5 4" xfId="18388"/>
    <cellStyle name="Normal 58 3 2 4 5 4 2" xfId="43941"/>
    <cellStyle name="Normal 58 3 2 4 5 5" xfId="29878"/>
    <cellStyle name="Normal 58 3 2 4 6" xfId="1578"/>
    <cellStyle name="Normal 58 3 2 4 6 2" xfId="10955"/>
    <cellStyle name="Normal 58 3 2 4 6 2 2" xfId="36510"/>
    <cellStyle name="Normal 58 3 2 4 6 3" xfId="20959"/>
    <cellStyle name="Normal 58 3 2 4 6 3 2" xfId="46512"/>
    <cellStyle name="Normal 58 3 2 4 6 4" xfId="27442"/>
    <cellStyle name="Normal 58 3 2 4 7" xfId="5762"/>
    <cellStyle name="Normal 58 3 2 4 7 2" xfId="14589"/>
    <cellStyle name="Normal 58 3 2 4 7 2 2" xfId="40144"/>
    <cellStyle name="Normal 58 3 2 4 7 3" xfId="24840"/>
    <cellStyle name="Normal 58 3 2 4 7 3 2" xfId="50393"/>
    <cellStyle name="Normal 58 3 2 4 7 4" xfId="31323"/>
    <cellStyle name="Normal 58 3 2 4 8" xfId="7206"/>
    <cellStyle name="Normal 58 3 2 4 8 2" xfId="19932"/>
    <cellStyle name="Normal 58 3 2 4 8 2 2" xfId="45485"/>
    <cellStyle name="Normal 58 3 2 4 8 3" xfId="32763"/>
    <cellStyle name="Normal 58 3 2 4 9" xfId="15952"/>
    <cellStyle name="Normal 58 3 2 4 9 2" xfId="41505"/>
    <cellStyle name="Normal 58 3 2 4_Degree data" xfId="3999"/>
    <cellStyle name="Normal 58 3 2 5" xfId="329"/>
    <cellStyle name="Normal 58 3 2 5 2" xfId="2815"/>
    <cellStyle name="Normal 58 3 2 5 2 2" xfId="12114"/>
    <cellStyle name="Normal 58 3 2 5 2 2 2" xfId="22176"/>
    <cellStyle name="Normal 58 3 2 5 2 2 2 2" xfId="47729"/>
    <cellStyle name="Normal 58 3 2 5 2 2 3" xfId="37669"/>
    <cellStyle name="Normal 58 3 2 5 2 3" xfId="8532"/>
    <cellStyle name="Normal 58 3 2 5 2 3 2" xfId="34089"/>
    <cellStyle name="Normal 58 3 2 5 2 4" xfId="17169"/>
    <cellStyle name="Normal 58 3 2 5 2 4 2" xfId="42722"/>
    <cellStyle name="Normal 58 3 2 5 2 5" xfId="28659"/>
    <cellStyle name="Normal 58 3 2 5 3" xfId="4703"/>
    <cellStyle name="Normal 58 3 2 5 3 2" xfId="13541"/>
    <cellStyle name="Normal 58 3 2 5 3 2 2" xfId="23792"/>
    <cellStyle name="Normal 58 3 2 5 3 2 2 2" xfId="49345"/>
    <cellStyle name="Normal 58 3 2 5 3 2 3" xfId="39096"/>
    <cellStyle name="Normal 58 3 2 5 3 3" xfId="9962"/>
    <cellStyle name="Normal 58 3 2 5 3 3 2" xfId="35519"/>
    <cellStyle name="Normal 58 3 2 5 3 4" xfId="18785"/>
    <cellStyle name="Normal 58 3 2 5 3 4 2" xfId="44338"/>
    <cellStyle name="Normal 58 3 2 5 3 5" xfId="30275"/>
    <cellStyle name="Normal 58 3 2 5 4" xfId="1924"/>
    <cellStyle name="Normal 58 3 2 5 4 2" xfId="11289"/>
    <cellStyle name="Normal 58 3 2 5 4 2 2" xfId="36844"/>
    <cellStyle name="Normal 58 3 2 5 4 3" xfId="21293"/>
    <cellStyle name="Normal 58 3 2 5 4 3 2" xfId="46846"/>
    <cellStyle name="Normal 58 3 2 5 4 4" xfId="27776"/>
    <cellStyle name="Normal 58 3 2 5 5" xfId="6159"/>
    <cellStyle name="Normal 58 3 2 5 5 2" xfId="14986"/>
    <cellStyle name="Normal 58 3 2 5 5 2 2" xfId="40541"/>
    <cellStyle name="Normal 58 3 2 5 5 3" xfId="25237"/>
    <cellStyle name="Normal 58 3 2 5 5 3 2" xfId="50790"/>
    <cellStyle name="Normal 58 3 2 5 5 4" xfId="31720"/>
    <cellStyle name="Normal 58 3 2 5 6" xfId="7604"/>
    <cellStyle name="Normal 58 3 2 5 6 2" xfId="19775"/>
    <cellStyle name="Normal 58 3 2 5 6 2 2" xfId="45328"/>
    <cellStyle name="Normal 58 3 2 5 6 3" xfId="33161"/>
    <cellStyle name="Normal 58 3 2 5 7" xfId="16286"/>
    <cellStyle name="Normal 58 3 2 5 7 2" xfId="41839"/>
    <cellStyle name="Normal 58 3 2 5 8" xfId="26258"/>
    <cellStyle name="Normal 58 3 2 6" xfId="889"/>
    <cellStyle name="Normal 58 3 2 6 2" xfId="3374"/>
    <cellStyle name="Normal 58 3 2 6 2 2" xfId="12516"/>
    <cellStyle name="Normal 58 3 2 6 2 2 2" xfId="22735"/>
    <cellStyle name="Normal 58 3 2 6 2 2 2 2" xfId="48288"/>
    <cellStyle name="Normal 58 3 2 6 2 2 3" xfId="38071"/>
    <cellStyle name="Normal 58 3 2 6 2 3" xfId="8938"/>
    <cellStyle name="Normal 58 3 2 6 2 3 2" xfId="34495"/>
    <cellStyle name="Normal 58 3 2 6 2 4" xfId="17728"/>
    <cellStyle name="Normal 58 3 2 6 2 4 2" xfId="43281"/>
    <cellStyle name="Normal 58 3 2 6 2 5" xfId="29218"/>
    <cellStyle name="Normal 58 3 2 6 3" xfId="5052"/>
    <cellStyle name="Normal 58 3 2 6 3 2" xfId="13889"/>
    <cellStyle name="Normal 58 3 2 6 3 2 2" xfId="24140"/>
    <cellStyle name="Normal 58 3 2 6 3 2 2 2" xfId="49693"/>
    <cellStyle name="Normal 58 3 2 6 3 2 3" xfId="39444"/>
    <cellStyle name="Normal 58 3 2 6 3 3" xfId="10310"/>
    <cellStyle name="Normal 58 3 2 6 3 3 2" xfId="35867"/>
    <cellStyle name="Normal 58 3 2 6 3 4" xfId="19133"/>
    <cellStyle name="Normal 58 3 2 6 3 4 2" xfId="44686"/>
    <cellStyle name="Normal 58 3 2 6 3 5" xfId="30623"/>
    <cellStyle name="Normal 58 3 2 6 4" xfId="2483"/>
    <cellStyle name="Normal 58 3 2 6 4 2" xfId="11848"/>
    <cellStyle name="Normal 58 3 2 6 4 2 2" xfId="37403"/>
    <cellStyle name="Normal 58 3 2 6 4 3" xfId="21852"/>
    <cellStyle name="Normal 58 3 2 6 4 3 2" xfId="47405"/>
    <cellStyle name="Normal 58 3 2 6 4 4" xfId="28335"/>
    <cellStyle name="Normal 58 3 2 6 5" xfId="6507"/>
    <cellStyle name="Normal 58 3 2 6 5 2" xfId="15334"/>
    <cellStyle name="Normal 58 3 2 6 5 2 2" xfId="40889"/>
    <cellStyle name="Normal 58 3 2 6 5 3" xfId="25585"/>
    <cellStyle name="Normal 58 3 2 6 5 3 2" xfId="51138"/>
    <cellStyle name="Normal 58 3 2 6 5 4" xfId="32068"/>
    <cellStyle name="Normal 58 3 2 6 6" xfId="7953"/>
    <cellStyle name="Normal 58 3 2 6 6 2" xfId="20334"/>
    <cellStyle name="Normal 58 3 2 6 6 2 2" xfId="45887"/>
    <cellStyle name="Normal 58 3 2 6 6 3" xfId="33510"/>
    <cellStyle name="Normal 58 3 2 6 7" xfId="16845"/>
    <cellStyle name="Normal 58 3 2 6 7 2" xfId="42398"/>
    <cellStyle name="Normal 58 3 2 6 8" xfId="26817"/>
    <cellStyle name="Normal 58 3 2 7" xfId="1101"/>
    <cellStyle name="Normal 58 3 2 7 2" xfId="3530"/>
    <cellStyle name="Normal 58 3 2 7 2 2" xfId="12666"/>
    <cellStyle name="Normal 58 3 2 7 2 2 2" xfId="22885"/>
    <cellStyle name="Normal 58 3 2 7 2 2 2 2" xfId="48438"/>
    <cellStyle name="Normal 58 3 2 7 2 2 3" xfId="38221"/>
    <cellStyle name="Normal 58 3 2 7 2 3" xfId="9087"/>
    <cellStyle name="Normal 58 3 2 7 2 3 2" xfId="34644"/>
    <cellStyle name="Normal 58 3 2 7 2 4" xfId="17878"/>
    <cellStyle name="Normal 58 3 2 7 2 4 2" xfId="43431"/>
    <cellStyle name="Normal 58 3 2 7 2 5" xfId="29368"/>
    <cellStyle name="Normal 58 3 2 7 3" xfId="5193"/>
    <cellStyle name="Normal 58 3 2 7 3 2" xfId="14030"/>
    <cellStyle name="Normal 58 3 2 7 3 2 2" xfId="24281"/>
    <cellStyle name="Normal 58 3 2 7 3 2 2 2" xfId="49834"/>
    <cellStyle name="Normal 58 3 2 7 3 2 3" xfId="39585"/>
    <cellStyle name="Normal 58 3 2 7 3 3" xfId="10451"/>
    <cellStyle name="Normal 58 3 2 7 3 3 2" xfId="36008"/>
    <cellStyle name="Normal 58 3 2 7 3 4" xfId="19274"/>
    <cellStyle name="Normal 58 3 2 7 3 4 2" xfId="44827"/>
    <cellStyle name="Normal 58 3 2 7 3 5" xfId="30764"/>
    <cellStyle name="Normal 58 3 2 7 4" xfId="1758"/>
    <cellStyle name="Normal 58 3 2 7 4 2" xfId="11129"/>
    <cellStyle name="Normal 58 3 2 7 4 2 2" xfId="36684"/>
    <cellStyle name="Normal 58 3 2 7 4 3" xfId="21133"/>
    <cellStyle name="Normal 58 3 2 7 4 3 2" xfId="46686"/>
    <cellStyle name="Normal 58 3 2 7 4 4" xfId="27616"/>
    <cellStyle name="Normal 58 3 2 7 5" xfId="6648"/>
    <cellStyle name="Normal 58 3 2 7 5 2" xfId="15475"/>
    <cellStyle name="Normal 58 3 2 7 5 2 2" xfId="41030"/>
    <cellStyle name="Normal 58 3 2 7 5 3" xfId="25726"/>
    <cellStyle name="Normal 58 3 2 7 5 3 2" xfId="51279"/>
    <cellStyle name="Normal 58 3 2 7 5 4" xfId="32209"/>
    <cellStyle name="Normal 58 3 2 7 6" xfId="8094"/>
    <cellStyle name="Normal 58 3 2 7 6 2" xfId="20484"/>
    <cellStyle name="Normal 58 3 2 7 6 2 2" xfId="46037"/>
    <cellStyle name="Normal 58 3 2 7 6 3" xfId="33651"/>
    <cellStyle name="Normal 58 3 2 7 7" xfId="16126"/>
    <cellStyle name="Normal 58 3 2 7 7 2" xfId="41679"/>
    <cellStyle name="Normal 58 3 2 7 8" xfId="26967"/>
    <cellStyle name="Normal 58 3 2 8" xfId="2655"/>
    <cellStyle name="Normal 58 3 2 8 2" xfId="11975"/>
    <cellStyle name="Normal 58 3 2 8 2 2" xfId="22016"/>
    <cellStyle name="Normal 58 3 2 8 2 2 2" xfId="47569"/>
    <cellStyle name="Normal 58 3 2 8 2 3" xfId="37530"/>
    <cellStyle name="Normal 58 3 2 8 3" xfId="8593"/>
    <cellStyle name="Normal 58 3 2 8 3 2" xfId="34150"/>
    <cellStyle name="Normal 58 3 2 8 4" xfId="17009"/>
    <cellStyle name="Normal 58 3 2 8 4 2" xfId="42562"/>
    <cellStyle name="Normal 58 3 2 8 5" xfId="28499"/>
    <cellStyle name="Normal 58 3 2 9" xfId="4147"/>
    <cellStyle name="Normal 58 3 2 9 2" xfId="12985"/>
    <cellStyle name="Normal 58 3 2 9 2 2" xfId="23236"/>
    <cellStyle name="Normal 58 3 2 9 2 2 2" xfId="48789"/>
    <cellStyle name="Normal 58 3 2 9 2 3" xfId="38540"/>
    <cellStyle name="Normal 58 3 2 9 3" xfId="9406"/>
    <cellStyle name="Normal 58 3 2 9 3 2" xfId="34963"/>
    <cellStyle name="Normal 58 3 2 9 4" xfId="18229"/>
    <cellStyle name="Normal 58 3 2 9 4 2" xfId="43782"/>
    <cellStyle name="Normal 58 3 2 9 5" xfId="29719"/>
    <cellStyle name="Normal 58 3 2_Degree data" xfId="3995"/>
    <cellStyle name="Normal 58 3 3" xfId="203"/>
    <cellStyle name="Normal 58 3 3 10" xfId="7149"/>
    <cellStyle name="Normal 58 3 3 10 2" xfId="19658"/>
    <cellStyle name="Normal 58 3 3 10 2 2" xfId="45211"/>
    <cellStyle name="Normal 58 3 3 10 3" xfId="32706"/>
    <cellStyle name="Normal 58 3 3 11" xfId="15895"/>
    <cellStyle name="Normal 58 3 3 11 2" xfId="41448"/>
    <cellStyle name="Normal 58 3 3 12" xfId="26141"/>
    <cellStyle name="Normal 58 3 3 2" xfId="529"/>
    <cellStyle name="Normal 58 3 3 2 10" xfId="26458"/>
    <cellStyle name="Normal 58 3 3 2 2" xfId="895"/>
    <cellStyle name="Normal 58 3 3 2 2 2" xfId="3380"/>
    <cellStyle name="Normal 58 3 3 2 2 2 2" xfId="12522"/>
    <cellStyle name="Normal 58 3 3 2 2 2 2 2" xfId="22741"/>
    <cellStyle name="Normal 58 3 3 2 2 2 2 2 2" xfId="48294"/>
    <cellStyle name="Normal 58 3 3 2 2 2 2 3" xfId="38077"/>
    <cellStyle name="Normal 58 3 3 2 2 2 3" xfId="8944"/>
    <cellStyle name="Normal 58 3 3 2 2 2 3 2" xfId="34501"/>
    <cellStyle name="Normal 58 3 3 2 2 2 4" xfId="17734"/>
    <cellStyle name="Normal 58 3 3 2 2 2 4 2" xfId="43287"/>
    <cellStyle name="Normal 58 3 3 2 2 2 5" xfId="29224"/>
    <cellStyle name="Normal 58 3 3 2 2 3" xfId="4709"/>
    <cellStyle name="Normal 58 3 3 2 2 3 2" xfId="13547"/>
    <cellStyle name="Normal 58 3 3 2 2 3 2 2" xfId="23798"/>
    <cellStyle name="Normal 58 3 3 2 2 3 2 2 2" xfId="49351"/>
    <cellStyle name="Normal 58 3 3 2 2 3 2 3" xfId="39102"/>
    <cellStyle name="Normal 58 3 3 2 2 3 3" xfId="9968"/>
    <cellStyle name="Normal 58 3 3 2 2 3 3 2" xfId="35525"/>
    <cellStyle name="Normal 58 3 3 2 2 3 4" xfId="18791"/>
    <cellStyle name="Normal 58 3 3 2 2 3 4 2" xfId="44344"/>
    <cellStyle name="Normal 58 3 3 2 2 3 5" xfId="30281"/>
    <cellStyle name="Normal 58 3 3 2 2 4" xfId="2489"/>
    <cellStyle name="Normal 58 3 3 2 2 4 2" xfId="11854"/>
    <cellStyle name="Normal 58 3 3 2 2 4 2 2" xfId="37409"/>
    <cellStyle name="Normal 58 3 3 2 2 4 3" xfId="21858"/>
    <cellStyle name="Normal 58 3 3 2 2 4 3 2" xfId="47411"/>
    <cellStyle name="Normal 58 3 3 2 2 4 4" xfId="28341"/>
    <cellStyle name="Normal 58 3 3 2 2 5" xfId="6165"/>
    <cellStyle name="Normal 58 3 3 2 2 5 2" xfId="14992"/>
    <cellStyle name="Normal 58 3 3 2 2 5 2 2" xfId="40547"/>
    <cellStyle name="Normal 58 3 3 2 2 5 3" xfId="25243"/>
    <cellStyle name="Normal 58 3 3 2 2 5 3 2" xfId="50796"/>
    <cellStyle name="Normal 58 3 3 2 2 5 4" xfId="31726"/>
    <cellStyle name="Normal 58 3 3 2 2 6" xfId="7610"/>
    <cellStyle name="Normal 58 3 3 2 2 6 2" xfId="20340"/>
    <cellStyle name="Normal 58 3 3 2 2 6 2 2" xfId="45893"/>
    <cellStyle name="Normal 58 3 3 2 2 6 3" xfId="33167"/>
    <cellStyle name="Normal 58 3 3 2 2 7" xfId="16851"/>
    <cellStyle name="Normal 58 3 3 2 2 7 2" xfId="42404"/>
    <cellStyle name="Normal 58 3 3 2 2 8" xfId="26823"/>
    <cellStyle name="Normal 58 3 3 2 3" xfId="1301"/>
    <cellStyle name="Normal 58 3 3 2 3 2" xfId="3730"/>
    <cellStyle name="Normal 58 3 3 2 3 2 2" xfId="12866"/>
    <cellStyle name="Normal 58 3 3 2 3 2 2 2" xfId="23085"/>
    <cellStyle name="Normal 58 3 3 2 3 2 2 2 2" xfId="48638"/>
    <cellStyle name="Normal 58 3 3 2 3 2 2 3" xfId="38421"/>
    <cellStyle name="Normal 58 3 3 2 3 2 3" xfId="9287"/>
    <cellStyle name="Normal 58 3 3 2 3 2 3 2" xfId="34844"/>
    <cellStyle name="Normal 58 3 3 2 3 2 4" xfId="18078"/>
    <cellStyle name="Normal 58 3 3 2 3 2 4 2" xfId="43631"/>
    <cellStyle name="Normal 58 3 3 2 3 2 5" xfId="29568"/>
    <cellStyle name="Normal 58 3 3 2 3 3" xfId="5058"/>
    <cellStyle name="Normal 58 3 3 2 3 3 2" xfId="13895"/>
    <cellStyle name="Normal 58 3 3 2 3 3 2 2" xfId="24146"/>
    <cellStyle name="Normal 58 3 3 2 3 3 2 2 2" xfId="49699"/>
    <cellStyle name="Normal 58 3 3 2 3 3 2 3" xfId="39450"/>
    <cellStyle name="Normal 58 3 3 2 3 3 3" xfId="10316"/>
    <cellStyle name="Normal 58 3 3 2 3 3 3 2" xfId="35873"/>
    <cellStyle name="Normal 58 3 3 2 3 3 4" xfId="19139"/>
    <cellStyle name="Normal 58 3 3 2 3 3 4 2" xfId="44692"/>
    <cellStyle name="Normal 58 3 3 2 3 3 5" xfId="30629"/>
    <cellStyle name="Normal 58 3 3 2 3 4" xfId="2124"/>
    <cellStyle name="Normal 58 3 3 2 3 4 2" xfId="11489"/>
    <cellStyle name="Normal 58 3 3 2 3 4 2 2" xfId="37044"/>
    <cellStyle name="Normal 58 3 3 2 3 4 3" xfId="21493"/>
    <cellStyle name="Normal 58 3 3 2 3 4 3 2" xfId="47046"/>
    <cellStyle name="Normal 58 3 3 2 3 4 4" xfId="27976"/>
    <cellStyle name="Normal 58 3 3 2 3 5" xfId="6513"/>
    <cellStyle name="Normal 58 3 3 2 3 5 2" xfId="15340"/>
    <cellStyle name="Normal 58 3 3 2 3 5 2 2" xfId="40895"/>
    <cellStyle name="Normal 58 3 3 2 3 5 3" xfId="25591"/>
    <cellStyle name="Normal 58 3 3 2 3 5 3 2" xfId="51144"/>
    <cellStyle name="Normal 58 3 3 2 3 5 4" xfId="32074"/>
    <cellStyle name="Normal 58 3 3 2 3 6" xfId="7959"/>
    <cellStyle name="Normal 58 3 3 2 3 6 2" xfId="20684"/>
    <cellStyle name="Normal 58 3 3 2 3 6 2 2" xfId="46237"/>
    <cellStyle name="Normal 58 3 3 2 3 6 3" xfId="33516"/>
    <cellStyle name="Normal 58 3 3 2 3 7" xfId="16486"/>
    <cellStyle name="Normal 58 3 3 2 3 7 2" xfId="42039"/>
    <cellStyle name="Normal 58 3 3 2 3 8" xfId="27167"/>
    <cellStyle name="Normal 58 3 3 2 4" xfId="3015"/>
    <cellStyle name="Normal 58 3 3 2 4 2" xfId="5393"/>
    <cellStyle name="Normal 58 3 3 2 4 2 2" xfId="14230"/>
    <cellStyle name="Normal 58 3 3 2 4 2 2 2" xfId="24481"/>
    <cellStyle name="Normal 58 3 3 2 4 2 2 2 2" xfId="50034"/>
    <cellStyle name="Normal 58 3 3 2 4 2 2 3" xfId="39785"/>
    <cellStyle name="Normal 58 3 3 2 4 2 3" xfId="10651"/>
    <cellStyle name="Normal 58 3 3 2 4 2 3 2" xfId="36208"/>
    <cellStyle name="Normal 58 3 3 2 4 2 4" xfId="19474"/>
    <cellStyle name="Normal 58 3 3 2 4 2 4 2" xfId="45027"/>
    <cellStyle name="Normal 58 3 3 2 4 2 5" xfId="30964"/>
    <cellStyle name="Normal 58 3 3 2 4 3" xfId="6848"/>
    <cellStyle name="Normal 58 3 3 2 4 3 2" xfId="15675"/>
    <cellStyle name="Normal 58 3 3 2 4 3 2 2" xfId="41230"/>
    <cellStyle name="Normal 58 3 3 2 4 3 3" xfId="25926"/>
    <cellStyle name="Normal 58 3 3 2 4 3 3 2" xfId="51479"/>
    <cellStyle name="Normal 58 3 3 2 4 3 4" xfId="32409"/>
    <cellStyle name="Normal 58 3 3 2 4 4" xfId="8294"/>
    <cellStyle name="Normal 58 3 3 2 4 4 2" xfId="22376"/>
    <cellStyle name="Normal 58 3 3 2 4 4 2 2" xfId="47929"/>
    <cellStyle name="Normal 58 3 3 2 4 4 3" xfId="33851"/>
    <cellStyle name="Normal 58 3 3 2 4 5" xfId="17369"/>
    <cellStyle name="Normal 58 3 3 2 4 5 2" xfId="42922"/>
    <cellStyle name="Normal 58 3 3 2 4 6" xfId="28859"/>
    <cellStyle name="Normal 58 3 3 2 5" xfId="4349"/>
    <cellStyle name="Normal 58 3 3 2 5 2" xfId="13187"/>
    <cellStyle name="Normal 58 3 3 2 5 2 2" xfId="23438"/>
    <cellStyle name="Normal 58 3 3 2 5 2 2 2" xfId="48991"/>
    <cellStyle name="Normal 58 3 3 2 5 2 3" xfId="38742"/>
    <cellStyle name="Normal 58 3 3 2 5 3" xfId="9608"/>
    <cellStyle name="Normal 58 3 3 2 5 3 2" xfId="35165"/>
    <cellStyle name="Normal 58 3 3 2 5 4" xfId="18431"/>
    <cellStyle name="Normal 58 3 3 2 5 4 2" xfId="43984"/>
    <cellStyle name="Normal 58 3 3 2 5 5" xfId="29921"/>
    <cellStyle name="Normal 58 3 3 2 6" xfId="1621"/>
    <cellStyle name="Normal 58 3 3 2 6 2" xfId="10998"/>
    <cellStyle name="Normal 58 3 3 2 6 2 2" xfId="36553"/>
    <cellStyle name="Normal 58 3 3 2 6 3" xfId="21002"/>
    <cellStyle name="Normal 58 3 3 2 6 3 2" xfId="46555"/>
    <cellStyle name="Normal 58 3 3 2 6 4" xfId="27485"/>
    <cellStyle name="Normal 58 3 3 2 7" xfId="5805"/>
    <cellStyle name="Normal 58 3 3 2 7 2" xfId="14632"/>
    <cellStyle name="Normal 58 3 3 2 7 2 2" xfId="40187"/>
    <cellStyle name="Normal 58 3 3 2 7 3" xfId="24883"/>
    <cellStyle name="Normal 58 3 3 2 7 3 2" xfId="50436"/>
    <cellStyle name="Normal 58 3 3 2 7 4" xfId="31366"/>
    <cellStyle name="Normal 58 3 3 2 8" xfId="7249"/>
    <cellStyle name="Normal 58 3 3 2 8 2" xfId="19975"/>
    <cellStyle name="Normal 58 3 3 2 8 2 2" xfId="45528"/>
    <cellStyle name="Normal 58 3 3 2 8 3" xfId="32806"/>
    <cellStyle name="Normal 58 3 3 2 9" xfId="15995"/>
    <cellStyle name="Normal 58 3 3 2 9 2" xfId="41548"/>
    <cellStyle name="Normal 58 3 3 2_Degree data" xfId="4001"/>
    <cellStyle name="Normal 58 3 3 3" xfId="429"/>
    <cellStyle name="Normal 58 3 3 3 2" xfId="2915"/>
    <cellStyle name="Normal 58 3 3 3 2 2" xfId="12203"/>
    <cellStyle name="Normal 58 3 3 3 2 2 2" xfId="22276"/>
    <cellStyle name="Normal 58 3 3 3 2 2 2 2" xfId="47829"/>
    <cellStyle name="Normal 58 3 3 3 2 2 3" xfId="37758"/>
    <cellStyle name="Normal 58 3 3 3 2 3" xfId="8423"/>
    <cellStyle name="Normal 58 3 3 3 2 3 2" xfId="33980"/>
    <cellStyle name="Normal 58 3 3 3 2 4" xfId="17269"/>
    <cellStyle name="Normal 58 3 3 3 2 4 2" xfId="42822"/>
    <cellStyle name="Normal 58 3 3 3 2 5" xfId="28759"/>
    <cellStyle name="Normal 58 3 3 3 3" xfId="4708"/>
    <cellStyle name="Normal 58 3 3 3 3 2" xfId="13546"/>
    <cellStyle name="Normal 58 3 3 3 3 2 2" xfId="23797"/>
    <cellStyle name="Normal 58 3 3 3 3 2 2 2" xfId="49350"/>
    <cellStyle name="Normal 58 3 3 3 3 2 3" xfId="39101"/>
    <cellStyle name="Normal 58 3 3 3 3 3" xfId="9967"/>
    <cellStyle name="Normal 58 3 3 3 3 3 2" xfId="35524"/>
    <cellStyle name="Normal 58 3 3 3 3 4" xfId="18790"/>
    <cellStyle name="Normal 58 3 3 3 3 4 2" xfId="44343"/>
    <cellStyle name="Normal 58 3 3 3 3 5" xfId="30280"/>
    <cellStyle name="Normal 58 3 3 3 4" xfId="2024"/>
    <cellStyle name="Normal 58 3 3 3 4 2" xfId="11389"/>
    <cellStyle name="Normal 58 3 3 3 4 2 2" xfId="36944"/>
    <cellStyle name="Normal 58 3 3 3 4 3" xfId="21393"/>
    <cellStyle name="Normal 58 3 3 3 4 3 2" xfId="46946"/>
    <cellStyle name="Normal 58 3 3 3 4 4" xfId="27876"/>
    <cellStyle name="Normal 58 3 3 3 5" xfId="6164"/>
    <cellStyle name="Normal 58 3 3 3 5 2" xfId="14991"/>
    <cellStyle name="Normal 58 3 3 3 5 2 2" xfId="40546"/>
    <cellStyle name="Normal 58 3 3 3 5 3" xfId="25242"/>
    <cellStyle name="Normal 58 3 3 3 5 3 2" xfId="50795"/>
    <cellStyle name="Normal 58 3 3 3 5 4" xfId="31725"/>
    <cellStyle name="Normal 58 3 3 3 6" xfId="7609"/>
    <cellStyle name="Normal 58 3 3 3 6 2" xfId="19875"/>
    <cellStyle name="Normal 58 3 3 3 6 2 2" xfId="45428"/>
    <cellStyle name="Normal 58 3 3 3 6 3" xfId="33166"/>
    <cellStyle name="Normal 58 3 3 3 7" xfId="16386"/>
    <cellStyle name="Normal 58 3 3 3 7 2" xfId="41939"/>
    <cellStyle name="Normal 58 3 3 3 8" xfId="26358"/>
    <cellStyle name="Normal 58 3 3 4" xfId="894"/>
    <cellStyle name="Normal 58 3 3 4 2" xfId="3379"/>
    <cellStyle name="Normal 58 3 3 4 2 2" xfId="12521"/>
    <cellStyle name="Normal 58 3 3 4 2 2 2" xfId="22740"/>
    <cellStyle name="Normal 58 3 3 4 2 2 2 2" xfId="48293"/>
    <cellStyle name="Normal 58 3 3 4 2 2 3" xfId="38076"/>
    <cellStyle name="Normal 58 3 3 4 2 3" xfId="8943"/>
    <cellStyle name="Normal 58 3 3 4 2 3 2" xfId="34500"/>
    <cellStyle name="Normal 58 3 3 4 2 4" xfId="17733"/>
    <cellStyle name="Normal 58 3 3 4 2 4 2" xfId="43286"/>
    <cellStyle name="Normal 58 3 3 4 2 5" xfId="29223"/>
    <cellStyle name="Normal 58 3 3 4 3" xfId="5057"/>
    <cellStyle name="Normal 58 3 3 4 3 2" xfId="13894"/>
    <cellStyle name="Normal 58 3 3 4 3 2 2" xfId="24145"/>
    <cellStyle name="Normal 58 3 3 4 3 2 2 2" xfId="49698"/>
    <cellStyle name="Normal 58 3 3 4 3 2 3" xfId="39449"/>
    <cellStyle name="Normal 58 3 3 4 3 3" xfId="10315"/>
    <cellStyle name="Normal 58 3 3 4 3 3 2" xfId="35872"/>
    <cellStyle name="Normal 58 3 3 4 3 4" xfId="19138"/>
    <cellStyle name="Normal 58 3 3 4 3 4 2" xfId="44691"/>
    <cellStyle name="Normal 58 3 3 4 3 5" xfId="30628"/>
    <cellStyle name="Normal 58 3 3 4 4" xfId="2488"/>
    <cellStyle name="Normal 58 3 3 4 4 2" xfId="11853"/>
    <cellStyle name="Normal 58 3 3 4 4 2 2" xfId="37408"/>
    <cellStyle name="Normal 58 3 3 4 4 3" xfId="21857"/>
    <cellStyle name="Normal 58 3 3 4 4 3 2" xfId="47410"/>
    <cellStyle name="Normal 58 3 3 4 4 4" xfId="28340"/>
    <cellStyle name="Normal 58 3 3 4 5" xfId="6512"/>
    <cellStyle name="Normal 58 3 3 4 5 2" xfId="15339"/>
    <cellStyle name="Normal 58 3 3 4 5 2 2" xfId="40894"/>
    <cellStyle name="Normal 58 3 3 4 5 3" xfId="25590"/>
    <cellStyle name="Normal 58 3 3 4 5 3 2" xfId="51143"/>
    <cellStyle name="Normal 58 3 3 4 5 4" xfId="32073"/>
    <cellStyle name="Normal 58 3 3 4 6" xfId="7958"/>
    <cellStyle name="Normal 58 3 3 4 6 2" xfId="20339"/>
    <cellStyle name="Normal 58 3 3 4 6 2 2" xfId="45892"/>
    <cellStyle name="Normal 58 3 3 4 6 3" xfId="33515"/>
    <cellStyle name="Normal 58 3 3 4 7" xfId="16850"/>
    <cellStyle name="Normal 58 3 3 4 7 2" xfId="42403"/>
    <cellStyle name="Normal 58 3 3 4 8" xfId="26822"/>
    <cellStyle name="Normal 58 3 3 5" xfId="1201"/>
    <cellStyle name="Normal 58 3 3 5 2" xfId="3630"/>
    <cellStyle name="Normal 58 3 3 5 2 2" xfId="12766"/>
    <cellStyle name="Normal 58 3 3 5 2 2 2" xfId="22985"/>
    <cellStyle name="Normal 58 3 3 5 2 2 2 2" xfId="48538"/>
    <cellStyle name="Normal 58 3 3 5 2 2 3" xfId="38321"/>
    <cellStyle name="Normal 58 3 3 5 2 3" xfId="9187"/>
    <cellStyle name="Normal 58 3 3 5 2 3 2" xfId="34744"/>
    <cellStyle name="Normal 58 3 3 5 2 4" xfId="17978"/>
    <cellStyle name="Normal 58 3 3 5 2 4 2" xfId="43531"/>
    <cellStyle name="Normal 58 3 3 5 2 5" xfId="29468"/>
    <cellStyle name="Normal 58 3 3 5 3" xfId="5293"/>
    <cellStyle name="Normal 58 3 3 5 3 2" xfId="14130"/>
    <cellStyle name="Normal 58 3 3 5 3 2 2" xfId="24381"/>
    <cellStyle name="Normal 58 3 3 5 3 2 2 2" xfId="49934"/>
    <cellStyle name="Normal 58 3 3 5 3 2 3" xfId="39685"/>
    <cellStyle name="Normal 58 3 3 5 3 3" xfId="10551"/>
    <cellStyle name="Normal 58 3 3 5 3 3 2" xfId="36108"/>
    <cellStyle name="Normal 58 3 3 5 3 4" xfId="19374"/>
    <cellStyle name="Normal 58 3 3 5 3 4 2" xfId="44927"/>
    <cellStyle name="Normal 58 3 3 5 3 5" xfId="30864"/>
    <cellStyle name="Normal 58 3 3 5 4" xfId="1804"/>
    <cellStyle name="Normal 58 3 3 5 4 2" xfId="11172"/>
    <cellStyle name="Normal 58 3 3 5 4 2 2" xfId="36727"/>
    <cellStyle name="Normal 58 3 3 5 4 3" xfId="21176"/>
    <cellStyle name="Normal 58 3 3 5 4 3 2" xfId="46729"/>
    <cellStyle name="Normal 58 3 3 5 4 4" xfId="27659"/>
    <cellStyle name="Normal 58 3 3 5 5" xfId="6748"/>
    <cellStyle name="Normal 58 3 3 5 5 2" xfId="15575"/>
    <cellStyle name="Normal 58 3 3 5 5 2 2" xfId="41130"/>
    <cellStyle name="Normal 58 3 3 5 5 3" xfId="25826"/>
    <cellStyle name="Normal 58 3 3 5 5 3 2" xfId="51379"/>
    <cellStyle name="Normal 58 3 3 5 5 4" xfId="32309"/>
    <cellStyle name="Normal 58 3 3 5 6" xfId="8194"/>
    <cellStyle name="Normal 58 3 3 5 6 2" xfId="20584"/>
    <cellStyle name="Normal 58 3 3 5 6 2 2" xfId="46137"/>
    <cellStyle name="Normal 58 3 3 5 6 3" xfId="33751"/>
    <cellStyle name="Normal 58 3 3 5 7" xfId="16169"/>
    <cellStyle name="Normal 58 3 3 5 7 2" xfId="41722"/>
    <cellStyle name="Normal 58 3 3 5 8" xfId="27067"/>
    <cellStyle name="Normal 58 3 3 6" xfId="2698"/>
    <cellStyle name="Normal 58 3 3 6 2" xfId="12015"/>
    <cellStyle name="Normal 58 3 3 6 2 2" xfId="22059"/>
    <cellStyle name="Normal 58 3 3 6 2 2 2" xfId="47612"/>
    <cellStyle name="Normal 58 3 3 6 2 3" xfId="37570"/>
    <cellStyle name="Normal 58 3 3 6 3" xfId="8575"/>
    <cellStyle name="Normal 58 3 3 6 3 2" xfId="34132"/>
    <cellStyle name="Normal 58 3 3 6 4" xfId="17052"/>
    <cellStyle name="Normal 58 3 3 6 4 2" xfId="42605"/>
    <cellStyle name="Normal 58 3 3 6 5" xfId="28542"/>
    <cellStyle name="Normal 58 3 3 7" xfId="4249"/>
    <cellStyle name="Normal 58 3 3 7 2" xfId="13087"/>
    <cellStyle name="Normal 58 3 3 7 2 2" xfId="23338"/>
    <cellStyle name="Normal 58 3 3 7 2 2 2" xfId="48891"/>
    <cellStyle name="Normal 58 3 3 7 2 3" xfId="38642"/>
    <cellStyle name="Normal 58 3 3 7 3" xfId="9508"/>
    <cellStyle name="Normal 58 3 3 7 3 2" xfId="35065"/>
    <cellStyle name="Normal 58 3 3 7 4" xfId="18331"/>
    <cellStyle name="Normal 58 3 3 7 4 2" xfId="43884"/>
    <cellStyle name="Normal 58 3 3 7 5" xfId="29821"/>
    <cellStyle name="Normal 58 3 3 8" xfId="1521"/>
    <cellStyle name="Normal 58 3 3 8 2" xfId="10898"/>
    <cellStyle name="Normal 58 3 3 8 2 2" xfId="36453"/>
    <cellStyle name="Normal 58 3 3 8 3" xfId="20902"/>
    <cellStyle name="Normal 58 3 3 8 3 2" xfId="46455"/>
    <cellStyle name="Normal 58 3 3 8 4" xfId="27385"/>
    <cellStyle name="Normal 58 3 3 9" xfId="5705"/>
    <cellStyle name="Normal 58 3 3 9 2" xfId="14532"/>
    <cellStyle name="Normal 58 3 3 9 2 2" xfId="40087"/>
    <cellStyle name="Normal 58 3 3 9 3" xfId="24783"/>
    <cellStyle name="Normal 58 3 3 9 3 2" xfId="50336"/>
    <cellStyle name="Normal 58 3 3 9 4" xfId="31266"/>
    <cellStyle name="Normal 58 3 3_Degree data" xfId="4000"/>
    <cellStyle name="Normal 58 3 4" xfId="238"/>
    <cellStyle name="Normal 58 3 4 10" xfId="7076"/>
    <cellStyle name="Normal 58 3 4 10 2" xfId="19690"/>
    <cellStyle name="Normal 58 3 4 10 2 2" xfId="45243"/>
    <cellStyle name="Normal 58 3 4 10 3" xfId="32633"/>
    <cellStyle name="Normal 58 3 4 11" xfId="15822"/>
    <cellStyle name="Normal 58 3 4 11 2" xfId="41375"/>
    <cellStyle name="Normal 58 3 4 12" xfId="26173"/>
    <cellStyle name="Normal 58 3 4 2" xfId="561"/>
    <cellStyle name="Normal 58 3 4 2 10" xfId="26490"/>
    <cellStyle name="Normal 58 3 4 2 2" xfId="897"/>
    <cellStyle name="Normal 58 3 4 2 2 2" xfId="3382"/>
    <cellStyle name="Normal 58 3 4 2 2 2 2" xfId="12524"/>
    <cellStyle name="Normal 58 3 4 2 2 2 2 2" xfId="22743"/>
    <cellStyle name="Normal 58 3 4 2 2 2 2 2 2" xfId="48296"/>
    <cellStyle name="Normal 58 3 4 2 2 2 2 3" xfId="38079"/>
    <cellStyle name="Normal 58 3 4 2 2 2 3" xfId="8946"/>
    <cellStyle name="Normal 58 3 4 2 2 2 3 2" xfId="34503"/>
    <cellStyle name="Normal 58 3 4 2 2 2 4" xfId="17736"/>
    <cellStyle name="Normal 58 3 4 2 2 2 4 2" xfId="43289"/>
    <cellStyle name="Normal 58 3 4 2 2 2 5" xfId="29226"/>
    <cellStyle name="Normal 58 3 4 2 2 3" xfId="4711"/>
    <cellStyle name="Normal 58 3 4 2 2 3 2" xfId="13549"/>
    <cellStyle name="Normal 58 3 4 2 2 3 2 2" xfId="23800"/>
    <cellStyle name="Normal 58 3 4 2 2 3 2 2 2" xfId="49353"/>
    <cellStyle name="Normal 58 3 4 2 2 3 2 3" xfId="39104"/>
    <cellStyle name="Normal 58 3 4 2 2 3 3" xfId="9970"/>
    <cellStyle name="Normal 58 3 4 2 2 3 3 2" xfId="35527"/>
    <cellStyle name="Normal 58 3 4 2 2 3 4" xfId="18793"/>
    <cellStyle name="Normal 58 3 4 2 2 3 4 2" xfId="44346"/>
    <cellStyle name="Normal 58 3 4 2 2 3 5" xfId="30283"/>
    <cellStyle name="Normal 58 3 4 2 2 4" xfId="2491"/>
    <cellStyle name="Normal 58 3 4 2 2 4 2" xfId="11856"/>
    <cellStyle name="Normal 58 3 4 2 2 4 2 2" xfId="37411"/>
    <cellStyle name="Normal 58 3 4 2 2 4 3" xfId="21860"/>
    <cellStyle name="Normal 58 3 4 2 2 4 3 2" xfId="47413"/>
    <cellStyle name="Normal 58 3 4 2 2 4 4" xfId="28343"/>
    <cellStyle name="Normal 58 3 4 2 2 5" xfId="6167"/>
    <cellStyle name="Normal 58 3 4 2 2 5 2" xfId="14994"/>
    <cellStyle name="Normal 58 3 4 2 2 5 2 2" xfId="40549"/>
    <cellStyle name="Normal 58 3 4 2 2 5 3" xfId="25245"/>
    <cellStyle name="Normal 58 3 4 2 2 5 3 2" xfId="50798"/>
    <cellStyle name="Normal 58 3 4 2 2 5 4" xfId="31728"/>
    <cellStyle name="Normal 58 3 4 2 2 6" xfId="7612"/>
    <cellStyle name="Normal 58 3 4 2 2 6 2" xfId="20342"/>
    <cellStyle name="Normal 58 3 4 2 2 6 2 2" xfId="45895"/>
    <cellStyle name="Normal 58 3 4 2 2 6 3" xfId="33169"/>
    <cellStyle name="Normal 58 3 4 2 2 7" xfId="16853"/>
    <cellStyle name="Normal 58 3 4 2 2 7 2" xfId="42406"/>
    <cellStyle name="Normal 58 3 4 2 2 8" xfId="26825"/>
    <cellStyle name="Normal 58 3 4 2 3" xfId="1333"/>
    <cellStyle name="Normal 58 3 4 2 3 2" xfId="3762"/>
    <cellStyle name="Normal 58 3 4 2 3 2 2" xfId="12898"/>
    <cellStyle name="Normal 58 3 4 2 3 2 2 2" xfId="23117"/>
    <cellStyle name="Normal 58 3 4 2 3 2 2 2 2" xfId="48670"/>
    <cellStyle name="Normal 58 3 4 2 3 2 2 3" xfId="38453"/>
    <cellStyle name="Normal 58 3 4 2 3 2 3" xfId="9319"/>
    <cellStyle name="Normal 58 3 4 2 3 2 3 2" xfId="34876"/>
    <cellStyle name="Normal 58 3 4 2 3 2 4" xfId="18110"/>
    <cellStyle name="Normal 58 3 4 2 3 2 4 2" xfId="43663"/>
    <cellStyle name="Normal 58 3 4 2 3 2 5" xfId="29600"/>
    <cellStyle name="Normal 58 3 4 2 3 3" xfId="5060"/>
    <cellStyle name="Normal 58 3 4 2 3 3 2" xfId="13897"/>
    <cellStyle name="Normal 58 3 4 2 3 3 2 2" xfId="24148"/>
    <cellStyle name="Normal 58 3 4 2 3 3 2 2 2" xfId="49701"/>
    <cellStyle name="Normal 58 3 4 2 3 3 2 3" xfId="39452"/>
    <cellStyle name="Normal 58 3 4 2 3 3 3" xfId="10318"/>
    <cellStyle name="Normal 58 3 4 2 3 3 3 2" xfId="35875"/>
    <cellStyle name="Normal 58 3 4 2 3 3 4" xfId="19141"/>
    <cellStyle name="Normal 58 3 4 2 3 3 4 2" xfId="44694"/>
    <cellStyle name="Normal 58 3 4 2 3 3 5" xfId="30631"/>
    <cellStyle name="Normal 58 3 4 2 3 4" xfId="2156"/>
    <cellStyle name="Normal 58 3 4 2 3 4 2" xfId="11521"/>
    <cellStyle name="Normal 58 3 4 2 3 4 2 2" xfId="37076"/>
    <cellStyle name="Normal 58 3 4 2 3 4 3" xfId="21525"/>
    <cellStyle name="Normal 58 3 4 2 3 4 3 2" xfId="47078"/>
    <cellStyle name="Normal 58 3 4 2 3 4 4" xfId="28008"/>
    <cellStyle name="Normal 58 3 4 2 3 5" xfId="6515"/>
    <cellStyle name="Normal 58 3 4 2 3 5 2" xfId="15342"/>
    <cellStyle name="Normal 58 3 4 2 3 5 2 2" xfId="40897"/>
    <cellStyle name="Normal 58 3 4 2 3 5 3" xfId="25593"/>
    <cellStyle name="Normal 58 3 4 2 3 5 3 2" xfId="51146"/>
    <cellStyle name="Normal 58 3 4 2 3 5 4" xfId="32076"/>
    <cellStyle name="Normal 58 3 4 2 3 6" xfId="7961"/>
    <cellStyle name="Normal 58 3 4 2 3 6 2" xfId="20716"/>
    <cellStyle name="Normal 58 3 4 2 3 6 2 2" xfId="46269"/>
    <cellStyle name="Normal 58 3 4 2 3 6 3" xfId="33518"/>
    <cellStyle name="Normal 58 3 4 2 3 7" xfId="16518"/>
    <cellStyle name="Normal 58 3 4 2 3 7 2" xfId="42071"/>
    <cellStyle name="Normal 58 3 4 2 3 8" xfId="27199"/>
    <cellStyle name="Normal 58 3 4 2 4" xfId="3047"/>
    <cellStyle name="Normal 58 3 4 2 4 2" xfId="5425"/>
    <cellStyle name="Normal 58 3 4 2 4 2 2" xfId="14262"/>
    <cellStyle name="Normal 58 3 4 2 4 2 2 2" xfId="24513"/>
    <cellStyle name="Normal 58 3 4 2 4 2 2 2 2" xfId="50066"/>
    <cellStyle name="Normal 58 3 4 2 4 2 2 3" xfId="39817"/>
    <cellStyle name="Normal 58 3 4 2 4 2 3" xfId="10683"/>
    <cellStyle name="Normal 58 3 4 2 4 2 3 2" xfId="36240"/>
    <cellStyle name="Normal 58 3 4 2 4 2 4" xfId="19506"/>
    <cellStyle name="Normal 58 3 4 2 4 2 4 2" xfId="45059"/>
    <cellStyle name="Normal 58 3 4 2 4 2 5" xfId="30996"/>
    <cellStyle name="Normal 58 3 4 2 4 3" xfId="6880"/>
    <cellStyle name="Normal 58 3 4 2 4 3 2" xfId="15707"/>
    <cellStyle name="Normal 58 3 4 2 4 3 2 2" xfId="41262"/>
    <cellStyle name="Normal 58 3 4 2 4 3 3" xfId="25958"/>
    <cellStyle name="Normal 58 3 4 2 4 3 3 2" xfId="51511"/>
    <cellStyle name="Normal 58 3 4 2 4 3 4" xfId="32441"/>
    <cellStyle name="Normal 58 3 4 2 4 4" xfId="8326"/>
    <cellStyle name="Normal 58 3 4 2 4 4 2" xfId="22408"/>
    <cellStyle name="Normal 58 3 4 2 4 4 2 2" xfId="47961"/>
    <cellStyle name="Normal 58 3 4 2 4 4 3" xfId="33883"/>
    <cellStyle name="Normal 58 3 4 2 4 5" xfId="17401"/>
    <cellStyle name="Normal 58 3 4 2 4 5 2" xfId="42954"/>
    <cellStyle name="Normal 58 3 4 2 4 6" xfId="28891"/>
    <cellStyle name="Normal 58 3 4 2 5" xfId="4381"/>
    <cellStyle name="Normal 58 3 4 2 5 2" xfId="13219"/>
    <cellStyle name="Normal 58 3 4 2 5 2 2" xfId="23470"/>
    <cellStyle name="Normal 58 3 4 2 5 2 2 2" xfId="49023"/>
    <cellStyle name="Normal 58 3 4 2 5 2 3" xfId="38774"/>
    <cellStyle name="Normal 58 3 4 2 5 3" xfId="9640"/>
    <cellStyle name="Normal 58 3 4 2 5 3 2" xfId="35197"/>
    <cellStyle name="Normal 58 3 4 2 5 4" xfId="18463"/>
    <cellStyle name="Normal 58 3 4 2 5 4 2" xfId="44016"/>
    <cellStyle name="Normal 58 3 4 2 5 5" xfId="29953"/>
    <cellStyle name="Normal 58 3 4 2 6" xfId="1653"/>
    <cellStyle name="Normal 58 3 4 2 6 2" xfId="11030"/>
    <cellStyle name="Normal 58 3 4 2 6 2 2" xfId="36585"/>
    <cellStyle name="Normal 58 3 4 2 6 3" xfId="21034"/>
    <cellStyle name="Normal 58 3 4 2 6 3 2" xfId="46587"/>
    <cellStyle name="Normal 58 3 4 2 6 4" xfId="27517"/>
    <cellStyle name="Normal 58 3 4 2 7" xfId="5837"/>
    <cellStyle name="Normal 58 3 4 2 7 2" xfId="14664"/>
    <cellStyle name="Normal 58 3 4 2 7 2 2" xfId="40219"/>
    <cellStyle name="Normal 58 3 4 2 7 3" xfId="24915"/>
    <cellStyle name="Normal 58 3 4 2 7 3 2" xfId="50468"/>
    <cellStyle name="Normal 58 3 4 2 7 4" xfId="31398"/>
    <cellStyle name="Normal 58 3 4 2 8" xfId="7281"/>
    <cellStyle name="Normal 58 3 4 2 8 2" xfId="20007"/>
    <cellStyle name="Normal 58 3 4 2 8 2 2" xfId="45560"/>
    <cellStyle name="Normal 58 3 4 2 8 3" xfId="32838"/>
    <cellStyle name="Normal 58 3 4 2 9" xfId="16027"/>
    <cellStyle name="Normal 58 3 4 2 9 2" xfId="41580"/>
    <cellStyle name="Normal 58 3 4 2_Degree data" xfId="4003"/>
    <cellStyle name="Normal 58 3 4 3" xfId="356"/>
    <cellStyle name="Normal 58 3 4 3 2" xfId="2842"/>
    <cellStyle name="Normal 58 3 4 3 2 2" xfId="12130"/>
    <cellStyle name="Normal 58 3 4 3 2 2 2" xfId="22203"/>
    <cellStyle name="Normal 58 3 4 3 2 2 2 2" xfId="47756"/>
    <cellStyle name="Normal 58 3 4 3 2 2 3" xfId="37685"/>
    <cellStyle name="Normal 58 3 4 3 2 3" xfId="8529"/>
    <cellStyle name="Normal 58 3 4 3 2 3 2" xfId="34086"/>
    <cellStyle name="Normal 58 3 4 3 2 4" xfId="17196"/>
    <cellStyle name="Normal 58 3 4 3 2 4 2" xfId="42749"/>
    <cellStyle name="Normal 58 3 4 3 2 5" xfId="28686"/>
    <cellStyle name="Normal 58 3 4 3 3" xfId="4710"/>
    <cellStyle name="Normal 58 3 4 3 3 2" xfId="13548"/>
    <cellStyle name="Normal 58 3 4 3 3 2 2" xfId="23799"/>
    <cellStyle name="Normal 58 3 4 3 3 2 2 2" xfId="49352"/>
    <cellStyle name="Normal 58 3 4 3 3 2 3" xfId="39103"/>
    <cellStyle name="Normal 58 3 4 3 3 3" xfId="9969"/>
    <cellStyle name="Normal 58 3 4 3 3 3 2" xfId="35526"/>
    <cellStyle name="Normal 58 3 4 3 3 4" xfId="18792"/>
    <cellStyle name="Normal 58 3 4 3 3 4 2" xfId="44345"/>
    <cellStyle name="Normal 58 3 4 3 3 5" xfId="30282"/>
    <cellStyle name="Normal 58 3 4 3 4" xfId="1951"/>
    <cellStyle name="Normal 58 3 4 3 4 2" xfId="11316"/>
    <cellStyle name="Normal 58 3 4 3 4 2 2" xfId="36871"/>
    <cellStyle name="Normal 58 3 4 3 4 3" xfId="21320"/>
    <cellStyle name="Normal 58 3 4 3 4 3 2" xfId="46873"/>
    <cellStyle name="Normal 58 3 4 3 4 4" xfId="27803"/>
    <cellStyle name="Normal 58 3 4 3 5" xfId="6166"/>
    <cellStyle name="Normal 58 3 4 3 5 2" xfId="14993"/>
    <cellStyle name="Normal 58 3 4 3 5 2 2" xfId="40548"/>
    <cellStyle name="Normal 58 3 4 3 5 3" xfId="25244"/>
    <cellStyle name="Normal 58 3 4 3 5 3 2" xfId="50797"/>
    <cellStyle name="Normal 58 3 4 3 5 4" xfId="31727"/>
    <cellStyle name="Normal 58 3 4 3 6" xfId="7611"/>
    <cellStyle name="Normal 58 3 4 3 6 2" xfId="19802"/>
    <cellStyle name="Normal 58 3 4 3 6 2 2" xfId="45355"/>
    <cellStyle name="Normal 58 3 4 3 6 3" xfId="33168"/>
    <cellStyle name="Normal 58 3 4 3 7" xfId="16313"/>
    <cellStyle name="Normal 58 3 4 3 7 2" xfId="41866"/>
    <cellStyle name="Normal 58 3 4 3 8" xfId="26285"/>
    <cellStyle name="Normal 58 3 4 4" xfId="896"/>
    <cellStyle name="Normal 58 3 4 4 2" xfId="3381"/>
    <cellStyle name="Normal 58 3 4 4 2 2" xfId="12523"/>
    <cellStyle name="Normal 58 3 4 4 2 2 2" xfId="22742"/>
    <cellStyle name="Normal 58 3 4 4 2 2 2 2" xfId="48295"/>
    <cellStyle name="Normal 58 3 4 4 2 2 3" xfId="38078"/>
    <cellStyle name="Normal 58 3 4 4 2 3" xfId="8945"/>
    <cellStyle name="Normal 58 3 4 4 2 3 2" xfId="34502"/>
    <cellStyle name="Normal 58 3 4 4 2 4" xfId="17735"/>
    <cellStyle name="Normal 58 3 4 4 2 4 2" xfId="43288"/>
    <cellStyle name="Normal 58 3 4 4 2 5" xfId="29225"/>
    <cellStyle name="Normal 58 3 4 4 3" xfId="5059"/>
    <cellStyle name="Normal 58 3 4 4 3 2" xfId="13896"/>
    <cellStyle name="Normal 58 3 4 4 3 2 2" xfId="24147"/>
    <cellStyle name="Normal 58 3 4 4 3 2 2 2" xfId="49700"/>
    <cellStyle name="Normal 58 3 4 4 3 2 3" xfId="39451"/>
    <cellStyle name="Normal 58 3 4 4 3 3" xfId="10317"/>
    <cellStyle name="Normal 58 3 4 4 3 3 2" xfId="35874"/>
    <cellStyle name="Normal 58 3 4 4 3 4" xfId="19140"/>
    <cellStyle name="Normal 58 3 4 4 3 4 2" xfId="44693"/>
    <cellStyle name="Normal 58 3 4 4 3 5" xfId="30630"/>
    <cellStyle name="Normal 58 3 4 4 4" xfId="2490"/>
    <cellStyle name="Normal 58 3 4 4 4 2" xfId="11855"/>
    <cellStyle name="Normal 58 3 4 4 4 2 2" xfId="37410"/>
    <cellStyle name="Normal 58 3 4 4 4 3" xfId="21859"/>
    <cellStyle name="Normal 58 3 4 4 4 3 2" xfId="47412"/>
    <cellStyle name="Normal 58 3 4 4 4 4" xfId="28342"/>
    <cellStyle name="Normal 58 3 4 4 5" xfId="6514"/>
    <cellStyle name="Normal 58 3 4 4 5 2" xfId="15341"/>
    <cellStyle name="Normal 58 3 4 4 5 2 2" xfId="40896"/>
    <cellStyle name="Normal 58 3 4 4 5 3" xfId="25592"/>
    <cellStyle name="Normal 58 3 4 4 5 3 2" xfId="51145"/>
    <cellStyle name="Normal 58 3 4 4 5 4" xfId="32075"/>
    <cellStyle name="Normal 58 3 4 4 6" xfId="7960"/>
    <cellStyle name="Normal 58 3 4 4 6 2" xfId="20341"/>
    <cellStyle name="Normal 58 3 4 4 6 2 2" xfId="45894"/>
    <cellStyle name="Normal 58 3 4 4 6 3" xfId="33517"/>
    <cellStyle name="Normal 58 3 4 4 7" xfId="16852"/>
    <cellStyle name="Normal 58 3 4 4 7 2" xfId="42405"/>
    <cellStyle name="Normal 58 3 4 4 8" xfId="26824"/>
    <cellStyle name="Normal 58 3 4 5" xfId="1128"/>
    <cellStyle name="Normal 58 3 4 5 2" xfId="3557"/>
    <cellStyle name="Normal 58 3 4 5 2 2" xfId="12693"/>
    <cellStyle name="Normal 58 3 4 5 2 2 2" xfId="22912"/>
    <cellStyle name="Normal 58 3 4 5 2 2 2 2" xfId="48465"/>
    <cellStyle name="Normal 58 3 4 5 2 2 3" xfId="38248"/>
    <cellStyle name="Normal 58 3 4 5 2 3" xfId="9114"/>
    <cellStyle name="Normal 58 3 4 5 2 3 2" xfId="34671"/>
    <cellStyle name="Normal 58 3 4 5 2 4" xfId="17905"/>
    <cellStyle name="Normal 58 3 4 5 2 4 2" xfId="43458"/>
    <cellStyle name="Normal 58 3 4 5 2 5" xfId="29395"/>
    <cellStyle name="Normal 58 3 4 5 3" xfId="5220"/>
    <cellStyle name="Normal 58 3 4 5 3 2" xfId="14057"/>
    <cellStyle name="Normal 58 3 4 5 3 2 2" xfId="24308"/>
    <cellStyle name="Normal 58 3 4 5 3 2 2 2" xfId="49861"/>
    <cellStyle name="Normal 58 3 4 5 3 2 3" xfId="39612"/>
    <cellStyle name="Normal 58 3 4 5 3 3" xfId="10478"/>
    <cellStyle name="Normal 58 3 4 5 3 3 2" xfId="36035"/>
    <cellStyle name="Normal 58 3 4 5 3 4" xfId="19301"/>
    <cellStyle name="Normal 58 3 4 5 3 4 2" xfId="44854"/>
    <cellStyle name="Normal 58 3 4 5 3 5" xfId="30791"/>
    <cellStyle name="Normal 58 3 4 5 4" xfId="1836"/>
    <cellStyle name="Normal 58 3 4 5 4 2" xfId="11204"/>
    <cellStyle name="Normal 58 3 4 5 4 2 2" xfId="36759"/>
    <cellStyle name="Normal 58 3 4 5 4 3" xfId="21208"/>
    <cellStyle name="Normal 58 3 4 5 4 3 2" xfId="46761"/>
    <cellStyle name="Normal 58 3 4 5 4 4" xfId="27691"/>
    <cellStyle name="Normal 58 3 4 5 5" xfId="6675"/>
    <cellStyle name="Normal 58 3 4 5 5 2" xfId="15502"/>
    <cellStyle name="Normal 58 3 4 5 5 2 2" xfId="41057"/>
    <cellStyle name="Normal 58 3 4 5 5 3" xfId="25753"/>
    <cellStyle name="Normal 58 3 4 5 5 3 2" xfId="51306"/>
    <cellStyle name="Normal 58 3 4 5 5 4" xfId="32236"/>
    <cellStyle name="Normal 58 3 4 5 6" xfId="8121"/>
    <cellStyle name="Normal 58 3 4 5 6 2" xfId="20511"/>
    <cellStyle name="Normal 58 3 4 5 6 2 2" xfId="46064"/>
    <cellStyle name="Normal 58 3 4 5 6 3" xfId="33678"/>
    <cellStyle name="Normal 58 3 4 5 7" xfId="16201"/>
    <cellStyle name="Normal 58 3 4 5 7 2" xfId="41754"/>
    <cellStyle name="Normal 58 3 4 5 8" xfId="26994"/>
    <cellStyle name="Normal 58 3 4 6" xfId="2730"/>
    <cellStyle name="Normal 58 3 4 6 2" xfId="12047"/>
    <cellStyle name="Normal 58 3 4 6 2 2" xfId="22091"/>
    <cellStyle name="Normal 58 3 4 6 2 2 2" xfId="47644"/>
    <cellStyle name="Normal 58 3 4 6 2 3" xfId="37602"/>
    <cellStyle name="Normal 58 3 4 6 3" xfId="8487"/>
    <cellStyle name="Normal 58 3 4 6 3 2" xfId="34044"/>
    <cellStyle name="Normal 58 3 4 6 4" xfId="17084"/>
    <cellStyle name="Normal 58 3 4 6 4 2" xfId="42637"/>
    <cellStyle name="Normal 58 3 4 6 5" xfId="28574"/>
    <cellStyle name="Normal 58 3 4 7" xfId="4176"/>
    <cellStyle name="Normal 58 3 4 7 2" xfId="13014"/>
    <cellStyle name="Normal 58 3 4 7 2 2" xfId="23265"/>
    <cellStyle name="Normal 58 3 4 7 2 2 2" xfId="48818"/>
    <cellStyle name="Normal 58 3 4 7 2 3" xfId="38569"/>
    <cellStyle name="Normal 58 3 4 7 3" xfId="9435"/>
    <cellStyle name="Normal 58 3 4 7 3 2" xfId="34992"/>
    <cellStyle name="Normal 58 3 4 7 4" xfId="18258"/>
    <cellStyle name="Normal 58 3 4 7 4 2" xfId="43811"/>
    <cellStyle name="Normal 58 3 4 7 5" xfId="29748"/>
    <cellStyle name="Normal 58 3 4 8" xfId="1448"/>
    <cellStyle name="Normal 58 3 4 8 2" xfId="10825"/>
    <cellStyle name="Normal 58 3 4 8 2 2" xfId="36380"/>
    <cellStyle name="Normal 58 3 4 8 3" xfId="20829"/>
    <cellStyle name="Normal 58 3 4 8 3 2" xfId="46382"/>
    <cellStyle name="Normal 58 3 4 8 4" xfId="27312"/>
    <cellStyle name="Normal 58 3 4 9" xfId="5632"/>
    <cellStyle name="Normal 58 3 4 9 2" xfId="14459"/>
    <cellStyle name="Normal 58 3 4 9 2 2" xfId="40014"/>
    <cellStyle name="Normal 58 3 4 9 3" xfId="24710"/>
    <cellStyle name="Normal 58 3 4 9 3 2" xfId="50263"/>
    <cellStyle name="Normal 58 3 4 9 4" xfId="31193"/>
    <cellStyle name="Normal 58 3 4_Degree data" xfId="4002"/>
    <cellStyle name="Normal 58 3 5" xfId="456"/>
    <cellStyle name="Normal 58 3 5 10" xfId="26385"/>
    <cellStyle name="Normal 58 3 5 2" xfId="898"/>
    <cellStyle name="Normal 58 3 5 2 2" xfId="3383"/>
    <cellStyle name="Normal 58 3 5 2 2 2" xfId="12525"/>
    <cellStyle name="Normal 58 3 5 2 2 2 2" xfId="22744"/>
    <cellStyle name="Normal 58 3 5 2 2 2 2 2" xfId="48297"/>
    <cellStyle name="Normal 58 3 5 2 2 2 3" xfId="38080"/>
    <cellStyle name="Normal 58 3 5 2 2 3" xfId="8947"/>
    <cellStyle name="Normal 58 3 5 2 2 3 2" xfId="34504"/>
    <cellStyle name="Normal 58 3 5 2 2 4" xfId="17737"/>
    <cellStyle name="Normal 58 3 5 2 2 4 2" xfId="43290"/>
    <cellStyle name="Normal 58 3 5 2 2 5" xfId="29227"/>
    <cellStyle name="Normal 58 3 5 2 3" xfId="4712"/>
    <cellStyle name="Normal 58 3 5 2 3 2" xfId="13550"/>
    <cellStyle name="Normal 58 3 5 2 3 2 2" xfId="23801"/>
    <cellStyle name="Normal 58 3 5 2 3 2 2 2" xfId="49354"/>
    <cellStyle name="Normal 58 3 5 2 3 2 3" xfId="39105"/>
    <cellStyle name="Normal 58 3 5 2 3 3" xfId="9971"/>
    <cellStyle name="Normal 58 3 5 2 3 3 2" xfId="35528"/>
    <cellStyle name="Normal 58 3 5 2 3 4" xfId="18794"/>
    <cellStyle name="Normal 58 3 5 2 3 4 2" xfId="44347"/>
    <cellStyle name="Normal 58 3 5 2 3 5" xfId="30284"/>
    <cellStyle name="Normal 58 3 5 2 4" xfId="2492"/>
    <cellStyle name="Normal 58 3 5 2 4 2" xfId="11857"/>
    <cellStyle name="Normal 58 3 5 2 4 2 2" xfId="37412"/>
    <cellStyle name="Normal 58 3 5 2 4 3" xfId="21861"/>
    <cellStyle name="Normal 58 3 5 2 4 3 2" xfId="47414"/>
    <cellStyle name="Normal 58 3 5 2 4 4" xfId="28344"/>
    <cellStyle name="Normal 58 3 5 2 5" xfId="6168"/>
    <cellStyle name="Normal 58 3 5 2 5 2" xfId="14995"/>
    <cellStyle name="Normal 58 3 5 2 5 2 2" xfId="40550"/>
    <cellStyle name="Normal 58 3 5 2 5 3" xfId="25246"/>
    <cellStyle name="Normal 58 3 5 2 5 3 2" xfId="50799"/>
    <cellStyle name="Normal 58 3 5 2 5 4" xfId="31729"/>
    <cellStyle name="Normal 58 3 5 2 6" xfId="7613"/>
    <cellStyle name="Normal 58 3 5 2 6 2" xfId="20343"/>
    <cellStyle name="Normal 58 3 5 2 6 2 2" xfId="45896"/>
    <cellStyle name="Normal 58 3 5 2 6 3" xfId="33170"/>
    <cellStyle name="Normal 58 3 5 2 7" xfId="16854"/>
    <cellStyle name="Normal 58 3 5 2 7 2" xfId="42407"/>
    <cellStyle name="Normal 58 3 5 2 8" xfId="26826"/>
    <cellStyle name="Normal 58 3 5 3" xfId="1228"/>
    <cellStyle name="Normal 58 3 5 3 2" xfId="3657"/>
    <cellStyle name="Normal 58 3 5 3 2 2" xfId="12793"/>
    <cellStyle name="Normal 58 3 5 3 2 2 2" xfId="23012"/>
    <cellStyle name="Normal 58 3 5 3 2 2 2 2" xfId="48565"/>
    <cellStyle name="Normal 58 3 5 3 2 2 3" xfId="38348"/>
    <cellStyle name="Normal 58 3 5 3 2 3" xfId="9214"/>
    <cellStyle name="Normal 58 3 5 3 2 3 2" xfId="34771"/>
    <cellStyle name="Normal 58 3 5 3 2 4" xfId="18005"/>
    <cellStyle name="Normal 58 3 5 3 2 4 2" xfId="43558"/>
    <cellStyle name="Normal 58 3 5 3 2 5" xfId="29495"/>
    <cellStyle name="Normal 58 3 5 3 3" xfId="5061"/>
    <cellStyle name="Normal 58 3 5 3 3 2" xfId="13898"/>
    <cellStyle name="Normal 58 3 5 3 3 2 2" xfId="24149"/>
    <cellStyle name="Normal 58 3 5 3 3 2 2 2" xfId="49702"/>
    <cellStyle name="Normal 58 3 5 3 3 2 3" xfId="39453"/>
    <cellStyle name="Normal 58 3 5 3 3 3" xfId="10319"/>
    <cellStyle name="Normal 58 3 5 3 3 3 2" xfId="35876"/>
    <cellStyle name="Normal 58 3 5 3 3 4" xfId="19142"/>
    <cellStyle name="Normal 58 3 5 3 3 4 2" xfId="44695"/>
    <cellStyle name="Normal 58 3 5 3 3 5" xfId="30632"/>
    <cellStyle name="Normal 58 3 5 3 4" xfId="2051"/>
    <cellStyle name="Normal 58 3 5 3 4 2" xfId="11416"/>
    <cellStyle name="Normal 58 3 5 3 4 2 2" xfId="36971"/>
    <cellStyle name="Normal 58 3 5 3 4 3" xfId="21420"/>
    <cellStyle name="Normal 58 3 5 3 4 3 2" xfId="46973"/>
    <cellStyle name="Normal 58 3 5 3 4 4" xfId="27903"/>
    <cellStyle name="Normal 58 3 5 3 5" xfId="6516"/>
    <cellStyle name="Normal 58 3 5 3 5 2" xfId="15343"/>
    <cellStyle name="Normal 58 3 5 3 5 2 2" xfId="40898"/>
    <cellStyle name="Normal 58 3 5 3 5 3" xfId="25594"/>
    <cellStyle name="Normal 58 3 5 3 5 3 2" xfId="51147"/>
    <cellStyle name="Normal 58 3 5 3 5 4" xfId="32077"/>
    <cellStyle name="Normal 58 3 5 3 6" xfId="7962"/>
    <cellStyle name="Normal 58 3 5 3 6 2" xfId="20611"/>
    <cellStyle name="Normal 58 3 5 3 6 2 2" xfId="46164"/>
    <cellStyle name="Normal 58 3 5 3 6 3" xfId="33519"/>
    <cellStyle name="Normal 58 3 5 3 7" xfId="16413"/>
    <cellStyle name="Normal 58 3 5 3 7 2" xfId="41966"/>
    <cellStyle name="Normal 58 3 5 3 8" xfId="27094"/>
    <cellStyle name="Normal 58 3 5 4" xfId="2942"/>
    <cellStyle name="Normal 58 3 5 4 2" xfId="5320"/>
    <cellStyle name="Normal 58 3 5 4 2 2" xfId="14157"/>
    <cellStyle name="Normal 58 3 5 4 2 2 2" xfId="24408"/>
    <cellStyle name="Normal 58 3 5 4 2 2 2 2" xfId="49961"/>
    <cellStyle name="Normal 58 3 5 4 2 2 3" xfId="39712"/>
    <cellStyle name="Normal 58 3 5 4 2 3" xfId="10578"/>
    <cellStyle name="Normal 58 3 5 4 2 3 2" xfId="36135"/>
    <cellStyle name="Normal 58 3 5 4 2 4" xfId="19401"/>
    <cellStyle name="Normal 58 3 5 4 2 4 2" xfId="44954"/>
    <cellStyle name="Normal 58 3 5 4 2 5" xfId="30891"/>
    <cellStyle name="Normal 58 3 5 4 3" xfId="6775"/>
    <cellStyle name="Normal 58 3 5 4 3 2" xfId="15602"/>
    <cellStyle name="Normal 58 3 5 4 3 2 2" xfId="41157"/>
    <cellStyle name="Normal 58 3 5 4 3 3" xfId="25853"/>
    <cellStyle name="Normal 58 3 5 4 3 3 2" xfId="51406"/>
    <cellStyle name="Normal 58 3 5 4 3 4" xfId="32336"/>
    <cellStyle name="Normal 58 3 5 4 4" xfId="8221"/>
    <cellStyle name="Normal 58 3 5 4 4 2" xfId="22303"/>
    <cellStyle name="Normal 58 3 5 4 4 2 2" xfId="47856"/>
    <cellStyle name="Normal 58 3 5 4 4 3" xfId="33778"/>
    <cellStyle name="Normal 58 3 5 4 5" xfId="17296"/>
    <cellStyle name="Normal 58 3 5 4 5 2" xfId="42849"/>
    <cellStyle name="Normal 58 3 5 4 6" xfId="28786"/>
    <cellStyle name="Normal 58 3 5 5" xfId="4276"/>
    <cellStyle name="Normal 58 3 5 5 2" xfId="13114"/>
    <cellStyle name="Normal 58 3 5 5 2 2" xfId="23365"/>
    <cellStyle name="Normal 58 3 5 5 2 2 2" xfId="48918"/>
    <cellStyle name="Normal 58 3 5 5 2 3" xfId="38669"/>
    <cellStyle name="Normal 58 3 5 5 3" xfId="9535"/>
    <cellStyle name="Normal 58 3 5 5 3 2" xfId="35092"/>
    <cellStyle name="Normal 58 3 5 5 4" xfId="18358"/>
    <cellStyle name="Normal 58 3 5 5 4 2" xfId="43911"/>
    <cellStyle name="Normal 58 3 5 5 5" xfId="29848"/>
    <cellStyle name="Normal 58 3 5 6" xfId="1548"/>
    <cellStyle name="Normal 58 3 5 6 2" xfId="10925"/>
    <cellStyle name="Normal 58 3 5 6 2 2" xfId="36480"/>
    <cellStyle name="Normal 58 3 5 6 3" xfId="20929"/>
    <cellStyle name="Normal 58 3 5 6 3 2" xfId="46482"/>
    <cellStyle name="Normal 58 3 5 6 4" xfId="27412"/>
    <cellStyle name="Normal 58 3 5 7" xfId="5732"/>
    <cellStyle name="Normal 58 3 5 7 2" xfId="14559"/>
    <cellStyle name="Normal 58 3 5 7 2 2" xfId="40114"/>
    <cellStyle name="Normal 58 3 5 7 3" xfId="24810"/>
    <cellStyle name="Normal 58 3 5 7 3 2" xfId="50363"/>
    <cellStyle name="Normal 58 3 5 7 4" xfId="31293"/>
    <cellStyle name="Normal 58 3 5 8" xfId="7176"/>
    <cellStyle name="Normal 58 3 5 8 2" xfId="19902"/>
    <cellStyle name="Normal 58 3 5 8 2 2" xfId="45455"/>
    <cellStyle name="Normal 58 3 5 8 3" xfId="32733"/>
    <cellStyle name="Normal 58 3 5 9" xfId="15922"/>
    <cellStyle name="Normal 58 3 5 9 2" xfId="41475"/>
    <cellStyle name="Normal 58 3 5_Degree data" xfId="4004"/>
    <cellStyle name="Normal 58 3 6" xfId="304"/>
    <cellStyle name="Normal 58 3 6 10" xfId="26233"/>
    <cellStyle name="Normal 58 3 6 2" xfId="899"/>
    <cellStyle name="Normal 58 3 6 2 2" xfId="3384"/>
    <cellStyle name="Normal 58 3 6 2 2 2" xfId="12526"/>
    <cellStyle name="Normal 58 3 6 2 2 2 2" xfId="22745"/>
    <cellStyle name="Normal 58 3 6 2 2 2 2 2" xfId="48298"/>
    <cellStyle name="Normal 58 3 6 2 2 2 3" xfId="38081"/>
    <cellStyle name="Normal 58 3 6 2 2 3" xfId="8948"/>
    <cellStyle name="Normal 58 3 6 2 2 3 2" xfId="34505"/>
    <cellStyle name="Normal 58 3 6 2 2 4" xfId="17738"/>
    <cellStyle name="Normal 58 3 6 2 2 4 2" xfId="43291"/>
    <cellStyle name="Normal 58 3 6 2 2 5" xfId="29228"/>
    <cellStyle name="Normal 58 3 6 2 3" xfId="4713"/>
    <cellStyle name="Normal 58 3 6 2 3 2" xfId="13551"/>
    <cellStyle name="Normal 58 3 6 2 3 2 2" xfId="23802"/>
    <cellStyle name="Normal 58 3 6 2 3 2 2 2" xfId="49355"/>
    <cellStyle name="Normal 58 3 6 2 3 2 3" xfId="39106"/>
    <cellStyle name="Normal 58 3 6 2 3 3" xfId="9972"/>
    <cellStyle name="Normal 58 3 6 2 3 3 2" xfId="35529"/>
    <cellStyle name="Normal 58 3 6 2 3 4" xfId="18795"/>
    <cellStyle name="Normal 58 3 6 2 3 4 2" xfId="44348"/>
    <cellStyle name="Normal 58 3 6 2 3 5" xfId="30285"/>
    <cellStyle name="Normal 58 3 6 2 4" xfId="2493"/>
    <cellStyle name="Normal 58 3 6 2 4 2" xfId="11858"/>
    <cellStyle name="Normal 58 3 6 2 4 2 2" xfId="37413"/>
    <cellStyle name="Normal 58 3 6 2 4 3" xfId="21862"/>
    <cellStyle name="Normal 58 3 6 2 4 3 2" xfId="47415"/>
    <cellStyle name="Normal 58 3 6 2 4 4" xfId="28345"/>
    <cellStyle name="Normal 58 3 6 2 5" xfId="6169"/>
    <cellStyle name="Normal 58 3 6 2 5 2" xfId="14996"/>
    <cellStyle name="Normal 58 3 6 2 5 2 2" xfId="40551"/>
    <cellStyle name="Normal 58 3 6 2 5 3" xfId="25247"/>
    <cellStyle name="Normal 58 3 6 2 5 3 2" xfId="50800"/>
    <cellStyle name="Normal 58 3 6 2 5 4" xfId="31730"/>
    <cellStyle name="Normal 58 3 6 2 6" xfId="7614"/>
    <cellStyle name="Normal 58 3 6 2 6 2" xfId="20344"/>
    <cellStyle name="Normal 58 3 6 2 6 2 2" xfId="45897"/>
    <cellStyle name="Normal 58 3 6 2 6 3" xfId="33171"/>
    <cellStyle name="Normal 58 3 6 2 7" xfId="16855"/>
    <cellStyle name="Normal 58 3 6 2 7 2" xfId="42408"/>
    <cellStyle name="Normal 58 3 6 2 8" xfId="26827"/>
    <cellStyle name="Normal 58 3 6 3" xfId="1076"/>
    <cellStyle name="Normal 58 3 6 3 2" xfId="3505"/>
    <cellStyle name="Normal 58 3 6 3 2 2" xfId="12641"/>
    <cellStyle name="Normal 58 3 6 3 2 2 2" xfId="22860"/>
    <cellStyle name="Normal 58 3 6 3 2 2 2 2" xfId="48413"/>
    <cellStyle name="Normal 58 3 6 3 2 2 3" xfId="38196"/>
    <cellStyle name="Normal 58 3 6 3 2 3" xfId="9063"/>
    <cellStyle name="Normal 58 3 6 3 2 3 2" xfId="34620"/>
    <cellStyle name="Normal 58 3 6 3 2 4" xfId="17853"/>
    <cellStyle name="Normal 58 3 6 3 2 4 2" xfId="43406"/>
    <cellStyle name="Normal 58 3 6 3 2 5" xfId="29343"/>
    <cellStyle name="Normal 58 3 6 3 3" xfId="5062"/>
    <cellStyle name="Normal 58 3 6 3 3 2" xfId="13899"/>
    <cellStyle name="Normal 58 3 6 3 3 2 2" xfId="24150"/>
    <cellStyle name="Normal 58 3 6 3 3 2 2 2" xfId="49703"/>
    <cellStyle name="Normal 58 3 6 3 3 2 3" xfId="39454"/>
    <cellStyle name="Normal 58 3 6 3 3 3" xfId="10320"/>
    <cellStyle name="Normal 58 3 6 3 3 3 2" xfId="35877"/>
    <cellStyle name="Normal 58 3 6 3 3 4" xfId="19143"/>
    <cellStyle name="Normal 58 3 6 3 3 4 2" xfId="44696"/>
    <cellStyle name="Normal 58 3 6 3 3 5" xfId="30633"/>
    <cellStyle name="Normal 58 3 6 3 4" xfId="2597"/>
    <cellStyle name="Normal 58 3 6 3 4 2" xfId="11961"/>
    <cellStyle name="Normal 58 3 6 3 4 2 2" xfId="37516"/>
    <cellStyle name="Normal 58 3 6 3 4 3" xfId="21965"/>
    <cellStyle name="Normal 58 3 6 3 4 3 2" xfId="47518"/>
    <cellStyle name="Normal 58 3 6 3 4 4" xfId="28448"/>
    <cellStyle name="Normal 58 3 6 3 5" xfId="6517"/>
    <cellStyle name="Normal 58 3 6 3 5 2" xfId="15344"/>
    <cellStyle name="Normal 58 3 6 3 5 2 2" xfId="40899"/>
    <cellStyle name="Normal 58 3 6 3 5 3" xfId="25595"/>
    <cellStyle name="Normal 58 3 6 3 5 3 2" xfId="51148"/>
    <cellStyle name="Normal 58 3 6 3 5 4" xfId="32078"/>
    <cellStyle name="Normal 58 3 6 3 6" xfId="7963"/>
    <cellStyle name="Normal 58 3 6 3 6 2" xfId="20459"/>
    <cellStyle name="Normal 58 3 6 3 6 2 2" xfId="46012"/>
    <cellStyle name="Normal 58 3 6 3 6 3" xfId="33520"/>
    <cellStyle name="Normal 58 3 6 3 7" xfId="16958"/>
    <cellStyle name="Normal 58 3 6 3 7 2" xfId="42511"/>
    <cellStyle name="Normal 58 3 6 3 8" xfId="26942"/>
    <cellStyle name="Normal 58 3 6 4" xfId="2790"/>
    <cellStyle name="Normal 58 3 6 4 2" xfId="5168"/>
    <cellStyle name="Normal 58 3 6 4 2 2" xfId="14005"/>
    <cellStyle name="Normal 58 3 6 4 2 2 2" xfId="24256"/>
    <cellStyle name="Normal 58 3 6 4 2 2 2 2" xfId="49809"/>
    <cellStyle name="Normal 58 3 6 4 2 2 3" xfId="39560"/>
    <cellStyle name="Normal 58 3 6 4 2 3" xfId="10426"/>
    <cellStyle name="Normal 58 3 6 4 2 3 2" xfId="35983"/>
    <cellStyle name="Normal 58 3 6 4 2 4" xfId="19249"/>
    <cellStyle name="Normal 58 3 6 4 2 4 2" xfId="44802"/>
    <cellStyle name="Normal 58 3 6 4 2 5" xfId="30739"/>
    <cellStyle name="Normal 58 3 6 4 3" xfId="6623"/>
    <cellStyle name="Normal 58 3 6 4 3 2" xfId="15450"/>
    <cellStyle name="Normal 58 3 6 4 3 2 2" xfId="41005"/>
    <cellStyle name="Normal 58 3 6 4 3 3" xfId="25701"/>
    <cellStyle name="Normal 58 3 6 4 3 3 2" xfId="51254"/>
    <cellStyle name="Normal 58 3 6 4 3 4" xfId="32184"/>
    <cellStyle name="Normal 58 3 6 4 4" xfId="8069"/>
    <cellStyle name="Normal 58 3 6 4 4 2" xfId="22151"/>
    <cellStyle name="Normal 58 3 6 4 4 2 2" xfId="47704"/>
    <cellStyle name="Normal 58 3 6 4 4 3" xfId="33626"/>
    <cellStyle name="Normal 58 3 6 4 5" xfId="17144"/>
    <cellStyle name="Normal 58 3 6 4 5 2" xfId="42697"/>
    <cellStyle name="Normal 58 3 6 4 6" xfId="28634"/>
    <cellStyle name="Normal 58 3 6 5" xfId="4122"/>
    <cellStyle name="Normal 58 3 6 5 2" xfId="12960"/>
    <cellStyle name="Normal 58 3 6 5 2 2" xfId="23211"/>
    <cellStyle name="Normal 58 3 6 5 2 2 2" xfId="48764"/>
    <cellStyle name="Normal 58 3 6 5 2 3" xfId="38515"/>
    <cellStyle name="Normal 58 3 6 5 3" xfId="9381"/>
    <cellStyle name="Normal 58 3 6 5 3 2" xfId="34938"/>
    <cellStyle name="Normal 58 3 6 5 4" xfId="18204"/>
    <cellStyle name="Normal 58 3 6 5 4 2" xfId="43757"/>
    <cellStyle name="Normal 58 3 6 5 5" xfId="29694"/>
    <cellStyle name="Normal 58 3 6 6" xfId="1899"/>
    <cellStyle name="Normal 58 3 6 6 2" xfId="11264"/>
    <cellStyle name="Normal 58 3 6 6 2 2" xfId="36819"/>
    <cellStyle name="Normal 58 3 6 6 3" xfId="21268"/>
    <cellStyle name="Normal 58 3 6 6 3 2" xfId="46821"/>
    <cellStyle name="Normal 58 3 6 6 4" xfId="27751"/>
    <cellStyle name="Normal 58 3 6 7" xfId="5580"/>
    <cellStyle name="Normal 58 3 6 7 2" xfId="14407"/>
    <cellStyle name="Normal 58 3 6 7 2 2" xfId="39962"/>
    <cellStyle name="Normal 58 3 6 7 3" xfId="24658"/>
    <cellStyle name="Normal 58 3 6 7 3 2" xfId="50211"/>
    <cellStyle name="Normal 58 3 6 7 4" xfId="31141"/>
    <cellStyle name="Normal 58 3 6 8" xfId="7024"/>
    <cellStyle name="Normal 58 3 6 8 2" xfId="19750"/>
    <cellStyle name="Normal 58 3 6 8 2 2" xfId="45303"/>
    <cellStyle name="Normal 58 3 6 8 3" xfId="32581"/>
    <cellStyle name="Normal 58 3 6 9" xfId="16261"/>
    <cellStyle name="Normal 58 3 6 9 2" xfId="41814"/>
    <cellStyle name="Normal 58 3 6_Degree data" xfId="4005"/>
    <cellStyle name="Normal 58 3 7" xfId="888"/>
    <cellStyle name="Normal 58 3 7 2" xfId="3373"/>
    <cellStyle name="Normal 58 3 7 2 2" xfId="12515"/>
    <cellStyle name="Normal 58 3 7 2 2 2" xfId="22734"/>
    <cellStyle name="Normal 58 3 7 2 2 2 2" xfId="48287"/>
    <cellStyle name="Normal 58 3 7 2 2 3" xfId="38070"/>
    <cellStyle name="Normal 58 3 7 2 3" xfId="8937"/>
    <cellStyle name="Normal 58 3 7 2 3 2" xfId="34494"/>
    <cellStyle name="Normal 58 3 7 2 4" xfId="17727"/>
    <cellStyle name="Normal 58 3 7 2 4 2" xfId="43280"/>
    <cellStyle name="Normal 58 3 7 2 5" xfId="29217"/>
    <cellStyle name="Normal 58 3 7 3" xfId="4702"/>
    <cellStyle name="Normal 58 3 7 3 2" xfId="13540"/>
    <cellStyle name="Normal 58 3 7 3 2 2" xfId="23791"/>
    <cellStyle name="Normal 58 3 7 3 2 2 2" xfId="49344"/>
    <cellStyle name="Normal 58 3 7 3 2 3" xfId="39095"/>
    <cellStyle name="Normal 58 3 7 3 3" xfId="9961"/>
    <cellStyle name="Normal 58 3 7 3 3 2" xfId="35518"/>
    <cellStyle name="Normal 58 3 7 3 4" xfId="18784"/>
    <cellStyle name="Normal 58 3 7 3 4 2" xfId="44337"/>
    <cellStyle name="Normal 58 3 7 3 5" xfId="30274"/>
    <cellStyle name="Normal 58 3 7 4" xfId="2482"/>
    <cellStyle name="Normal 58 3 7 4 2" xfId="11847"/>
    <cellStyle name="Normal 58 3 7 4 2 2" xfId="37402"/>
    <cellStyle name="Normal 58 3 7 4 3" xfId="21851"/>
    <cellStyle name="Normal 58 3 7 4 3 2" xfId="47404"/>
    <cellStyle name="Normal 58 3 7 4 4" xfId="28334"/>
    <cellStyle name="Normal 58 3 7 5" xfId="6158"/>
    <cellStyle name="Normal 58 3 7 5 2" xfId="14985"/>
    <cellStyle name="Normal 58 3 7 5 2 2" xfId="40540"/>
    <cellStyle name="Normal 58 3 7 5 3" xfId="25236"/>
    <cellStyle name="Normal 58 3 7 5 3 2" xfId="50789"/>
    <cellStyle name="Normal 58 3 7 5 4" xfId="31719"/>
    <cellStyle name="Normal 58 3 7 6" xfId="7603"/>
    <cellStyle name="Normal 58 3 7 6 2" xfId="20333"/>
    <cellStyle name="Normal 58 3 7 6 2 2" xfId="45886"/>
    <cellStyle name="Normal 58 3 7 6 3" xfId="33160"/>
    <cellStyle name="Normal 58 3 7 7" xfId="16844"/>
    <cellStyle name="Normal 58 3 7 7 2" xfId="42397"/>
    <cellStyle name="Normal 58 3 7 8" xfId="26816"/>
    <cellStyle name="Normal 58 3 8" xfId="1056"/>
    <cellStyle name="Normal 58 3 8 2" xfId="3485"/>
    <cellStyle name="Normal 58 3 8 2 2" xfId="12621"/>
    <cellStyle name="Normal 58 3 8 2 2 2" xfId="22840"/>
    <cellStyle name="Normal 58 3 8 2 2 2 2" xfId="48393"/>
    <cellStyle name="Normal 58 3 8 2 2 3" xfId="38176"/>
    <cellStyle name="Normal 58 3 8 2 3" xfId="9043"/>
    <cellStyle name="Normal 58 3 8 2 3 2" xfId="34600"/>
    <cellStyle name="Normal 58 3 8 2 4" xfId="17833"/>
    <cellStyle name="Normal 58 3 8 2 4 2" xfId="43386"/>
    <cellStyle name="Normal 58 3 8 2 5" xfId="29323"/>
    <cellStyle name="Normal 58 3 8 3" xfId="5051"/>
    <cellStyle name="Normal 58 3 8 3 2" xfId="13888"/>
    <cellStyle name="Normal 58 3 8 3 2 2" xfId="24139"/>
    <cellStyle name="Normal 58 3 8 3 2 2 2" xfId="49692"/>
    <cellStyle name="Normal 58 3 8 3 2 3" xfId="39443"/>
    <cellStyle name="Normal 58 3 8 3 3" xfId="10309"/>
    <cellStyle name="Normal 58 3 8 3 3 2" xfId="35866"/>
    <cellStyle name="Normal 58 3 8 3 4" xfId="19132"/>
    <cellStyle name="Normal 58 3 8 3 4 2" xfId="44685"/>
    <cellStyle name="Normal 58 3 8 3 5" xfId="30622"/>
    <cellStyle name="Normal 58 3 8 4" xfId="1724"/>
    <cellStyle name="Normal 58 3 8 4 2" xfId="11098"/>
    <cellStyle name="Normal 58 3 8 4 2 2" xfId="36653"/>
    <cellStyle name="Normal 58 3 8 4 3" xfId="21102"/>
    <cellStyle name="Normal 58 3 8 4 3 2" xfId="46655"/>
    <cellStyle name="Normal 58 3 8 4 4" xfId="27585"/>
    <cellStyle name="Normal 58 3 8 5" xfId="6506"/>
    <cellStyle name="Normal 58 3 8 5 2" xfId="15333"/>
    <cellStyle name="Normal 58 3 8 5 2 2" xfId="40888"/>
    <cellStyle name="Normal 58 3 8 5 3" xfId="25584"/>
    <cellStyle name="Normal 58 3 8 5 3 2" xfId="51137"/>
    <cellStyle name="Normal 58 3 8 5 4" xfId="32067"/>
    <cellStyle name="Normal 58 3 8 6" xfId="7952"/>
    <cellStyle name="Normal 58 3 8 6 2" xfId="20439"/>
    <cellStyle name="Normal 58 3 8 6 2 2" xfId="45992"/>
    <cellStyle name="Normal 58 3 8 6 3" xfId="33509"/>
    <cellStyle name="Normal 58 3 8 7" xfId="16095"/>
    <cellStyle name="Normal 58 3 8 7 2" xfId="41648"/>
    <cellStyle name="Normal 58 3 8 8" xfId="26922"/>
    <cellStyle name="Normal 58 3 9" xfId="2622"/>
    <cellStyle name="Normal 58 3 9 2" xfId="5148"/>
    <cellStyle name="Normal 58 3 9 2 2" xfId="13985"/>
    <cellStyle name="Normal 58 3 9 2 2 2" xfId="24236"/>
    <cellStyle name="Normal 58 3 9 2 2 2 2" xfId="49789"/>
    <cellStyle name="Normal 58 3 9 2 2 3" xfId="39540"/>
    <cellStyle name="Normal 58 3 9 2 3" xfId="10406"/>
    <cellStyle name="Normal 58 3 9 2 3 2" xfId="35963"/>
    <cellStyle name="Normal 58 3 9 2 4" xfId="19229"/>
    <cellStyle name="Normal 58 3 9 2 4 2" xfId="44782"/>
    <cellStyle name="Normal 58 3 9 2 5" xfId="30719"/>
    <cellStyle name="Normal 58 3 9 3" xfId="6603"/>
    <cellStyle name="Normal 58 3 9 3 2" xfId="15430"/>
    <cellStyle name="Normal 58 3 9 3 2 2" xfId="40985"/>
    <cellStyle name="Normal 58 3 9 3 3" xfId="25681"/>
    <cellStyle name="Normal 58 3 9 3 3 2" xfId="51234"/>
    <cellStyle name="Normal 58 3 9 3 4" xfId="32164"/>
    <cellStyle name="Normal 58 3 9 4" xfId="8049"/>
    <cellStyle name="Normal 58 3 9 4 2" xfId="21985"/>
    <cellStyle name="Normal 58 3 9 4 2 2" xfId="47538"/>
    <cellStyle name="Normal 58 3 9 4 3" xfId="33606"/>
    <cellStyle name="Normal 58 3 9 5" xfId="16978"/>
    <cellStyle name="Normal 58 3 9 5 2" xfId="42531"/>
    <cellStyle name="Normal 58 3 9 6" xfId="28468"/>
    <cellStyle name="Normal 58 3_Degree data" xfId="3994"/>
    <cellStyle name="Normal 58 4" xfId="129"/>
    <cellStyle name="Normal 58 4 10" xfId="4097"/>
    <cellStyle name="Normal 58 4 10 2" xfId="5555"/>
    <cellStyle name="Normal 58 4 10 2 2" xfId="14382"/>
    <cellStyle name="Normal 58 4 10 2 2 2" xfId="39937"/>
    <cellStyle name="Normal 58 4 10 2 3" xfId="24633"/>
    <cellStyle name="Normal 58 4 10 2 3 2" xfId="50186"/>
    <cellStyle name="Normal 58 4 10 2 4" xfId="31116"/>
    <cellStyle name="Normal 58 4 10 3" xfId="6999"/>
    <cellStyle name="Normal 58 4 10 3 2" xfId="23186"/>
    <cellStyle name="Normal 58 4 10 3 2 2" xfId="48739"/>
    <cellStyle name="Normal 58 4 10 3 3" xfId="32556"/>
    <cellStyle name="Normal 58 4 10 4" xfId="18179"/>
    <cellStyle name="Normal 58 4 10 4 2" xfId="43732"/>
    <cellStyle name="Normal 58 4 10 5" xfId="29669"/>
    <cellStyle name="Normal 58 4 11" xfId="1414"/>
    <cellStyle name="Normal 58 4 11 2" xfId="10791"/>
    <cellStyle name="Normal 58 4 11 2 2" xfId="36346"/>
    <cellStyle name="Normal 58 4 11 3" xfId="20795"/>
    <cellStyle name="Normal 58 4 11 3 2" xfId="46348"/>
    <cellStyle name="Normal 58 4 11 4" xfId="27278"/>
    <cellStyle name="Normal 58 4 12" xfId="5525"/>
    <cellStyle name="Normal 58 4 12 2" xfId="14352"/>
    <cellStyle name="Normal 58 4 12 2 2" xfId="39907"/>
    <cellStyle name="Normal 58 4 12 3" xfId="24603"/>
    <cellStyle name="Normal 58 4 12 3 2" xfId="50156"/>
    <cellStyle name="Normal 58 4 12 4" xfId="31086"/>
    <cellStyle name="Normal 58 4 13" xfId="6966"/>
    <cellStyle name="Normal 58 4 13 2" xfId="19596"/>
    <cellStyle name="Normal 58 4 13 2 2" xfId="45149"/>
    <cellStyle name="Normal 58 4 13 3" xfId="32524"/>
    <cellStyle name="Normal 58 4 14" xfId="15788"/>
    <cellStyle name="Normal 58 4 14 2" xfId="41341"/>
    <cellStyle name="Normal 58 4 15" xfId="26079"/>
    <cellStyle name="Normal 58 4 2" xfId="146"/>
    <cellStyle name="Normal 58 4 2 10" xfId="5657"/>
    <cellStyle name="Normal 58 4 2 10 2" xfId="14484"/>
    <cellStyle name="Normal 58 4 2 10 2 2" xfId="40039"/>
    <cellStyle name="Normal 58 4 2 10 3" xfId="24735"/>
    <cellStyle name="Normal 58 4 2 10 3 2" xfId="50288"/>
    <cellStyle name="Normal 58 4 2 10 4" xfId="31218"/>
    <cellStyle name="Normal 58 4 2 11" xfId="7101"/>
    <cellStyle name="Normal 58 4 2 11 2" xfId="19610"/>
    <cellStyle name="Normal 58 4 2 11 2 2" xfId="45163"/>
    <cellStyle name="Normal 58 4 2 11 3" xfId="32658"/>
    <cellStyle name="Normal 58 4 2 12" xfId="15847"/>
    <cellStyle name="Normal 58 4 2 12 2" xfId="41400"/>
    <cellStyle name="Normal 58 4 2 13" xfId="26093"/>
    <cellStyle name="Normal 58 4 2 2" xfId="262"/>
    <cellStyle name="Normal 58 4 2 2 10" xfId="16051"/>
    <cellStyle name="Normal 58 4 2 2 10 2" xfId="41604"/>
    <cellStyle name="Normal 58 4 2 2 11" xfId="26197"/>
    <cellStyle name="Normal 58 4 2 2 2" xfId="585"/>
    <cellStyle name="Normal 58 4 2 2 2 2" xfId="3071"/>
    <cellStyle name="Normal 58 4 2 2 2 2 2" xfId="12222"/>
    <cellStyle name="Normal 58 4 2 2 2 2 2 2" xfId="22432"/>
    <cellStyle name="Normal 58 4 2 2 2 2 2 2 2" xfId="47985"/>
    <cellStyle name="Normal 58 4 2 2 2 2 2 3" xfId="37777"/>
    <cellStyle name="Normal 58 4 2 2 2 2 3" xfId="8644"/>
    <cellStyle name="Normal 58 4 2 2 2 2 3 2" xfId="34201"/>
    <cellStyle name="Normal 58 4 2 2 2 2 4" xfId="17425"/>
    <cellStyle name="Normal 58 4 2 2 2 2 4 2" xfId="42978"/>
    <cellStyle name="Normal 58 4 2 2 2 2 5" xfId="28915"/>
    <cellStyle name="Normal 58 4 2 2 2 3" xfId="4716"/>
    <cellStyle name="Normal 58 4 2 2 2 3 2" xfId="13554"/>
    <cellStyle name="Normal 58 4 2 2 2 3 2 2" xfId="23805"/>
    <cellStyle name="Normal 58 4 2 2 2 3 2 2 2" xfId="49358"/>
    <cellStyle name="Normal 58 4 2 2 2 3 2 3" xfId="39109"/>
    <cellStyle name="Normal 58 4 2 2 2 3 3" xfId="9975"/>
    <cellStyle name="Normal 58 4 2 2 2 3 3 2" xfId="35532"/>
    <cellStyle name="Normal 58 4 2 2 2 3 4" xfId="18798"/>
    <cellStyle name="Normal 58 4 2 2 2 3 4 2" xfId="44351"/>
    <cellStyle name="Normal 58 4 2 2 2 3 5" xfId="30288"/>
    <cellStyle name="Normal 58 4 2 2 2 4" xfId="2180"/>
    <cellStyle name="Normal 58 4 2 2 2 4 2" xfId="11545"/>
    <cellStyle name="Normal 58 4 2 2 2 4 2 2" xfId="37100"/>
    <cellStyle name="Normal 58 4 2 2 2 4 3" xfId="21549"/>
    <cellStyle name="Normal 58 4 2 2 2 4 3 2" xfId="47102"/>
    <cellStyle name="Normal 58 4 2 2 2 4 4" xfId="28032"/>
    <cellStyle name="Normal 58 4 2 2 2 5" xfId="6172"/>
    <cellStyle name="Normal 58 4 2 2 2 5 2" xfId="14999"/>
    <cellStyle name="Normal 58 4 2 2 2 5 2 2" xfId="40554"/>
    <cellStyle name="Normal 58 4 2 2 2 5 3" xfId="25250"/>
    <cellStyle name="Normal 58 4 2 2 2 5 3 2" xfId="50803"/>
    <cellStyle name="Normal 58 4 2 2 2 5 4" xfId="31733"/>
    <cellStyle name="Normal 58 4 2 2 2 6" xfId="7617"/>
    <cellStyle name="Normal 58 4 2 2 2 6 2" xfId="20031"/>
    <cellStyle name="Normal 58 4 2 2 2 6 2 2" xfId="45584"/>
    <cellStyle name="Normal 58 4 2 2 2 6 3" xfId="33174"/>
    <cellStyle name="Normal 58 4 2 2 2 7" xfId="16542"/>
    <cellStyle name="Normal 58 4 2 2 2 7 2" xfId="42095"/>
    <cellStyle name="Normal 58 4 2 2 2 8" xfId="26514"/>
    <cellStyle name="Normal 58 4 2 2 3" xfId="902"/>
    <cellStyle name="Normal 58 4 2 2 3 2" xfId="3387"/>
    <cellStyle name="Normal 58 4 2 2 3 2 2" xfId="12529"/>
    <cellStyle name="Normal 58 4 2 2 3 2 2 2" xfId="22748"/>
    <cellStyle name="Normal 58 4 2 2 3 2 2 2 2" xfId="48301"/>
    <cellStyle name="Normal 58 4 2 2 3 2 2 3" xfId="38084"/>
    <cellStyle name="Normal 58 4 2 2 3 2 3" xfId="8951"/>
    <cellStyle name="Normal 58 4 2 2 3 2 3 2" xfId="34508"/>
    <cellStyle name="Normal 58 4 2 2 3 2 4" xfId="17741"/>
    <cellStyle name="Normal 58 4 2 2 3 2 4 2" xfId="43294"/>
    <cellStyle name="Normal 58 4 2 2 3 2 5" xfId="29231"/>
    <cellStyle name="Normal 58 4 2 2 3 3" xfId="5065"/>
    <cellStyle name="Normal 58 4 2 2 3 3 2" xfId="13902"/>
    <cellStyle name="Normal 58 4 2 2 3 3 2 2" xfId="24153"/>
    <cellStyle name="Normal 58 4 2 2 3 3 2 2 2" xfId="49706"/>
    <cellStyle name="Normal 58 4 2 2 3 3 2 3" xfId="39457"/>
    <cellStyle name="Normal 58 4 2 2 3 3 3" xfId="10323"/>
    <cellStyle name="Normal 58 4 2 2 3 3 3 2" xfId="35880"/>
    <cellStyle name="Normal 58 4 2 2 3 3 4" xfId="19146"/>
    <cellStyle name="Normal 58 4 2 2 3 3 4 2" xfId="44699"/>
    <cellStyle name="Normal 58 4 2 2 3 3 5" xfId="30636"/>
    <cellStyle name="Normal 58 4 2 2 3 4" xfId="2496"/>
    <cellStyle name="Normal 58 4 2 2 3 4 2" xfId="11861"/>
    <cellStyle name="Normal 58 4 2 2 3 4 2 2" xfId="37416"/>
    <cellStyle name="Normal 58 4 2 2 3 4 3" xfId="21865"/>
    <cellStyle name="Normal 58 4 2 2 3 4 3 2" xfId="47418"/>
    <cellStyle name="Normal 58 4 2 2 3 4 4" xfId="28348"/>
    <cellStyle name="Normal 58 4 2 2 3 5" xfId="6520"/>
    <cellStyle name="Normal 58 4 2 2 3 5 2" xfId="15347"/>
    <cellStyle name="Normal 58 4 2 2 3 5 2 2" xfId="40902"/>
    <cellStyle name="Normal 58 4 2 2 3 5 3" xfId="25598"/>
    <cellStyle name="Normal 58 4 2 2 3 5 3 2" xfId="51151"/>
    <cellStyle name="Normal 58 4 2 2 3 5 4" xfId="32081"/>
    <cellStyle name="Normal 58 4 2 2 3 6" xfId="7966"/>
    <cellStyle name="Normal 58 4 2 2 3 6 2" xfId="20347"/>
    <cellStyle name="Normal 58 4 2 2 3 6 2 2" xfId="45900"/>
    <cellStyle name="Normal 58 4 2 2 3 6 3" xfId="33523"/>
    <cellStyle name="Normal 58 4 2 2 3 7" xfId="16858"/>
    <cellStyle name="Normal 58 4 2 2 3 7 2" xfId="42411"/>
    <cellStyle name="Normal 58 4 2 2 3 8" xfId="26830"/>
    <cellStyle name="Normal 58 4 2 2 4" xfId="1357"/>
    <cellStyle name="Normal 58 4 2 2 4 2" xfId="3786"/>
    <cellStyle name="Normal 58 4 2 2 4 2 2" xfId="12922"/>
    <cellStyle name="Normal 58 4 2 2 4 2 2 2" xfId="23141"/>
    <cellStyle name="Normal 58 4 2 2 4 2 2 2 2" xfId="48694"/>
    <cellStyle name="Normal 58 4 2 2 4 2 2 3" xfId="38477"/>
    <cellStyle name="Normal 58 4 2 2 4 2 3" xfId="9343"/>
    <cellStyle name="Normal 58 4 2 2 4 2 3 2" xfId="34900"/>
    <cellStyle name="Normal 58 4 2 2 4 2 4" xfId="18134"/>
    <cellStyle name="Normal 58 4 2 2 4 2 4 2" xfId="43687"/>
    <cellStyle name="Normal 58 4 2 2 4 2 5" xfId="29624"/>
    <cellStyle name="Normal 58 4 2 2 4 3" xfId="5449"/>
    <cellStyle name="Normal 58 4 2 2 4 3 2" xfId="14286"/>
    <cellStyle name="Normal 58 4 2 2 4 3 2 2" xfId="24537"/>
    <cellStyle name="Normal 58 4 2 2 4 3 2 2 2" xfId="50090"/>
    <cellStyle name="Normal 58 4 2 2 4 3 2 3" xfId="39841"/>
    <cellStyle name="Normal 58 4 2 2 4 3 3" xfId="10707"/>
    <cellStyle name="Normal 58 4 2 2 4 3 3 2" xfId="36264"/>
    <cellStyle name="Normal 58 4 2 2 4 3 4" xfId="19530"/>
    <cellStyle name="Normal 58 4 2 2 4 3 4 2" xfId="45083"/>
    <cellStyle name="Normal 58 4 2 2 4 3 5" xfId="31020"/>
    <cellStyle name="Normal 58 4 2 2 4 4" xfId="1860"/>
    <cellStyle name="Normal 58 4 2 2 4 4 2" xfId="11228"/>
    <cellStyle name="Normal 58 4 2 2 4 4 2 2" xfId="36783"/>
    <cellStyle name="Normal 58 4 2 2 4 4 3" xfId="21232"/>
    <cellStyle name="Normal 58 4 2 2 4 4 3 2" xfId="46785"/>
    <cellStyle name="Normal 58 4 2 2 4 4 4" xfId="27715"/>
    <cellStyle name="Normal 58 4 2 2 4 5" xfId="6904"/>
    <cellStyle name="Normal 58 4 2 2 4 5 2" xfId="15731"/>
    <cellStyle name="Normal 58 4 2 2 4 5 2 2" xfId="41286"/>
    <cellStyle name="Normal 58 4 2 2 4 5 3" xfId="25982"/>
    <cellStyle name="Normal 58 4 2 2 4 5 3 2" xfId="51535"/>
    <cellStyle name="Normal 58 4 2 2 4 5 4" xfId="32465"/>
    <cellStyle name="Normal 58 4 2 2 4 6" xfId="8350"/>
    <cellStyle name="Normal 58 4 2 2 4 6 2" xfId="20740"/>
    <cellStyle name="Normal 58 4 2 2 4 6 2 2" xfId="46293"/>
    <cellStyle name="Normal 58 4 2 2 4 6 3" xfId="33907"/>
    <cellStyle name="Normal 58 4 2 2 4 7" xfId="16225"/>
    <cellStyle name="Normal 58 4 2 2 4 7 2" xfId="41778"/>
    <cellStyle name="Normal 58 4 2 2 4 8" xfId="27223"/>
    <cellStyle name="Normal 58 4 2 2 5" xfId="2754"/>
    <cellStyle name="Normal 58 4 2 2 5 2" xfId="12071"/>
    <cellStyle name="Normal 58 4 2 2 5 2 2" xfId="22115"/>
    <cellStyle name="Normal 58 4 2 2 5 2 2 2" xfId="47668"/>
    <cellStyle name="Normal 58 4 2 2 5 2 3" xfId="37626"/>
    <cellStyle name="Normal 58 4 2 2 5 3" xfId="8399"/>
    <cellStyle name="Normal 58 4 2 2 5 3 2" xfId="33956"/>
    <cellStyle name="Normal 58 4 2 2 5 4" xfId="17108"/>
    <cellStyle name="Normal 58 4 2 2 5 4 2" xfId="42661"/>
    <cellStyle name="Normal 58 4 2 2 5 5" xfId="28598"/>
    <cellStyle name="Normal 58 4 2 2 6" xfId="4405"/>
    <cellStyle name="Normal 58 4 2 2 6 2" xfId="13243"/>
    <cellStyle name="Normal 58 4 2 2 6 2 2" xfId="23494"/>
    <cellStyle name="Normal 58 4 2 2 6 2 2 2" xfId="49047"/>
    <cellStyle name="Normal 58 4 2 2 6 2 3" xfId="38798"/>
    <cellStyle name="Normal 58 4 2 2 6 3" xfId="9664"/>
    <cellStyle name="Normal 58 4 2 2 6 3 2" xfId="35221"/>
    <cellStyle name="Normal 58 4 2 2 6 4" xfId="18487"/>
    <cellStyle name="Normal 58 4 2 2 6 4 2" xfId="44040"/>
    <cellStyle name="Normal 58 4 2 2 6 5" xfId="29977"/>
    <cellStyle name="Normal 58 4 2 2 7" xfId="1677"/>
    <cellStyle name="Normal 58 4 2 2 7 2" xfId="11054"/>
    <cellStyle name="Normal 58 4 2 2 7 2 2" xfId="36609"/>
    <cellStyle name="Normal 58 4 2 2 7 3" xfId="21058"/>
    <cellStyle name="Normal 58 4 2 2 7 3 2" xfId="46611"/>
    <cellStyle name="Normal 58 4 2 2 7 4" xfId="27541"/>
    <cellStyle name="Normal 58 4 2 2 8" xfId="5861"/>
    <cellStyle name="Normal 58 4 2 2 8 2" xfId="14688"/>
    <cellStyle name="Normal 58 4 2 2 8 2 2" xfId="40243"/>
    <cellStyle name="Normal 58 4 2 2 8 3" xfId="24939"/>
    <cellStyle name="Normal 58 4 2 2 8 3 2" xfId="50492"/>
    <cellStyle name="Normal 58 4 2 2 8 4" xfId="31422"/>
    <cellStyle name="Normal 58 4 2 2 9" xfId="7305"/>
    <cellStyle name="Normal 58 4 2 2 9 2" xfId="19714"/>
    <cellStyle name="Normal 58 4 2 2 9 2 2" xfId="45267"/>
    <cellStyle name="Normal 58 4 2 2 9 3" xfId="32862"/>
    <cellStyle name="Normal 58 4 2 2_Degree data" xfId="4008"/>
    <cellStyle name="Normal 58 4 2 3" xfId="481"/>
    <cellStyle name="Normal 58 4 2 3 10" xfId="26410"/>
    <cellStyle name="Normal 58 4 2 3 2" xfId="903"/>
    <cellStyle name="Normal 58 4 2 3 2 2" xfId="3388"/>
    <cellStyle name="Normal 58 4 2 3 2 2 2" xfId="12530"/>
    <cellStyle name="Normal 58 4 2 3 2 2 2 2" xfId="22749"/>
    <cellStyle name="Normal 58 4 2 3 2 2 2 2 2" xfId="48302"/>
    <cellStyle name="Normal 58 4 2 3 2 2 2 3" xfId="38085"/>
    <cellStyle name="Normal 58 4 2 3 2 2 3" xfId="8952"/>
    <cellStyle name="Normal 58 4 2 3 2 2 3 2" xfId="34509"/>
    <cellStyle name="Normal 58 4 2 3 2 2 4" xfId="17742"/>
    <cellStyle name="Normal 58 4 2 3 2 2 4 2" xfId="43295"/>
    <cellStyle name="Normal 58 4 2 3 2 2 5" xfId="29232"/>
    <cellStyle name="Normal 58 4 2 3 2 3" xfId="4717"/>
    <cellStyle name="Normal 58 4 2 3 2 3 2" xfId="13555"/>
    <cellStyle name="Normal 58 4 2 3 2 3 2 2" xfId="23806"/>
    <cellStyle name="Normal 58 4 2 3 2 3 2 2 2" xfId="49359"/>
    <cellStyle name="Normal 58 4 2 3 2 3 2 3" xfId="39110"/>
    <cellStyle name="Normal 58 4 2 3 2 3 3" xfId="9976"/>
    <cellStyle name="Normal 58 4 2 3 2 3 3 2" xfId="35533"/>
    <cellStyle name="Normal 58 4 2 3 2 3 4" xfId="18799"/>
    <cellStyle name="Normal 58 4 2 3 2 3 4 2" xfId="44352"/>
    <cellStyle name="Normal 58 4 2 3 2 3 5" xfId="30289"/>
    <cellStyle name="Normal 58 4 2 3 2 4" xfId="2497"/>
    <cellStyle name="Normal 58 4 2 3 2 4 2" xfId="11862"/>
    <cellStyle name="Normal 58 4 2 3 2 4 2 2" xfId="37417"/>
    <cellStyle name="Normal 58 4 2 3 2 4 3" xfId="21866"/>
    <cellStyle name="Normal 58 4 2 3 2 4 3 2" xfId="47419"/>
    <cellStyle name="Normal 58 4 2 3 2 4 4" xfId="28349"/>
    <cellStyle name="Normal 58 4 2 3 2 5" xfId="6173"/>
    <cellStyle name="Normal 58 4 2 3 2 5 2" xfId="15000"/>
    <cellStyle name="Normal 58 4 2 3 2 5 2 2" xfId="40555"/>
    <cellStyle name="Normal 58 4 2 3 2 5 3" xfId="25251"/>
    <cellStyle name="Normal 58 4 2 3 2 5 3 2" xfId="50804"/>
    <cellStyle name="Normal 58 4 2 3 2 5 4" xfId="31734"/>
    <cellStyle name="Normal 58 4 2 3 2 6" xfId="7618"/>
    <cellStyle name="Normal 58 4 2 3 2 6 2" xfId="20348"/>
    <cellStyle name="Normal 58 4 2 3 2 6 2 2" xfId="45901"/>
    <cellStyle name="Normal 58 4 2 3 2 6 3" xfId="33175"/>
    <cellStyle name="Normal 58 4 2 3 2 7" xfId="16859"/>
    <cellStyle name="Normal 58 4 2 3 2 7 2" xfId="42412"/>
    <cellStyle name="Normal 58 4 2 3 2 8" xfId="26831"/>
    <cellStyle name="Normal 58 4 2 3 3" xfId="1253"/>
    <cellStyle name="Normal 58 4 2 3 3 2" xfId="3682"/>
    <cellStyle name="Normal 58 4 2 3 3 2 2" xfId="12818"/>
    <cellStyle name="Normal 58 4 2 3 3 2 2 2" xfId="23037"/>
    <cellStyle name="Normal 58 4 2 3 3 2 2 2 2" xfId="48590"/>
    <cellStyle name="Normal 58 4 2 3 3 2 2 3" xfId="38373"/>
    <cellStyle name="Normal 58 4 2 3 3 2 3" xfId="9239"/>
    <cellStyle name="Normal 58 4 2 3 3 2 3 2" xfId="34796"/>
    <cellStyle name="Normal 58 4 2 3 3 2 4" xfId="18030"/>
    <cellStyle name="Normal 58 4 2 3 3 2 4 2" xfId="43583"/>
    <cellStyle name="Normal 58 4 2 3 3 2 5" xfId="29520"/>
    <cellStyle name="Normal 58 4 2 3 3 3" xfId="5066"/>
    <cellStyle name="Normal 58 4 2 3 3 3 2" xfId="13903"/>
    <cellStyle name="Normal 58 4 2 3 3 3 2 2" xfId="24154"/>
    <cellStyle name="Normal 58 4 2 3 3 3 2 2 2" xfId="49707"/>
    <cellStyle name="Normal 58 4 2 3 3 3 2 3" xfId="39458"/>
    <cellStyle name="Normal 58 4 2 3 3 3 3" xfId="10324"/>
    <cellStyle name="Normal 58 4 2 3 3 3 3 2" xfId="35881"/>
    <cellStyle name="Normal 58 4 2 3 3 3 4" xfId="19147"/>
    <cellStyle name="Normal 58 4 2 3 3 3 4 2" xfId="44700"/>
    <cellStyle name="Normal 58 4 2 3 3 3 5" xfId="30637"/>
    <cellStyle name="Normal 58 4 2 3 3 4" xfId="2076"/>
    <cellStyle name="Normal 58 4 2 3 3 4 2" xfId="11441"/>
    <cellStyle name="Normal 58 4 2 3 3 4 2 2" xfId="36996"/>
    <cellStyle name="Normal 58 4 2 3 3 4 3" xfId="21445"/>
    <cellStyle name="Normal 58 4 2 3 3 4 3 2" xfId="46998"/>
    <cellStyle name="Normal 58 4 2 3 3 4 4" xfId="27928"/>
    <cellStyle name="Normal 58 4 2 3 3 5" xfId="6521"/>
    <cellStyle name="Normal 58 4 2 3 3 5 2" xfId="15348"/>
    <cellStyle name="Normal 58 4 2 3 3 5 2 2" xfId="40903"/>
    <cellStyle name="Normal 58 4 2 3 3 5 3" xfId="25599"/>
    <cellStyle name="Normal 58 4 2 3 3 5 3 2" xfId="51152"/>
    <cellStyle name="Normal 58 4 2 3 3 5 4" xfId="32082"/>
    <cellStyle name="Normal 58 4 2 3 3 6" xfId="7967"/>
    <cellStyle name="Normal 58 4 2 3 3 6 2" xfId="20636"/>
    <cellStyle name="Normal 58 4 2 3 3 6 2 2" xfId="46189"/>
    <cellStyle name="Normal 58 4 2 3 3 6 3" xfId="33524"/>
    <cellStyle name="Normal 58 4 2 3 3 7" xfId="16438"/>
    <cellStyle name="Normal 58 4 2 3 3 7 2" xfId="41991"/>
    <cellStyle name="Normal 58 4 2 3 3 8" xfId="27119"/>
    <cellStyle name="Normal 58 4 2 3 4" xfId="2967"/>
    <cellStyle name="Normal 58 4 2 3 4 2" xfId="5345"/>
    <cellStyle name="Normal 58 4 2 3 4 2 2" xfId="14182"/>
    <cellStyle name="Normal 58 4 2 3 4 2 2 2" xfId="24433"/>
    <cellStyle name="Normal 58 4 2 3 4 2 2 2 2" xfId="49986"/>
    <cellStyle name="Normal 58 4 2 3 4 2 2 3" xfId="39737"/>
    <cellStyle name="Normal 58 4 2 3 4 2 3" xfId="10603"/>
    <cellStyle name="Normal 58 4 2 3 4 2 3 2" xfId="36160"/>
    <cellStyle name="Normal 58 4 2 3 4 2 4" xfId="19426"/>
    <cellStyle name="Normal 58 4 2 3 4 2 4 2" xfId="44979"/>
    <cellStyle name="Normal 58 4 2 3 4 2 5" xfId="30916"/>
    <cellStyle name="Normal 58 4 2 3 4 3" xfId="6800"/>
    <cellStyle name="Normal 58 4 2 3 4 3 2" xfId="15627"/>
    <cellStyle name="Normal 58 4 2 3 4 3 2 2" xfId="41182"/>
    <cellStyle name="Normal 58 4 2 3 4 3 3" xfId="25878"/>
    <cellStyle name="Normal 58 4 2 3 4 3 3 2" xfId="51431"/>
    <cellStyle name="Normal 58 4 2 3 4 3 4" xfId="32361"/>
    <cellStyle name="Normal 58 4 2 3 4 4" xfId="8246"/>
    <cellStyle name="Normal 58 4 2 3 4 4 2" xfId="22328"/>
    <cellStyle name="Normal 58 4 2 3 4 4 2 2" xfId="47881"/>
    <cellStyle name="Normal 58 4 2 3 4 4 3" xfId="33803"/>
    <cellStyle name="Normal 58 4 2 3 4 5" xfId="17321"/>
    <cellStyle name="Normal 58 4 2 3 4 5 2" xfId="42874"/>
    <cellStyle name="Normal 58 4 2 3 4 6" xfId="28811"/>
    <cellStyle name="Normal 58 4 2 3 5" xfId="4301"/>
    <cellStyle name="Normal 58 4 2 3 5 2" xfId="13139"/>
    <cellStyle name="Normal 58 4 2 3 5 2 2" xfId="23390"/>
    <cellStyle name="Normal 58 4 2 3 5 2 2 2" xfId="48943"/>
    <cellStyle name="Normal 58 4 2 3 5 2 3" xfId="38694"/>
    <cellStyle name="Normal 58 4 2 3 5 3" xfId="9560"/>
    <cellStyle name="Normal 58 4 2 3 5 3 2" xfId="35117"/>
    <cellStyle name="Normal 58 4 2 3 5 4" xfId="18383"/>
    <cellStyle name="Normal 58 4 2 3 5 4 2" xfId="43936"/>
    <cellStyle name="Normal 58 4 2 3 5 5" xfId="29873"/>
    <cellStyle name="Normal 58 4 2 3 6" xfId="1573"/>
    <cellStyle name="Normal 58 4 2 3 6 2" xfId="10950"/>
    <cellStyle name="Normal 58 4 2 3 6 2 2" xfId="36505"/>
    <cellStyle name="Normal 58 4 2 3 6 3" xfId="20954"/>
    <cellStyle name="Normal 58 4 2 3 6 3 2" xfId="46507"/>
    <cellStyle name="Normal 58 4 2 3 6 4" xfId="27437"/>
    <cellStyle name="Normal 58 4 2 3 7" xfId="5757"/>
    <cellStyle name="Normal 58 4 2 3 7 2" xfId="14584"/>
    <cellStyle name="Normal 58 4 2 3 7 2 2" xfId="40139"/>
    <cellStyle name="Normal 58 4 2 3 7 3" xfId="24835"/>
    <cellStyle name="Normal 58 4 2 3 7 3 2" xfId="50388"/>
    <cellStyle name="Normal 58 4 2 3 7 4" xfId="31318"/>
    <cellStyle name="Normal 58 4 2 3 8" xfId="7201"/>
    <cellStyle name="Normal 58 4 2 3 8 2" xfId="19927"/>
    <cellStyle name="Normal 58 4 2 3 8 2 2" xfId="45480"/>
    <cellStyle name="Normal 58 4 2 3 8 3" xfId="32758"/>
    <cellStyle name="Normal 58 4 2 3 9" xfId="15947"/>
    <cellStyle name="Normal 58 4 2 3 9 2" xfId="41500"/>
    <cellStyle name="Normal 58 4 2 3_Degree data" xfId="4009"/>
    <cellStyle name="Normal 58 4 2 4" xfId="381"/>
    <cellStyle name="Normal 58 4 2 4 2" xfId="2867"/>
    <cellStyle name="Normal 58 4 2 4 2 2" xfId="12155"/>
    <cellStyle name="Normal 58 4 2 4 2 2 2" xfId="22228"/>
    <cellStyle name="Normal 58 4 2 4 2 2 2 2" xfId="47781"/>
    <cellStyle name="Normal 58 4 2 4 2 2 3" xfId="37710"/>
    <cellStyle name="Normal 58 4 2 4 2 3" xfId="8608"/>
    <cellStyle name="Normal 58 4 2 4 2 3 2" xfId="34165"/>
    <cellStyle name="Normal 58 4 2 4 2 4" xfId="17221"/>
    <cellStyle name="Normal 58 4 2 4 2 4 2" xfId="42774"/>
    <cellStyle name="Normal 58 4 2 4 2 5" xfId="28711"/>
    <cellStyle name="Normal 58 4 2 4 3" xfId="4715"/>
    <cellStyle name="Normal 58 4 2 4 3 2" xfId="13553"/>
    <cellStyle name="Normal 58 4 2 4 3 2 2" xfId="23804"/>
    <cellStyle name="Normal 58 4 2 4 3 2 2 2" xfId="49357"/>
    <cellStyle name="Normal 58 4 2 4 3 2 3" xfId="39108"/>
    <cellStyle name="Normal 58 4 2 4 3 3" xfId="9974"/>
    <cellStyle name="Normal 58 4 2 4 3 3 2" xfId="35531"/>
    <cellStyle name="Normal 58 4 2 4 3 4" xfId="18797"/>
    <cellStyle name="Normal 58 4 2 4 3 4 2" xfId="44350"/>
    <cellStyle name="Normal 58 4 2 4 3 5" xfId="30287"/>
    <cellStyle name="Normal 58 4 2 4 4" xfId="1976"/>
    <cellStyle name="Normal 58 4 2 4 4 2" xfId="11341"/>
    <cellStyle name="Normal 58 4 2 4 4 2 2" xfId="36896"/>
    <cellStyle name="Normal 58 4 2 4 4 3" xfId="21345"/>
    <cellStyle name="Normal 58 4 2 4 4 3 2" xfId="46898"/>
    <cellStyle name="Normal 58 4 2 4 4 4" xfId="27828"/>
    <cellStyle name="Normal 58 4 2 4 5" xfId="6171"/>
    <cellStyle name="Normal 58 4 2 4 5 2" xfId="14998"/>
    <cellStyle name="Normal 58 4 2 4 5 2 2" xfId="40553"/>
    <cellStyle name="Normal 58 4 2 4 5 3" xfId="25249"/>
    <cellStyle name="Normal 58 4 2 4 5 3 2" xfId="50802"/>
    <cellStyle name="Normal 58 4 2 4 5 4" xfId="31732"/>
    <cellStyle name="Normal 58 4 2 4 6" xfId="7616"/>
    <cellStyle name="Normal 58 4 2 4 6 2" xfId="19827"/>
    <cellStyle name="Normal 58 4 2 4 6 2 2" xfId="45380"/>
    <cellStyle name="Normal 58 4 2 4 6 3" xfId="33173"/>
    <cellStyle name="Normal 58 4 2 4 7" xfId="16338"/>
    <cellStyle name="Normal 58 4 2 4 7 2" xfId="41891"/>
    <cellStyle name="Normal 58 4 2 4 8" xfId="26310"/>
    <cellStyle name="Normal 58 4 2 5" xfId="901"/>
    <cellStyle name="Normal 58 4 2 5 2" xfId="3386"/>
    <cellStyle name="Normal 58 4 2 5 2 2" xfId="12528"/>
    <cellStyle name="Normal 58 4 2 5 2 2 2" xfId="22747"/>
    <cellStyle name="Normal 58 4 2 5 2 2 2 2" xfId="48300"/>
    <cellStyle name="Normal 58 4 2 5 2 2 3" xfId="38083"/>
    <cellStyle name="Normal 58 4 2 5 2 3" xfId="8950"/>
    <cellStyle name="Normal 58 4 2 5 2 3 2" xfId="34507"/>
    <cellStyle name="Normal 58 4 2 5 2 4" xfId="17740"/>
    <cellStyle name="Normal 58 4 2 5 2 4 2" xfId="43293"/>
    <cellStyle name="Normal 58 4 2 5 2 5" xfId="29230"/>
    <cellStyle name="Normal 58 4 2 5 3" xfId="5064"/>
    <cellStyle name="Normal 58 4 2 5 3 2" xfId="13901"/>
    <cellStyle name="Normal 58 4 2 5 3 2 2" xfId="24152"/>
    <cellStyle name="Normal 58 4 2 5 3 2 2 2" xfId="49705"/>
    <cellStyle name="Normal 58 4 2 5 3 2 3" xfId="39456"/>
    <cellStyle name="Normal 58 4 2 5 3 3" xfId="10322"/>
    <cellStyle name="Normal 58 4 2 5 3 3 2" xfId="35879"/>
    <cellStyle name="Normal 58 4 2 5 3 4" xfId="19145"/>
    <cellStyle name="Normal 58 4 2 5 3 4 2" xfId="44698"/>
    <cellStyle name="Normal 58 4 2 5 3 5" xfId="30635"/>
    <cellStyle name="Normal 58 4 2 5 4" xfId="2495"/>
    <cellStyle name="Normal 58 4 2 5 4 2" xfId="11860"/>
    <cellStyle name="Normal 58 4 2 5 4 2 2" xfId="37415"/>
    <cellStyle name="Normal 58 4 2 5 4 3" xfId="21864"/>
    <cellStyle name="Normal 58 4 2 5 4 3 2" xfId="47417"/>
    <cellStyle name="Normal 58 4 2 5 4 4" xfId="28347"/>
    <cellStyle name="Normal 58 4 2 5 5" xfId="6519"/>
    <cellStyle name="Normal 58 4 2 5 5 2" xfId="15346"/>
    <cellStyle name="Normal 58 4 2 5 5 2 2" xfId="40901"/>
    <cellStyle name="Normal 58 4 2 5 5 3" xfId="25597"/>
    <cellStyle name="Normal 58 4 2 5 5 3 2" xfId="51150"/>
    <cellStyle name="Normal 58 4 2 5 5 4" xfId="32080"/>
    <cellStyle name="Normal 58 4 2 5 6" xfId="7965"/>
    <cellStyle name="Normal 58 4 2 5 6 2" xfId="20346"/>
    <cellStyle name="Normal 58 4 2 5 6 2 2" xfId="45899"/>
    <cellStyle name="Normal 58 4 2 5 6 3" xfId="33522"/>
    <cellStyle name="Normal 58 4 2 5 7" xfId="16857"/>
    <cellStyle name="Normal 58 4 2 5 7 2" xfId="42410"/>
    <cellStyle name="Normal 58 4 2 5 8" xfId="26829"/>
    <cellStyle name="Normal 58 4 2 6" xfId="1153"/>
    <cellStyle name="Normal 58 4 2 6 2" xfId="3582"/>
    <cellStyle name="Normal 58 4 2 6 2 2" xfId="12718"/>
    <cellStyle name="Normal 58 4 2 6 2 2 2" xfId="22937"/>
    <cellStyle name="Normal 58 4 2 6 2 2 2 2" xfId="48490"/>
    <cellStyle name="Normal 58 4 2 6 2 2 3" xfId="38273"/>
    <cellStyle name="Normal 58 4 2 6 2 3" xfId="9139"/>
    <cellStyle name="Normal 58 4 2 6 2 3 2" xfId="34696"/>
    <cellStyle name="Normal 58 4 2 6 2 4" xfId="17930"/>
    <cellStyle name="Normal 58 4 2 6 2 4 2" xfId="43483"/>
    <cellStyle name="Normal 58 4 2 6 2 5" xfId="29420"/>
    <cellStyle name="Normal 58 4 2 6 3" xfId="5245"/>
    <cellStyle name="Normal 58 4 2 6 3 2" xfId="14082"/>
    <cellStyle name="Normal 58 4 2 6 3 2 2" xfId="24333"/>
    <cellStyle name="Normal 58 4 2 6 3 2 2 2" xfId="49886"/>
    <cellStyle name="Normal 58 4 2 6 3 2 3" xfId="39637"/>
    <cellStyle name="Normal 58 4 2 6 3 3" xfId="10503"/>
    <cellStyle name="Normal 58 4 2 6 3 3 2" xfId="36060"/>
    <cellStyle name="Normal 58 4 2 6 3 4" xfId="19326"/>
    <cellStyle name="Normal 58 4 2 6 3 4 2" xfId="44879"/>
    <cellStyle name="Normal 58 4 2 6 3 5" xfId="30816"/>
    <cellStyle name="Normal 58 4 2 6 4" xfId="1752"/>
    <cellStyle name="Normal 58 4 2 6 4 2" xfId="11123"/>
    <cellStyle name="Normal 58 4 2 6 4 2 2" xfId="36678"/>
    <cellStyle name="Normal 58 4 2 6 4 3" xfId="21127"/>
    <cellStyle name="Normal 58 4 2 6 4 3 2" xfId="46680"/>
    <cellStyle name="Normal 58 4 2 6 4 4" xfId="27610"/>
    <cellStyle name="Normal 58 4 2 6 5" xfId="6700"/>
    <cellStyle name="Normal 58 4 2 6 5 2" xfId="15527"/>
    <cellStyle name="Normal 58 4 2 6 5 2 2" xfId="41082"/>
    <cellStyle name="Normal 58 4 2 6 5 3" xfId="25778"/>
    <cellStyle name="Normal 58 4 2 6 5 3 2" xfId="51331"/>
    <cellStyle name="Normal 58 4 2 6 5 4" xfId="32261"/>
    <cellStyle name="Normal 58 4 2 6 6" xfId="8146"/>
    <cellStyle name="Normal 58 4 2 6 6 2" xfId="20536"/>
    <cellStyle name="Normal 58 4 2 6 6 2 2" xfId="46089"/>
    <cellStyle name="Normal 58 4 2 6 6 3" xfId="33703"/>
    <cellStyle name="Normal 58 4 2 6 7" xfId="16120"/>
    <cellStyle name="Normal 58 4 2 6 7 2" xfId="41673"/>
    <cellStyle name="Normal 58 4 2 6 8" xfId="27019"/>
    <cellStyle name="Normal 58 4 2 7" xfId="2650"/>
    <cellStyle name="Normal 58 4 2 7 2" xfId="11972"/>
    <cellStyle name="Normal 58 4 2 7 2 2" xfId="22011"/>
    <cellStyle name="Normal 58 4 2 7 2 2 2" xfId="47564"/>
    <cellStyle name="Normal 58 4 2 7 2 3" xfId="37527"/>
    <cellStyle name="Normal 58 4 2 7 3" xfId="8613"/>
    <cellStyle name="Normal 58 4 2 7 3 2" xfId="34170"/>
    <cellStyle name="Normal 58 4 2 7 4" xfId="17004"/>
    <cellStyle name="Normal 58 4 2 7 4 2" xfId="42557"/>
    <cellStyle name="Normal 58 4 2 7 5" xfId="28494"/>
    <cellStyle name="Normal 58 4 2 8" xfId="4201"/>
    <cellStyle name="Normal 58 4 2 8 2" xfId="13039"/>
    <cellStyle name="Normal 58 4 2 8 2 2" xfId="23290"/>
    <cellStyle name="Normal 58 4 2 8 2 2 2" xfId="48843"/>
    <cellStyle name="Normal 58 4 2 8 2 3" xfId="38594"/>
    <cellStyle name="Normal 58 4 2 8 3" xfId="9460"/>
    <cellStyle name="Normal 58 4 2 8 3 2" xfId="35017"/>
    <cellStyle name="Normal 58 4 2 8 4" xfId="18283"/>
    <cellStyle name="Normal 58 4 2 8 4 2" xfId="43836"/>
    <cellStyle name="Normal 58 4 2 8 5" xfId="29773"/>
    <cellStyle name="Normal 58 4 2 9" xfId="1473"/>
    <cellStyle name="Normal 58 4 2 9 2" xfId="10850"/>
    <cellStyle name="Normal 58 4 2 9 2 2" xfId="36405"/>
    <cellStyle name="Normal 58 4 2 9 3" xfId="20854"/>
    <cellStyle name="Normal 58 4 2 9 3 2" xfId="46407"/>
    <cellStyle name="Normal 58 4 2 9 4" xfId="27337"/>
    <cellStyle name="Normal 58 4 2_Degree data" xfId="4007"/>
    <cellStyle name="Normal 58 4 3" xfId="196"/>
    <cellStyle name="Normal 58 4 3 10" xfId="7144"/>
    <cellStyle name="Normal 58 4 3 10 2" xfId="19653"/>
    <cellStyle name="Normal 58 4 3 10 2 2" xfId="45206"/>
    <cellStyle name="Normal 58 4 3 10 3" xfId="32701"/>
    <cellStyle name="Normal 58 4 3 11" xfId="15890"/>
    <cellStyle name="Normal 58 4 3 11 2" xfId="41443"/>
    <cellStyle name="Normal 58 4 3 12" xfId="26136"/>
    <cellStyle name="Normal 58 4 3 2" xfId="524"/>
    <cellStyle name="Normal 58 4 3 2 10" xfId="26453"/>
    <cellStyle name="Normal 58 4 3 2 2" xfId="905"/>
    <cellStyle name="Normal 58 4 3 2 2 2" xfId="3390"/>
    <cellStyle name="Normal 58 4 3 2 2 2 2" xfId="12532"/>
    <cellStyle name="Normal 58 4 3 2 2 2 2 2" xfId="22751"/>
    <cellStyle name="Normal 58 4 3 2 2 2 2 2 2" xfId="48304"/>
    <cellStyle name="Normal 58 4 3 2 2 2 2 3" xfId="38087"/>
    <cellStyle name="Normal 58 4 3 2 2 2 3" xfId="8954"/>
    <cellStyle name="Normal 58 4 3 2 2 2 3 2" xfId="34511"/>
    <cellStyle name="Normal 58 4 3 2 2 2 4" xfId="17744"/>
    <cellStyle name="Normal 58 4 3 2 2 2 4 2" xfId="43297"/>
    <cellStyle name="Normal 58 4 3 2 2 2 5" xfId="29234"/>
    <cellStyle name="Normal 58 4 3 2 2 3" xfId="4719"/>
    <cellStyle name="Normal 58 4 3 2 2 3 2" xfId="13557"/>
    <cellStyle name="Normal 58 4 3 2 2 3 2 2" xfId="23808"/>
    <cellStyle name="Normal 58 4 3 2 2 3 2 2 2" xfId="49361"/>
    <cellStyle name="Normal 58 4 3 2 2 3 2 3" xfId="39112"/>
    <cellStyle name="Normal 58 4 3 2 2 3 3" xfId="9978"/>
    <cellStyle name="Normal 58 4 3 2 2 3 3 2" xfId="35535"/>
    <cellStyle name="Normal 58 4 3 2 2 3 4" xfId="18801"/>
    <cellStyle name="Normal 58 4 3 2 2 3 4 2" xfId="44354"/>
    <cellStyle name="Normal 58 4 3 2 2 3 5" xfId="30291"/>
    <cellStyle name="Normal 58 4 3 2 2 4" xfId="2499"/>
    <cellStyle name="Normal 58 4 3 2 2 4 2" xfId="11864"/>
    <cellStyle name="Normal 58 4 3 2 2 4 2 2" xfId="37419"/>
    <cellStyle name="Normal 58 4 3 2 2 4 3" xfId="21868"/>
    <cellStyle name="Normal 58 4 3 2 2 4 3 2" xfId="47421"/>
    <cellStyle name="Normal 58 4 3 2 2 4 4" xfId="28351"/>
    <cellStyle name="Normal 58 4 3 2 2 5" xfId="6175"/>
    <cellStyle name="Normal 58 4 3 2 2 5 2" xfId="15002"/>
    <cellStyle name="Normal 58 4 3 2 2 5 2 2" xfId="40557"/>
    <cellStyle name="Normal 58 4 3 2 2 5 3" xfId="25253"/>
    <cellStyle name="Normal 58 4 3 2 2 5 3 2" xfId="50806"/>
    <cellStyle name="Normal 58 4 3 2 2 5 4" xfId="31736"/>
    <cellStyle name="Normal 58 4 3 2 2 6" xfId="7620"/>
    <cellStyle name="Normal 58 4 3 2 2 6 2" xfId="20350"/>
    <cellStyle name="Normal 58 4 3 2 2 6 2 2" xfId="45903"/>
    <cellStyle name="Normal 58 4 3 2 2 6 3" xfId="33177"/>
    <cellStyle name="Normal 58 4 3 2 2 7" xfId="16861"/>
    <cellStyle name="Normal 58 4 3 2 2 7 2" xfId="42414"/>
    <cellStyle name="Normal 58 4 3 2 2 8" xfId="26833"/>
    <cellStyle name="Normal 58 4 3 2 3" xfId="1296"/>
    <cellStyle name="Normal 58 4 3 2 3 2" xfId="3725"/>
    <cellStyle name="Normal 58 4 3 2 3 2 2" xfId="12861"/>
    <cellStyle name="Normal 58 4 3 2 3 2 2 2" xfId="23080"/>
    <cellStyle name="Normal 58 4 3 2 3 2 2 2 2" xfId="48633"/>
    <cellStyle name="Normal 58 4 3 2 3 2 2 3" xfId="38416"/>
    <cellStyle name="Normal 58 4 3 2 3 2 3" xfId="9282"/>
    <cellStyle name="Normal 58 4 3 2 3 2 3 2" xfId="34839"/>
    <cellStyle name="Normal 58 4 3 2 3 2 4" xfId="18073"/>
    <cellStyle name="Normal 58 4 3 2 3 2 4 2" xfId="43626"/>
    <cellStyle name="Normal 58 4 3 2 3 2 5" xfId="29563"/>
    <cellStyle name="Normal 58 4 3 2 3 3" xfId="5068"/>
    <cellStyle name="Normal 58 4 3 2 3 3 2" xfId="13905"/>
    <cellStyle name="Normal 58 4 3 2 3 3 2 2" xfId="24156"/>
    <cellStyle name="Normal 58 4 3 2 3 3 2 2 2" xfId="49709"/>
    <cellStyle name="Normal 58 4 3 2 3 3 2 3" xfId="39460"/>
    <cellStyle name="Normal 58 4 3 2 3 3 3" xfId="10326"/>
    <cellStyle name="Normal 58 4 3 2 3 3 3 2" xfId="35883"/>
    <cellStyle name="Normal 58 4 3 2 3 3 4" xfId="19149"/>
    <cellStyle name="Normal 58 4 3 2 3 3 4 2" xfId="44702"/>
    <cellStyle name="Normal 58 4 3 2 3 3 5" xfId="30639"/>
    <cellStyle name="Normal 58 4 3 2 3 4" xfId="2119"/>
    <cellStyle name="Normal 58 4 3 2 3 4 2" xfId="11484"/>
    <cellStyle name="Normal 58 4 3 2 3 4 2 2" xfId="37039"/>
    <cellStyle name="Normal 58 4 3 2 3 4 3" xfId="21488"/>
    <cellStyle name="Normal 58 4 3 2 3 4 3 2" xfId="47041"/>
    <cellStyle name="Normal 58 4 3 2 3 4 4" xfId="27971"/>
    <cellStyle name="Normal 58 4 3 2 3 5" xfId="6523"/>
    <cellStyle name="Normal 58 4 3 2 3 5 2" xfId="15350"/>
    <cellStyle name="Normal 58 4 3 2 3 5 2 2" xfId="40905"/>
    <cellStyle name="Normal 58 4 3 2 3 5 3" xfId="25601"/>
    <cellStyle name="Normal 58 4 3 2 3 5 3 2" xfId="51154"/>
    <cellStyle name="Normal 58 4 3 2 3 5 4" xfId="32084"/>
    <cellStyle name="Normal 58 4 3 2 3 6" xfId="7969"/>
    <cellStyle name="Normal 58 4 3 2 3 6 2" xfId="20679"/>
    <cellStyle name="Normal 58 4 3 2 3 6 2 2" xfId="46232"/>
    <cellStyle name="Normal 58 4 3 2 3 6 3" xfId="33526"/>
    <cellStyle name="Normal 58 4 3 2 3 7" xfId="16481"/>
    <cellStyle name="Normal 58 4 3 2 3 7 2" xfId="42034"/>
    <cellStyle name="Normal 58 4 3 2 3 8" xfId="27162"/>
    <cellStyle name="Normal 58 4 3 2 4" xfId="3010"/>
    <cellStyle name="Normal 58 4 3 2 4 2" xfId="5388"/>
    <cellStyle name="Normal 58 4 3 2 4 2 2" xfId="14225"/>
    <cellStyle name="Normal 58 4 3 2 4 2 2 2" xfId="24476"/>
    <cellStyle name="Normal 58 4 3 2 4 2 2 2 2" xfId="50029"/>
    <cellStyle name="Normal 58 4 3 2 4 2 2 3" xfId="39780"/>
    <cellStyle name="Normal 58 4 3 2 4 2 3" xfId="10646"/>
    <cellStyle name="Normal 58 4 3 2 4 2 3 2" xfId="36203"/>
    <cellStyle name="Normal 58 4 3 2 4 2 4" xfId="19469"/>
    <cellStyle name="Normal 58 4 3 2 4 2 4 2" xfId="45022"/>
    <cellStyle name="Normal 58 4 3 2 4 2 5" xfId="30959"/>
    <cellStyle name="Normal 58 4 3 2 4 3" xfId="6843"/>
    <cellStyle name="Normal 58 4 3 2 4 3 2" xfId="15670"/>
    <cellStyle name="Normal 58 4 3 2 4 3 2 2" xfId="41225"/>
    <cellStyle name="Normal 58 4 3 2 4 3 3" xfId="25921"/>
    <cellStyle name="Normal 58 4 3 2 4 3 3 2" xfId="51474"/>
    <cellStyle name="Normal 58 4 3 2 4 3 4" xfId="32404"/>
    <cellStyle name="Normal 58 4 3 2 4 4" xfId="8289"/>
    <cellStyle name="Normal 58 4 3 2 4 4 2" xfId="22371"/>
    <cellStyle name="Normal 58 4 3 2 4 4 2 2" xfId="47924"/>
    <cellStyle name="Normal 58 4 3 2 4 4 3" xfId="33846"/>
    <cellStyle name="Normal 58 4 3 2 4 5" xfId="17364"/>
    <cellStyle name="Normal 58 4 3 2 4 5 2" xfId="42917"/>
    <cellStyle name="Normal 58 4 3 2 4 6" xfId="28854"/>
    <cellStyle name="Normal 58 4 3 2 5" xfId="4344"/>
    <cellStyle name="Normal 58 4 3 2 5 2" xfId="13182"/>
    <cellStyle name="Normal 58 4 3 2 5 2 2" xfId="23433"/>
    <cellStyle name="Normal 58 4 3 2 5 2 2 2" xfId="48986"/>
    <cellStyle name="Normal 58 4 3 2 5 2 3" xfId="38737"/>
    <cellStyle name="Normal 58 4 3 2 5 3" xfId="9603"/>
    <cellStyle name="Normal 58 4 3 2 5 3 2" xfId="35160"/>
    <cellStyle name="Normal 58 4 3 2 5 4" xfId="18426"/>
    <cellStyle name="Normal 58 4 3 2 5 4 2" xfId="43979"/>
    <cellStyle name="Normal 58 4 3 2 5 5" xfId="29916"/>
    <cellStyle name="Normal 58 4 3 2 6" xfId="1616"/>
    <cellStyle name="Normal 58 4 3 2 6 2" xfId="10993"/>
    <cellStyle name="Normal 58 4 3 2 6 2 2" xfId="36548"/>
    <cellStyle name="Normal 58 4 3 2 6 3" xfId="20997"/>
    <cellStyle name="Normal 58 4 3 2 6 3 2" xfId="46550"/>
    <cellStyle name="Normal 58 4 3 2 6 4" xfId="27480"/>
    <cellStyle name="Normal 58 4 3 2 7" xfId="5800"/>
    <cellStyle name="Normal 58 4 3 2 7 2" xfId="14627"/>
    <cellStyle name="Normal 58 4 3 2 7 2 2" xfId="40182"/>
    <cellStyle name="Normal 58 4 3 2 7 3" xfId="24878"/>
    <cellStyle name="Normal 58 4 3 2 7 3 2" xfId="50431"/>
    <cellStyle name="Normal 58 4 3 2 7 4" xfId="31361"/>
    <cellStyle name="Normal 58 4 3 2 8" xfId="7244"/>
    <cellStyle name="Normal 58 4 3 2 8 2" xfId="19970"/>
    <cellStyle name="Normal 58 4 3 2 8 2 2" xfId="45523"/>
    <cellStyle name="Normal 58 4 3 2 8 3" xfId="32801"/>
    <cellStyle name="Normal 58 4 3 2 9" xfId="15990"/>
    <cellStyle name="Normal 58 4 3 2 9 2" xfId="41543"/>
    <cellStyle name="Normal 58 4 3 2_Degree data" xfId="4011"/>
    <cellStyle name="Normal 58 4 3 3" xfId="424"/>
    <cellStyle name="Normal 58 4 3 3 2" xfId="2910"/>
    <cellStyle name="Normal 58 4 3 3 2 2" xfId="12198"/>
    <cellStyle name="Normal 58 4 3 3 2 2 2" xfId="22271"/>
    <cellStyle name="Normal 58 4 3 3 2 2 2 2" xfId="47824"/>
    <cellStyle name="Normal 58 4 3 3 2 2 3" xfId="37753"/>
    <cellStyle name="Normal 58 4 3 3 2 3" xfId="8511"/>
    <cellStyle name="Normal 58 4 3 3 2 3 2" xfId="34068"/>
    <cellStyle name="Normal 58 4 3 3 2 4" xfId="17264"/>
    <cellStyle name="Normal 58 4 3 3 2 4 2" xfId="42817"/>
    <cellStyle name="Normal 58 4 3 3 2 5" xfId="28754"/>
    <cellStyle name="Normal 58 4 3 3 3" xfId="4718"/>
    <cellStyle name="Normal 58 4 3 3 3 2" xfId="13556"/>
    <cellStyle name="Normal 58 4 3 3 3 2 2" xfId="23807"/>
    <cellStyle name="Normal 58 4 3 3 3 2 2 2" xfId="49360"/>
    <cellStyle name="Normal 58 4 3 3 3 2 3" xfId="39111"/>
    <cellStyle name="Normal 58 4 3 3 3 3" xfId="9977"/>
    <cellStyle name="Normal 58 4 3 3 3 3 2" xfId="35534"/>
    <cellStyle name="Normal 58 4 3 3 3 4" xfId="18800"/>
    <cellStyle name="Normal 58 4 3 3 3 4 2" xfId="44353"/>
    <cellStyle name="Normal 58 4 3 3 3 5" xfId="30290"/>
    <cellStyle name="Normal 58 4 3 3 4" xfId="2019"/>
    <cellStyle name="Normal 58 4 3 3 4 2" xfId="11384"/>
    <cellStyle name="Normal 58 4 3 3 4 2 2" xfId="36939"/>
    <cellStyle name="Normal 58 4 3 3 4 3" xfId="21388"/>
    <cellStyle name="Normal 58 4 3 3 4 3 2" xfId="46941"/>
    <cellStyle name="Normal 58 4 3 3 4 4" xfId="27871"/>
    <cellStyle name="Normal 58 4 3 3 5" xfId="6174"/>
    <cellStyle name="Normal 58 4 3 3 5 2" xfId="15001"/>
    <cellStyle name="Normal 58 4 3 3 5 2 2" xfId="40556"/>
    <cellStyle name="Normal 58 4 3 3 5 3" xfId="25252"/>
    <cellStyle name="Normal 58 4 3 3 5 3 2" xfId="50805"/>
    <cellStyle name="Normal 58 4 3 3 5 4" xfId="31735"/>
    <cellStyle name="Normal 58 4 3 3 6" xfId="7619"/>
    <cellStyle name="Normal 58 4 3 3 6 2" xfId="19870"/>
    <cellStyle name="Normal 58 4 3 3 6 2 2" xfId="45423"/>
    <cellStyle name="Normal 58 4 3 3 6 3" xfId="33176"/>
    <cellStyle name="Normal 58 4 3 3 7" xfId="16381"/>
    <cellStyle name="Normal 58 4 3 3 7 2" xfId="41934"/>
    <cellStyle name="Normal 58 4 3 3 8" xfId="26353"/>
    <cellStyle name="Normal 58 4 3 4" xfId="904"/>
    <cellStyle name="Normal 58 4 3 4 2" xfId="3389"/>
    <cellStyle name="Normal 58 4 3 4 2 2" xfId="12531"/>
    <cellStyle name="Normal 58 4 3 4 2 2 2" xfId="22750"/>
    <cellStyle name="Normal 58 4 3 4 2 2 2 2" xfId="48303"/>
    <cellStyle name="Normal 58 4 3 4 2 2 3" xfId="38086"/>
    <cellStyle name="Normal 58 4 3 4 2 3" xfId="8953"/>
    <cellStyle name="Normal 58 4 3 4 2 3 2" xfId="34510"/>
    <cellStyle name="Normal 58 4 3 4 2 4" xfId="17743"/>
    <cellStyle name="Normal 58 4 3 4 2 4 2" xfId="43296"/>
    <cellStyle name="Normal 58 4 3 4 2 5" xfId="29233"/>
    <cellStyle name="Normal 58 4 3 4 3" xfId="5067"/>
    <cellStyle name="Normal 58 4 3 4 3 2" xfId="13904"/>
    <cellStyle name="Normal 58 4 3 4 3 2 2" xfId="24155"/>
    <cellStyle name="Normal 58 4 3 4 3 2 2 2" xfId="49708"/>
    <cellStyle name="Normal 58 4 3 4 3 2 3" xfId="39459"/>
    <cellStyle name="Normal 58 4 3 4 3 3" xfId="10325"/>
    <cellStyle name="Normal 58 4 3 4 3 3 2" xfId="35882"/>
    <cellStyle name="Normal 58 4 3 4 3 4" xfId="19148"/>
    <cellStyle name="Normal 58 4 3 4 3 4 2" xfId="44701"/>
    <cellStyle name="Normal 58 4 3 4 3 5" xfId="30638"/>
    <cellStyle name="Normal 58 4 3 4 4" xfId="2498"/>
    <cellStyle name="Normal 58 4 3 4 4 2" xfId="11863"/>
    <cellStyle name="Normal 58 4 3 4 4 2 2" xfId="37418"/>
    <cellStyle name="Normal 58 4 3 4 4 3" xfId="21867"/>
    <cellStyle name="Normal 58 4 3 4 4 3 2" xfId="47420"/>
    <cellStyle name="Normal 58 4 3 4 4 4" xfId="28350"/>
    <cellStyle name="Normal 58 4 3 4 5" xfId="6522"/>
    <cellStyle name="Normal 58 4 3 4 5 2" xfId="15349"/>
    <cellStyle name="Normal 58 4 3 4 5 2 2" xfId="40904"/>
    <cellStyle name="Normal 58 4 3 4 5 3" xfId="25600"/>
    <cellStyle name="Normal 58 4 3 4 5 3 2" xfId="51153"/>
    <cellStyle name="Normal 58 4 3 4 5 4" xfId="32083"/>
    <cellStyle name="Normal 58 4 3 4 6" xfId="7968"/>
    <cellStyle name="Normal 58 4 3 4 6 2" xfId="20349"/>
    <cellStyle name="Normal 58 4 3 4 6 2 2" xfId="45902"/>
    <cellStyle name="Normal 58 4 3 4 6 3" xfId="33525"/>
    <cellStyle name="Normal 58 4 3 4 7" xfId="16860"/>
    <cellStyle name="Normal 58 4 3 4 7 2" xfId="42413"/>
    <cellStyle name="Normal 58 4 3 4 8" xfId="26832"/>
    <cellStyle name="Normal 58 4 3 5" xfId="1196"/>
    <cellStyle name="Normal 58 4 3 5 2" xfId="3625"/>
    <cellStyle name="Normal 58 4 3 5 2 2" xfId="12761"/>
    <cellStyle name="Normal 58 4 3 5 2 2 2" xfId="22980"/>
    <cellStyle name="Normal 58 4 3 5 2 2 2 2" xfId="48533"/>
    <cellStyle name="Normal 58 4 3 5 2 2 3" xfId="38316"/>
    <cellStyle name="Normal 58 4 3 5 2 3" xfId="9182"/>
    <cellStyle name="Normal 58 4 3 5 2 3 2" xfId="34739"/>
    <cellStyle name="Normal 58 4 3 5 2 4" xfId="17973"/>
    <cellStyle name="Normal 58 4 3 5 2 4 2" xfId="43526"/>
    <cellStyle name="Normal 58 4 3 5 2 5" xfId="29463"/>
    <cellStyle name="Normal 58 4 3 5 3" xfId="5288"/>
    <cellStyle name="Normal 58 4 3 5 3 2" xfId="14125"/>
    <cellStyle name="Normal 58 4 3 5 3 2 2" xfId="24376"/>
    <cellStyle name="Normal 58 4 3 5 3 2 2 2" xfId="49929"/>
    <cellStyle name="Normal 58 4 3 5 3 2 3" xfId="39680"/>
    <cellStyle name="Normal 58 4 3 5 3 3" xfId="10546"/>
    <cellStyle name="Normal 58 4 3 5 3 3 2" xfId="36103"/>
    <cellStyle name="Normal 58 4 3 5 3 4" xfId="19369"/>
    <cellStyle name="Normal 58 4 3 5 3 4 2" xfId="44922"/>
    <cellStyle name="Normal 58 4 3 5 3 5" xfId="30859"/>
    <cellStyle name="Normal 58 4 3 5 4" xfId="1798"/>
    <cellStyle name="Normal 58 4 3 5 4 2" xfId="11167"/>
    <cellStyle name="Normal 58 4 3 5 4 2 2" xfId="36722"/>
    <cellStyle name="Normal 58 4 3 5 4 3" xfId="21171"/>
    <cellStyle name="Normal 58 4 3 5 4 3 2" xfId="46724"/>
    <cellStyle name="Normal 58 4 3 5 4 4" xfId="27654"/>
    <cellStyle name="Normal 58 4 3 5 5" xfId="6743"/>
    <cellStyle name="Normal 58 4 3 5 5 2" xfId="15570"/>
    <cellStyle name="Normal 58 4 3 5 5 2 2" xfId="41125"/>
    <cellStyle name="Normal 58 4 3 5 5 3" xfId="25821"/>
    <cellStyle name="Normal 58 4 3 5 5 3 2" xfId="51374"/>
    <cellStyle name="Normal 58 4 3 5 5 4" xfId="32304"/>
    <cellStyle name="Normal 58 4 3 5 6" xfId="8189"/>
    <cellStyle name="Normal 58 4 3 5 6 2" xfId="20579"/>
    <cellStyle name="Normal 58 4 3 5 6 2 2" xfId="46132"/>
    <cellStyle name="Normal 58 4 3 5 6 3" xfId="33746"/>
    <cellStyle name="Normal 58 4 3 5 7" xfId="16164"/>
    <cellStyle name="Normal 58 4 3 5 7 2" xfId="41717"/>
    <cellStyle name="Normal 58 4 3 5 8" xfId="27062"/>
    <cellStyle name="Normal 58 4 3 6" xfId="2693"/>
    <cellStyle name="Normal 58 4 3 6 2" xfId="12010"/>
    <cellStyle name="Normal 58 4 3 6 2 2" xfId="22054"/>
    <cellStyle name="Normal 58 4 3 6 2 2 2" xfId="47607"/>
    <cellStyle name="Normal 58 4 3 6 2 3" xfId="37565"/>
    <cellStyle name="Normal 58 4 3 6 3" xfId="8402"/>
    <cellStyle name="Normal 58 4 3 6 3 2" xfId="33959"/>
    <cellStyle name="Normal 58 4 3 6 4" xfId="17047"/>
    <cellStyle name="Normal 58 4 3 6 4 2" xfId="42600"/>
    <cellStyle name="Normal 58 4 3 6 5" xfId="28537"/>
    <cellStyle name="Normal 58 4 3 7" xfId="4244"/>
    <cellStyle name="Normal 58 4 3 7 2" xfId="13082"/>
    <cellStyle name="Normal 58 4 3 7 2 2" xfId="23333"/>
    <cellStyle name="Normal 58 4 3 7 2 2 2" xfId="48886"/>
    <cellStyle name="Normal 58 4 3 7 2 3" xfId="38637"/>
    <cellStyle name="Normal 58 4 3 7 3" xfId="9503"/>
    <cellStyle name="Normal 58 4 3 7 3 2" xfId="35060"/>
    <cellStyle name="Normal 58 4 3 7 4" xfId="18326"/>
    <cellStyle name="Normal 58 4 3 7 4 2" xfId="43879"/>
    <cellStyle name="Normal 58 4 3 7 5" xfId="29816"/>
    <cellStyle name="Normal 58 4 3 8" xfId="1516"/>
    <cellStyle name="Normal 58 4 3 8 2" xfId="10893"/>
    <cellStyle name="Normal 58 4 3 8 2 2" xfId="36448"/>
    <cellStyle name="Normal 58 4 3 8 3" xfId="20897"/>
    <cellStyle name="Normal 58 4 3 8 3 2" xfId="46450"/>
    <cellStyle name="Normal 58 4 3 8 4" xfId="27380"/>
    <cellStyle name="Normal 58 4 3 9" xfId="5700"/>
    <cellStyle name="Normal 58 4 3 9 2" xfId="14527"/>
    <cellStyle name="Normal 58 4 3 9 2 2" xfId="40082"/>
    <cellStyle name="Normal 58 4 3 9 3" xfId="24778"/>
    <cellStyle name="Normal 58 4 3 9 3 2" xfId="50331"/>
    <cellStyle name="Normal 58 4 3 9 4" xfId="31261"/>
    <cellStyle name="Normal 58 4 3_Degree data" xfId="4010"/>
    <cellStyle name="Normal 58 4 4" xfId="249"/>
    <cellStyle name="Normal 58 4 4 10" xfId="7087"/>
    <cellStyle name="Normal 58 4 4 10 2" xfId="19701"/>
    <cellStyle name="Normal 58 4 4 10 2 2" xfId="45254"/>
    <cellStyle name="Normal 58 4 4 10 3" xfId="32644"/>
    <cellStyle name="Normal 58 4 4 11" xfId="15833"/>
    <cellStyle name="Normal 58 4 4 11 2" xfId="41386"/>
    <cellStyle name="Normal 58 4 4 12" xfId="26184"/>
    <cellStyle name="Normal 58 4 4 2" xfId="572"/>
    <cellStyle name="Normal 58 4 4 2 10" xfId="26501"/>
    <cellStyle name="Normal 58 4 4 2 2" xfId="907"/>
    <cellStyle name="Normal 58 4 4 2 2 2" xfId="3392"/>
    <cellStyle name="Normal 58 4 4 2 2 2 2" xfId="12534"/>
    <cellStyle name="Normal 58 4 4 2 2 2 2 2" xfId="22753"/>
    <cellStyle name="Normal 58 4 4 2 2 2 2 2 2" xfId="48306"/>
    <cellStyle name="Normal 58 4 4 2 2 2 2 3" xfId="38089"/>
    <cellStyle name="Normal 58 4 4 2 2 2 3" xfId="8956"/>
    <cellStyle name="Normal 58 4 4 2 2 2 3 2" xfId="34513"/>
    <cellStyle name="Normal 58 4 4 2 2 2 4" xfId="17746"/>
    <cellStyle name="Normal 58 4 4 2 2 2 4 2" xfId="43299"/>
    <cellStyle name="Normal 58 4 4 2 2 2 5" xfId="29236"/>
    <cellStyle name="Normal 58 4 4 2 2 3" xfId="4721"/>
    <cellStyle name="Normal 58 4 4 2 2 3 2" xfId="13559"/>
    <cellStyle name="Normal 58 4 4 2 2 3 2 2" xfId="23810"/>
    <cellStyle name="Normal 58 4 4 2 2 3 2 2 2" xfId="49363"/>
    <cellStyle name="Normal 58 4 4 2 2 3 2 3" xfId="39114"/>
    <cellStyle name="Normal 58 4 4 2 2 3 3" xfId="9980"/>
    <cellStyle name="Normal 58 4 4 2 2 3 3 2" xfId="35537"/>
    <cellStyle name="Normal 58 4 4 2 2 3 4" xfId="18803"/>
    <cellStyle name="Normal 58 4 4 2 2 3 4 2" xfId="44356"/>
    <cellStyle name="Normal 58 4 4 2 2 3 5" xfId="30293"/>
    <cellStyle name="Normal 58 4 4 2 2 4" xfId="2501"/>
    <cellStyle name="Normal 58 4 4 2 2 4 2" xfId="11866"/>
    <cellStyle name="Normal 58 4 4 2 2 4 2 2" xfId="37421"/>
    <cellStyle name="Normal 58 4 4 2 2 4 3" xfId="21870"/>
    <cellStyle name="Normal 58 4 4 2 2 4 3 2" xfId="47423"/>
    <cellStyle name="Normal 58 4 4 2 2 4 4" xfId="28353"/>
    <cellStyle name="Normal 58 4 4 2 2 5" xfId="6177"/>
    <cellStyle name="Normal 58 4 4 2 2 5 2" xfId="15004"/>
    <cellStyle name="Normal 58 4 4 2 2 5 2 2" xfId="40559"/>
    <cellStyle name="Normal 58 4 4 2 2 5 3" xfId="25255"/>
    <cellStyle name="Normal 58 4 4 2 2 5 3 2" xfId="50808"/>
    <cellStyle name="Normal 58 4 4 2 2 5 4" xfId="31738"/>
    <cellStyle name="Normal 58 4 4 2 2 6" xfId="7622"/>
    <cellStyle name="Normal 58 4 4 2 2 6 2" xfId="20352"/>
    <cellStyle name="Normal 58 4 4 2 2 6 2 2" xfId="45905"/>
    <cellStyle name="Normal 58 4 4 2 2 6 3" xfId="33179"/>
    <cellStyle name="Normal 58 4 4 2 2 7" xfId="16863"/>
    <cellStyle name="Normal 58 4 4 2 2 7 2" xfId="42416"/>
    <cellStyle name="Normal 58 4 4 2 2 8" xfId="26835"/>
    <cellStyle name="Normal 58 4 4 2 3" xfId="1344"/>
    <cellStyle name="Normal 58 4 4 2 3 2" xfId="3773"/>
    <cellStyle name="Normal 58 4 4 2 3 2 2" xfId="12909"/>
    <cellStyle name="Normal 58 4 4 2 3 2 2 2" xfId="23128"/>
    <cellStyle name="Normal 58 4 4 2 3 2 2 2 2" xfId="48681"/>
    <cellStyle name="Normal 58 4 4 2 3 2 2 3" xfId="38464"/>
    <cellStyle name="Normal 58 4 4 2 3 2 3" xfId="9330"/>
    <cellStyle name="Normal 58 4 4 2 3 2 3 2" xfId="34887"/>
    <cellStyle name="Normal 58 4 4 2 3 2 4" xfId="18121"/>
    <cellStyle name="Normal 58 4 4 2 3 2 4 2" xfId="43674"/>
    <cellStyle name="Normal 58 4 4 2 3 2 5" xfId="29611"/>
    <cellStyle name="Normal 58 4 4 2 3 3" xfId="5070"/>
    <cellStyle name="Normal 58 4 4 2 3 3 2" xfId="13907"/>
    <cellStyle name="Normal 58 4 4 2 3 3 2 2" xfId="24158"/>
    <cellStyle name="Normal 58 4 4 2 3 3 2 2 2" xfId="49711"/>
    <cellStyle name="Normal 58 4 4 2 3 3 2 3" xfId="39462"/>
    <cellStyle name="Normal 58 4 4 2 3 3 3" xfId="10328"/>
    <cellStyle name="Normal 58 4 4 2 3 3 3 2" xfId="35885"/>
    <cellStyle name="Normal 58 4 4 2 3 3 4" xfId="19151"/>
    <cellStyle name="Normal 58 4 4 2 3 3 4 2" xfId="44704"/>
    <cellStyle name="Normal 58 4 4 2 3 3 5" xfId="30641"/>
    <cellStyle name="Normal 58 4 4 2 3 4" xfId="2167"/>
    <cellStyle name="Normal 58 4 4 2 3 4 2" xfId="11532"/>
    <cellStyle name="Normal 58 4 4 2 3 4 2 2" xfId="37087"/>
    <cellStyle name="Normal 58 4 4 2 3 4 3" xfId="21536"/>
    <cellStyle name="Normal 58 4 4 2 3 4 3 2" xfId="47089"/>
    <cellStyle name="Normal 58 4 4 2 3 4 4" xfId="28019"/>
    <cellStyle name="Normal 58 4 4 2 3 5" xfId="6525"/>
    <cellStyle name="Normal 58 4 4 2 3 5 2" xfId="15352"/>
    <cellStyle name="Normal 58 4 4 2 3 5 2 2" xfId="40907"/>
    <cellStyle name="Normal 58 4 4 2 3 5 3" xfId="25603"/>
    <cellStyle name="Normal 58 4 4 2 3 5 3 2" xfId="51156"/>
    <cellStyle name="Normal 58 4 4 2 3 5 4" xfId="32086"/>
    <cellStyle name="Normal 58 4 4 2 3 6" xfId="7971"/>
    <cellStyle name="Normal 58 4 4 2 3 6 2" xfId="20727"/>
    <cellStyle name="Normal 58 4 4 2 3 6 2 2" xfId="46280"/>
    <cellStyle name="Normal 58 4 4 2 3 6 3" xfId="33528"/>
    <cellStyle name="Normal 58 4 4 2 3 7" xfId="16529"/>
    <cellStyle name="Normal 58 4 4 2 3 7 2" xfId="42082"/>
    <cellStyle name="Normal 58 4 4 2 3 8" xfId="27210"/>
    <cellStyle name="Normal 58 4 4 2 4" xfId="3058"/>
    <cellStyle name="Normal 58 4 4 2 4 2" xfId="5436"/>
    <cellStyle name="Normal 58 4 4 2 4 2 2" xfId="14273"/>
    <cellStyle name="Normal 58 4 4 2 4 2 2 2" xfId="24524"/>
    <cellStyle name="Normal 58 4 4 2 4 2 2 2 2" xfId="50077"/>
    <cellStyle name="Normal 58 4 4 2 4 2 2 3" xfId="39828"/>
    <cellStyle name="Normal 58 4 4 2 4 2 3" xfId="10694"/>
    <cellStyle name="Normal 58 4 4 2 4 2 3 2" xfId="36251"/>
    <cellStyle name="Normal 58 4 4 2 4 2 4" xfId="19517"/>
    <cellStyle name="Normal 58 4 4 2 4 2 4 2" xfId="45070"/>
    <cellStyle name="Normal 58 4 4 2 4 2 5" xfId="31007"/>
    <cellStyle name="Normal 58 4 4 2 4 3" xfId="6891"/>
    <cellStyle name="Normal 58 4 4 2 4 3 2" xfId="15718"/>
    <cellStyle name="Normal 58 4 4 2 4 3 2 2" xfId="41273"/>
    <cellStyle name="Normal 58 4 4 2 4 3 3" xfId="25969"/>
    <cellStyle name="Normal 58 4 4 2 4 3 3 2" xfId="51522"/>
    <cellStyle name="Normal 58 4 4 2 4 3 4" xfId="32452"/>
    <cellStyle name="Normal 58 4 4 2 4 4" xfId="8337"/>
    <cellStyle name="Normal 58 4 4 2 4 4 2" xfId="22419"/>
    <cellStyle name="Normal 58 4 4 2 4 4 2 2" xfId="47972"/>
    <cellStyle name="Normal 58 4 4 2 4 4 3" xfId="33894"/>
    <cellStyle name="Normal 58 4 4 2 4 5" xfId="17412"/>
    <cellStyle name="Normal 58 4 4 2 4 5 2" xfId="42965"/>
    <cellStyle name="Normal 58 4 4 2 4 6" xfId="28902"/>
    <cellStyle name="Normal 58 4 4 2 5" xfId="4392"/>
    <cellStyle name="Normal 58 4 4 2 5 2" xfId="13230"/>
    <cellStyle name="Normal 58 4 4 2 5 2 2" xfId="23481"/>
    <cellStyle name="Normal 58 4 4 2 5 2 2 2" xfId="49034"/>
    <cellStyle name="Normal 58 4 4 2 5 2 3" xfId="38785"/>
    <cellStyle name="Normal 58 4 4 2 5 3" xfId="9651"/>
    <cellStyle name="Normal 58 4 4 2 5 3 2" xfId="35208"/>
    <cellStyle name="Normal 58 4 4 2 5 4" xfId="18474"/>
    <cellStyle name="Normal 58 4 4 2 5 4 2" xfId="44027"/>
    <cellStyle name="Normal 58 4 4 2 5 5" xfId="29964"/>
    <cellStyle name="Normal 58 4 4 2 6" xfId="1664"/>
    <cellStyle name="Normal 58 4 4 2 6 2" xfId="11041"/>
    <cellStyle name="Normal 58 4 4 2 6 2 2" xfId="36596"/>
    <cellStyle name="Normal 58 4 4 2 6 3" xfId="21045"/>
    <cellStyle name="Normal 58 4 4 2 6 3 2" xfId="46598"/>
    <cellStyle name="Normal 58 4 4 2 6 4" xfId="27528"/>
    <cellStyle name="Normal 58 4 4 2 7" xfId="5848"/>
    <cellStyle name="Normal 58 4 4 2 7 2" xfId="14675"/>
    <cellStyle name="Normal 58 4 4 2 7 2 2" xfId="40230"/>
    <cellStyle name="Normal 58 4 4 2 7 3" xfId="24926"/>
    <cellStyle name="Normal 58 4 4 2 7 3 2" xfId="50479"/>
    <cellStyle name="Normal 58 4 4 2 7 4" xfId="31409"/>
    <cellStyle name="Normal 58 4 4 2 8" xfId="7292"/>
    <cellStyle name="Normal 58 4 4 2 8 2" xfId="20018"/>
    <cellStyle name="Normal 58 4 4 2 8 2 2" xfId="45571"/>
    <cellStyle name="Normal 58 4 4 2 8 3" xfId="32849"/>
    <cellStyle name="Normal 58 4 4 2 9" xfId="16038"/>
    <cellStyle name="Normal 58 4 4 2 9 2" xfId="41591"/>
    <cellStyle name="Normal 58 4 4 2_Degree data" xfId="4013"/>
    <cellStyle name="Normal 58 4 4 3" xfId="367"/>
    <cellStyle name="Normal 58 4 4 3 2" xfId="2853"/>
    <cellStyle name="Normal 58 4 4 3 2 2" xfId="12141"/>
    <cellStyle name="Normal 58 4 4 3 2 2 2" xfId="22214"/>
    <cellStyle name="Normal 58 4 4 3 2 2 2 2" xfId="47767"/>
    <cellStyle name="Normal 58 4 4 3 2 2 3" xfId="37696"/>
    <cellStyle name="Normal 58 4 4 3 2 3" xfId="8465"/>
    <cellStyle name="Normal 58 4 4 3 2 3 2" xfId="34022"/>
    <cellStyle name="Normal 58 4 4 3 2 4" xfId="17207"/>
    <cellStyle name="Normal 58 4 4 3 2 4 2" xfId="42760"/>
    <cellStyle name="Normal 58 4 4 3 2 5" xfId="28697"/>
    <cellStyle name="Normal 58 4 4 3 3" xfId="4720"/>
    <cellStyle name="Normal 58 4 4 3 3 2" xfId="13558"/>
    <cellStyle name="Normal 58 4 4 3 3 2 2" xfId="23809"/>
    <cellStyle name="Normal 58 4 4 3 3 2 2 2" xfId="49362"/>
    <cellStyle name="Normal 58 4 4 3 3 2 3" xfId="39113"/>
    <cellStyle name="Normal 58 4 4 3 3 3" xfId="9979"/>
    <cellStyle name="Normal 58 4 4 3 3 3 2" xfId="35536"/>
    <cellStyle name="Normal 58 4 4 3 3 4" xfId="18802"/>
    <cellStyle name="Normal 58 4 4 3 3 4 2" xfId="44355"/>
    <cellStyle name="Normal 58 4 4 3 3 5" xfId="30292"/>
    <cellStyle name="Normal 58 4 4 3 4" xfId="1962"/>
    <cellStyle name="Normal 58 4 4 3 4 2" xfId="11327"/>
    <cellStyle name="Normal 58 4 4 3 4 2 2" xfId="36882"/>
    <cellStyle name="Normal 58 4 4 3 4 3" xfId="21331"/>
    <cellStyle name="Normal 58 4 4 3 4 3 2" xfId="46884"/>
    <cellStyle name="Normal 58 4 4 3 4 4" xfId="27814"/>
    <cellStyle name="Normal 58 4 4 3 5" xfId="6176"/>
    <cellStyle name="Normal 58 4 4 3 5 2" xfId="15003"/>
    <cellStyle name="Normal 58 4 4 3 5 2 2" xfId="40558"/>
    <cellStyle name="Normal 58 4 4 3 5 3" xfId="25254"/>
    <cellStyle name="Normal 58 4 4 3 5 3 2" xfId="50807"/>
    <cellStyle name="Normal 58 4 4 3 5 4" xfId="31737"/>
    <cellStyle name="Normal 58 4 4 3 6" xfId="7621"/>
    <cellStyle name="Normal 58 4 4 3 6 2" xfId="19813"/>
    <cellStyle name="Normal 58 4 4 3 6 2 2" xfId="45366"/>
    <cellStyle name="Normal 58 4 4 3 6 3" xfId="33178"/>
    <cellStyle name="Normal 58 4 4 3 7" xfId="16324"/>
    <cellStyle name="Normal 58 4 4 3 7 2" xfId="41877"/>
    <cellStyle name="Normal 58 4 4 3 8" xfId="26296"/>
    <cellStyle name="Normal 58 4 4 4" xfId="906"/>
    <cellStyle name="Normal 58 4 4 4 2" xfId="3391"/>
    <cellStyle name="Normal 58 4 4 4 2 2" xfId="12533"/>
    <cellStyle name="Normal 58 4 4 4 2 2 2" xfId="22752"/>
    <cellStyle name="Normal 58 4 4 4 2 2 2 2" xfId="48305"/>
    <cellStyle name="Normal 58 4 4 4 2 2 3" xfId="38088"/>
    <cellStyle name="Normal 58 4 4 4 2 3" xfId="8955"/>
    <cellStyle name="Normal 58 4 4 4 2 3 2" xfId="34512"/>
    <cellStyle name="Normal 58 4 4 4 2 4" xfId="17745"/>
    <cellStyle name="Normal 58 4 4 4 2 4 2" xfId="43298"/>
    <cellStyle name="Normal 58 4 4 4 2 5" xfId="29235"/>
    <cellStyle name="Normal 58 4 4 4 3" xfId="5069"/>
    <cellStyle name="Normal 58 4 4 4 3 2" xfId="13906"/>
    <cellStyle name="Normal 58 4 4 4 3 2 2" xfId="24157"/>
    <cellStyle name="Normal 58 4 4 4 3 2 2 2" xfId="49710"/>
    <cellStyle name="Normal 58 4 4 4 3 2 3" xfId="39461"/>
    <cellStyle name="Normal 58 4 4 4 3 3" xfId="10327"/>
    <cellStyle name="Normal 58 4 4 4 3 3 2" xfId="35884"/>
    <cellStyle name="Normal 58 4 4 4 3 4" xfId="19150"/>
    <cellStyle name="Normal 58 4 4 4 3 4 2" xfId="44703"/>
    <cellStyle name="Normal 58 4 4 4 3 5" xfId="30640"/>
    <cellStyle name="Normal 58 4 4 4 4" xfId="2500"/>
    <cellStyle name="Normal 58 4 4 4 4 2" xfId="11865"/>
    <cellStyle name="Normal 58 4 4 4 4 2 2" xfId="37420"/>
    <cellStyle name="Normal 58 4 4 4 4 3" xfId="21869"/>
    <cellStyle name="Normal 58 4 4 4 4 3 2" xfId="47422"/>
    <cellStyle name="Normal 58 4 4 4 4 4" xfId="28352"/>
    <cellStyle name="Normal 58 4 4 4 5" xfId="6524"/>
    <cellStyle name="Normal 58 4 4 4 5 2" xfId="15351"/>
    <cellStyle name="Normal 58 4 4 4 5 2 2" xfId="40906"/>
    <cellStyle name="Normal 58 4 4 4 5 3" xfId="25602"/>
    <cellStyle name="Normal 58 4 4 4 5 3 2" xfId="51155"/>
    <cellStyle name="Normal 58 4 4 4 5 4" xfId="32085"/>
    <cellStyle name="Normal 58 4 4 4 6" xfId="7970"/>
    <cellStyle name="Normal 58 4 4 4 6 2" xfId="20351"/>
    <cellStyle name="Normal 58 4 4 4 6 2 2" xfId="45904"/>
    <cellStyle name="Normal 58 4 4 4 6 3" xfId="33527"/>
    <cellStyle name="Normal 58 4 4 4 7" xfId="16862"/>
    <cellStyle name="Normal 58 4 4 4 7 2" xfId="42415"/>
    <cellStyle name="Normal 58 4 4 4 8" xfId="26834"/>
    <cellStyle name="Normal 58 4 4 5" xfId="1139"/>
    <cellStyle name="Normal 58 4 4 5 2" xfId="3568"/>
    <cellStyle name="Normal 58 4 4 5 2 2" xfId="12704"/>
    <cellStyle name="Normal 58 4 4 5 2 2 2" xfId="22923"/>
    <cellStyle name="Normal 58 4 4 5 2 2 2 2" xfId="48476"/>
    <cellStyle name="Normal 58 4 4 5 2 2 3" xfId="38259"/>
    <cellStyle name="Normal 58 4 4 5 2 3" xfId="9125"/>
    <cellStyle name="Normal 58 4 4 5 2 3 2" xfId="34682"/>
    <cellStyle name="Normal 58 4 4 5 2 4" xfId="17916"/>
    <cellStyle name="Normal 58 4 4 5 2 4 2" xfId="43469"/>
    <cellStyle name="Normal 58 4 4 5 2 5" xfId="29406"/>
    <cellStyle name="Normal 58 4 4 5 3" xfId="5231"/>
    <cellStyle name="Normal 58 4 4 5 3 2" xfId="14068"/>
    <cellStyle name="Normal 58 4 4 5 3 2 2" xfId="24319"/>
    <cellStyle name="Normal 58 4 4 5 3 2 2 2" xfId="49872"/>
    <cellStyle name="Normal 58 4 4 5 3 2 3" xfId="39623"/>
    <cellStyle name="Normal 58 4 4 5 3 3" xfId="10489"/>
    <cellStyle name="Normal 58 4 4 5 3 3 2" xfId="36046"/>
    <cellStyle name="Normal 58 4 4 5 3 4" xfId="19312"/>
    <cellStyle name="Normal 58 4 4 5 3 4 2" xfId="44865"/>
    <cellStyle name="Normal 58 4 4 5 3 5" xfId="30802"/>
    <cellStyle name="Normal 58 4 4 5 4" xfId="1847"/>
    <cellStyle name="Normal 58 4 4 5 4 2" xfId="11215"/>
    <cellStyle name="Normal 58 4 4 5 4 2 2" xfId="36770"/>
    <cellStyle name="Normal 58 4 4 5 4 3" xfId="21219"/>
    <cellStyle name="Normal 58 4 4 5 4 3 2" xfId="46772"/>
    <cellStyle name="Normal 58 4 4 5 4 4" xfId="27702"/>
    <cellStyle name="Normal 58 4 4 5 5" xfId="6686"/>
    <cellStyle name="Normal 58 4 4 5 5 2" xfId="15513"/>
    <cellStyle name="Normal 58 4 4 5 5 2 2" xfId="41068"/>
    <cellStyle name="Normal 58 4 4 5 5 3" xfId="25764"/>
    <cellStyle name="Normal 58 4 4 5 5 3 2" xfId="51317"/>
    <cellStyle name="Normal 58 4 4 5 5 4" xfId="32247"/>
    <cellStyle name="Normal 58 4 4 5 6" xfId="8132"/>
    <cellStyle name="Normal 58 4 4 5 6 2" xfId="20522"/>
    <cellStyle name="Normal 58 4 4 5 6 2 2" xfId="46075"/>
    <cellStyle name="Normal 58 4 4 5 6 3" xfId="33689"/>
    <cellStyle name="Normal 58 4 4 5 7" xfId="16212"/>
    <cellStyle name="Normal 58 4 4 5 7 2" xfId="41765"/>
    <cellStyle name="Normal 58 4 4 5 8" xfId="27005"/>
    <cellStyle name="Normal 58 4 4 6" xfId="2741"/>
    <cellStyle name="Normal 58 4 4 6 2" xfId="12058"/>
    <cellStyle name="Normal 58 4 4 6 2 2" xfId="22102"/>
    <cellStyle name="Normal 58 4 4 6 2 2 2" xfId="47655"/>
    <cellStyle name="Normal 58 4 4 6 2 3" xfId="37613"/>
    <cellStyle name="Normal 58 4 4 6 3" xfId="8486"/>
    <cellStyle name="Normal 58 4 4 6 3 2" xfId="34043"/>
    <cellStyle name="Normal 58 4 4 6 4" xfId="17095"/>
    <cellStyle name="Normal 58 4 4 6 4 2" xfId="42648"/>
    <cellStyle name="Normal 58 4 4 6 5" xfId="28585"/>
    <cellStyle name="Normal 58 4 4 7" xfId="4187"/>
    <cellStyle name="Normal 58 4 4 7 2" xfId="13025"/>
    <cellStyle name="Normal 58 4 4 7 2 2" xfId="23276"/>
    <cellStyle name="Normal 58 4 4 7 2 2 2" xfId="48829"/>
    <cellStyle name="Normal 58 4 4 7 2 3" xfId="38580"/>
    <cellStyle name="Normal 58 4 4 7 3" xfId="9446"/>
    <cellStyle name="Normal 58 4 4 7 3 2" xfId="35003"/>
    <cellStyle name="Normal 58 4 4 7 4" xfId="18269"/>
    <cellStyle name="Normal 58 4 4 7 4 2" xfId="43822"/>
    <cellStyle name="Normal 58 4 4 7 5" xfId="29759"/>
    <cellStyle name="Normal 58 4 4 8" xfId="1459"/>
    <cellStyle name="Normal 58 4 4 8 2" xfId="10836"/>
    <cellStyle name="Normal 58 4 4 8 2 2" xfId="36391"/>
    <cellStyle name="Normal 58 4 4 8 3" xfId="20840"/>
    <cellStyle name="Normal 58 4 4 8 3 2" xfId="46393"/>
    <cellStyle name="Normal 58 4 4 8 4" xfId="27323"/>
    <cellStyle name="Normal 58 4 4 9" xfId="5643"/>
    <cellStyle name="Normal 58 4 4 9 2" xfId="14470"/>
    <cellStyle name="Normal 58 4 4 9 2 2" xfId="40025"/>
    <cellStyle name="Normal 58 4 4 9 3" xfId="24721"/>
    <cellStyle name="Normal 58 4 4 9 3 2" xfId="50274"/>
    <cellStyle name="Normal 58 4 4 9 4" xfId="31204"/>
    <cellStyle name="Normal 58 4 4_Degree data" xfId="4012"/>
    <cellStyle name="Normal 58 4 5" xfId="467"/>
    <cellStyle name="Normal 58 4 5 10" xfId="26396"/>
    <cellStyle name="Normal 58 4 5 2" xfId="908"/>
    <cellStyle name="Normal 58 4 5 2 2" xfId="3393"/>
    <cellStyle name="Normal 58 4 5 2 2 2" xfId="12535"/>
    <cellStyle name="Normal 58 4 5 2 2 2 2" xfId="22754"/>
    <cellStyle name="Normal 58 4 5 2 2 2 2 2" xfId="48307"/>
    <cellStyle name="Normal 58 4 5 2 2 2 3" xfId="38090"/>
    <cellStyle name="Normal 58 4 5 2 2 3" xfId="8957"/>
    <cellStyle name="Normal 58 4 5 2 2 3 2" xfId="34514"/>
    <cellStyle name="Normal 58 4 5 2 2 4" xfId="17747"/>
    <cellStyle name="Normal 58 4 5 2 2 4 2" xfId="43300"/>
    <cellStyle name="Normal 58 4 5 2 2 5" xfId="29237"/>
    <cellStyle name="Normal 58 4 5 2 3" xfId="4722"/>
    <cellStyle name="Normal 58 4 5 2 3 2" xfId="13560"/>
    <cellStyle name="Normal 58 4 5 2 3 2 2" xfId="23811"/>
    <cellStyle name="Normal 58 4 5 2 3 2 2 2" xfId="49364"/>
    <cellStyle name="Normal 58 4 5 2 3 2 3" xfId="39115"/>
    <cellStyle name="Normal 58 4 5 2 3 3" xfId="9981"/>
    <cellStyle name="Normal 58 4 5 2 3 3 2" xfId="35538"/>
    <cellStyle name="Normal 58 4 5 2 3 4" xfId="18804"/>
    <cellStyle name="Normal 58 4 5 2 3 4 2" xfId="44357"/>
    <cellStyle name="Normal 58 4 5 2 3 5" xfId="30294"/>
    <cellStyle name="Normal 58 4 5 2 4" xfId="2502"/>
    <cellStyle name="Normal 58 4 5 2 4 2" xfId="11867"/>
    <cellStyle name="Normal 58 4 5 2 4 2 2" xfId="37422"/>
    <cellStyle name="Normal 58 4 5 2 4 3" xfId="21871"/>
    <cellStyle name="Normal 58 4 5 2 4 3 2" xfId="47424"/>
    <cellStyle name="Normal 58 4 5 2 4 4" xfId="28354"/>
    <cellStyle name="Normal 58 4 5 2 5" xfId="6178"/>
    <cellStyle name="Normal 58 4 5 2 5 2" xfId="15005"/>
    <cellStyle name="Normal 58 4 5 2 5 2 2" xfId="40560"/>
    <cellStyle name="Normal 58 4 5 2 5 3" xfId="25256"/>
    <cellStyle name="Normal 58 4 5 2 5 3 2" xfId="50809"/>
    <cellStyle name="Normal 58 4 5 2 5 4" xfId="31739"/>
    <cellStyle name="Normal 58 4 5 2 6" xfId="7623"/>
    <cellStyle name="Normal 58 4 5 2 6 2" xfId="20353"/>
    <cellStyle name="Normal 58 4 5 2 6 2 2" xfId="45906"/>
    <cellStyle name="Normal 58 4 5 2 6 3" xfId="33180"/>
    <cellStyle name="Normal 58 4 5 2 7" xfId="16864"/>
    <cellStyle name="Normal 58 4 5 2 7 2" xfId="42417"/>
    <cellStyle name="Normal 58 4 5 2 8" xfId="26836"/>
    <cellStyle name="Normal 58 4 5 3" xfId="1239"/>
    <cellStyle name="Normal 58 4 5 3 2" xfId="3668"/>
    <cellStyle name="Normal 58 4 5 3 2 2" xfId="12804"/>
    <cellStyle name="Normal 58 4 5 3 2 2 2" xfId="23023"/>
    <cellStyle name="Normal 58 4 5 3 2 2 2 2" xfId="48576"/>
    <cellStyle name="Normal 58 4 5 3 2 2 3" xfId="38359"/>
    <cellStyle name="Normal 58 4 5 3 2 3" xfId="9225"/>
    <cellStyle name="Normal 58 4 5 3 2 3 2" xfId="34782"/>
    <cellStyle name="Normal 58 4 5 3 2 4" xfId="18016"/>
    <cellStyle name="Normal 58 4 5 3 2 4 2" xfId="43569"/>
    <cellStyle name="Normal 58 4 5 3 2 5" xfId="29506"/>
    <cellStyle name="Normal 58 4 5 3 3" xfId="5071"/>
    <cellStyle name="Normal 58 4 5 3 3 2" xfId="13908"/>
    <cellStyle name="Normal 58 4 5 3 3 2 2" xfId="24159"/>
    <cellStyle name="Normal 58 4 5 3 3 2 2 2" xfId="49712"/>
    <cellStyle name="Normal 58 4 5 3 3 2 3" xfId="39463"/>
    <cellStyle name="Normal 58 4 5 3 3 3" xfId="10329"/>
    <cellStyle name="Normal 58 4 5 3 3 3 2" xfId="35886"/>
    <cellStyle name="Normal 58 4 5 3 3 4" xfId="19152"/>
    <cellStyle name="Normal 58 4 5 3 3 4 2" xfId="44705"/>
    <cellStyle name="Normal 58 4 5 3 3 5" xfId="30642"/>
    <cellStyle name="Normal 58 4 5 3 4" xfId="2062"/>
    <cellStyle name="Normal 58 4 5 3 4 2" xfId="11427"/>
    <cellStyle name="Normal 58 4 5 3 4 2 2" xfId="36982"/>
    <cellStyle name="Normal 58 4 5 3 4 3" xfId="21431"/>
    <cellStyle name="Normal 58 4 5 3 4 3 2" xfId="46984"/>
    <cellStyle name="Normal 58 4 5 3 4 4" xfId="27914"/>
    <cellStyle name="Normal 58 4 5 3 5" xfId="6526"/>
    <cellStyle name="Normal 58 4 5 3 5 2" xfId="15353"/>
    <cellStyle name="Normal 58 4 5 3 5 2 2" xfId="40908"/>
    <cellStyle name="Normal 58 4 5 3 5 3" xfId="25604"/>
    <cellStyle name="Normal 58 4 5 3 5 3 2" xfId="51157"/>
    <cellStyle name="Normal 58 4 5 3 5 4" xfId="32087"/>
    <cellStyle name="Normal 58 4 5 3 6" xfId="7972"/>
    <cellStyle name="Normal 58 4 5 3 6 2" xfId="20622"/>
    <cellStyle name="Normal 58 4 5 3 6 2 2" xfId="46175"/>
    <cellStyle name="Normal 58 4 5 3 6 3" xfId="33529"/>
    <cellStyle name="Normal 58 4 5 3 7" xfId="16424"/>
    <cellStyle name="Normal 58 4 5 3 7 2" xfId="41977"/>
    <cellStyle name="Normal 58 4 5 3 8" xfId="27105"/>
    <cellStyle name="Normal 58 4 5 4" xfId="2953"/>
    <cellStyle name="Normal 58 4 5 4 2" xfId="5331"/>
    <cellStyle name="Normal 58 4 5 4 2 2" xfId="14168"/>
    <cellStyle name="Normal 58 4 5 4 2 2 2" xfId="24419"/>
    <cellStyle name="Normal 58 4 5 4 2 2 2 2" xfId="49972"/>
    <cellStyle name="Normal 58 4 5 4 2 2 3" xfId="39723"/>
    <cellStyle name="Normal 58 4 5 4 2 3" xfId="10589"/>
    <cellStyle name="Normal 58 4 5 4 2 3 2" xfId="36146"/>
    <cellStyle name="Normal 58 4 5 4 2 4" xfId="19412"/>
    <cellStyle name="Normal 58 4 5 4 2 4 2" xfId="44965"/>
    <cellStyle name="Normal 58 4 5 4 2 5" xfId="30902"/>
    <cellStyle name="Normal 58 4 5 4 3" xfId="6786"/>
    <cellStyle name="Normal 58 4 5 4 3 2" xfId="15613"/>
    <cellStyle name="Normal 58 4 5 4 3 2 2" xfId="41168"/>
    <cellStyle name="Normal 58 4 5 4 3 3" xfId="25864"/>
    <cellStyle name="Normal 58 4 5 4 3 3 2" xfId="51417"/>
    <cellStyle name="Normal 58 4 5 4 3 4" xfId="32347"/>
    <cellStyle name="Normal 58 4 5 4 4" xfId="8232"/>
    <cellStyle name="Normal 58 4 5 4 4 2" xfId="22314"/>
    <cellStyle name="Normal 58 4 5 4 4 2 2" xfId="47867"/>
    <cellStyle name="Normal 58 4 5 4 4 3" xfId="33789"/>
    <cellStyle name="Normal 58 4 5 4 5" xfId="17307"/>
    <cellStyle name="Normal 58 4 5 4 5 2" xfId="42860"/>
    <cellStyle name="Normal 58 4 5 4 6" xfId="28797"/>
    <cellStyle name="Normal 58 4 5 5" xfId="4287"/>
    <cellStyle name="Normal 58 4 5 5 2" xfId="13125"/>
    <cellStyle name="Normal 58 4 5 5 2 2" xfId="23376"/>
    <cellStyle name="Normal 58 4 5 5 2 2 2" xfId="48929"/>
    <cellStyle name="Normal 58 4 5 5 2 3" xfId="38680"/>
    <cellStyle name="Normal 58 4 5 5 3" xfId="9546"/>
    <cellStyle name="Normal 58 4 5 5 3 2" xfId="35103"/>
    <cellStyle name="Normal 58 4 5 5 4" xfId="18369"/>
    <cellStyle name="Normal 58 4 5 5 4 2" xfId="43922"/>
    <cellStyle name="Normal 58 4 5 5 5" xfId="29859"/>
    <cellStyle name="Normal 58 4 5 6" xfId="1559"/>
    <cellStyle name="Normal 58 4 5 6 2" xfId="10936"/>
    <cellStyle name="Normal 58 4 5 6 2 2" xfId="36491"/>
    <cellStyle name="Normal 58 4 5 6 3" xfId="20940"/>
    <cellStyle name="Normal 58 4 5 6 3 2" xfId="46493"/>
    <cellStyle name="Normal 58 4 5 6 4" xfId="27423"/>
    <cellStyle name="Normal 58 4 5 7" xfId="5743"/>
    <cellStyle name="Normal 58 4 5 7 2" xfId="14570"/>
    <cellStyle name="Normal 58 4 5 7 2 2" xfId="40125"/>
    <cellStyle name="Normal 58 4 5 7 3" xfId="24821"/>
    <cellStyle name="Normal 58 4 5 7 3 2" xfId="50374"/>
    <cellStyle name="Normal 58 4 5 7 4" xfId="31304"/>
    <cellStyle name="Normal 58 4 5 8" xfId="7187"/>
    <cellStyle name="Normal 58 4 5 8 2" xfId="19913"/>
    <cellStyle name="Normal 58 4 5 8 2 2" xfId="45466"/>
    <cellStyle name="Normal 58 4 5 8 3" xfId="32744"/>
    <cellStyle name="Normal 58 4 5 9" xfId="15933"/>
    <cellStyle name="Normal 58 4 5 9 2" xfId="41486"/>
    <cellStyle name="Normal 58 4 5_Degree data" xfId="4014"/>
    <cellStyle name="Normal 58 4 6" xfId="322"/>
    <cellStyle name="Normal 58 4 6 10" xfId="26251"/>
    <cellStyle name="Normal 58 4 6 2" xfId="909"/>
    <cellStyle name="Normal 58 4 6 2 2" xfId="3394"/>
    <cellStyle name="Normal 58 4 6 2 2 2" xfId="12536"/>
    <cellStyle name="Normal 58 4 6 2 2 2 2" xfId="22755"/>
    <cellStyle name="Normal 58 4 6 2 2 2 2 2" xfId="48308"/>
    <cellStyle name="Normal 58 4 6 2 2 2 3" xfId="38091"/>
    <cellStyle name="Normal 58 4 6 2 2 3" xfId="8958"/>
    <cellStyle name="Normal 58 4 6 2 2 3 2" xfId="34515"/>
    <cellStyle name="Normal 58 4 6 2 2 4" xfId="17748"/>
    <cellStyle name="Normal 58 4 6 2 2 4 2" xfId="43301"/>
    <cellStyle name="Normal 58 4 6 2 2 5" xfId="29238"/>
    <cellStyle name="Normal 58 4 6 2 3" xfId="4723"/>
    <cellStyle name="Normal 58 4 6 2 3 2" xfId="13561"/>
    <cellStyle name="Normal 58 4 6 2 3 2 2" xfId="23812"/>
    <cellStyle name="Normal 58 4 6 2 3 2 2 2" xfId="49365"/>
    <cellStyle name="Normal 58 4 6 2 3 2 3" xfId="39116"/>
    <cellStyle name="Normal 58 4 6 2 3 3" xfId="9982"/>
    <cellStyle name="Normal 58 4 6 2 3 3 2" xfId="35539"/>
    <cellStyle name="Normal 58 4 6 2 3 4" xfId="18805"/>
    <cellStyle name="Normal 58 4 6 2 3 4 2" xfId="44358"/>
    <cellStyle name="Normal 58 4 6 2 3 5" xfId="30295"/>
    <cellStyle name="Normal 58 4 6 2 4" xfId="2503"/>
    <cellStyle name="Normal 58 4 6 2 4 2" xfId="11868"/>
    <cellStyle name="Normal 58 4 6 2 4 2 2" xfId="37423"/>
    <cellStyle name="Normal 58 4 6 2 4 3" xfId="21872"/>
    <cellStyle name="Normal 58 4 6 2 4 3 2" xfId="47425"/>
    <cellStyle name="Normal 58 4 6 2 4 4" xfId="28355"/>
    <cellStyle name="Normal 58 4 6 2 5" xfId="6179"/>
    <cellStyle name="Normal 58 4 6 2 5 2" xfId="15006"/>
    <cellStyle name="Normal 58 4 6 2 5 2 2" xfId="40561"/>
    <cellStyle name="Normal 58 4 6 2 5 3" xfId="25257"/>
    <cellStyle name="Normal 58 4 6 2 5 3 2" xfId="50810"/>
    <cellStyle name="Normal 58 4 6 2 5 4" xfId="31740"/>
    <cellStyle name="Normal 58 4 6 2 6" xfId="7624"/>
    <cellStyle name="Normal 58 4 6 2 6 2" xfId="20354"/>
    <cellStyle name="Normal 58 4 6 2 6 2 2" xfId="45907"/>
    <cellStyle name="Normal 58 4 6 2 6 3" xfId="33181"/>
    <cellStyle name="Normal 58 4 6 2 7" xfId="16865"/>
    <cellStyle name="Normal 58 4 6 2 7 2" xfId="42418"/>
    <cellStyle name="Normal 58 4 6 2 8" xfId="26837"/>
    <cellStyle name="Normal 58 4 6 3" xfId="1094"/>
    <cellStyle name="Normal 58 4 6 3 2" xfId="3523"/>
    <cellStyle name="Normal 58 4 6 3 2 2" xfId="12659"/>
    <cellStyle name="Normal 58 4 6 3 2 2 2" xfId="22878"/>
    <cellStyle name="Normal 58 4 6 3 2 2 2 2" xfId="48431"/>
    <cellStyle name="Normal 58 4 6 3 2 2 3" xfId="38214"/>
    <cellStyle name="Normal 58 4 6 3 2 3" xfId="9081"/>
    <cellStyle name="Normal 58 4 6 3 2 3 2" xfId="34638"/>
    <cellStyle name="Normal 58 4 6 3 2 4" xfId="17871"/>
    <cellStyle name="Normal 58 4 6 3 2 4 2" xfId="43424"/>
    <cellStyle name="Normal 58 4 6 3 2 5" xfId="29361"/>
    <cellStyle name="Normal 58 4 6 3 3" xfId="5072"/>
    <cellStyle name="Normal 58 4 6 3 3 2" xfId="13909"/>
    <cellStyle name="Normal 58 4 6 3 3 2 2" xfId="24160"/>
    <cellStyle name="Normal 58 4 6 3 3 2 2 2" xfId="49713"/>
    <cellStyle name="Normal 58 4 6 3 3 2 3" xfId="39464"/>
    <cellStyle name="Normal 58 4 6 3 3 3" xfId="10330"/>
    <cellStyle name="Normal 58 4 6 3 3 3 2" xfId="35887"/>
    <cellStyle name="Normal 58 4 6 3 3 4" xfId="19153"/>
    <cellStyle name="Normal 58 4 6 3 3 4 2" xfId="44706"/>
    <cellStyle name="Normal 58 4 6 3 3 5" xfId="30643"/>
    <cellStyle name="Normal 58 4 6 3 4" xfId="2598"/>
    <cellStyle name="Normal 58 4 6 3 4 2" xfId="11962"/>
    <cellStyle name="Normal 58 4 6 3 4 2 2" xfId="37517"/>
    <cellStyle name="Normal 58 4 6 3 4 3" xfId="21966"/>
    <cellStyle name="Normal 58 4 6 3 4 3 2" xfId="47519"/>
    <cellStyle name="Normal 58 4 6 3 4 4" xfId="28449"/>
    <cellStyle name="Normal 58 4 6 3 5" xfId="6527"/>
    <cellStyle name="Normal 58 4 6 3 5 2" xfId="15354"/>
    <cellStyle name="Normal 58 4 6 3 5 2 2" xfId="40909"/>
    <cellStyle name="Normal 58 4 6 3 5 3" xfId="25605"/>
    <cellStyle name="Normal 58 4 6 3 5 3 2" xfId="51158"/>
    <cellStyle name="Normal 58 4 6 3 5 4" xfId="32088"/>
    <cellStyle name="Normal 58 4 6 3 6" xfId="7973"/>
    <cellStyle name="Normal 58 4 6 3 6 2" xfId="20477"/>
    <cellStyle name="Normal 58 4 6 3 6 2 2" xfId="46030"/>
    <cellStyle name="Normal 58 4 6 3 6 3" xfId="33530"/>
    <cellStyle name="Normal 58 4 6 3 7" xfId="16959"/>
    <cellStyle name="Normal 58 4 6 3 7 2" xfId="42512"/>
    <cellStyle name="Normal 58 4 6 3 8" xfId="26960"/>
    <cellStyle name="Normal 58 4 6 4" xfId="2808"/>
    <cellStyle name="Normal 58 4 6 4 2" xfId="5186"/>
    <cellStyle name="Normal 58 4 6 4 2 2" xfId="14023"/>
    <cellStyle name="Normal 58 4 6 4 2 2 2" xfId="24274"/>
    <cellStyle name="Normal 58 4 6 4 2 2 2 2" xfId="49827"/>
    <cellStyle name="Normal 58 4 6 4 2 2 3" xfId="39578"/>
    <cellStyle name="Normal 58 4 6 4 2 3" xfId="10444"/>
    <cellStyle name="Normal 58 4 6 4 2 3 2" xfId="36001"/>
    <cellStyle name="Normal 58 4 6 4 2 4" xfId="19267"/>
    <cellStyle name="Normal 58 4 6 4 2 4 2" xfId="44820"/>
    <cellStyle name="Normal 58 4 6 4 2 5" xfId="30757"/>
    <cellStyle name="Normal 58 4 6 4 3" xfId="6641"/>
    <cellStyle name="Normal 58 4 6 4 3 2" xfId="15468"/>
    <cellStyle name="Normal 58 4 6 4 3 2 2" xfId="41023"/>
    <cellStyle name="Normal 58 4 6 4 3 3" xfId="25719"/>
    <cellStyle name="Normal 58 4 6 4 3 3 2" xfId="51272"/>
    <cellStyle name="Normal 58 4 6 4 3 4" xfId="32202"/>
    <cellStyle name="Normal 58 4 6 4 4" xfId="8087"/>
    <cellStyle name="Normal 58 4 6 4 4 2" xfId="22169"/>
    <cellStyle name="Normal 58 4 6 4 4 2 2" xfId="47722"/>
    <cellStyle name="Normal 58 4 6 4 4 3" xfId="33644"/>
    <cellStyle name="Normal 58 4 6 4 5" xfId="17162"/>
    <cellStyle name="Normal 58 4 6 4 5 2" xfId="42715"/>
    <cellStyle name="Normal 58 4 6 4 6" xfId="28652"/>
    <cellStyle name="Normal 58 4 6 5" xfId="4140"/>
    <cellStyle name="Normal 58 4 6 5 2" xfId="12978"/>
    <cellStyle name="Normal 58 4 6 5 2 2" xfId="23229"/>
    <cellStyle name="Normal 58 4 6 5 2 2 2" xfId="48782"/>
    <cellStyle name="Normal 58 4 6 5 2 3" xfId="38533"/>
    <cellStyle name="Normal 58 4 6 5 3" xfId="9399"/>
    <cellStyle name="Normal 58 4 6 5 3 2" xfId="34956"/>
    <cellStyle name="Normal 58 4 6 5 4" xfId="18222"/>
    <cellStyle name="Normal 58 4 6 5 4 2" xfId="43775"/>
    <cellStyle name="Normal 58 4 6 5 5" xfId="29712"/>
    <cellStyle name="Normal 58 4 6 6" xfId="1917"/>
    <cellStyle name="Normal 58 4 6 6 2" xfId="11282"/>
    <cellStyle name="Normal 58 4 6 6 2 2" xfId="36837"/>
    <cellStyle name="Normal 58 4 6 6 3" xfId="21286"/>
    <cellStyle name="Normal 58 4 6 6 3 2" xfId="46839"/>
    <cellStyle name="Normal 58 4 6 6 4" xfId="27769"/>
    <cellStyle name="Normal 58 4 6 7" xfId="5598"/>
    <cellStyle name="Normal 58 4 6 7 2" xfId="14425"/>
    <cellStyle name="Normal 58 4 6 7 2 2" xfId="39980"/>
    <cellStyle name="Normal 58 4 6 7 3" xfId="24676"/>
    <cellStyle name="Normal 58 4 6 7 3 2" xfId="50229"/>
    <cellStyle name="Normal 58 4 6 7 4" xfId="31159"/>
    <cellStyle name="Normal 58 4 6 8" xfId="7042"/>
    <cellStyle name="Normal 58 4 6 8 2" xfId="19768"/>
    <cellStyle name="Normal 58 4 6 8 2 2" xfId="45321"/>
    <cellStyle name="Normal 58 4 6 8 3" xfId="32599"/>
    <cellStyle name="Normal 58 4 6 9" xfId="16279"/>
    <cellStyle name="Normal 58 4 6 9 2" xfId="41832"/>
    <cellStyle name="Normal 58 4 6_Degree data" xfId="4015"/>
    <cellStyle name="Normal 58 4 7" xfId="900"/>
    <cellStyle name="Normal 58 4 7 2" xfId="3385"/>
    <cellStyle name="Normal 58 4 7 2 2" xfId="12527"/>
    <cellStyle name="Normal 58 4 7 2 2 2" xfId="22746"/>
    <cellStyle name="Normal 58 4 7 2 2 2 2" xfId="48299"/>
    <cellStyle name="Normal 58 4 7 2 2 3" xfId="38082"/>
    <cellStyle name="Normal 58 4 7 2 3" xfId="8949"/>
    <cellStyle name="Normal 58 4 7 2 3 2" xfId="34506"/>
    <cellStyle name="Normal 58 4 7 2 4" xfId="17739"/>
    <cellStyle name="Normal 58 4 7 2 4 2" xfId="43292"/>
    <cellStyle name="Normal 58 4 7 2 5" xfId="29229"/>
    <cellStyle name="Normal 58 4 7 3" xfId="4714"/>
    <cellStyle name="Normal 58 4 7 3 2" xfId="13552"/>
    <cellStyle name="Normal 58 4 7 3 2 2" xfId="23803"/>
    <cellStyle name="Normal 58 4 7 3 2 2 2" xfId="49356"/>
    <cellStyle name="Normal 58 4 7 3 2 3" xfId="39107"/>
    <cellStyle name="Normal 58 4 7 3 3" xfId="9973"/>
    <cellStyle name="Normal 58 4 7 3 3 2" xfId="35530"/>
    <cellStyle name="Normal 58 4 7 3 4" xfId="18796"/>
    <cellStyle name="Normal 58 4 7 3 4 2" xfId="44349"/>
    <cellStyle name="Normal 58 4 7 3 5" xfId="30286"/>
    <cellStyle name="Normal 58 4 7 4" xfId="2494"/>
    <cellStyle name="Normal 58 4 7 4 2" xfId="11859"/>
    <cellStyle name="Normal 58 4 7 4 2 2" xfId="37414"/>
    <cellStyle name="Normal 58 4 7 4 3" xfId="21863"/>
    <cellStyle name="Normal 58 4 7 4 3 2" xfId="47416"/>
    <cellStyle name="Normal 58 4 7 4 4" xfId="28346"/>
    <cellStyle name="Normal 58 4 7 5" xfId="6170"/>
    <cellStyle name="Normal 58 4 7 5 2" xfId="14997"/>
    <cellStyle name="Normal 58 4 7 5 2 2" xfId="40552"/>
    <cellStyle name="Normal 58 4 7 5 3" xfId="25248"/>
    <cellStyle name="Normal 58 4 7 5 3 2" xfId="50801"/>
    <cellStyle name="Normal 58 4 7 5 4" xfId="31731"/>
    <cellStyle name="Normal 58 4 7 6" xfId="7615"/>
    <cellStyle name="Normal 58 4 7 6 2" xfId="20345"/>
    <cellStyle name="Normal 58 4 7 6 2 2" xfId="45898"/>
    <cellStyle name="Normal 58 4 7 6 3" xfId="33172"/>
    <cellStyle name="Normal 58 4 7 7" xfId="16856"/>
    <cellStyle name="Normal 58 4 7 7 2" xfId="42409"/>
    <cellStyle name="Normal 58 4 7 8" xfId="26828"/>
    <cellStyle name="Normal 58 4 8" xfId="1051"/>
    <cellStyle name="Normal 58 4 8 2" xfId="3480"/>
    <cellStyle name="Normal 58 4 8 2 2" xfId="12616"/>
    <cellStyle name="Normal 58 4 8 2 2 2" xfId="22835"/>
    <cellStyle name="Normal 58 4 8 2 2 2 2" xfId="48388"/>
    <cellStyle name="Normal 58 4 8 2 2 3" xfId="38171"/>
    <cellStyle name="Normal 58 4 8 2 3" xfId="9038"/>
    <cellStyle name="Normal 58 4 8 2 3 2" xfId="34595"/>
    <cellStyle name="Normal 58 4 8 2 4" xfId="17828"/>
    <cellStyle name="Normal 58 4 8 2 4 2" xfId="43381"/>
    <cellStyle name="Normal 58 4 8 2 5" xfId="29318"/>
    <cellStyle name="Normal 58 4 8 3" xfId="5063"/>
    <cellStyle name="Normal 58 4 8 3 2" xfId="13900"/>
    <cellStyle name="Normal 58 4 8 3 2 2" xfId="24151"/>
    <cellStyle name="Normal 58 4 8 3 2 2 2" xfId="49704"/>
    <cellStyle name="Normal 58 4 8 3 2 3" xfId="39455"/>
    <cellStyle name="Normal 58 4 8 3 3" xfId="10321"/>
    <cellStyle name="Normal 58 4 8 3 3 2" xfId="35878"/>
    <cellStyle name="Normal 58 4 8 3 4" xfId="19144"/>
    <cellStyle name="Normal 58 4 8 3 4 2" xfId="44697"/>
    <cellStyle name="Normal 58 4 8 3 5" xfId="30634"/>
    <cellStyle name="Normal 58 4 8 4" xfId="1735"/>
    <cellStyle name="Normal 58 4 8 4 2" xfId="11109"/>
    <cellStyle name="Normal 58 4 8 4 2 2" xfId="36664"/>
    <cellStyle name="Normal 58 4 8 4 3" xfId="21113"/>
    <cellStyle name="Normal 58 4 8 4 3 2" xfId="46666"/>
    <cellStyle name="Normal 58 4 8 4 4" xfId="27596"/>
    <cellStyle name="Normal 58 4 8 5" xfId="6518"/>
    <cellStyle name="Normal 58 4 8 5 2" xfId="15345"/>
    <cellStyle name="Normal 58 4 8 5 2 2" xfId="40900"/>
    <cellStyle name="Normal 58 4 8 5 3" xfId="25596"/>
    <cellStyle name="Normal 58 4 8 5 3 2" xfId="51149"/>
    <cellStyle name="Normal 58 4 8 5 4" xfId="32079"/>
    <cellStyle name="Normal 58 4 8 6" xfId="7964"/>
    <cellStyle name="Normal 58 4 8 6 2" xfId="20434"/>
    <cellStyle name="Normal 58 4 8 6 2 2" xfId="45987"/>
    <cellStyle name="Normal 58 4 8 6 3" xfId="33521"/>
    <cellStyle name="Normal 58 4 8 7" xfId="16106"/>
    <cellStyle name="Normal 58 4 8 7 2" xfId="41659"/>
    <cellStyle name="Normal 58 4 8 8" xfId="26917"/>
    <cellStyle name="Normal 58 4 9" xfId="2635"/>
    <cellStyle name="Normal 58 4 9 2" xfId="5143"/>
    <cellStyle name="Normal 58 4 9 2 2" xfId="13980"/>
    <cellStyle name="Normal 58 4 9 2 2 2" xfId="24231"/>
    <cellStyle name="Normal 58 4 9 2 2 2 2" xfId="49784"/>
    <cellStyle name="Normal 58 4 9 2 2 3" xfId="39535"/>
    <cellStyle name="Normal 58 4 9 2 3" xfId="10401"/>
    <cellStyle name="Normal 58 4 9 2 3 2" xfId="35958"/>
    <cellStyle name="Normal 58 4 9 2 4" xfId="19224"/>
    <cellStyle name="Normal 58 4 9 2 4 2" xfId="44777"/>
    <cellStyle name="Normal 58 4 9 2 5" xfId="30714"/>
    <cellStyle name="Normal 58 4 9 3" xfId="6598"/>
    <cellStyle name="Normal 58 4 9 3 2" xfId="15425"/>
    <cellStyle name="Normal 58 4 9 3 2 2" xfId="40980"/>
    <cellStyle name="Normal 58 4 9 3 3" xfId="25676"/>
    <cellStyle name="Normal 58 4 9 3 3 2" xfId="51229"/>
    <cellStyle name="Normal 58 4 9 3 4" xfId="32159"/>
    <cellStyle name="Normal 58 4 9 4" xfId="8044"/>
    <cellStyle name="Normal 58 4 9 4 2" xfId="21997"/>
    <cellStyle name="Normal 58 4 9 4 2 2" xfId="47550"/>
    <cellStyle name="Normal 58 4 9 4 3" xfId="33601"/>
    <cellStyle name="Normal 58 4 9 5" xfId="16990"/>
    <cellStyle name="Normal 58 4 9 5 2" xfId="42543"/>
    <cellStyle name="Normal 58 4 9 6" xfId="28480"/>
    <cellStyle name="Normal 58 4_Degree data" xfId="4006"/>
    <cellStyle name="Normal 58 5" xfId="164"/>
    <cellStyle name="Normal 58 5 10" xfId="1429"/>
    <cellStyle name="Normal 58 5 10 2" xfId="10806"/>
    <cellStyle name="Normal 58 5 10 2 2" xfId="36361"/>
    <cellStyle name="Normal 58 5 10 3" xfId="20810"/>
    <cellStyle name="Normal 58 5 10 3 2" xfId="46363"/>
    <cellStyle name="Normal 58 5 10 4" xfId="27293"/>
    <cellStyle name="Normal 58 5 11" xfId="5538"/>
    <cellStyle name="Normal 58 5 11 2" xfId="14365"/>
    <cellStyle name="Normal 58 5 11 2 2" xfId="39920"/>
    <cellStyle name="Normal 58 5 11 3" xfId="24616"/>
    <cellStyle name="Normal 58 5 11 3 2" xfId="50169"/>
    <cellStyle name="Normal 58 5 11 4" xfId="31099"/>
    <cellStyle name="Normal 58 5 12" xfId="6982"/>
    <cellStyle name="Normal 58 5 12 2" xfId="19623"/>
    <cellStyle name="Normal 58 5 12 2 2" xfId="45176"/>
    <cellStyle name="Normal 58 5 12 3" xfId="32539"/>
    <cellStyle name="Normal 58 5 13" xfId="15803"/>
    <cellStyle name="Normal 58 5 13 2" xfId="41356"/>
    <cellStyle name="Normal 58 5 14" xfId="26106"/>
    <cellStyle name="Normal 58 5 2" xfId="211"/>
    <cellStyle name="Normal 58 5 2 10" xfId="7157"/>
    <cellStyle name="Normal 58 5 2 10 2" xfId="19666"/>
    <cellStyle name="Normal 58 5 2 10 2 2" xfId="45219"/>
    <cellStyle name="Normal 58 5 2 10 3" xfId="32714"/>
    <cellStyle name="Normal 58 5 2 11" xfId="15903"/>
    <cellStyle name="Normal 58 5 2 11 2" xfId="41456"/>
    <cellStyle name="Normal 58 5 2 12" xfId="26149"/>
    <cellStyle name="Normal 58 5 2 2" xfId="537"/>
    <cellStyle name="Normal 58 5 2 2 10" xfId="26466"/>
    <cellStyle name="Normal 58 5 2 2 2" xfId="912"/>
    <cellStyle name="Normal 58 5 2 2 2 2" xfId="3397"/>
    <cellStyle name="Normal 58 5 2 2 2 2 2" xfId="12539"/>
    <cellStyle name="Normal 58 5 2 2 2 2 2 2" xfId="22758"/>
    <cellStyle name="Normal 58 5 2 2 2 2 2 2 2" xfId="48311"/>
    <cellStyle name="Normal 58 5 2 2 2 2 2 3" xfId="38094"/>
    <cellStyle name="Normal 58 5 2 2 2 2 3" xfId="8961"/>
    <cellStyle name="Normal 58 5 2 2 2 2 3 2" xfId="34518"/>
    <cellStyle name="Normal 58 5 2 2 2 2 4" xfId="17751"/>
    <cellStyle name="Normal 58 5 2 2 2 2 4 2" xfId="43304"/>
    <cellStyle name="Normal 58 5 2 2 2 2 5" xfId="29241"/>
    <cellStyle name="Normal 58 5 2 2 2 3" xfId="4726"/>
    <cellStyle name="Normal 58 5 2 2 2 3 2" xfId="13564"/>
    <cellStyle name="Normal 58 5 2 2 2 3 2 2" xfId="23815"/>
    <cellStyle name="Normal 58 5 2 2 2 3 2 2 2" xfId="49368"/>
    <cellStyle name="Normal 58 5 2 2 2 3 2 3" xfId="39119"/>
    <cellStyle name="Normal 58 5 2 2 2 3 3" xfId="9985"/>
    <cellStyle name="Normal 58 5 2 2 2 3 3 2" xfId="35542"/>
    <cellStyle name="Normal 58 5 2 2 2 3 4" xfId="18808"/>
    <cellStyle name="Normal 58 5 2 2 2 3 4 2" xfId="44361"/>
    <cellStyle name="Normal 58 5 2 2 2 3 5" xfId="30298"/>
    <cellStyle name="Normal 58 5 2 2 2 4" xfId="2506"/>
    <cellStyle name="Normal 58 5 2 2 2 4 2" xfId="11871"/>
    <cellStyle name="Normal 58 5 2 2 2 4 2 2" xfId="37426"/>
    <cellStyle name="Normal 58 5 2 2 2 4 3" xfId="21875"/>
    <cellStyle name="Normal 58 5 2 2 2 4 3 2" xfId="47428"/>
    <cellStyle name="Normal 58 5 2 2 2 4 4" xfId="28358"/>
    <cellStyle name="Normal 58 5 2 2 2 5" xfId="6182"/>
    <cellStyle name="Normal 58 5 2 2 2 5 2" xfId="15009"/>
    <cellStyle name="Normal 58 5 2 2 2 5 2 2" xfId="40564"/>
    <cellStyle name="Normal 58 5 2 2 2 5 3" xfId="25260"/>
    <cellStyle name="Normal 58 5 2 2 2 5 3 2" xfId="50813"/>
    <cellStyle name="Normal 58 5 2 2 2 5 4" xfId="31743"/>
    <cellStyle name="Normal 58 5 2 2 2 6" xfId="7627"/>
    <cellStyle name="Normal 58 5 2 2 2 6 2" xfId="20357"/>
    <cellStyle name="Normal 58 5 2 2 2 6 2 2" xfId="45910"/>
    <cellStyle name="Normal 58 5 2 2 2 6 3" xfId="33184"/>
    <cellStyle name="Normal 58 5 2 2 2 7" xfId="16868"/>
    <cellStyle name="Normal 58 5 2 2 2 7 2" xfId="42421"/>
    <cellStyle name="Normal 58 5 2 2 2 8" xfId="26840"/>
    <cellStyle name="Normal 58 5 2 2 3" xfId="1309"/>
    <cellStyle name="Normal 58 5 2 2 3 2" xfId="3738"/>
    <cellStyle name="Normal 58 5 2 2 3 2 2" xfId="12874"/>
    <cellStyle name="Normal 58 5 2 2 3 2 2 2" xfId="23093"/>
    <cellStyle name="Normal 58 5 2 2 3 2 2 2 2" xfId="48646"/>
    <cellStyle name="Normal 58 5 2 2 3 2 2 3" xfId="38429"/>
    <cellStyle name="Normal 58 5 2 2 3 2 3" xfId="9295"/>
    <cellStyle name="Normal 58 5 2 2 3 2 3 2" xfId="34852"/>
    <cellStyle name="Normal 58 5 2 2 3 2 4" xfId="18086"/>
    <cellStyle name="Normal 58 5 2 2 3 2 4 2" xfId="43639"/>
    <cellStyle name="Normal 58 5 2 2 3 2 5" xfId="29576"/>
    <cellStyle name="Normal 58 5 2 2 3 3" xfId="5075"/>
    <cellStyle name="Normal 58 5 2 2 3 3 2" xfId="13912"/>
    <cellStyle name="Normal 58 5 2 2 3 3 2 2" xfId="24163"/>
    <cellStyle name="Normal 58 5 2 2 3 3 2 2 2" xfId="49716"/>
    <cellStyle name="Normal 58 5 2 2 3 3 2 3" xfId="39467"/>
    <cellStyle name="Normal 58 5 2 2 3 3 3" xfId="10333"/>
    <cellStyle name="Normal 58 5 2 2 3 3 3 2" xfId="35890"/>
    <cellStyle name="Normal 58 5 2 2 3 3 4" xfId="19156"/>
    <cellStyle name="Normal 58 5 2 2 3 3 4 2" xfId="44709"/>
    <cellStyle name="Normal 58 5 2 2 3 3 5" xfId="30646"/>
    <cellStyle name="Normal 58 5 2 2 3 4" xfId="2132"/>
    <cellStyle name="Normal 58 5 2 2 3 4 2" xfId="11497"/>
    <cellStyle name="Normal 58 5 2 2 3 4 2 2" xfId="37052"/>
    <cellStyle name="Normal 58 5 2 2 3 4 3" xfId="21501"/>
    <cellStyle name="Normal 58 5 2 2 3 4 3 2" xfId="47054"/>
    <cellStyle name="Normal 58 5 2 2 3 4 4" xfId="27984"/>
    <cellStyle name="Normal 58 5 2 2 3 5" xfId="6530"/>
    <cellStyle name="Normal 58 5 2 2 3 5 2" xfId="15357"/>
    <cellStyle name="Normal 58 5 2 2 3 5 2 2" xfId="40912"/>
    <cellStyle name="Normal 58 5 2 2 3 5 3" xfId="25608"/>
    <cellStyle name="Normal 58 5 2 2 3 5 3 2" xfId="51161"/>
    <cellStyle name="Normal 58 5 2 2 3 5 4" xfId="32091"/>
    <cellStyle name="Normal 58 5 2 2 3 6" xfId="7976"/>
    <cellStyle name="Normal 58 5 2 2 3 6 2" xfId="20692"/>
    <cellStyle name="Normal 58 5 2 2 3 6 2 2" xfId="46245"/>
    <cellStyle name="Normal 58 5 2 2 3 6 3" xfId="33533"/>
    <cellStyle name="Normal 58 5 2 2 3 7" xfId="16494"/>
    <cellStyle name="Normal 58 5 2 2 3 7 2" xfId="42047"/>
    <cellStyle name="Normal 58 5 2 2 3 8" xfId="27175"/>
    <cellStyle name="Normal 58 5 2 2 4" xfId="3023"/>
    <cellStyle name="Normal 58 5 2 2 4 2" xfId="5401"/>
    <cellStyle name="Normal 58 5 2 2 4 2 2" xfId="14238"/>
    <cellStyle name="Normal 58 5 2 2 4 2 2 2" xfId="24489"/>
    <cellStyle name="Normal 58 5 2 2 4 2 2 2 2" xfId="50042"/>
    <cellStyle name="Normal 58 5 2 2 4 2 2 3" xfId="39793"/>
    <cellStyle name="Normal 58 5 2 2 4 2 3" xfId="10659"/>
    <cellStyle name="Normal 58 5 2 2 4 2 3 2" xfId="36216"/>
    <cellStyle name="Normal 58 5 2 2 4 2 4" xfId="19482"/>
    <cellStyle name="Normal 58 5 2 2 4 2 4 2" xfId="45035"/>
    <cellStyle name="Normal 58 5 2 2 4 2 5" xfId="30972"/>
    <cellStyle name="Normal 58 5 2 2 4 3" xfId="6856"/>
    <cellStyle name="Normal 58 5 2 2 4 3 2" xfId="15683"/>
    <cellStyle name="Normal 58 5 2 2 4 3 2 2" xfId="41238"/>
    <cellStyle name="Normal 58 5 2 2 4 3 3" xfId="25934"/>
    <cellStyle name="Normal 58 5 2 2 4 3 3 2" xfId="51487"/>
    <cellStyle name="Normal 58 5 2 2 4 3 4" xfId="32417"/>
    <cellStyle name="Normal 58 5 2 2 4 4" xfId="8302"/>
    <cellStyle name="Normal 58 5 2 2 4 4 2" xfId="22384"/>
    <cellStyle name="Normal 58 5 2 2 4 4 2 2" xfId="47937"/>
    <cellStyle name="Normal 58 5 2 2 4 4 3" xfId="33859"/>
    <cellStyle name="Normal 58 5 2 2 4 5" xfId="17377"/>
    <cellStyle name="Normal 58 5 2 2 4 5 2" xfId="42930"/>
    <cellStyle name="Normal 58 5 2 2 4 6" xfId="28867"/>
    <cellStyle name="Normal 58 5 2 2 5" xfId="4357"/>
    <cellStyle name="Normal 58 5 2 2 5 2" xfId="13195"/>
    <cellStyle name="Normal 58 5 2 2 5 2 2" xfId="23446"/>
    <cellStyle name="Normal 58 5 2 2 5 2 2 2" xfId="48999"/>
    <cellStyle name="Normal 58 5 2 2 5 2 3" xfId="38750"/>
    <cellStyle name="Normal 58 5 2 2 5 3" xfId="9616"/>
    <cellStyle name="Normal 58 5 2 2 5 3 2" xfId="35173"/>
    <cellStyle name="Normal 58 5 2 2 5 4" xfId="18439"/>
    <cellStyle name="Normal 58 5 2 2 5 4 2" xfId="43992"/>
    <cellStyle name="Normal 58 5 2 2 5 5" xfId="29929"/>
    <cellStyle name="Normal 58 5 2 2 6" xfId="1629"/>
    <cellStyle name="Normal 58 5 2 2 6 2" xfId="11006"/>
    <cellStyle name="Normal 58 5 2 2 6 2 2" xfId="36561"/>
    <cellStyle name="Normal 58 5 2 2 6 3" xfId="21010"/>
    <cellStyle name="Normal 58 5 2 2 6 3 2" xfId="46563"/>
    <cellStyle name="Normal 58 5 2 2 6 4" xfId="27493"/>
    <cellStyle name="Normal 58 5 2 2 7" xfId="5813"/>
    <cellStyle name="Normal 58 5 2 2 7 2" xfId="14640"/>
    <cellStyle name="Normal 58 5 2 2 7 2 2" xfId="40195"/>
    <cellStyle name="Normal 58 5 2 2 7 3" xfId="24891"/>
    <cellStyle name="Normal 58 5 2 2 7 3 2" xfId="50444"/>
    <cellStyle name="Normal 58 5 2 2 7 4" xfId="31374"/>
    <cellStyle name="Normal 58 5 2 2 8" xfId="7257"/>
    <cellStyle name="Normal 58 5 2 2 8 2" xfId="19983"/>
    <cellStyle name="Normal 58 5 2 2 8 2 2" xfId="45536"/>
    <cellStyle name="Normal 58 5 2 2 8 3" xfId="32814"/>
    <cellStyle name="Normal 58 5 2 2 9" xfId="16003"/>
    <cellStyle name="Normal 58 5 2 2 9 2" xfId="41556"/>
    <cellStyle name="Normal 58 5 2 2_Degree data" xfId="4018"/>
    <cellStyle name="Normal 58 5 2 3" xfId="437"/>
    <cellStyle name="Normal 58 5 2 3 2" xfId="2923"/>
    <cellStyle name="Normal 58 5 2 3 2 2" xfId="12211"/>
    <cellStyle name="Normal 58 5 2 3 2 2 2" xfId="22284"/>
    <cellStyle name="Normal 58 5 2 3 2 2 2 2" xfId="47837"/>
    <cellStyle name="Normal 58 5 2 3 2 2 3" xfId="37766"/>
    <cellStyle name="Normal 58 5 2 3 2 3" xfId="8448"/>
    <cellStyle name="Normal 58 5 2 3 2 3 2" xfId="34005"/>
    <cellStyle name="Normal 58 5 2 3 2 4" xfId="17277"/>
    <cellStyle name="Normal 58 5 2 3 2 4 2" xfId="42830"/>
    <cellStyle name="Normal 58 5 2 3 2 5" xfId="28767"/>
    <cellStyle name="Normal 58 5 2 3 3" xfId="4725"/>
    <cellStyle name="Normal 58 5 2 3 3 2" xfId="13563"/>
    <cellStyle name="Normal 58 5 2 3 3 2 2" xfId="23814"/>
    <cellStyle name="Normal 58 5 2 3 3 2 2 2" xfId="49367"/>
    <cellStyle name="Normal 58 5 2 3 3 2 3" xfId="39118"/>
    <cellStyle name="Normal 58 5 2 3 3 3" xfId="9984"/>
    <cellStyle name="Normal 58 5 2 3 3 3 2" xfId="35541"/>
    <cellStyle name="Normal 58 5 2 3 3 4" xfId="18807"/>
    <cellStyle name="Normal 58 5 2 3 3 4 2" xfId="44360"/>
    <cellStyle name="Normal 58 5 2 3 3 5" xfId="30297"/>
    <cellStyle name="Normal 58 5 2 3 4" xfId="2032"/>
    <cellStyle name="Normal 58 5 2 3 4 2" xfId="11397"/>
    <cellStyle name="Normal 58 5 2 3 4 2 2" xfId="36952"/>
    <cellStyle name="Normal 58 5 2 3 4 3" xfId="21401"/>
    <cellStyle name="Normal 58 5 2 3 4 3 2" xfId="46954"/>
    <cellStyle name="Normal 58 5 2 3 4 4" xfId="27884"/>
    <cellStyle name="Normal 58 5 2 3 5" xfId="6181"/>
    <cellStyle name="Normal 58 5 2 3 5 2" xfId="15008"/>
    <cellStyle name="Normal 58 5 2 3 5 2 2" xfId="40563"/>
    <cellStyle name="Normal 58 5 2 3 5 3" xfId="25259"/>
    <cellStyle name="Normal 58 5 2 3 5 3 2" xfId="50812"/>
    <cellStyle name="Normal 58 5 2 3 5 4" xfId="31742"/>
    <cellStyle name="Normal 58 5 2 3 6" xfId="7626"/>
    <cellStyle name="Normal 58 5 2 3 6 2" xfId="19883"/>
    <cellStyle name="Normal 58 5 2 3 6 2 2" xfId="45436"/>
    <cellStyle name="Normal 58 5 2 3 6 3" xfId="33183"/>
    <cellStyle name="Normal 58 5 2 3 7" xfId="16394"/>
    <cellStyle name="Normal 58 5 2 3 7 2" xfId="41947"/>
    <cellStyle name="Normal 58 5 2 3 8" xfId="26366"/>
    <cellStyle name="Normal 58 5 2 4" xfId="911"/>
    <cellStyle name="Normal 58 5 2 4 2" xfId="3396"/>
    <cellStyle name="Normal 58 5 2 4 2 2" xfId="12538"/>
    <cellStyle name="Normal 58 5 2 4 2 2 2" xfId="22757"/>
    <cellStyle name="Normal 58 5 2 4 2 2 2 2" xfId="48310"/>
    <cellStyle name="Normal 58 5 2 4 2 2 3" xfId="38093"/>
    <cellStyle name="Normal 58 5 2 4 2 3" xfId="8960"/>
    <cellStyle name="Normal 58 5 2 4 2 3 2" xfId="34517"/>
    <cellStyle name="Normal 58 5 2 4 2 4" xfId="17750"/>
    <cellStyle name="Normal 58 5 2 4 2 4 2" xfId="43303"/>
    <cellStyle name="Normal 58 5 2 4 2 5" xfId="29240"/>
    <cellStyle name="Normal 58 5 2 4 3" xfId="5074"/>
    <cellStyle name="Normal 58 5 2 4 3 2" xfId="13911"/>
    <cellStyle name="Normal 58 5 2 4 3 2 2" xfId="24162"/>
    <cellStyle name="Normal 58 5 2 4 3 2 2 2" xfId="49715"/>
    <cellStyle name="Normal 58 5 2 4 3 2 3" xfId="39466"/>
    <cellStyle name="Normal 58 5 2 4 3 3" xfId="10332"/>
    <cellStyle name="Normal 58 5 2 4 3 3 2" xfId="35889"/>
    <cellStyle name="Normal 58 5 2 4 3 4" xfId="19155"/>
    <cellStyle name="Normal 58 5 2 4 3 4 2" xfId="44708"/>
    <cellStyle name="Normal 58 5 2 4 3 5" xfId="30645"/>
    <cellStyle name="Normal 58 5 2 4 4" xfId="2505"/>
    <cellStyle name="Normal 58 5 2 4 4 2" xfId="11870"/>
    <cellStyle name="Normal 58 5 2 4 4 2 2" xfId="37425"/>
    <cellStyle name="Normal 58 5 2 4 4 3" xfId="21874"/>
    <cellStyle name="Normal 58 5 2 4 4 3 2" xfId="47427"/>
    <cellStyle name="Normal 58 5 2 4 4 4" xfId="28357"/>
    <cellStyle name="Normal 58 5 2 4 5" xfId="6529"/>
    <cellStyle name="Normal 58 5 2 4 5 2" xfId="15356"/>
    <cellStyle name="Normal 58 5 2 4 5 2 2" xfId="40911"/>
    <cellStyle name="Normal 58 5 2 4 5 3" xfId="25607"/>
    <cellStyle name="Normal 58 5 2 4 5 3 2" xfId="51160"/>
    <cellStyle name="Normal 58 5 2 4 5 4" xfId="32090"/>
    <cellStyle name="Normal 58 5 2 4 6" xfId="7975"/>
    <cellStyle name="Normal 58 5 2 4 6 2" xfId="20356"/>
    <cellStyle name="Normal 58 5 2 4 6 2 2" xfId="45909"/>
    <cellStyle name="Normal 58 5 2 4 6 3" xfId="33532"/>
    <cellStyle name="Normal 58 5 2 4 7" xfId="16867"/>
    <cellStyle name="Normal 58 5 2 4 7 2" xfId="42420"/>
    <cellStyle name="Normal 58 5 2 4 8" xfId="26839"/>
    <cellStyle name="Normal 58 5 2 5" xfId="1209"/>
    <cellStyle name="Normal 58 5 2 5 2" xfId="3638"/>
    <cellStyle name="Normal 58 5 2 5 2 2" xfId="12774"/>
    <cellStyle name="Normal 58 5 2 5 2 2 2" xfId="22993"/>
    <cellStyle name="Normal 58 5 2 5 2 2 2 2" xfId="48546"/>
    <cellStyle name="Normal 58 5 2 5 2 2 3" xfId="38329"/>
    <cellStyle name="Normal 58 5 2 5 2 3" xfId="9195"/>
    <cellStyle name="Normal 58 5 2 5 2 3 2" xfId="34752"/>
    <cellStyle name="Normal 58 5 2 5 2 4" xfId="17986"/>
    <cellStyle name="Normal 58 5 2 5 2 4 2" xfId="43539"/>
    <cellStyle name="Normal 58 5 2 5 2 5" xfId="29476"/>
    <cellStyle name="Normal 58 5 2 5 3" xfId="5301"/>
    <cellStyle name="Normal 58 5 2 5 3 2" xfId="14138"/>
    <cellStyle name="Normal 58 5 2 5 3 2 2" xfId="24389"/>
    <cellStyle name="Normal 58 5 2 5 3 2 2 2" xfId="49942"/>
    <cellStyle name="Normal 58 5 2 5 3 2 3" xfId="39693"/>
    <cellStyle name="Normal 58 5 2 5 3 3" xfId="10559"/>
    <cellStyle name="Normal 58 5 2 5 3 3 2" xfId="36116"/>
    <cellStyle name="Normal 58 5 2 5 3 4" xfId="19382"/>
    <cellStyle name="Normal 58 5 2 5 3 4 2" xfId="44935"/>
    <cellStyle name="Normal 58 5 2 5 3 5" xfId="30872"/>
    <cellStyle name="Normal 58 5 2 5 4" xfId="1812"/>
    <cellStyle name="Normal 58 5 2 5 4 2" xfId="11180"/>
    <cellStyle name="Normal 58 5 2 5 4 2 2" xfId="36735"/>
    <cellStyle name="Normal 58 5 2 5 4 3" xfId="21184"/>
    <cellStyle name="Normal 58 5 2 5 4 3 2" xfId="46737"/>
    <cellStyle name="Normal 58 5 2 5 4 4" xfId="27667"/>
    <cellStyle name="Normal 58 5 2 5 5" xfId="6756"/>
    <cellStyle name="Normal 58 5 2 5 5 2" xfId="15583"/>
    <cellStyle name="Normal 58 5 2 5 5 2 2" xfId="41138"/>
    <cellStyle name="Normal 58 5 2 5 5 3" xfId="25834"/>
    <cellStyle name="Normal 58 5 2 5 5 3 2" xfId="51387"/>
    <cellStyle name="Normal 58 5 2 5 5 4" xfId="32317"/>
    <cellStyle name="Normal 58 5 2 5 6" xfId="8202"/>
    <cellStyle name="Normal 58 5 2 5 6 2" xfId="20592"/>
    <cellStyle name="Normal 58 5 2 5 6 2 2" xfId="46145"/>
    <cellStyle name="Normal 58 5 2 5 6 3" xfId="33759"/>
    <cellStyle name="Normal 58 5 2 5 7" xfId="16177"/>
    <cellStyle name="Normal 58 5 2 5 7 2" xfId="41730"/>
    <cellStyle name="Normal 58 5 2 5 8" xfId="27075"/>
    <cellStyle name="Normal 58 5 2 6" xfId="2706"/>
    <cellStyle name="Normal 58 5 2 6 2" xfId="12023"/>
    <cellStyle name="Normal 58 5 2 6 2 2" xfId="22067"/>
    <cellStyle name="Normal 58 5 2 6 2 2 2" xfId="47620"/>
    <cellStyle name="Normal 58 5 2 6 2 3" xfId="37578"/>
    <cellStyle name="Normal 58 5 2 6 3" xfId="6951"/>
    <cellStyle name="Normal 58 5 2 6 3 2" xfId="32509"/>
    <cellStyle name="Normal 58 5 2 6 4" xfId="17060"/>
    <cellStyle name="Normal 58 5 2 6 4 2" xfId="42613"/>
    <cellStyle name="Normal 58 5 2 6 5" xfId="28550"/>
    <cellStyle name="Normal 58 5 2 7" xfId="4257"/>
    <cellStyle name="Normal 58 5 2 7 2" xfId="13095"/>
    <cellStyle name="Normal 58 5 2 7 2 2" xfId="23346"/>
    <cellStyle name="Normal 58 5 2 7 2 2 2" xfId="48899"/>
    <cellStyle name="Normal 58 5 2 7 2 3" xfId="38650"/>
    <cellStyle name="Normal 58 5 2 7 3" xfId="9516"/>
    <cellStyle name="Normal 58 5 2 7 3 2" xfId="35073"/>
    <cellStyle name="Normal 58 5 2 7 4" xfId="18339"/>
    <cellStyle name="Normal 58 5 2 7 4 2" xfId="43892"/>
    <cellStyle name="Normal 58 5 2 7 5" xfId="29829"/>
    <cellStyle name="Normal 58 5 2 8" xfId="1529"/>
    <cellStyle name="Normal 58 5 2 8 2" xfId="10906"/>
    <cellStyle name="Normal 58 5 2 8 2 2" xfId="36461"/>
    <cellStyle name="Normal 58 5 2 8 3" xfId="20910"/>
    <cellStyle name="Normal 58 5 2 8 3 2" xfId="46463"/>
    <cellStyle name="Normal 58 5 2 8 4" xfId="27393"/>
    <cellStyle name="Normal 58 5 2 9" xfId="5713"/>
    <cellStyle name="Normal 58 5 2 9 2" xfId="14540"/>
    <cellStyle name="Normal 58 5 2 9 2 2" xfId="40095"/>
    <cellStyle name="Normal 58 5 2 9 3" xfId="24791"/>
    <cellStyle name="Normal 58 5 2 9 3 2" xfId="50344"/>
    <cellStyle name="Normal 58 5 2 9 4" xfId="31274"/>
    <cellStyle name="Normal 58 5 2_Degree data" xfId="4017"/>
    <cellStyle name="Normal 58 5 3" xfId="276"/>
    <cellStyle name="Normal 58 5 3 10" xfId="7114"/>
    <cellStyle name="Normal 58 5 3 10 2" xfId="19727"/>
    <cellStyle name="Normal 58 5 3 10 2 2" xfId="45280"/>
    <cellStyle name="Normal 58 5 3 10 3" xfId="32671"/>
    <cellStyle name="Normal 58 5 3 11" xfId="15860"/>
    <cellStyle name="Normal 58 5 3 11 2" xfId="41413"/>
    <cellStyle name="Normal 58 5 3 12" xfId="26210"/>
    <cellStyle name="Normal 58 5 3 2" xfId="598"/>
    <cellStyle name="Normal 58 5 3 2 10" xfId="26527"/>
    <cellStyle name="Normal 58 5 3 2 2" xfId="914"/>
    <cellStyle name="Normal 58 5 3 2 2 2" xfId="3399"/>
    <cellStyle name="Normal 58 5 3 2 2 2 2" xfId="12541"/>
    <cellStyle name="Normal 58 5 3 2 2 2 2 2" xfId="22760"/>
    <cellStyle name="Normal 58 5 3 2 2 2 2 2 2" xfId="48313"/>
    <cellStyle name="Normal 58 5 3 2 2 2 2 3" xfId="38096"/>
    <cellStyle name="Normal 58 5 3 2 2 2 3" xfId="8963"/>
    <cellStyle name="Normal 58 5 3 2 2 2 3 2" xfId="34520"/>
    <cellStyle name="Normal 58 5 3 2 2 2 4" xfId="17753"/>
    <cellStyle name="Normal 58 5 3 2 2 2 4 2" xfId="43306"/>
    <cellStyle name="Normal 58 5 3 2 2 2 5" xfId="29243"/>
    <cellStyle name="Normal 58 5 3 2 2 3" xfId="4728"/>
    <cellStyle name="Normal 58 5 3 2 2 3 2" xfId="13566"/>
    <cellStyle name="Normal 58 5 3 2 2 3 2 2" xfId="23817"/>
    <cellStyle name="Normal 58 5 3 2 2 3 2 2 2" xfId="49370"/>
    <cellStyle name="Normal 58 5 3 2 2 3 2 3" xfId="39121"/>
    <cellStyle name="Normal 58 5 3 2 2 3 3" xfId="9987"/>
    <cellStyle name="Normal 58 5 3 2 2 3 3 2" xfId="35544"/>
    <cellStyle name="Normal 58 5 3 2 2 3 4" xfId="18810"/>
    <cellStyle name="Normal 58 5 3 2 2 3 4 2" xfId="44363"/>
    <cellStyle name="Normal 58 5 3 2 2 3 5" xfId="30300"/>
    <cellStyle name="Normal 58 5 3 2 2 4" xfId="2508"/>
    <cellStyle name="Normal 58 5 3 2 2 4 2" xfId="11873"/>
    <cellStyle name="Normal 58 5 3 2 2 4 2 2" xfId="37428"/>
    <cellStyle name="Normal 58 5 3 2 2 4 3" xfId="21877"/>
    <cellStyle name="Normal 58 5 3 2 2 4 3 2" xfId="47430"/>
    <cellStyle name="Normal 58 5 3 2 2 4 4" xfId="28360"/>
    <cellStyle name="Normal 58 5 3 2 2 5" xfId="6184"/>
    <cellStyle name="Normal 58 5 3 2 2 5 2" xfId="15011"/>
    <cellStyle name="Normal 58 5 3 2 2 5 2 2" xfId="40566"/>
    <cellStyle name="Normal 58 5 3 2 2 5 3" xfId="25262"/>
    <cellStyle name="Normal 58 5 3 2 2 5 3 2" xfId="50815"/>
    <cellStyle name="Normal 58 5 3 2 2 5 4" xfId="31745"/>
    <cellStyle name="Normal 58 5 3 2 2 6" xfId="7629"/>
    <cellStyle name="Normal 58 5 3 2 2 6 2" xfId="20359"/>
    <cellStyle name="Normal 58 5 3 2 2 6 2 2" xfId="45912"/>
    <cellStyle name="Normal 58 5 3 2 2 6 3" xfId="33186"/>
    <cellStyle name="Normal 58 5 3 2 2 7" xfId="16870"/>
    <cellStyle name="Normal 58 5 3 2 2 7 2" xfId="42423"/>
    <cellStyle name="Normal 58 5 3 2 2 8" xfId="26842"/>
    <cellStyle name="Normal 58 5 3 2 3" xfId="1370"/>
    <cellStyle name="Normal 58 5 3 2 3 2" xfId="3799"/>
    <cellStyle name="Normal 58 5 3 2 3 2 2" xfId="12935"/>
    <cellStyle name="Normal 58 5 3 2 3 2 2 2" xfId="23154"/>
    <cellStyle name="Normal 58 5 3 2 3 2 2 2 2" xfId="48707"/>
    <cellStyle name="Normal 58 5 3 2 3 2 2 3" xfId="38490"/>
    <cellStyle name="Normal 58 5 3 2 3 2 3" xfId="9356"/>
    <cellStyle name="Normal 58 5 3 2 3 2 3 2" xfId="34913"/>
    <cellStyle name="Normal 58 5 3 2 3 2 4" xfId="18147"/>
    <cellStyle name="Normal 58 5 3 2 3 2 4 2" xfId="43700"/>
    <cellStyle name="Normal 58 5 3 2 3 2 5" xfId="29637"/>
    <cellStyle name="Normal 58 5 3 2 3 3" xfId="5077"/>
    <cellStyle name="Normal 58 5 3 2 3 3 2" xfId="13914"/>
    <cellStyle name="Normal 58 5 3 2 3 3 2 2" xfId="24165"/>
    <cellStyle name="Normal 58 5 3 2 3 3 2 2 2" xfId="49718"/>
    <cellStyle name="Normal 58 5 3 2 3 3 2 3" xfId="39469"/>
    <cellStyle name="Normal 58 5 3 2 3 3 3" xfId="10335"/>
    <cellStyle name="Normal 58 5 3 2 3 3 3 2" xfId="35892"/>
    <cellStyle name="Normal 58 5 3 2 3 3 4" xfId="19158"/>
    <cellStyle name="Normal 58 5 3 2 3 3 4 2" xfId="44711"/>
    <cellStyle name="Normal 58 5 3 2 3 3 5" xfId="30648"/>
    <cellStyle name="Normal 58 5 3 2 3 4" xfId="2193"/>
    <cellStyle name="Normal 58 5 3 2 3 4 2" xfId="11558"/>
    <cellStyle name="Normal 58 5 3 2 3 4 2 2" xfId="37113"/>
    <cellStyle name="Normal 58 5 3 2 3 4 3" xfId="21562"/>
    <cellStyle name="Normal 58 5 3 2 3 4 3 2" xfId="47115"/>
    <cellStyle name="Normal 58 5 3 2 3 4 4" xfId="28045"/>
    <cellStyle name="Normal 58 5 3 2 3 5" xfId="6532"/>
    <cellStyle name="Normal 58 5 3 2 3 5 2" xfId="15359"/>
    <cellStyle name="Normal 58 5 3 2 3 5 2 2" xfId="40914"/>
    <cellStyle name="Normal 58 5 3 2 3 5 3" xfId="25610"/>
    <cellStyle name="Normal 58 5 3 2 3 5 3 2" xfId="51163"/>
    <cellStyle name="Normal 58 5 3 2 3 5 4" xfId="32093"/>
    <cellStyle name="Normal 58 5 3 2 3 6" xfId="7978"/>
    <cellStyle name="Normal 58 5 3 2 3 6 2" xfId="20753"/>
    <cellStyle name="Normal 58 5 3 2 3 6 2 2" xfId="46306"/>
    <cellStyle name="Normal 58 5 3 2 3 6 3" xfId="33535"/>
    <cellStyle name="Normal 58 5 3 2 3 7" xfId="16555"/>
    <cellStyle name="Normal 58 5 3 2 3 7 2" xfId="42108"/>
    <cellStyle name="Normal 58 5 3 2 3 8" xfId="27236"/>
    <cellStyle name="Normal 58 5 3 2 4" xfId="3084"/>
    <cellStyle name="Normal 58 5 3 2 4 2" xfId="5462"/>
    <cellStyle name="Normal 58 5 3 2 4 2 2" xfId="14299"/>
    <cellStyle name="Normal 58 5 3 2 4 2 2 2" xfId="24550"/>
    <cellStyle name="Normal 58 5 3 2 4 2 2 2 2" xfId="50103"/>
    <cellStyle name="Normal 58 5 3 2 4 2 2 3" xfId="39854"/>
    <cellStyle name="Normal 58 5 3 2 4 2 3" xfId="10720"/>
    <cellStyle name="Normal 58 5 3 2 4 2 3 2" xfId="36277"/>
    <cellStyle name="Normal 58 5 3 2 4 2 4" xfId="19543"/>
    <cellStyle name="Normal 58 5 3 2 4 2 4 2" xfId="45096"/>
    <cellStyle name="Normal 58 5 3 2 4 2 5" xfId="31033"/>
    <cellStyle name="Normal 58 5 3 2 4 3" xfId="6917"/>
    <cellStyle name="Normal 58 5 3 2 4 3 2" xfId="15744"/>
    <cellStyle name="Normal 58 5 3 2 4 3 2 2" xfId="41299"/>
    <cellStyle name="Normal 58 5 3 2 4 3 3" xfId="25995"/>
    <cellStyle name="Normal 58 5 3 2 4 3 3 2" xfId="51548"/>
    <cellStyle name="Normal 58 5 3 2 4 3 4" xfId="32478"/>
    <cellStyle name="Normal 58 5 3 2 4 4" xfId="8363"/>
    <cellStyle name="Normal 58 5 3 2 4 4 2" xfId="22445"/>
    <cellStyle name="Normal 58 5 3 2 4 4 2 2" xfId="47998"/>
    <cellStyle name="Normal 58 5 3 2 4 4 3" xfId="33920"/>
    <cellStyle name="Normal 58 5 3 2 4 5" xfId="17438"/>
    <cellStyle name="Normal 58 5 3 2 4 5 2" xfId="42991"/>
    <cellStyle name="Normal 58 5 3 2 4 6" xfId="28928"/>
    <cellStyle name="Normal 58 5 3 2 5" xfId="4418"/>
    <cellStyle name="Normal 58 5 3 2 5 2" xfId="13256"/>
    <cellStyle name="Normal 58 5 3 2 5 2 2" xfId="23507"/>
    <cellStyle name="Normal 58 5 3 2 5 2 2 2" xfId="49060"/>
    <cellStyle name="Normal 58 5 3 2 5 2 3" xfId="38811"/>
    <cellStyle name="Normal 58 5 3 2 5 3" xfId="9677"/>
    <cellStyle name="Normal 58 5 3 2 5 3 2" xfId="35234"/>
    <cellStyle name="Normal 58 5 3 2 5 4" xfId="18500"/>
    <cellStyle name="Normal 58 5 3 2 5 4 2" xfId="44053"/>
    <cellStyle name="Normal 58 5 3 2 5 5" xfId="29990"/>
    <cellStyle name="Normal 58 5 3 2 6" xfId="1690"/>
    <cellStyle name="Normal 58 5 3 2 6 2" xfId="11067"/>
    <cellStyle name="Normal 58 5 3 2 6 2 2" xfId="36622"/>
    <cellStyle name="Normal 58 5 3 2 6 3" xfId="21071"/>
    <cellStyle name="Normal 58 5 3 2 6 3 2" xfId="46624"/>
    <cellStyle name="Normal 58 5 3 2 6 4" xfId="27554"/>
    <cellStyle name="Normal 58 5 3 2 7" xfId="5874"/>
    <cellStyle name="Normal 58 5 3 2 7 2" xfId="14701"/>
    <cellStyle name="Normal 58 5 3 2 7 2 2" xfId="40256"/>
    <cellStyle name="Normal 58 5 3 2 7 3" xfId="24952"/>
    <cellStyle name="Normal 58 5 3 2 7 3 2" xfId="50505"/>
    <cellStyle name="Normal 58 5 3 2 7 4" xfId="31435"/>
    <cellStyle name="Normal 58 5 3 2 8" xfId="7318"/>
    <cellStyle name="Normal 58 5 3 2 8 2" xfId="20044"/>
    <cellStyle name="Normal 58 5 3 2 8 2 2" xfId="45597"/>
    <cellStyle name="Normal 58 5 3 2 8 3" xfId="32875"/>
    <cellStyle name="Normal 58 5 3 2 9" xfId="16064"/>
    <cellStyle name="Normal 58 5 3 2 9 2" xfId="41617"/>
    <cellStyle name="Normal 58 5 3 2_Degree data" xfId="4020"/>
    <cellStyle name="Normal 58 5 3 3" xfId="394"/>
    <cellStyle name="Normal 58 5 3 3 2" xfId="2880"/>
    <cellStyle name="Normal 58 5 3 3 2 2" xfId="12168"/>
    <cellStyle name="Normal 58 5 3 3 2 2 2" xfId="22241"/>
    <cellStyle name="Normal 58 5 3 3 2 2 2 2" xfId="47794"/>
    <cellStyle name="Normal 58 5 3 3 2 2 3" xfId="37723"/>
    <cellStyle name="Normal 58 5 3 3 2 3" xfId="8459"/>
    <cellStyle name="Normal 58 5 3 3 2 3 2" xfId="34016"/>
    <cellStyle name="Normal 58 5 3 3 2 4" xfId="17234"/>
    <cellStyle name="Normal 58 5 3 3 2 4 2" xfId="42787"/>
    <cellStyle name="Normal 58 5 3 3 2 5" xfId="28724"/>
    <cellStyle name="Normal 58 5 3 3 3" xfId="4727"/>
    <cellStyle name="Normal 58 5 3 3 3 2" xfId="13565"/>
    <cellStyle name="Normal 58 5 3 3 3 2 2" xfId="23816"/>
    <cellStyle name="Normal 58 5 3 3 3 2 2 2" xfId="49369"/>
    <cellStyle name="Normal 58 5 3 3 3 2 3" xfId="39120"/>
    <cellStyle name="Normal 58 5 3 3 3 3" xfId="9986"/>
    <cellStyle name="Normal 58 5 3 3 3 3 2" xfId="35543"/>
    <cellStyle name="Normal 58 5 3 3 3 4" xfId="18809"/>
    <cellStyle name="Normal 58 5 3 3 3 4 2" xfId="44362"/>
    <cellStyle name="Normal 58 5 3 3 3 5" xfId="30299"/>
    <cellStyle name="Normal 58 5 3 3 4" xfId="1989"/>
    <cellStyle name="Normal 58 5 3 3 4 2" xfId="11354"/>
    <cellStyle name="Normal 58 5 3 3 4 2 2" xfId="36909"/>
    <cellStyle name="Normal 58 5 3 3 4 3" xfId="21358"/>
    <cellStyle name="Normal 58 5 3 3 4 3 2" xfId="46911"/>
    <cellStyle name="Normal 58 5 3 3 4 4" xfId="27841"/>
    <cellStyle name="Normal 58 5 3 3 5" xfId="6183"/>
    <cellStyle name="Normal 58 5 3 3 5 2" xfId="15010"/>
    <cellStyle name="Normal 58 5 3 3 5 2 2" xfId="40565"/>
    <cellStyle name="Normal 58 5 3 3 5 3" xfId="25261"/>
    <cellStyle name="Normal 58 5 3 3 5 3 2" xfId="50814"/>
    <cellStyle name="Normal 58 5 3 3 5 4" xfId="31744"/>
    <cellStyle name="Normal 58 5 3 3 6" xfId="7628"/>
    <cellStyle name="Normal 58 5 3 3 6 2" xfId="19840"/>
    <cellStyle name="Normal 58 5 3 3 6 2 2" xfId="45393"/>
    <cellStyle name="Normal 58 5 3 3 6 3" xfId="33185"/>
    <cellStyle name="Normal 58 5 3 3 7" xfId="16351"/>
    <cellStyle name="Normal 58 5 3 3 7 2" xfId="41904"/>
    <cellStyle name="Normal 58 5 3 3 8" xfId="26323"/>
    <cellStyle name="Normal 58 5 3 4" xfId="913"/>
    <cellStyle name="Normal 58 5 3 4 2" xfId="3398"/>
    <cellStyle name="Normal 58 5 3 4 2 2" xfId="12540"/>
    <cellStyle name="Normal 58 5 3 4 2 2 2" xfId="22759"/>
    <cellStyle name="Normal 58 5 3 4 2 2 2 2" xfId="48312"/>
    <cellStyle name="Normal 58 5 3 4 2 2 3" xfId="38095"/>
    <cellStyle name="Normal 58 5 3 4 2 3" xfId="8962"/>
    <cellStyle name="Normal 58 5 3 4 2 3 2" xfId="34519"/>
    <cellStyle name="Normal 58 5 3 4 2 4" xfId="17752"/>
    <cellStyle name="Normal 58 5 3 4 2 4 2" xfId="43305"/>
    <cellStyle name="Normal 58 5 3 4 2 5" xfId="29242"/>
    <cellStyle name="Normal 58 5 3 4 3" xfId="5076"/>
    <cellStyle name="Normal 58 5 3 4 3 2" xfId="13913"/>
    <cellStyle name="Normal 58 5 3 4 3 2 2" xfId="24164"/>
    <cellStyle name="Normal 58 5 3 4 3 2 2 2" xfId="49717"/>
    <cellStyle name="Normal 58 5 3 4 3 2 3" xfId="39468"/>
    <cellStyle name="Normal 58 5 3 4 3 3" xfId="10334"/>
    <cellStyle name="Normal 58 5 3 4 3 3 2" xfId="35891"/>
    <cellStyle name="Normal 58 5 3 4 3 4" xfId="19157"/>
    <cellStyle name="Normal 58 5 3 4 3 4 2" xfId="44710"/>
    <cellStyle name="Normal 58 5 3 4 3 5" xfId="30647"/>
    <cellStyle name="Normal 58 5 3 4 4" xfId="2507"/>
    <cellStyle name="Normal 58 5 3 4 4 2" xfId="11872"/>
    <cellStyle name="Normal 58 5 3 4 4 2 2" xfId="37427"/>
    <cellStyle name="Normal 58 5 3 4 4 3" xfId="21876"/>
    <cellStyle name="Normal 58 5 3 4 4 3 2" xfId="47429"/>
    <cellStyle name="Normal 58 5 3 4 4 4" xfId="28359"/>
    <cellStyle name="Normal 58 5 3 4 5" xfId="6531"/>
    <cellStyle name="Normal 58 5 3 4 5 2" xfId="15358"/>
    <cellStyle name="Normal 58 5 3 4 5 2 2" xfId="40913"/>
    <cellStyle name="Normal 58 5 3 4 5 3" xfId="25609"/>
    <cellStyle name="Normal 58 5 3 4 5 3 2" xfId="51162"/>
    <cellStyle name="Normal 58 5 3 4 5 4" xfId="32092"/>
    <cellStyle name="Normal 58 5 3 4 6" xfId="7977"/>
    <cellStyle name="Normal 58 5 3 4 6 2" xfId="20358"/>
    <cellStyle name="Normal 58 5 3 4 6 2 2" xfId="45911"/>
    <cellStyle name="Normal 58 5 3 4 6 3" xfId="33534"/>
    <cellStyle name="Normal 58 5 3 4 7" xfId="16869"/>
    <cellStyle name="Normal 58 5 3 4 7 2" xfId="42422"/>
    <cellStyle name="Normal 58 5 3 4 8" xfId="26841"/>
    <cellStyle name="Normal 58 5 3 5" xfId="1166"/>
    <cellStyle name="Normal 58 5 3 5 2" xfId="3595"/>
    <cellStyle name="Normal 58 5 3 5 2 2" xfId="12731"/>
    <cellStyle name="Normal 58 5 3 5 2 2 2" xfId="22950"/>
    <cellStyle name="Normal 58 5 3 5 2 2 2 2" xfId="48503"/>
    <cellStyle name="Normal 58 5 3 5 2 2 3" xfId="38286"/>
    <cellStyle name="Normal 58 5 3 5 2 3" xfId="9152"/>
    <cellStyle name="Normal 58 5 3 5 2 3 2" xfId="34709"/>
    <cellStyle name="Normal 58 5 3 5 2 4" xfId="17943"/>
    <cellStyle name="Normal 58 5 3 5 2 4 2" xfId="43496"/>
    <cellStyle name="Normal 58 5 3 5 2 5" xfId="29433"/>
    <cellStyle name="Normal 58 5 3 5 3" xfId="5258"/>
    <cellStyle name="Normal 58 5 3 5 3 2" xfId="14095"/>
    <cellStyle name="Normal 58 5 3 5 3 2 2" xfId="24346"/>
    <cellStyle name="Normal 58 5 3 5 3 2 2 2" xfId="49899"/>
    <cellStyle name="Normal 58 5 3 5 3 2 3" xfId="39650"/>
    <cellStyle name="Normal 58 5 3 5 3 3" xfId="10516"/>
    <cellStyle name="Normal 58 5 3 5 3 3 2" xfId="36073"/>
    <cellStyle name="Normal 58 5 3 5 3 4" xfId="19339"/>
    <cellStyle name="Normal 58 5 3 5 3 4 2" xfId="44892"/>
    <cellStyle name="Normal 58 5 3 5 3 5" xfId="30829"/>
    <cellStyle name="Normal 58 5 3 5 4" xfId="1873"/>
    <cellStyle name="Normal 58 5 3 5 4 2" xfId="11241"/>
    <cellStyle name="Normal 58 5 3 5 4 2 2" xfId="36796"/>
    <cellStyle name="Normal 58 5 3 5 4 3" xfId="21245"/>
    <cellStyle name="Normal 58 5 3 5 4 3 2" xfId="46798"/>
    <cellStyle name="Normal 58 5 3 5 4 4" xfId="27728"/>
    <cellStyle name="Normal 58 5 3 5 5" xfId="6713"/>
    <cellStyle name="Normal 58 5 3 5 5 2" xfId="15540"/>
    <cellStyle name="Normal 58 5 3 5 5 2 2" xfId="41095"/>
    <cellStyle name="Normal 58 5 3 5 5 3" xfId="25791"/>
    <cellStyle name="Normal 58 5 3 5 5 3 2" xfId="51344"/>
    <cellStyle name="Normal 58 5 3 5 5 4" xfId="32274"/>
    <cellStyle name="Normal 58 5 3 5 6" xfId="8159"/>
    <cellStyle name="Normal 58 5 3 5 6 2" xfId="20549"/>
    <cellStyle name="Normal 58 5 3 5 6 2 2" xfId="46102"/>
    <cellStyle name="Normal 58 5 3 5 6 3" xfId="33716"/>
    <cellStyle name="Normal 58 5 3 5 7" xfId="16238"/>
    <cellStyle name="Normal 58 5 3 5 7 2" xfId="41791"/>
    <cellStyle name="Normal 58 5 3 5 8" xfId="27032"/>
    <cellStyle name="Normal 58 5 3 6" xfId="2767"/>
    <cellStyle name="Normal 58 5 3 6 2" xfId="12084"/>
    <cellStyle name="Normal 58 5 3 6 2 2" xfId="22128"/>
    <cellStyle name="Normal 58 5 3 6 2 2 2" xfId="47681"/>
    <cellStyle name="Normal 58 5 3 6 2 3" xfId="37639"/>
    <cellStyle name="Normal 58 5 3 6 3" xfId="8538"/>
    <cellStyle name="Normal 58 5 3 6 3 2" xfId="34095"/>
    <cellStyle name="Normal 58 5 3 6 4" xfId="17121"/>
    <cellStyle name="Normal 58 5 3 6 4 2" xfId="42674"/>
    <cellStyle name="Normal 58 5 3 6 5" xfId="28611"/>
    <cellStyle name="Normal 58 5 3 7" xfId="4214"/>
    <cellStyle name="Normal 58 5 3 7 2" xfId="13052"/>
    <cellStyle name="Normal 58 5 3 7 2 2" xfId="23303"/>
    <cellStyle name="Normal 58 5 3 7 2 2 2" xfId="48856"/>
    <cellStyle name="Normal 58 5 3 7 2 3" xfId="38607"/>
    <cellStyle name="Normal 58 5 3 7 3" xfId="9473"/>
    <cellStyle name="Normal 58 5 3 7 3 2" xfId="35030"/>
    <cellStyle name="Normal 58 5 3 7 4" xfId="18296"/>
    <cellStyle name="Normal 58 5 3 7 4 2" xfId="43849"/>
    <cellStyle name="Normal 58 5 3 7 5" xfId="29786"/>
    <cellStyle name="Normal 58 5 3 8" xfId="1486"/>
    <cellStyle name="Normal 58 5 3 8 2" xfId="10863"/>
    <cellStyle name="Normal 58 5 3 8 2 2" xfId="36418"/>
    <cellStyle name="Normal 58 5 3 8 3" xfId="20867"/>
    <cellStyle name="Normal 58 5 3 8 3 2" xfId="46420"/>
    <cellStyle name="Normal 58 5 3 8 4" xfId="27350"/>
    <cellStyle name="Normal 58 5 3 9" xfId="5670"/>
    <cellStyle name="Normal 58 5 3 9 2" xfId="14497"/>
    <cellStyle name="Normal 58 5 3 9 2 2" xfId="40052"/>
    <cellStyle name="Normal 58 5 3 9 3" xfId="24748"/>
    <cellStyle name="Normal 58 5 3 9 3 2" xfId="50301"/>
    <cellStyle name="Normal 58 5 3 9 4" xfId="31231"/>
    <cellStyle name="Normal 58 5 3_Degree data" xfId="4019"/>
    <cellStyle name="Normal 58 5 4" xfId="494"/>
    <cellStyle name="Normal 58 5 4 10" xfId="26423"/>
    <cellStyle name="Normal 58 5 4 2" xfId="915"/>
    <cellStyle name="Normal 58 5 4 2 2" xfId="3400"/>
    <cellStyle name="Normal 58 5 4 2 2 2" xfId="12542"/>
    <cellStyle name="Normal 58 5 4 2 2 2 2" xfId="22761"/>
    <cellStyle name="Normal 58 5 4 2 2 2 2 2" xfId="48314"/>
    <cellStyle name="Normal 58 5 4 2 2 2 3" xfId="38097"/>
    <cellStyle name="Normal 58 5 4 2 2 3" xfId="8964"/>
    <cellStyle name="Normal 58 5 4 2 2 3 2" xfId="34521"/>
    <cellStyle name="Normal 58 5 4 2 2 4" xfId="17754"/>
    <cellStyle name="Normal 58 5 4 2 2 4 2" xfId="43307"/>
    <cellStyle name="Normal 58 5 4 2 2 5" xfId="29244"/>
    <cellStyle name="Normal 58 5 4 2 3" xfId="4729"/>
    <cellStyle name="Normal 58 5 4 2 3 2" xfId="13567"/>
    <cellStyle name="Normal 58 5 4 2 3 2 2" xfId="23818"/>
    <cellStyle name="Normal 58 5 4 2 3 2 2 2" xfId="49371"/>
    <cellStyle name="Normal 58 5 4 2 3 2 3" xfId="39122"/>
    <cellStyle name="Normal 58 5 4 2 3 3" xfId="9988"/>
    <cellStyle name="Normal 58 5 4 2 3 3 2" xfId="35545"/>
    <cellStyle name="Normal 58 5 4 2 3 4" xfId="18811"/>
    <cellStyle name="Normal 58 5 4 2 3 4 2" xfId="44364"/>
    <cellStyle name="Normal 58 5 4 2 3 5" xfId="30301"/>
    <cellStyle name="Normal 58 5 4 2 4" xfId="2509"/>
    <cellStyle name="Normal 58 5 4 2 4 2" xfId="11874"/>
    <cellStyle name="Normal 58 5 4 2 4 2 2" xfId="37429"/>
    <cellStyle name="Normal 58 5 4 2 4 3" xfId="21878"/>
    <cellStyle name="Normal 58 5 4 2 4 3 2" xfId="47431"/>
    <cellStyle name="Normal 58 5 4 2 4 4" xfId="28361"/>
    <cellStyle name="Normal 58 5 4 2 5" xfId="6185"/>
    <cellStyle name="Normal 58 5 4 2 5 2" xfId="15012"/>
    <cellStyle name="Normal 58 5 4 2 5 2 2" xfId="40567"/>
    <cellStyle name="Normal 58 5 4 2 5 3" xfId="25263"/>
    <cellStyle name="Normal 58 5 4 2 5 3 2" xfId="50816"/>
    <cellStyle name="Normal 58 5 4 2 5 4" xfId="31746"/>
    <cellStyle name="Normal 58 5 4 2 6" xfId="7630"/>
    <cellStyle name="Normal 58 5 4 2 6 2" xfId="20360"/>
    <cellStyle name="Normal 58 5 4 2 6 2 2" xfId="45913"/>
    <cellStyle name="Normal 58 5 4 2 6 3" xfId="33187"/>
    <cellStyle name="Normal 58 5 4 2 7" xfId="16871"/>
    <cellStyle name="Normal 58 5 4 2 7 2" xfId="42424"/>
    <cellStyle name="Normal 58 5 4 2 8" xfId="26843"/>
    <cellStyle name="Normal 58 5 4 3" xfId="1266"/>
    <cellStyle name="Normal 58 5 4 3 2" xfId="3695"/>
    <cellStyle name="Normal 58 5 4 3 2 2" xfId="12831"/>
    <cellStyle name="Normal 58 5 4 3 2 2 2" xfId="23050"/>
    <cellStyle name="Normal 58 5 4 3 2 2 2 2" xfId="48603"/>
    <cellStyle name="Normal 58 5 4 3 2 2 3" xfId="38386"/>
    <cellStyle name="Normal 58 5 4 3 2 3" xfId="9252"/>
    <cellStyle name="Normal 58 5 4 3 2 3 2" xfId="34809"/>
    <cellStyle name="Normal 58 5 4 3 2 4" xfId="18043"/>
    <cellStyle name="Normal 58 5 4 3 2 4 2" xfId="43596"/>
    <cellStyle name="Normal 58 5 4 3 2 5" xfId="29533"/>
    <cellStyle name="Normal 58 5 4 3 3" xfId="5078"/>
    <cellStyle name="Normal 58 5 4 3 3 2" xfId="13915"/>
    <cellStyle name="Normal 58 5 4 3 3 2 2" xfId="24166"/>
    <cellStyle name="Normal 58 5 4 3 3 2 2 2" xfId="49719"/>
    <cellStyle name="Normal 58 5 4 3 3 2 3" xfId="39470"/>
    <cellStyle name="Normal 58 5 4 3 3 3" xfId="10336"/>
    <cellStyle name="Normal 58 5 4 3 3 3 2" xfId="35893"/>
    <cellStyle name="Normal 58 5 4 3 3 4" xfId="19159"/>
    <cellStyle name="Normal 58 5 4 3 3 4 2" xfId="44712"/>
    <cellStyle name="Normal 58 5 4 3 3 5" xfId="30649"/>
    <cellStyle name="Normal 58 5 4 3 4" xfId="2089"/>
    <cellStyle name="Normal 58 5 4 3 4 2" xfId="11454"/>
    <cellStyle name="Normal 58 5 4 3 4 2 2" xfId="37009"/>
    <cellStyle name="Normal 58 5 4 3 4 3" xfId="21458"/>
    <cellStyle name="Normal 58 5 4 3 4 3 2" xfId="47011"/>
    <cellStyle name="Normal 58 5 4 3 4 4" xfId="27941"/>
    <cellStyle name="Normal 58 5 4 3 5" xfId="6533"/>
    <cellStyle name="Normal 58 5 4 3 5 2" xfId="15360"/>
    <cellStyle name="Normal 58 5 4 3 5 2 2" xfId="40915"/>
    <cellStyle name="Normal 58 5 4 3 5 3" xfId="25611"/>
    <cellStyle name="Normal 58 5 4 3 5 3 2" xfId="51164"/>
    <cellStyle name="Normal 58 5 4 3 5 4" xfId="32094"/>
    <cellStyle name="Normal 58 5 4 3 6" xfId="7979"/>
    <cellStyle name="Normal 58 5 4 3 6 2" xfId="20649"/>
    <cellStyle name="Normal 58 5 4 3 6 2 2" xfId="46202"/>
    <cellStyle name="Normal 58 5 4 3 6 3" xfId="33536"/>
    <cellStyle name="Normal 58 5 4 3 7" xfId="16451"/>
    <cellStyle name="Normal 58 5 4 3 7 2" xfId="42004"/>
    <cellStyle name="Normal 58 5 4 3 8" xfId="27132"/>
    <cellStyle name="Normal 58 5 4 4" xfId="2980"/>
    <cellStyle name="Normal 58 5 4 4 2" xfId="5358"/>
    <cellStyle name="Normal 58 5 4 4 2 2" xfId="14195"/>
    <cellStyle name="Normal 58 5 4 4 2 2 2" xfId="24446"/>
    <cellStyle name="Normal 58 5 4 4 2 2 2 2" xfId="49999"/>
    <cellStyle name="Normal 58 5 4 4 2 2 3" xfId="39750"/>
    <cellStyle name="Normal 58 5 4 4 2 3" xfId="10616"/>
    <cellStyle name="Normal 58 5 4 4 2 3 2" xfId="36173"/>
    <cellStyle name="Normal 58 5 4 4 2 4" xfId="19439"/>
    <cellStyle name="Normal 58 5 4 4 2 4 2" xfId="44992"/>
    <cellStyle name="Normal 58 5 4 4 2 5" xfId="30929"/>
    <cellStyle name="Normal 58 5 4 4 3" xfId="6813"/>
    <cellStyle name="Normal 58 5 4 4 3 2" xfId="15640"/>
    <cellStyle name="Normal 58 5 4 4 3 2 2" xfId="41195"/>
    <cellStyle name="Normal 58 5 4 4 3 3" xfId="25891"/>
    <cellStyle name="Normal 58 5 4 4 3 3 2" xfId="51444"/>
    <cellStyle name="Normal 58 5 4 4 3 4" xfId="32374"/>
    <cellStyle name="Normal 58 5 4 4 4" xfId="8259"/>
    <cellStyle name="Normal 58 5 4 4 4 2" xfId="22341"/>
    <cellStyle name="Normal 58 5 4 4 4 2 2" xfId="47894"/>
    <cellStyle name="Normal 58 5 4 4 4 3" xfId="33816"/>
    <cellStyle name="Normal 58 5 4 4 5" xfId="17334"/>
    <cellStyle name="Normal 58 5 4 4 5 2" xfId="42887"/>
    <cellStyle name="Normal 58 5 4 4 6" xfId="28824"/>
    <cellStyle name="Normal 58 5 4 5" xfId="4314"/>
    <cellStyle name="Normal 58 5 4 5 2" xfId="13152"/>
    <cellStyle name="Normal 58 5 4 5 2 2" xfId="23403"/>
    <cellStyle name="Normal 58 5 4 5 2 2 2" xfId="48956"/>
    <cellStyle name="Normal 58 5 4 5 2 3" xfId="38707"/>
    <cellStyle name="Normal 58 5 4 5 3" xfId="9573"/>
    <cellStyle name="Normal 58 5 4 5 3 2" xfId="35130"/>
    <cellStyle name="Normal 58 5 4 5 4" xfId="18396"/>
    <cellStyle name="Normal 58 5 4 5 4 2" xfId="43949"/>
    <cellStyle name="Normal 58 5 4 5 5" xfId="29886"/>
    <cellStyle name="Normal 58 5 4 6" xfId="1586"/>
    <cellStyle name="Normal 58 5 4 6 2" xfId="10963"/>
    <cellStyle name="Normal 58 5 4 6 2 2" xfId="36518"/>
    <cellStyle name="Normal 58 5 4 6 3" xfId="20967"/>
    <cellStyle name="Normal 58 5 4 6 3 2" xfId="46520"/>
    <cellStyle name="Normal 58 5 4 6 4" xfId="27450"/>
    <cellStyle name="Normal 58 5 4 7" xfId="5770"/>
    <cellStyle name="Normal 58 5 4 7 2" xfId="14597"/>
    <cellStyle name="Normal 58 5 4 7 2 2" xfId="40152"/>
    <cellStyle name="Normal 58 5 4 7 3" xfId="24848"/>
    <cellStyle name="Normal 58 5 4 7 3 2" xfId="50401"/>
    <cellStyle name="Normal 58 5 4 7 4" xfId="31331"/>
    <cellStyle name="Normal 58 5 4 8" xfId="7214"/>
    <cellStyle name="Normal 58 5 4 8 2" xfId="19940"/>
    <cellStyle name="Normal 58 5 4 8 2 2" xfId="45493"/>
    <cellStyle name="Normal 58 5 4 8 3" xfId="32771"/>
    <cellStyle name="Normal 58 5 4 9" xfId="15960"/>
    <cellStyle name="Normal 58 5 4 9 2" xfId="41513"/>
    <cellStyle name="Normal 58 5 4_Degree data" xfId="4021"/>
    <cellStyle name="Normal 58 5 5" xfId="337"/>
    <cellStyle name="Normal 58 5 5 10" xfId="26266"/>
    <cellStyle name="Normal 58 5 5 2" xfId="916"/>
    <cellStyle name="Normal 58 5 5 2 2" xfId="3401"/>
    <cellStyle name="Normal 58 5 5 2 2 2" xfId="12543"/>
    <cellStyle name="Normal 58 5 5 2 2 2 2" xfId="22762"/>
    <cellStyle name="Normal 58 5 5 2 2 2 2 2" xfId="48315"/>
    <cellStyle name="Normal 58 5 5 2 2 2 3" xfId="38098"/>
    <cellStyle name="Normal 58 5 5 2 2 3" xfId="8965"/>
    <cellStyle name="Normal 58 5 5 2 2 3 2" xfId="34522"/>
    <cellStyle name="Normal 58 5 5 2 2 4" xfId="17755"/>
    <cellStyle name="Normal 58 5 5 2 2 4 2" xfId="43308"/>
    <cellStyle name="Normal 58 5 5 2 2 5" xfId="29245"/>
    <cellStyle name="Normal 58 5 5 2 3" xfId="4730"/>
    <cellStyle name="Normal 58 5 5 2 3 2" xfId="13568"/>
    <cellStyle name="Normal 58 5 5 2 3 2 2" xfId="23819"/>
    <cellStyle name="Normal 58 5 5 2 3 2 2 2" xfId="49372"/>
    <cellStyle name="Normal 58 5 5 2 3 2 3" xfId="39123"/>
    <cellStyle name="Normal 58 5 5 2 3 3" xfId="9989"/>
    <cellStyle name="Normal 58 5 5 2 3 3 2" xfId="35546"/>
    <cellStyle name="Normal 58 5 5 2 3 4" xfId="18812"/>
    <cellStyle name="Normal 58 5 5 2 3 4 2" xfId="44365"/>
    <cellStyle name="Normal 58 5 5 2 3 5" xfId="30302"/>
    <cellStyle name="Normal 58 5 5 2 4" xfId="2510"/>
    <cellStyle name="Normal 58 5 5 2 4 2" xfId="11875"/>
    <cellStyle name="Normal 58 5 5 2 4 2 2" xfId="37430"/>
    <cellStyle name="Normal 58 5 5 2 4 3" xfId="21879"/>
    <cellStyle name="Normal 58 5 5 2 4 3 2" xfId="47432"/>
    <cellStyle name="Normal 58 5 5 2 4 4" xfId="28362"/>
    <cellStyle name="Normal 58 5 5 2 5" xfId="6186"/>
    <cellStyle name="Normal 58 5 5 2 5 2" xfId="15013"/>
    <cellStyle name="Normal 58 5 5 2 5 2 2" xfId="40568"/>
    <cellStyle name="Normal 58 5 5 2 5 3" xfId="25264"/>
    <cellStyle name="Normal 58 5 5 2 5 3 2" xfId="50817"/>
    <cellStyle name="Normal 58 5 5 2 5 4" xfId="31747"/>
    <cellStyle name="Normal 58 5 5 2 6" xfId="7631"/>
    <cellStyle name="Normal 58 5 5 2 6 2" xfId="20361"/>
    <cellStyle name="Normal 58 5 5 2 6 2 2" xfId="45914"/>
    <cellStyle name="Normal 58 5 5 2 6 3" xfId="33188"/>
    <cellStyle name="Normal 58 5 5 2 7" xfId="16872"/>
    <cellStyle name="Normal 58 5 5 2 7 2" xfId="42425"/>
    <cellStyle name="Normal 58 5 5 2 8" xfId="26844"/>
    <cellStyle name="Normal 58 5 5 3" xfId="1109"/>
    <cellStyle name="Normal 58 5 5 3 2" xfId="3538"/>
    <cellStyle name="Normal 58 5 5 3 2 2" xfId="12674"/>
    <cellStyle name="Normal 58 5 5 3 2 2 2" xfId="22893"/>
    <cellStyle name="Normal 58 5 5 3 2 2 2 2" xfId="48446"/>
    <cellStyle name="Normal 58 5 5 3 2 2 3" xfId="38229"/>
    <cellStyle name="Normal 58 5 5 3 2 3" xfId="9095"/>
    <cellStyle name="Normal 58 5 5 3 2 3 2" xfId="34652"/>
    <cellStyle name="Normal 58 5 5 3 2 4" xfId="17886"/>
    <cellStyle name="Normal 58 5 5 3 2 4 2" xfId="43439"/>
    <cellStyle name="Normal 58 5 5 3 2 5" xfId="29376"/>
    <cellStyle name="Normal 58 5 5 3 3" xfId="5079"/>
    <cellStyle name="Normal 58 5 5 3 3 2" xfId="13916"/>
    <cellStyle name="Normal 58 5 5 3 3 2 2" xfId="24167"/>
    <cellStyle name="Normal 58 5 5 3 3 2 2 2" xfId="49720"/>
    <cellStyle name="Normal 58 5 5 3 3 2 3" xfId="39471"/>
    <cellStyle name="Normal 58 5 5 3 3 3" xfId="10337"/>
    <cellStyle name="Normal 58 5 5 3 3 3 2" xfId="35894"/>
    <cellStyle name="Normal 58 5 5 3 3 4" xfId="19160"/>
    <cellStyle name="Normal 58 5 5 3 3 4 2" xfId="44713"/>
    <cellStyle name="Normal 58 5 5 3 3 5" xfId="30650"/>
    <cellStyle name="Normal 58 5 5 3 4" xfId="2599"/>
    <cellStyle name="Normal 58 5 5 3 4 2" xfId="11963"/>
    <cellStyle name="Normal 58 5 5 3 4 2 2" xfId="37518"/>
    <cellStyle name="Normal 58 5 5 3 4 3" xfId="21967"/>
    <cellStyle name="Normal 58 5 5 3 4 3 2" xfId="47520"/>
    <cellStyle name="Normal 58 5 5 3 4 4" xfId="28450"/>
    <cellStyle name="Normal 58 5 5 3 5" xfId="6534"/>
    <cellStyle name="Normal 58 5 5 3 5 2" xfId="15361"/>
    <cellStyle name="Normal 58 5 5 3 5 2 2" xfId="40916"/>
    <cellStyle name="Normal 58 5 5 3 5 3" xfId="25612"/>
    <cellStyle name="Normal 58 5 5 3 5 3 2" xfId="51165"/>
    <cellStyle name="Normal 58 5 5 3 5 4" xfId="32095"/>
    <cellStyle name="Normal 58 5 5 3 6" xfId="7980"/>
    <cellStyle name="Normal 58 5 5 3 6 2" xfId="20492"/>
    <cellStyle name="Normal 58 5 5 3 6 2 2" xfId="46045"/>
    <cellStyle name="Normal 58 5 5 3 6 3" xfId="33537"/>
    <cellStyle name="Normal 58 5 5 3 7" xfId="16960"/>
    <cellStyle name="Normal 58 5 5 3 7 2" xfId="42513"/>
    <cellStyle name="Normal 58 5 5 3 8" xfId="26975"/>
    <cellStyle name="Normal 58 5 5 4" xfId="2823"/>
    <cellStyle name="Normal 58 5 5 4 2" xfId="5201"/>
    <cellStyle name="Normal 58 5 5 4 2 2" xfId="14038"/>
    <cellStyle name="Normal 58 5 5 4 2 2 2" xfId="24289"/>
    <cellStyle name="Normal 58 5 5 4 2 2 2 2" xfId="49842"/>
    <cellStyle name="Normal 58 5 5 4 2 2 3" xfId="39593"/>
    <cellStyle name="Normal 58 5 5 4 2 3" xfId="10459"/>
    <cellStyle name="Normal 58 5 5 4 2 3 2" xfId="36016"/>
    <cellStyle name="Normal 58 5 5 4 2 4" xfId="19282"/>
    <cellStyle name="Normal 58 5 5 4 2 4 2" xfId="44835"/>
    <cellStyle name="Normal 58 5 5 4 2 5" xfId="30772"/>
    <cellStyle name="Normal 58 5 5 4 3" xfId="6656"/>
    <cellStyle name="Normal 58 5 5 4 3 2" xfId="15483"/>
    <cellStyle name="Normal 58 5 5 4 3 2 2" xfId="41038"/>
    <cellStyle name="Normal 58 5 5 4 3 3" xfId="25734"/>
    <cellStyle name="Normal 58 5 5 4 3 3 2" xfId="51287"/>
    <cellStyle name="Normal 58 5 5 4 3 4" xfId="32217"/>
    <cellStyle name="Normal 58 5 5 4 4" xfId="8102"/>
    <cellStyle name="Normal 58 5 5 4 4 2" xfId="22184"/>
    <cellStyle name="Normal 58 5 5 4 4 2 2" xfId="47737"/>
    <cellStyle name="Normal 58 5 5 4 4 3" xfId="33659"/>
    <cellStyle name="Normal 58 5 5 4 5" xfId="17177"/>
    <cellStyle name="Normal 58 5 5 4 5 2" xfId="42730"/>
    <cellStyle name="Normal 58 5 5 4 6" xfId="28667"/>
    <cellStyle name="Normal 58 5 5 5" xfId="4155"/>
    <cellStyle name="Normal 58 5 5 5 2" xfId="12993"/>
    <cellStyle name="Normal 58 5 5 5 2 2" xfId="23244"/>
    <cellStyle name="Normal 58 5 5 5 2 2 2" xfId="48797"/>
    <cellStyle name="Normal 58 5 5 5 2 3" xfId="38548"/>
    <cellStyle name="Normal 58 5 5 5 3" xfId="9414"/>
    <cellStyle name="Normal 58 5 5 5 3 2" xfId="34971"/>
    <cellStyle name="Normal 58 5 5 5 4" xfId="18237"/>
    <cellStyle name="Normal 58 5 5 5 4 2" xfId="43790"/>
    <cellStyle name="Normal 58 5 5 5 5" xfId="29727"/>
    <cellStyle name="Normal 58 5 5 6" xfId="1932"/>
    <cellStyle name="Normal 58 5 5 6 2" xfId="11297"/>
    <cellStyle name="Normal 58 5 5 6 2 2" xfId="36852"/>
    <cellStyle name="Normal 58 5 5 6 3" xfId="21301"/>
    <cellStyle name="Normal 58 5 5 6 3 2" xfId="46854"/>
    <cellStyle name="Normal 58 5 5 6 4" xfId="27784"/>
    <cellStyle name="Normal 58 5 5 7" xfId="5613"/>
    <cellStyle name="Normal 58 5 5 7 2" xfId="14440"/>
    <cellStyle name="Normal 58 5 5 7 2 2" xfId="39995"/>
    <cellStyle name="Normal 58 5 5 7 3" xfId="24691"/>
    <cellStyle name="Normal 58 5 5 7 3 2" xfId="50244"/>
    <cellStyle name="Normal 58 5 5 7 4" xfId="31174"/>
    <cellStyle name="Normal 58 5 5 8" xfId="7057"/>
    <cellStyle name="Normal 58 5 5 8 2" xfId="19783"/>
    <cellStyle name="Normal 58 5 5 8 2 2" xfId="45336"/>
    <cellStyle name="Normal 58 5 5 8 3" xfId="32614"/>
    <cellStyle name="Normal 58 5 5 9" xfId="16294"/>
    <cellStyle name="Normal 58 5 5 9 2" xfId="41847"/>
    <cellStyle name="Normal 58 5 5_Degree data" xfId="4022"/>
    <cellStyle name="Normal 58 5 6" xfId="910"/>
    <cellStyle name="Normal 58 5 6 2" xfId="3395"/>
    <cellStyle name="Normal 58 5 6 2 2" xfId="12537"/>
    <cellStyle name="Normal 58 5 6 2 2 2" xfId="22756"/>
    <cellStyle name="Normal 58 5 6 2 2 2 2" xfId="48309"/>
    <cellStyle name="Normal 58 5 6 2 2 3" xfId="38092"/>
    <cellStyle name="Normal 58 5 6 2 3" xfId="8959"/>
    <cellStyle name="Normal 58 5 6 2 3 2" xfId="34516"/>
    <cellStyle name="Normal 58 5 6 2 4" xfId="17749"/>
    <cellStyle name="Normal 58 5 6 2 4 2" xfId="43302"/>
    <cellStyle name="Normal 58 5 6 2 5" xfId="29239"/>
    <cellStyle name="Normal 58 5 6 3" xfId="4724"/>
    <cellStyle name="Normal 58 5 6 3 2" xfId="13562"/>
    <cellStyle name="Normal 58 5 6 3 2 2" xfId="23813"/>
    <cellStyle name="Normal 58 5 6 3 2 2 2" xfId="49366"/>
    <cellStyle name="Normal 58 5 6 3 2 3" xfId="39117"/>
    <cellStyle name="Normal 58 5 6 3 3" xfId="9983"/>
    <cellStyle name="Normal 58 5 6 3 3 2" xfId="35540"/>
    <cellStyle name="Normal 58 5 6 3 4" xfId="18806"/>
    <cellStyle name="Normal 58 5 6 3 4 2" xfId="44359"/>
    <cellStyle name="Normal 58 5 6 3 5" xfId="30296"/>
    <cellStyle name="Normal 58 5 6 4" xfId="2504"/>
    <cellStyle name="Normal 58 5 6 4 2" xfId="11869"/>
    <cellStyle name="Normal 58 5 6 4 2 2" xfId="37424"/>
    <cellStyle name="Normal 58 5 6 4 3" xfId="21873"/>
    <cellStyle name="Normal 58 5 6 4 3 2" xfId="47426"/>
    <cellStyle name="Normal 58 5 6 4 4" xfId="28356"/>
    <cellStyle name="Normal 58 5 6 5" xfId="6180"/>
    <cellStyle name="Normal 58 5 6 5 2" xfId="15007"/>
    <cellStyle name="Normal 58 5 6 5 2 2" xfId="40562"/>
    <cellStyle name="Normal 58 5 6 5 3" xfId="25258"/>
    <cellStyle name="Normal 58 5 6 5 3 2" xfId="50811"/>
    <cellStyle name="Normal 58 5 6 5 4" xfId="31741"/>
    <cellStyle name="Normal 58 5 6 6" xfId="7625"/>
    <cellStyle name="Normal 58 5 6 6 2" xfId="20355"/>
    <cellStyle name="Normal 58 5 6 6 2 2" xfId="45908"/>
    <cellStyle name="Normal 58 5 6 6 3" xfId="33182"/>
    <cellStyle name="Normal 58 5 6 7" xfId="16866"/>
    <cellStyle name="Normal 58 5 6 7 2" xfId="42419"/>
    <cellStyle name="Normal 58 5 6 8" xfId="26838"/>
    <cellStyle name="Normal 58 5 7" xfId="1064"/>
    <cellStyle name="Normal 58 5 7 2" xfId="3493"/>
    <cellStyle name="Normal 58 5 7 2 2" xfId="12629"/>
    <cellStyle name="Normal 58 5 7 2 2 2" xfId="22848"/>
    <cellStyle name="Normal 58 5 7 2 2 2 2" xfId="48401"/>
    <cellStyle name="Normal 58 5 7 2 2 3" xfId="38184"/>
    <cellStyle name="Normal 58 5 7 2 3" xfId="9051"/>
    <cellStyle name="Normal 58 5 7 2 3 2" xfId="34608"/>
    <cellStyle name="Normal 58 5 7 2 4" xfId="17841"/>
    <cellStyle name="Normal 58 5 7 2 4 2" xfId="43394"/>
    <cellStyle name="Normal 58 5 7 2 5" xfId="29331"/>
    <cellStyle name="Normal 58 5 7 3" xfId="5073"/>
    <cellStyle name="Normal 58 5 7 3 2" xfId="13910"/>
    <cellStyle name="Normal 58 5 7 3 2 2" xfId="24161"/>
    <cellStyle name="Normal 58 5 7 3 2 2 2" xfId="49714"/>
    <cellStyle name="Normal 58 5 7 3 2 3" xfId="39465"/>
    <cellStyle name="Normal 58 5 7 3 3" xfId="10331"/>
    <cellStyle name="Normal 58 5 7 3 3 2" xfId="35888"/>
    <cellStyle name="Normal 58 5 7 3 4" xfId="19154"/>
    <cellStyle name="Normal 58 5 7 3 4 2" xfId="44707"/>
    <cellStyle name="Normal 58 5 7 3 5" xfId="30644"/>
    <cellStyle name="Normal 58 5 7 4" xfId="1766"/>
    <cellStyle name="Normal 58 5 7 4 2" xfId="11137"/>
    <cellStyle name="Normal 58 5 7 4 2 2" xfId="36692"/>
    <cellStyle name="Normal 58 5 7 4 3" xfId="21141"/>
    <cellStyle name="Normal 58 5 7 4 3 2" xfId="46694"/>
    <cellStyle name="Normal 58 5 7 4 4" xfId="27624"/>
    <cellStyle name="Normal 58 5 7 5" xfId="6528"/>
    <cellStyle name="Normal 58 5 7 5 2" xfId="15355"/>
    <cellStyle name="Normal 58 5 7 5 2 2" xfId="40910"/>
    <cellStyle name="Normal 58 5 7 5 3" xfId="25606"/>
    <cellStyle name="Normal 58 5 7 5 3 2" xfId="51159"/>
    <cellStyle name="Normal 58 5 7 5 4" xfId="32089"/>
    <cellStyle name="Normal 58 5 7 6" xfId="7974"/>
    <cellStyle name="Normal 58 5 7 6 2" xfId="20447"/>
    <cellStyle name="Normal 58 5 7 6 2 2" xfId="46000"/>
    <cellStyle name="Normal 58 5 7 6 3" xfId="33531"/>
    <cellStyle name="Normal 58 5 7 7" xfId="16134"/>
    <cellStyle name="Normal 58 5 7 7 2" xfId="41687"/>
    <cellStyle name="Normal 58 5 7 8" xfId="26930"/>
    <cellStyle name="Normal 58 5 8" xfId="2663"/>
    <cellStyle name="Normal 58 5 8 2" xfId="5156"/>
    <cellStyle name="Normal 58 5 8 2 2" xfId="13993"/>
    <cellStyle name="Normal 58 5 8 2 2 2" xfId="24244"/>
    <cellStyle name="Normal 58 5 8 2 2 2 2" xfId="49797"/>
    <cellStyle name="Normal 58 5 8 2 2 3" xfId="39548"/>
    <cellStyle name="Normal 58 5 8 2 3" xfId="10414"/>
    <cellStyle name="Normal 58 5 8 2 3 2" xfId="35971"/>
    <cellStyle name="Normal 58 5 8 2 4" xfId="19237"/>
    <cellStyle name="Normal 58 5 8 2 4 2" xfId="44790"/>
    <cellStyle name="Normal 58 5 8 2 5" xfId="30727"/>
    <cellStyle name="Normal 58 5 8 3" xfId="6611"/>
    <cellStyle name="Normal 58 5 8 3 2" xfId="15438"/>
    <cellStyle name="Normal 58 5 8 3 2 2" xfId="40993"/>
    <cellStyle name="Normal 58 5 8 3 3" xfId="25689"/>
    <cellStyle name="Normal 58 5 8 3 3 2" xfId="51242"/>
    <cellStyle name="Normal 58 5 8 3 4" xfId="32172"/>
    <cellStyle name="Normal 58 5 8 4" xfId="8057"/>
    <cellStyle name="Normal 58 5 8 4 2" xfId="22024"/>
    <cellStyle name="Normal 58 5 8 4 2 2" xfId="47577"/>
    <cellStyle name="Normal 58 5 8 4 3" xfId="33614"/>
    <cellStyle name="Normal 58 5 8 5" xfId="17017"/>
    <cellStyle name="Normal 58 5 8 5 2" xfId="42570"/>
    <cellStyle name="Normal 58 5 8 6" xfId="28507"/>
    <cellStyle name="Normal 58 5 9" xfId="4110"/>
    <cellStyle name="Normal 58 5 9 2" xfId="5568"/>
    <cellStyle name="Normal 58 5 9 2 2" xfId="14395"/>
    <cellStyle name="Normal 58 5 9 2 2 2" xfId="39950"/>
    <cellStyle name="Normal 58 5 9 2 3" xfId="24646"/>
    <cellStyle name="Normal 58 5 9 2 3 2" xfId="50199"/>
    <cellStyle name="Normal 58 5 9 2 4" xfId="31129"/>
    <cellStyle name="Normal 58 5 9 3" xfId="7012"/>
    <cellStyle name="Normal 58 5 9 3 2" xfId="23199"/>
    <cellStyle name="Normal 58 5 9 3 2 2" xfId="48752"/>
    <cellStyle name="Normal 58 5 9 3 3" xfId="32569"/>
    <cellStyle name="Normal 58 5 9 4" xfId="18192"/>
    <cellStyle name="Normal 58 5 9 4 2" xfId="43745"/>
    <cellStyle name="Normal 58 5 9 5" xfId="29682"/>
    <cellStyle name="Normal 58 5_Degree data" xfId="4016"/>
    <cellStyle name="Normal 58 6" xfId="139"/>
    <cellStyle name="Normal 58 6 10" xfId="1407"/>
    <cellStyle name="Normal 58 6 10 2" xfId="10784"/>
    <cellStyle name="Normal 58 6 10 2 2" xfId="36339"/>
    <cellStyle name="Normal 58 6 10 3" xfId="20788"/>
    <cellStyle name="Normal 58 6 10 3 2" xfId="46341"/>
    <cellStyle name="Normal 58 6 10 4" xfId="27271"/>
    <cellStyle name="Normal 58 6 11" xfId="5518"/>
    <cellStyle name="Normal 58 6 11 2" xfId="14345"/>
    <cellStyle name="Normal 58 6 11 2 2" xfId="39900"/>
    <cellStyle name="Normal 58 6 11 3" xfId="24596"/>
    <cellStyle name="Normal 58 6 11 3 2" xfId="50149"/>
    <cellStyle name="Normal 58 6 11 4" xfId="31079"/>
    <cellStyle name="Normal 58 6 12" xfId="6958"/>
    <cellStyle name="Normal 58 6 12 2" xfId="19603"/>
    <cellStyle name="Normal 58 6 12 2 2" xfId="45156"/>
    <cellStyle name="Normal 58 6 12 3" xfId="32516"/>
    <cellStyle name="Normal 58 6 13" xfId="15781"/>
    <cellStyle name="Normal 58 6 13 2" xfId="41334"/>
    <cellStyle name="Normal 58 6 14" xfId="26086"/>
    <cellStyle name="Normal 58 6 2" xfId="189"/>
    <cellStyle name="Normal 58 6 2 10" xfId="7137"/>
    <cellStyle name="Normal 58 6 2 10 2" xfId="19646"/>
    <cellStyle name="Normal 58 6 2 10 2 2" xfId="45199"/>
    <cellStyle name="Normal 58 6 2 10 3" xfId="32694"/>
    <cellStyle name="Normal 58 6 2 11" xfId="15883"/>
    <cellStyle name="Normal 58 6 2 11 2" xfId="41436"/>
    <cellStyle name="Normal 58 6 2 12" xfId="26129"/>
    <cellStyle name="Normal 58 6 2 2" xfId="517"/>
    <cellStyle name="Normal 58 6 2 2 10" xfId="26446"/>
    <cellStyle name="Normal 58 6 2 2 2" xfId="919"/>
    <cellStyle name="Normal 58 6 2 2 2 2" xfId="3404"/>
    <cellStyle name="Normal 58 6 2 2 2 2 2" xfId="12546"/>
    <cellStyle name="Normal 58 6 2 2 2 2 2 2" xfId="22765"/>
    <cellStyle name="Normal 58 6 2 2 2 2 2 2 2" xfId="48318"/>
    <cellStyle name="Normal 58 6 2 2 2 2 2 3" xfId="38101"/>
    <cellStyle name="Normal 58 6 2 2 2 2 3" xfId="8968"/>
    <cellStyle name="Normal 58 6 2 2 2 2 3 2" xfId="34525"/>
    <cellStyle name="Normal 58 6 2 2 2 2 4" xfId="17758"/>
    <cellStyle name="Normal 58 6 2 2 2 2 4 2" xfId="43311"/>
    <cellStyle name="Normal 58 6 2 2 2 2 5" xfId="29248"/>
    <cellStyle name="Normal 58 6 2 2 2 3" xfId="4733"/>
    <cellStyle name="Normal 58 6 2 2 2 3 2" xfId="13571"/>
    <cellStyle name="Normal 58 6 2 2 2 3 2 2" xfId="23822"/>
    <cellStyle name="Normal 58 6 2 2 2 3 2 2 2" xfId="49375"/>
    <cellStyle name="Normal 58 6 2 2 2 3 2 3" xfId="39126"/>
    <cellStyle name="Normal 58 6 2 2 2 3 3" xfId="9992"/>
    <cellStyle name="Normal 58 6 2 2 2 3 3 2" xfId="35549"/>
    <cellStyle name="Normal 58 6 2 2 2 3 4" xfId="18815"/>
    <cellStyle name="Normal 58 6 2 2 2 3 4 2" xfId="44368"/>
    <cellStyle name="Normal 58 6 2 2 2 3 5" xfId="30305"/>
    <cellStyle name="Normal 58 6 2 2 2 4" xfId="2513"/>
    <cellStyle name="Normal 58 6 2 2 2 4 2" xfId="11878"/>
    <cellStyle name="Normal 58 6 2 2 2 4 2 2" xfId="37433"/>
    <cellStyle name="Normal 58 6 2 2 2 4 3" xfId="21882"/>
    <cellStyle name="Normal 58 6 2 2 2 4 3 2" xfId="47435"/>
    <cellStyle name="Normal 58 6 2 2 2 4 4" xfId="28365"/>
    <cellStyle name="Normal 58 6 2 2 2 5" xfId="6189"/>
    <cellStyle name="Normal 58 6 2 2 2 5 2" xfId="15016"/>
    <cellStyle name="Normal 58 6 2 2 2 5 2 2" xfId="40571"/>
    <cellStyle name="Normal 58 6 2 2 2 5 3" xfId="25267"/>
    <cellStyle name="Normal 58 6 2 2 2 5 3 2" xfId="50820"/>
    <cellStyle name="Normal 58 6 2 2 2 5 4" xfId="31750"/>
    <cellStyle name="Normal 58 6 2 2 2 6" xfId="7634"/>
    <cellStyle name="Normal 58 6 2 2 2 6 2" xfId="20364"/>
    <cellStyle name="Normal 58 6 2 2 2 6 2 2" xfId="45917"/>
    <cellStyle name="Normal 58 6 2 2 2 6 3" xfId="33191"/>
    <cellStyle name="Normal 58 6 2 2 2 7" xfId="16875"/>
    <cellStyle name="Normal 58 6 2 2 2 7 2" xfId="42428"/>
    <cellStyle name="Normal 58 6 2 2 2 8" xfId="26847"/>
    <cellStyle name="Normal 58 6 2 2 3" xfId="1289"/>
    <cellStyle name="Normal 58 6 2 2 3 2" xfId="3718"/>
    <cellStyle name="Normal 58 6 2 2 3 2 2" xfId="12854"/>
    <cellStyle name="Normal 58 6 2 2 3 2 2 2" xfId="23073"/>
    <cellStyle name="Normal 58 6 2 2 3 2 2 2 2" xfId="48626"/>
    <cellStyle name="Normal 58 6 2 2 3 2 2 3" xfId="38409"/>
    <cellStyle name="Normal 58 6 2 2 3 2 3" xfId="9275"/>
    <cellStyle name="Normal 58 6 2 2 3 2 3 2" xfId="34832"/>
    <cellStyle name="Normal 58 6 2 2 3 2 4" xfId="18066"/>
    <cellStyle name="Normal 58 6 2 2 3 2 4 2" xfId="43619"/>
    <cellStyle name="Normal 58 6 2 2 3 2 5" xfId="29556"/>
    <cellStyle name="Normal 58 6 2 2 3 3" xfId="5082"/>
    <cellStyle name="Normal 58 6 2 2 3 3 2" xfId="13919"/>
    <cellStyle name="Normal 58 6 2 2 3 3 2 2" xfId="24170"/>
    <cellStyle name="Normal 58 6 2 2 3 3 2 2 2" xfId="49723"/>
    <cellStyle name="Normal 58 6 2 2 3 3 2 3" xfId="39474"/>
    <cellStyle name="Normal 58 6 2 2 3 3 3" xfId="10340"/>
    <cellStyle name="Normal 58 6 2 2 3 3 3 2" xfId="35897"/>
    <cellStyle name="Normal 58 6 2 2 3 3 4" xfId="19163"/>
    <cellStyle name="Normal 58 6 2 2 3 3 4 2" xfId="44716"/>
    <cellStyle name="Normal 58 6 2 2 3 3 5" xfId="30653"/>
    <cellStyle name="Normal 58 6 2 2 3 4" xfId="2112"/>
    <cellStyle name="Normal 58 6 2 2 3 4 2" xfId="11477"/>
    <cellStyle name="Normal 58 6 2 2 3 4 2 2" xfId="37032"/>
    <cellStyle name="Normal 58 6 2 2 3 4 3" xfId="21481"/>
    <cellStyle name="Normal 58 6 2 2 3 4 3 2" xfId="47034"/>
    <cellStyle name="Normal 58 6 2 2 3 4 4" xfId="27964"/>
    <cellStyle name="Normal 58 6 2 2 3 5" xfId="6537"/>
    <cellStyle name="Normal 58 6 2 2 3 5 2" xfId="15364"/>
    <cellStyle name="Normal 58 6 2 2 3 5 2 2" xfId="40919"/>
    <cellStyle name="Normal 58 6 2 2 3 5 3" xfId="25615"/>
    <cellStyle name="Normal 58 6 2 2 3 5 3 2" xfId="51168"/>
    <cellStyle name="Normal 58 6 2 2 3 5 4" xfId="32098"/>
    <cellStyle name="Normal 58 6 2 2 3 6" xfId="7983"/>
    <cellStyle name="Normal 58 6 2 2 3 6 2" xfId="20672"/>
    <cellStyle name="Normal 58 6 2 2 3 6 2 2" xfId="46225"/>
    <cellStyle name="Normal 58 6 2 2 3 6 3" xfId="33540"/>
    <cellStyle name="Normal 58 6 2 2 3 7" xfId="16474"/>
    <cellStyle name="Normal 58 6 2 2 3 7 2" xfId="42027"/>
    <cellStyle name="Normal 58 6 2 2 3 8" xfId="27155"/>
    <cellStyle name="Normal 58 6 2 2 4" xfId="3003"/>
    <cellStyle name="Normal 58 6 2 2 4 2" xfId="5381"/>
    <cellStyle name="Normal 58 6 2 2 4 2 2" xfId="14218"/>
    <cellStyle name="Normal 58 6 2 2 4 2 2 2" xfId="24469"/>
    <cellStyle name="Normal 58 6 2 2 4 2 2 2 2" xfId="50022"/>
    <cellStyle name="Normal 58 6 2 2 4 2 2 3" xfId="39773"/>
    <cellStyle name="Normal 58 6 2 2 4 2 3" xfId="10639"/>
    <cellStyle name="Normal 58 6 2 2 4 2 3 2" xfId="36196"/>
    <cellStyle name="Normal 58 6 2 2 4 2 4" xfId="19462"/>
    <cellStyle name="Normal 58 6 2 2 4 2 4 2" xfId="45015"/>
    <cellStyle name="Normal 58 6 2 2 4 2 5" xfId="30952"/>
    <cellStyle name="Normal 58 6 2 2 4 3" xfId="6836"/>
    <cellStyle name="Normal 58 6 2 2 4 3 2" xfId="15663"/>
    <cellStyle name="Normal 58 6 2 2 4 3 2 2" xfId="41218"/>
    <cellStyle name="Normal 58 6 2 2 4 3 3" xfId="25914"/>
    <cellStyle name="Normal 58 6 2 2 4 3 3 2" xfId="51467"/>
    <cellStyle name="Normal 58 6 2 2 4 3 4" xfId="32397"/>
    <cellStyle name="Normal 58 6 2 2 4 4" xfId="8282"/>
    <cellStyle name="Normal 58 6 2 2 4 4 2" xfId="22364"/>
    <cellStyle name="Normal 58 6 2 2 4 4 2 2" xfId="47917"/>
    <cellStyle name="Normal 58 6 2 2 4 4 3" xfId="33839"/>
    <cellStyle name="Normal 58 6 2 2 4 5" xfId="17357"/>
    <cellStyle name="Normal 58 6 2 2 4 5 2" xfId="42910"/>
    <cellStyle name="Normal 58 6 2 2 4 6" xfId="28847"/>
    <cellStyle name="Normal 58 6 2 2 5" xfId="4337"/>
    <cellStyle name="Normal 58 6 2 2 5 2" xfId="13175"/>
    <cellStyle name="Normal 58 6 2 2 5 2 2" xfId="23426"/>
    <cellStyle name="Normal 58 6 2 2 5 2 2 2" xfId="48979"/>
    <cellStyle name="Normal 58 6 2 2 5 2 3" xfId="38730"/>
    <cellStyle name="Normal 58 6 2 2 5 3" xfId="9596"/>
    <cellStyle name="Normal 58 6 2 2 5 3 2" xfId="35153"/>
    <cellStyle name="Normal 58 6 2 2 5 4" xfId="18419"/>
    <cellStyle name="Normal 58 6 2 2 5 4 2" xfId="43972"/>
    <cellStyle name="Normal 58 6 2 2 5 5" xfId="29909"/>
    <cellStyle name="Normal 58 6 2 2 6" xfId="1609"/>
    <cellStyle name="Normal 58 6 2 2 6 2" xfId="10986"/>
    <cellStyle name="Normal 58 6 2 2 6 2 2" xfId="36541"/>
    <cellStyle name="Normal 58 6 2 2 6 3" xfId="20990"/>
    <cellStyle name="Normal 58 6 2 2 6 3 2" xfId="46543"/>
    <cellStyle name="Normal 58 6 2 2 6 4" xfId="27473"/>
    <cellStyle name="Normal 58 6 2 2 7" xfId="5793"/>
    <cellStyle name="Normal 58 6 2 2 7 2" xfId="14620"/>
    <cellStyle name="Normal 58 6 2 2 7 2 2" xfId="40175"/>
    <cellStyle name="Normal 58 6 2 2 7 3" xfId="24871"/>
    <cellStyle name="Normal 58 6 2 2 7 3 2" xfId="50424"/>
    <cellStyle name="Normal 58 6 2 2 7 4" xfId="31354"/>
    <cellStyle name="Normal 58 6 2 2 8" xfId="7237"/>
    <cellStyle name="Normal 58 6 2 2 8 2" xfId="19963"/>
    <cellStyle name="Normal 58 6 2 2 8 2 2" xfId="45516"/>
    <cellStyle name="Normal 58 6 2 2 8 3" xfId="32794"/>
    <cellStyle name="Normal 58 6 2 2 9" xfId="15983"/>
    <cellStyle name="Normal 58 6 2 2 9 2" xfId="41536"/>
    <cellStyle name="Normal 58 6 2 2_Degree data" xfId="4025"/>
    <cellStyle name="Normal 58 6 2 3" xfId="417"/>
    <cellStyle name="Normal 58 6 2 3 2" xfId="2903"/>
    <cellStyle name="Normal 58 6 2 3 2 2" xfId="12191"/>
    <cellStyle name="Normal 58 6 2 3 2 2 2" xfId="22264"/>
    <cellStyle name="Normal 58 6 2 3 2 2 2 2" xfId="47817"/>
    <cellStyle name="Normal 58 6 2 3 2 2 3" xfId="37746"/>
    <cellStyle name="Normal 58 6 2 3 2 3" xfId="8451"/>
    <cellStyle name="Normal 58 6 2 3 2 3 2" xfId="34008"/>
    <cellStyle name="Normal 58 6 2 3 2 4" xfId="17257"/>
    <cellStyle name="Normal 58 6 2 3 2 4 2" xfId="42810"/>
    <cellStyle name="Normal 58 6 2 3 2 5" xfId="28747"/>
    <cellStyle name="Normal 58 6 2 3 3" xfId="4732"/>
    <cellStyle name="Normal 58 6 2 3 3 2" xfId="13570"/>
    <cellStyle name="Normal 58 6 2 3 3 2 2" xfId="23821"/>
    <cellStyle name="Normal 58 6 2 3 3 2 2 2" xfId="49374"/>
    <cellStyle name="Normal 58 6 2 3 3 2 3" xfId="39125"/>
    <cellStyle name="Normal 58 6 2 3 3 3" xfId="9991"/>
    <cellStyle name="Normal 58 6 2 3 3 3 2" xfId="35548"/>
    <cellStyle name="Normal 58 6 2 3 3 4" xfId="18814"/>
    <cellStyle name="Normal 58 6 2 3 3 4 2" xfId="44367"/>
    <cellStyle name="Normal 58 6 2 3 3 5" xfId="30304"/>
    <cellStyle name="Normal 58 6 2 3 4" xfId="2012"/>
    <cellStyle name="Normal 58 6 2 3 4 2" xfId="11377"/>
    <cellStyle name="Normal 58 6 2 3 4 2 2" xfId="36932"/>
    <cellStyle name="Normal 58 6 2 3 4 3" xfId="21381"/>
    <cellStyle name="Normal 58 6 2 3 4 3 2" xfId="46934"/>
    <cellStyle name="Normal 58 6 2 3 4 4" xfId="27864"/>
    <cellStyle name="Normal 58 6 2 3 5" xfId="6188"/>
    <cellStyle name="Normal 58 6 2 3 5 2" xfId="15015"/>
    <cellStyle name="Normal 58 6 2 3 5 2 2" xfId="40570"/>
    <cellStyle name="Normal 58 6 2 3 5 3" xfId="25266"/>
    <cellStyle name="Normal 58 6 2 3 5 3 2" xfId="50819"/>
    <cellStyle name="Normal 58 6 2 3 5 4" xfId="31749"/>
    <cellStyle name="Normal 58 6 2 3 6" xfId="7633"/>
    <cellStyle name="Normal 58 6 2 3 6 2" xfId="19863"/>
    <cellStyle name="Normal 58 6 2 3 6 2 2" xfId="45416"/>
    <cellStyle name="Normal 58 6 2 3 6 3" xfId="33190"/>
    <cellStyle name="Normal 58 6 2 3 7" xfId="16374"/>
    <cellStyle name="Normal 58 6 2 3 7 2" xfId="41927"/>
    <cellStyle name="Normal 58 6 2 3 8" xfId="26346"/>
    <cellStyle name="Normal 58 6 2 4" xfId="918"/>
    <cellStyle name="Normal 58 6 2 4 2" xfId="3403"/>
    <cellStyle name="Normal 58 6 2 4 2 2" xfId="12545"/>
    <cellStyle name="Normal 58 6 2 4 2 2 2" xfId="22764"/>
    <cellStyle name="Normal 58 6 2 4 2 2 2 2" xfId="48317"/>
    <cellStyle name="Normal 58 6 2 4 2 2 3" xfId="38100"/>
    <cellStyle name="Normal 58 6 2 4 2 3" xfId="8967"/>
    <cellStyle name="Normal 58 6 2 4 2 3 2" xfId="34524"/>
    <cellStyle name="Normal 58 6 2 4 2 4" xfId="17757"/>
    <cellStyle name="Normal 58 6 2 4 2 4 2" xfId="43310"/>
    <cellStyle name="Normal 58 6 2 4 2 5" xfId="29247"/>
    <cellStyle name="Normal 58 6 2 4 3" xfId="5081"/>
    <cellStyle name="Normal 58 6 2 4 3 2" xfId="13918"/>
    <cellStyle name="Normal 58 6 2 4 3 2 2" xfId="24169"/>
    <cellStyle name="Normal 58 6 2 4 3 2 2 2" xfId="49722"/>
    <cellStyle name="Normal 58 6 2 4 3 2 3" xfId="39473"/>
    <cellStyle name="Normal 58 6 2 4 3 3" xfId="10339"/>
    <cellStyle name="Normal 58 6 2 4 3 3 2" xfId="35896"/>
    <cellStyle name="Normal 58 6 2 4 3 4" xfId="19162"/>
    <cellStyle name="Normal 58 6 2 4 3 4 2" xfId="44715"/>
    <cellStyle name="Normal 58 6 2 4 3 5" xfId="30652"/>
    <cellStyle name="Normal 58 6 2 4 4" xfId="2512"/>
    <cellStyle name="Normal 58 6 2 4 4 2" xfId="11877"/>
    <cellStyle name="Normal 58 6 2 4 4 2 2" xfId="37432"/>
    <cellStyle name="Normal 58 6 2 4 4 3" xfId="21881"/>
    <cellStyle name="Normal 58 6 2 4 4 3 2" xfId="47434"/>
    <cellStyle name="Normal 58 6 2 4 4 4" xfId="28364"/>
    <cellStyle name="Normal 58 6 2 4 5" xfId="6536"/>
    <cellStyle name="Normal 58 6 2 4 5 2" xfId="15363"/>
    <cellStyle name="Normal 58 6 2 4 5 2 2" xfId="40918"/>
    <cellStyle name="Normal 58 6 2 4 5 3" xfId="25614"/>
    <cellStyle name="Normal 58 6 2 4 5 3 2" xfId="51167"/>
    <cellStyle name="Normal 58 6 2 4 5 4" xfId="32097"/>
    <cellStyle name="Normal 58 6 2 4 6" xfId="7982"/>
    <cellStyle name="Normal 58 6 2 4 6 2" xfId="20363"/>
    <cellStyle name="Normal 58 6 2 4 6 2 2" xfId="45916"/>
    <cellStyle name="Normal 58 6 2 4 6 3" xfId="33539"/>
    <cellStyle name="Normal 58 6 2 4 7" xfId="16874"/>
    <cellStyle name="Normal 58 6 2 4 7 2" xfId="42427"/>
    <cellStyle name="Normal 58 6 2 4 8" xfId="26846"/>
    <cellStyle name="Normal 58 6 2 5" xfId="1189"/>
    <cellStyle name="Normal 58 6 2 5 2" xfId="3618"/>
    <cellStyle name="Normal 58 6 2 5 2 2" xfId="12754"/>
    <cellStyle name="Normal 58 6 2 5 2 2 2" xfId="22973"/>
    <cellStyle name="Normal 58 6 2 5 2 2 2 2" xfId="48526"/>
    <cellStyle name="Normal 58 6 2 5 2 2 3" xfId="38309"/>
    <cellStyle name="Normal 58 6 2 5 2 3" xfId="9175"/>
    <cellStyle name="Normal 58 6 2 5 2 3 2" xfId="34732"/>
    <cellStyle name="Normal 58 6 2 5 2 4" xfId="17966"/>
    <cellStyle name="Normal 58 6 2 5 2 4 2" xfId="43519"/>
    <cellStyle name="Normal 58 6 2 5 2 5" xfId="29456"/>
    <cellStyle name="Normal 58 6 2 5 3" xfId="5281"/>
    <cellStyle name="Normal 58 6 2 5 3 2" xfId="14118"/>
    <cellStyle name="Normal 58 6 2 5 3 2 2" xfId="24369"/>
    <cellStyle name="Normal 58 6 2 5 3 2 2 2" xfId="49922"/>
    <cellStyle name="Normal 58 6 2 5 3 2 3" xfId="39673"/>
    <cellStyle name="Normal 58 6 2 5 3 3" xfId="10539"/>
    <cellStyle name="Normal 58 6 2 5 3 3 2" xfId="36096"/>
    <cellStyle name="Normal 58 6 2 5 3 4" xfId="19362"/>
    <cellStyle name="Normal 58 6 2 5 3 4 2" xfId="44915"/>
    <cellStyle name="Normal 58 6 2 5 3 5" xfId="30852"/>
    <cellStyle name="Normal 58 6 2 5 4" xfId="1791"/>
    <cellStyle name="Normal 58 6 2 5 4 2" xfId="11160"/>
    <cellStyle name="Normal 58 6 2 5 4 2 2" xfId="36715"/>
    <cellStyle name="Normal 58 6 2 5 4 3" xfId="21164"/>
    <cellStyle name="Normal 58 6 2 5 4 3 2" xfId="46717"/>
    <cellStyle name="Normal 58 6 2 5 4 4" xfId="27647"/>
    <cellStyle name="Normal 58 6 2 5 5" xfId="6736"/>
    <cellStyle name="Normal 58 6 2 5 5 2" xfId="15563"/>
    <cellStyle name="Normal 58 6 2 5 5 2 2" xfId="41118"/>
    <cellStyle name="Normal 58 6 2 5 5 3" xfId="25814"/>
    <cellStyle name="Normal 58 6 2 5 5 3 2" xfId="51367"/>
    <cellStyle name="Normal 58 6 2 5 5 4" xfId="32297"/>
    <cellStyle name="Normal 58 6 2 5 6" xfId="8182"/>
    <cellStyle name="Normal 58 6 2 5 6 2" xfId="20572"/>
    <cellStyle name="Normal 58 6 2 5 6 2 2" xfId="46125"/>
    <cellStyle name="Normal 58 6 2 5 6 3" xfId="33739"/>
    <cellStyle name="Normal 58 6 2 5 7" xfId="16157"/>
    <cellStyle name="Normal 58 6 2 5 7 2" xfId="41710"/>
    <cellStyle name="Normal 58 6 2 5 8" xfId="27055"/>
    <cellStyle name="Normal 58 6 2 6" xfId="2686"/>
    <cellStyle name="Normal 58 6 2 6 2" xfId="12003"/>
    <cellStyle name="Normal 58 6 2 6 2 2" xfId="22047"/>
    <cellStyle name="Normal 58 6 2 6 2 2 2" xfId="47600"/>
    <cellStyle name="Normal 58 6 2 6 2 3" xfId="37558"/>
    <cellStyle name="Normal 58 6 2 6 3" xfId="8557"/>
    <cellStyle name="Normal 58 6 2 6 3 2" xfId="34114"/>
    <cellStyle name="Normal 58 6 2 6 4" xfId="17040"/>
    <cellStyle name="Normal 58 6 2 6 4 2" xfId="42593"/>
    <cellStyle name="Normal 58 6 2 6 5" xfId="28530"/>
    <cellStyle name="Normal 58 6 2 7" xfId="4237"/>
    <cellStyle name="Normal 58 6 2 7 2" xfId="13075"/>
    <cellStyle name="Normal 58 6 2 7 2 2" xfId="23326"/>
    <cellStyle name="Normal 58 6 2 7 2 2 2" xfId="48879"/>
    <cellStyle name="Normal 58 6 2 7 2 3" xfId="38630"/>
    <cellStyle name="Normal 58 6 2 7 3" xfId="9496"/>
    <cellStyle name="Normal 58 6 2 7 3 2" xfId="35053"/>
    <cellStyle name="Normal 58 6 2 7 4" xfId="18319"/>
    <cellStyle name="Normal 58 6 2 7 4 2" xfId="43872"/>
    <cellStyle name="Normal 58 6 2 7 5" xfId="29809"/>
    <cellStyle name="Normal 58 6 2 8" xfId="1509"/>
    <cellStyle name="Normal 58 6 2 8 2" xfId="10886"/>
    <cellStyle name="Normal 58 6 2 8 2 2" xfId="36441"/>
    <cellStyle name="Normal 58 6 2 8 3" xfId="20890"/>
    <cellStyle name="Normal 58 6 2 8 3 2" xfId="46443"/>
    <cellStyle name="Normal 58 6 2 8 4" xfId="27373"/>
    <cellStyle name="Normal 58 6 2 9" xfId="5693"/>
    <cellStyle name="Normal 58 6 2 9 2" xfId="14520"/>
    <cellStyle name="Normal 58 6 2 9 2 2" xfId="40075"/>
    <cellStyle name="Normal 58 6 2 9 3" xfId="24771"/>
    <cellStyle name="Normal 58 6 2 9 3 2" xfId="50324"/>
    <cellStyle name="Normal 58 6 2 9 4" xfId="31254"/>
    <cellStyle name="Normal 58 6 2_Degree data" xfId="4024"/>
    <cellStyle name="Normal 58 6 3" xfId="256"/>
    <cellStyle name="Normal 58 6 3 10" xfId="7094"/>
    <cellStyle name="Normal 58 6 3 10 2" xfId="19708"/>
    <cellStyle name="Normal 58 6 3 10 2 2" xfId="45261"/>
    <cellStyle name="Normal 58 6 3 10 3" xfId="32651"/>
    <cellStyle name="Normal 58 6 3 11" xfId="15840"/>
    <cellStyle name="Normal 58 6 3 11 2" xfId="41393"/>
    <cellStyle name="Normal 58 6 3 12" xfId="26191"/>
    <cellStyle name="Normal 58 6 3 2" xfId="579"/>
    <cellStyle name="Normal 58 6 3 2 10" xfId="26508"/>
    <cellStyle name="Normal 58 6 3 2 2" xfId="921"/>
    <cellStyle name="Normal 58 6 3 2 2 2" xfId="3406"/>
    <cellStyle name="Normal 58 6 3 2 2 2 2" xfId="12548"/>
    <cellStyle name="Normal 58 6 3 2 2 2 2 2" xfId="22767"/>
    <cellStyle name="Normal 58 6 3 2 2 2 2 2 2" xfId="48320"/>
    <cellStyle name="Normal 58 6 3 2 2 2 2 3" xfId="38103"/>
    <cellStyle name="Normal 58 6 3 2 2 2 3" xfId="8970"/>
    <cellStyle name="Normal 58 6 3 2 2 2 3 2" xfId="34527"/>
    <cellStyle name="Normal 58 6 3 2 2 2 4" xfId="17760"/>
    <cellStyle name="Normal 58 6 3 2 2 2 4 2" xfId="43313"/>
    <cellStyle name="Normal 58 6 3 2 2 2 5" xfId="29250"/>
    <cellStyle name="Normal 58 6 3 2 2 3" xfId="4735"/>
    <cellStyle name="Normal 58 6 3 2 2 3 2" xfId="13573"/>
    <cellStyle name="Normal 58 6 3 2 2 3 2 2" xfId="23824"/>
    <cellStyle name="Normal 58 6 3 2 2 3 2 2 2" xfId="49377"/>
    <cellStyle name="Normal 58 6 3 2 2 3 2 3" xfId="39128"/>
    <cellStyle name="Normal 58 6 3 2 2 3 3" xfId="9994"/>
    <cellStyle name="Normal 58 6 3 2 2 3 3 2" xfId="35551"/>
    <cellStyle name="Normal 58 6 3 2 2 3 4" xfId="18817"/>
    <cellStyle name="Normal 58 6 3 2 2 3 4 2" xfId="44370"/>
    <cellStyle name="Normal 58 6 3 2 2 3 5" xfId="30307"/>
    <cellStyle name="Normal 58 6 3 2 2 4" xfId="2515"/>
    <cellStyle name="Normal 58 6 3 2 2 4 2" xfId="11880"/>
    <cellStyle name="Normal 58 6 3 2 2 4 2 2" xfId="37435"/>
    <cellStyle name="Normal 58 6 3 2 2 4 3" xfId="21884"/>
    <cellStyle name="Normal 58 6 3 2 2 4 3 2" xfId="47437"/>
    <cellStyle name="Normal 58 6 3 2 2 4 4" xfId="28367"/>
    <cellStyle name="Normal 58 6 3 2 2 5" xfId="6191"/>
    <cellStyle name="Normal 58 6 3 2 2 5 2" xfId="15018"/>
    <cellStyle name="Normal 58 6 3 2 2 5 2 2" xfId="40573"/>
    <cellStyle name="Normal 58 6 3 2 2 5 3" xfId="25269"/>
    <cellStyle name="Normal 58 6 3 2 2 5 3 2" xfId="50822"/>
    <cellStyle name="Normal 58 6 3 2 2 5 4" xfId="31752"/>
    <cellStyle name="Normal 58 6 3 2 2 6" xfId="7636"/>
    <cellStyle name="Normal 58 6 3 2 2 6 2" xfId="20366"/>
    <cellStyle name="Normal 58 6 3 2 2 6 2 2" xfId="45919"/>
    <cellStyle name="Normal 58 6 3 2 2 6 3" xfId="33193"/>
    <cellStyle name="Normal 58 6 3 2 2 7" xfId="16877"/>
    <cellStyle name="Normal 58 6 3 2 2 7 2" xfId="42430"/>
    <cellStyle name="Normal 58 6 3 2 2 8" xfId="26849"/>
    <cellStyle name="Normal 58 6 3 2 3" xfId="1351"/>
    <cellStyle name="Normal 58 6 3 2 3 2" xfId="3780"/>
    <cellStyle name="Normal 58 6 3 2 3 2 2" xfId="12916"/>
    <cellStyle name="Normal 58 6 3 2 3 2 2 2" xfId="23135"/>
    <cellStyle name="Normal 58 6 3 2 3 2 2 2 2" xfId="48688"/>
    <cellStyle name="Normal 58 6 3 2 3 2 2 3" xfId="38471"/>
    <cellStyle name="Normal 58 6 3 2 3 2 3" xfId="9337"/>
    <cellStyle name="Normal 58 6 3 2 3 2 3 2" xfId="34894"/>
    <cellStyle name="Normal 58 6 3 2 3 2 4" xfId="18128"/>
    <cellStyle name="Normal 58 6 3 2 3 2 4 2" xfId="43681"/>
    <cellStyle name="Normal 58 6 3 2 3 2 5" xfId="29618"/>
    <cellStyle name="Normal 58 6 3 2 3 3" xfId="5084"/>
    <cellStyle name="Normal 58 6 3 2 3 3 2" xfId="13921"/>
    <cellStyle name="Normal 58 6 3 2 3 3 2 2" xfId="24172"/>
    <cellStyle name="Normal 58 6 3 2 3 3 2 2 2" xfId="49725"/>
    <cellStyle name="Normal 58 6 3 2 3 3 2 3" xfId="39476"/>
    <cellStyle name="Normal 58 6 3 2 3 3 3" xfId="10342"/>
    <cellStyle name="Normal 58 6 3 2 3 3 3 2" xfId="35899"/>
    <cellStyle name="Normal 58 6 3 2 3 3 4" xfId="19165"/>
    <cellStyle name="Normal 58 6 3 2 3 3 4 2" xfId="44718"/>
    <cellStyle name="Normal 58 6 3 2 3 3 5" xfId="30655"/>
    <cellStyle name="Normal 58 6 3 2 3 4" xfId="2174"/>
    <cellStyle name="Normal 58 6 3 2 3 4 2" xfId="11539"/>
    <cellStyle name="Normal 58 6 3 2 3 4 2 2" xfId="37094"/>
    <cellStyle name="Normal 58 6 3 2 3 4 3" xfId="21543"/>
    <cellStyle name="Normal 58 6 3 2 3 4 3 2" xfId="47096"/>
    <cellStyle name="Normal 58 6 3 2 3 4 4" xfId="28026"/>
    <cellStyle name="Normal 58 6 3 2 3 5" xfId="6539"/>
    <cellStyle name="Normal 58 6 3 2 3 5 2" xfId="15366"/>
    <cellStyle name="Normal 58 6 3 2 3 5 2 2" xfId="40921"/>
    <cellStyle name="Normal 58 6 3 2 3 5 3" xfId="25617"/>
    <cellStyle name="Normal 58 6 3 2 3 5 3 2" xfId="51170"/>
    <cellStyle name="Normal 58 6 3 2 3 5 4" xfId="32100"/>
    <cellStyle name="Normal 58 6 3 2 3 6" xfId="7985"/>
    <cellStyle name="Normal 58 6 3 2 3 6 2" xfId="20734"/>
    <cellStyle name="Normal 58 6 3 2 3 6 2 2" xfId="46287"/>
    <cellStyle name="Normal 58 6 3 2 3 6 3" xfId="33542"/>
    <cellStyle name="Normal 58 6 3 2 3 7" xfId="16536"/>
    <cellStyle name="Normal 58 6 3 2 3 7 2" xfId="42089"/>
    <cellStyle name="Normal 58 6 3 2 3 8" xfId="27217"/>
    <cellStyle name="Normal 58 6 3 2 4" xfId="3065"/>
    <cellStyle name="Normal 58 6 3 2 4 2" xfId="5443"/>
    <cellStyle name="Normal 58 6 3 2 4 2 2" xfId="14280"/>
    <cellStyle name="Normal 58 6 3 2 4 2 2 2" xfId="24531"/>
    <cellStyle name="Normal 58 6 3 2 4 2 2 2 2" xfId="50084"/>
    <cellStyle name="Normal 58 6 3 2 4 2 2 3" xfId="39835"/>
    <cellStyle name="Normal 58 6 3 2 4 2 3" xfId="10701"/>
    <cellStyle name="Normal 58 6 3 2 4 2 3 2" xfId="36258"/>
    <cellStyle name="Normal 58 6 3 2 4 2 4" xfId="19524"/>
    <cellStyle name="Normal 58 6 3 2 4 2 4 2" xfId="45077"/>
    <cellStyle name="Normal 58 6 3 2 4 2 5" xfId="31014"/>
    <cellStyle name="Normal 58 6 3 2 4 3" xfId="6898"/>
    <cellStyle name="Normal 58 6 3 2 4 3 2" xfId="15725"/>
    <cellStyle name="Normal 58 6 3 2 4 3 2 2" xfId="41280"/>
    <cellStyle name="Normal 58 6 3 2 4 3 3" xfId="25976"/>
    <cellStyle name="Normal 58 6 3 2 4 3 3 2" xfId="51529"/>
    <cellStyle name="Normal 58 6 3 2 4 3 4" xfId="32459"/>
    <cellStyle name="Normal 58 6 3 2 4 4" xfId="8344"/>
    <cellStyle name="Normal 58 6 3 2 4 4 2" xfId="22426"/>
    <cellStyle name="Normal 58 6 3 2 4 4 2 2" xfId="47979"/>
    <cellStyle name="Normal 58 6 3 2 4 4 3" xfId="33901"/>
    <cellStyle name="Normal 58 6 3 2 4 5" xfId="17419"/>
    <cellStyle name="Normal 58 6 3 2 4 5 2" xfId="42972"/>
    <cellStyle name="Normal 58 6 3 2 4 6" xfId="28909"/>
    <cellStyle name="Normal 58 6 3 2 5" xfId="4399"/>
    <cellStyle name="Normal 58 6 3 2 5 2" xfId="13237"/>
    <cellStyle name="Normal 58 6 3 2 5 2 2" xfId="23488"/>
    <cellStyle name="Normal 58 6 3 2 5 2 2 2" xfId="49041"/>
    <cellStyle name="Normal 58 6 3 2 5 2 3" xfId="38792"/>
    <cellStyle name="Normal 58 6 3 2 5 3" xfId="9658"/>
    <cellStyle name="Normal 58 6 3 2 5 3 2" xfId="35215"/>
    <cellStyle name="Normal 58 6 3 2 5 4" xfId="18481"/>
    <cellStyle name="Normal 58 6 3 2 5 4 2" xfId="44034"/>
    <cellStyle name="Normal 58 6 3 2 5 5" xfId="29971"/>
    <cellStyle name="Normal 58 6 3 2 6" xfId="1671"/>
    <cellStyle name="Normal 58 6 3 2 6 2" xfId="11048"/>
    <cellStyle name="Normal 58 6 3 2 6 2 2" xfId="36603"/>
    <cellStyle name="Normal 58 6 3 2 6 3" xfId="21052"/>
    <cellStyle name="Normal 58 6 3 2 6 3 2" xfId="46605"/>
    <cellStyle name="Normal 58 6 3 2 6 4" xfId="27535"/>
    <cellStyle name="Normal 58 6 3 2 7" xfId="5855"/>
    <cellStyle name="Normal 58 6 3 2 7 2" xfId="14682"/>
    <cellStyle name="Normal 58 6 3 2 7 2 2" xfId="40237"/>
    <cellStyle name="Normal 58 6 3 2 7 3" xfId="24933"/>
    <cellStyle name="Normal 58 6 3 2 7 3 2" xfId="50486"/>
    <cellStyle name="Normal 58 6 3 2 7 4" xfId="31416"/>
    <cellStyle name="Normal 58 6 3 2 8" xfId="7299"/>
    <cellStyle name="Normal 58 6 3 2 8 2" xfId="20025"/>
    <cellStyle name="Normal 58 6 3 2 8 2 2" xfId="45578"/>
    <cellStyle name="Normal 58 6 3 2 8 3" xfId="32856"/>
    <cellStyle name="Normal 58 6 3 2 9" xfId="16045"/>
    <cellStyle name="Normal 58 6 3 2 9 2" xfId="41598"/>
    <cellStyle name="Normal 58 6 3 2_Degree data" xfId="4027"/>
    <cellStyle name="Normal 58 6 3 3" xfId="374"/>
    <cellStyle name="Normal 58 6 3 3 2" xfId="2860"/>
    <cellStyle name="Normal 58 6 3 3 2 2" xfId="12148"/>
    <cellStyle name="Normal 58 6 3 3 2 2 2" xfId="22221"/>
    <cellStyle name="Normal 58 6 3 3 2 2 2 2" xfId="47774"/>
    <cellStyle name="Normal 58 6 3 3 2 2 3" xfId="37703"/>
    <cellStyle name="Normal 58 6 3 3 2 3" xfId="8524"/>
    <cellStyle name="Normal 58 6 3 3 2 3 2" xfId="34081"/>
    <cellStyle name="Normal 58 6 3 3 2 4" xfId="17214"/>
    <cellStyle name="Normal 58 6 3 3 2 4 2" xfId="42767"/>
    <cellStyle name="Normal 58 6 3 3 2 5" xfId="28704"/>
    <cellStyle name="Normal 58 6 3 3 3" xfId="4734"/>
    <cellStyle name="Normal 58 6 3 3 3 2" xfId="13572"/>
    <cellStyle name="Normal 58 6 3 3 3 2 2" xfId="23823"/>
    <cellStyle name="Normal 58 6 3 3 3 2 2 2" xfId="49376"/>
    <cellStyle name="Normal 58 6 3 3 3 2 3" xfId="39127"/>
    <cellStyle name="Normal 58 6 3 3 3 3" xfId="9993"/>
    <cellStyle name="Normal 58 6 3 3 3 3 2" xfId="35550"/>
    <cellStyle name="Normal 58 6 3 3 3 4" xfId="18816"/>
    <cellStyle name="Normal 58 6 3 3 3 4 2" xfId="44369"/>
    <cellStyle name="Normal 58 6 3 3 3 5" xfId="30306"/>
    <cellStyle name="Normal 58 6 3 3 4" xfId="1969"/>
    <cellStyle name="Normal 58 6 3 3 4 2" xfId="11334"/>
    <cellStyle name="Normal 58 6 3 3 4 2 2" xfId="36889"/>
    <cellStyle name="Normal 58 6 3 3 4 3" xfId="21338"/>
    <cellStyle name="Normal 58 6 3 3 4 3 2" xfId="46891"/>
    <cellStyle name="Normal 58 6 3 3 4 4" xfId="27821"/>
    <cellStyle name="Normal 58 6 3 3 5" xfId="6190"/>
    <cellStyle name="Normal 58 6 3 3 5 2" xfId="15017"/>
    <cellStyle name="Normal 58 6 3 3 5 2 2" xfId="40572"/>
    <cellStyle name="Normal 58 6 3 3 5 3" xfId="25268"/>
    <cellStyle name="Normal 58 6 3 3 5 3 2" xfId="50821"/>
    <cellStyle name="Normal 58 6 3 3 5 4" xfId="31751"/>
    <cellStyle name="Normal 58 6 3 3 6" xfId="7635"/>
    <cellStyle name="Normal 58 6 3 3 6 2" xfId="19820"/>
    <cellStyle name="Normal 58 6 3 3 6 2 2" xfId="45373"/>
    <cellStyle name="Normal 58 6 3 3 6 3" xfId="33192"/>
    <cellStyle name="Normal 58 6 3 3 7" xfId="16331"/>
    <cellStyle name="Normal 58 6 3 3 7 2" xfId="41884"/>
    <cellStyle name="Normal 58 6 3 3 8" xfId="26303"/>
    <cellStyle name="Normal 58 6 3 4" xfId="920"/>
    <cellStyle name="Normal 58 6 3 4 2" xfId="3405"/>
    <cellStyle name="Normal 58 6 3 4 2 2" xfId="12547"/>
    <cellStyle name="Normal 58 6 3 4 2 2 2" xfId="22766"/>
    <cellStyle name="Normal 58 6 3 4 2 2 2 2" xfId="48319"/>
    <cellStyle name="Normal 58 6 3 4 2 2 3" xfId="38102"/>
    <cellStyle name="Normal 58 6 3 4 2 3" xfId="8969"/>
    <cellStyle name="Normal 58 6 3 4 2 3 2" xfId="34526"/>
    <cellStyle name="Normal 58 6 3 4 2 4" xfId="17759"/>
    <cellStyle name="Normal 58 6 3 4 2 4 2" xfId="43312"/>
    <cellStyle name="Normal 58 6 3 4 2 5" xfId="29249"/>
    <cellStyle name="Normal 58 6 3 4 3" xfId="5083"/>
    <cellStyle name="Normal 58 6 3 4 3 2" xfId="13920"/>
    <cellStyle name="Normal 58 6 3 4 3 2 2" xfId="24171"/>
    <cellStyle name="Normal 58 6 3 4 3 2 2 2" xfId="49724"/>
    <cellStyle name="Normal 58 6 3 4 3 2 3" xfId="39475"/>
    <cellStyle name="Normal 58 6 3 4 3 3" xfId="10341"/>
    <cellStyle name="Normal 58 6 3 4 3 3 2" xfId="35898"/>
    <cellStyle name="Normal 58 6 3 4 3 4" xfId="19164"/>
    <cellStyle name="Normal 58 6 3 4 3 4 2" xfId="44717"/>
    <cellStyle name="Normal 58 6 3 4 3 5" xfId="30654"/>
    <cellStyle name="Normal 58 6 3 4 4" xfId="2514"/>
    <cellStyle name="Normal 58 6 3 4 4 2" xfId="11879"/>
    <cellStyle name="Normal 58 6 3 4 4 2 2" xfId="37434"/>
    <cellStyle name="Normal 58 6 3 4 4 3" xfId="21883"/>
    <cellStyle name="Normal 58 6 3 4 4 3 2" xfId="47436"/>
    <cellStyle name="Normal 58 6 3 4 4 4" xfId="28366"/>
    <cellStyle name="Normal 58 6 3 4 5" xfId="6538"/>
    <cellStyle name="Normal 58 6 3 4 5 2" xfId="15365"/>
    <cellStyle name="Normal 58 6 3 4 5 2 2" xfId="40920"/>
    <cellStyle name="Normal 58 6 3 4 5 3" xfId="25616"/>
    <cellStyle name="Normal 58 6 3 4 5 3 2" xfId="51169"/>
    <cellStyle name="Normal 58 6 3 4 5 4" xfId="32099"/>
    <cellStyle name="Normal 58 6 3 4 6" xfId="7984"/>
    <cellStyle name="Normal 58 6 3 4 6 2" xfId="20365"/>
    <cellStyle name="Normal 58 6 3 4 6 2 2" xfId="45918"/>
    <cellStyle name="Normal 58 6 3 4 6 3" xfId="33541"/>
    <cellStyle name="Normal 58 6 3 4 7" xfId="16876"/>
    <cellStyle name="Normal 58 6 3 4 7 2" xfId="42429"/>
    <cellStyle name="Normal 58 6 3 4 8" xfId="26848"/>
    <cellStyle name="Normal 58 6 3 5" xfId="1146"/>
    <cellStyle name="Normal 58 6 3 5 2" xfId="3575"/>
    <cellStyle name="Normal 58 6 3 5 2 2" xfId="12711"/>
    <cellStyle name="Normal 58 6 3 5 2 2 2" xfId="22930"/>
    <cellStyle name="Normal 58 6 3 5 2 2 2 2" xfId="48483"/>
    <cellStyle name="Normal 58 6 3 5 2 2 3" xfId="38266"/>
    <cellStyle name="Normal 58 6 3 5 2 3" xfId="9132"/>
    <cellStyle name="Normal 58 6 3 5 2 3 2" xfId="34689"/>
    <cellStyle name="Normal 58 6 3 5 2 4" xfId="17923"/>
    <cellStyle name="Normal 58 6 3 5 2 4 2" xfId="43476"/>
    <cellStyle name="Normal 58 6 3 5 2 5" xfId="29413"/>
    <cellStyle name="Normal 58 6 3 5 3" xfId="5238"/>
    <cellStyle name="Normal 58 6 3 5 3 2" xfId="14075"/>
    <cellStyle name="Normal 58 6 3 5 3 2 2" xfId="24326"/>
    <cellStyle name="Normal 58 6 3 5 3 2 2 2" xfId="49879"/>
    <cellStyle name="Normal 58 6 3 5 3 2 3" xfId="39630"/>
    <cellStyle name="Normal 58 6 3 5 3 3" xfId="10496"/>
    <cellStyle name="Normal 58 6 3 5 3 3 2" xfId="36053"/>
    <cellStyle name="Normal 58 6 3 5 3 4" xfId="19319"/>
    <cellStyle name="Normal 58 6 3 5 3 4 2" xfId="44872"/>
    <cellStyle name="Normal 58 6 3 5 3 5" xfId="30809"/>
    <cellStyle name="Normal 58 6 3 5 4" xfId="1854"/>
    <cellStyle name="Normal 58 6 3 5 4 2" xfId="11222"/>
    <cellStyle name="Normal 58 6 3 5 4 2 2" xfId="36777"/>
    <cellStyle name="Normal 58 6 3 5 4 3" xfId="21226"/>
    <cellStyle name="Normal 58 6 3 5 4 3 2" xfId="46779"/>
    <cellStyle name="Normal 58 6 3 5 4 4" xfId="27709"/>
    <cellStyle name="Normal 58 6 3 5 5" xfId="6693"/>
    <cellStyle name="Normal 58 6 3 5 5 2" xfId="15520"/>
    <cellStyle name="Normal 58 6 3 5 5 2 2" xfId="41075"/>
    <cellStyle name="Normal 58 6 3 5 5 3" xfId="25771"/>
    <cellStyle name="Normal 58 6 3 5 5 3 2" xfId="51324"/>
    <cellStyle name="Normal 58 6 3 5 5 4" xfId="32254"/>
    <cellStyle name="Normal 58 6 3 5 6" xfId="8139"/>
    <cellStyle name="Normal 58 6 3 5 6 2" xfId="20529"/>
    <cellStyle name="Normal 58 6 3 5 6 2 2" xfId="46082"/>
    <cellStyle name="Normal 58 6 3 5 6 3" xfId="33696"/>
    <cellStyle name="Normal 58 6 3 5 7" xfId="16219"/>
    <cellStyle name="Normal 58 6 3 5 7 2" xfId="41772"/>
    <cellStyle name="Normal 58 6 3 5 8" xfId="27012"/>
    <cellStyle name="Normal 58 6 3 6" xfId="2748"/>
    <cellStyle name="Normal 58 6 3 6 2" xfId="12065"/>
    <cellStyle name="Normal 58 6 3 6 2 2" xfId="22109"/>
    <cellStyle name="Normal 58 6 3 6 2 2 2" xfId="47662"/>
    <cellStyle name="Normal 58 6 3 6 2 3" xfId="37620"/>
    <cellStyle name="Normal 58 6 3 6 3" xfId="8544"/>
    <cellStyle name="Normal 58 6 3 6 3 2" xfId="34101"/>
    <cellStyle name="Normal 58 6 3 6 4" xfId="17102"/>
    <cellStyle name="Normal 58 6 3 6 4 2" xfId="42655"/>
    <cellStyle name="Normal 58 6 3 6 5" xfId="28592"/>
    <cellStyle name="Normal 58 6 3 7" xfId="4194"/>
    <cellStyle name="Normal 58 6 3 7 2" xfId="13032"/>
    <cellStyle name="Normal 58 6 3 7 2 2" xfId="23283"/>
    <cellStyle name="Normal 58 6 3 7 2 2 2" xfId="48836"/>
    <cellStyle name="Normal 58 6 3 7 2 3" xfId="38587"/>
    <cellStyle name="Normal 58 6 3 7 3" xfId="9453"/>
    <cellStyle name="Normal 58 6 3 7 3 2" xfId="35010"/>
    <cellStyle name="Normal 58 6 3 7 4" xfId="18276"/>
    <cellStyle name="Normal 58 6 3 7 4 2" xfId="43829"/>
    <cellStyle name="Normal 58 6 3 7 5" xfId="29766"/>
    <cellStyle name="Normal 58 6 3 8" xfId="1466"/>
    <cellStyle name="Normal 58 6 3 8 2" xfId="10843"/>
    <cellStyle name="Normal 58 6 3 8 2 2" xfId="36398"/>
    <cellStyle name="Normal 58 6 3 8 3" xfId="20847"/>
    <cellStyle name="Normal 58 6 3 8 3 2" xfId="46400"/>
    <cellStyle name="Normal 58 6 3 8 4" xfId="27330"/>
    <cellStyle name="Normal 58 6 3 9" xfId="5650"/>
    <cellStyle name="Normal 58 6 3 9 2" xfId="14477"/>
    <cellStyle name="Normal 58 6 3 9 2 2" xfId="40032"/>
    <cellStyle name="Normal 58 6 3 9 3" xfId="24728"/>
    <cellStyle name="Normal 58 6 3 9 3 2" xfId="50281"/>
    <cellStyle name="Normal 58 6 3 9 4" xfId="31211"/>
    <cellStyle name="Normal 58 6 3_Degree data" xfId="4026"/>
    <cellStyle name="Normal 58 6 4" xfId="474"/>
    <cellStyle name="Normal 58 6 4 10" xfId="26403"/>
    <cellStyle name="Normal 58 6 4 2" xfId="922"/>
    <cellStyle name="Normal 58 6 4 2 2" xfId="3407"/>
    <cellStyle name="Normal 58 6 4 2 2 2" xfId="12549"/>
    <cellStyle name="Normal 58 6 4 2 2 2 2" xfId="22768"/>
    <cellStyle name="Normal 58 6 4 2 2 2 2 2" xfId="48321"/>
    <cellStyle name="Normal 58 6 4 2 2 2 3" xfId="38104"/>
    <cellStyle name="Normal 58 6 4 2 2 3" xfId="8971"/>
    <cellStyle name="Normal 58 6 4 2 2 3 2" xfId="34528"/>
    <cellStyle name="Normal 58 6 4 2 2 4" xfId="17761"/>
    <cellStyle name="Normal 58 6 4 2 2 4 2" xfId="43314"/>
    <cellStyle name="Normal 58 6 4 2 2 5" xfId="29251"/>
    <cellStyle name="Normal 58 6 4 2 3" xfId="4736"/>
    <cellStyle name="Normal 58 6 4 2 3 2" xfId="13574"/>
    <cellStyle name="Normal 58 6 4 2 3 2 2" xfId="23825"/>
    <cellStyle name="Normal 58 6 4 2 3 2 2 2" xfId="49378"/>
    <cellStyle name="Normal 58 6 4 2 3 2 3" xfId="39129"/>
    <cellStyle name="Normal 58 6 4 2 3 3" xfId="9995"/>
    <cellStyle name="Normal 58 6 4 2 3 3 2" xfId="35552"/>
    <cellStyle name="Normal 58 6 4 2 3 4" xfId="18818"/>
    <cellStyle name="Normal 58 6 4 2 3 4 2" xfId="44371"/>
    <cellStyle name="Normal 58 6 4 2 3 5" xfId="30308"/>
    <cellStyle name="Normal 58 6 4 2 4" xfId="2516"/>
    <cellStyle name="Normal 58 6 4 2 4 2" xfId="11881"/>
    <cellStyle name="Normal 58 6 4 2 4 2 2" xfId="37436"/>
    <cellStyle name="Normal 58 6 4 2 4 3" xfId="21885"/>
    <cellStyle name="Normal 58 6 4 2 4 3 2" xfId="47438"/>
    <cellStyle name="Normal 58 6 4 2 4 4" xfId="28368"/>
    <cellStyle name="Normal 58 6 4 2 5" xfId="6192"/>
    <cellStyle name="Normal 58 6 4 2 5 2" xfId="15019"/>
    <cellStyle name="Normal 58 6 4 2 5 2 2" xfId="40574"/>
    <cellStyle name="Normal 58 6 4 2 5 3" xfId="25270"/>
    <cellStyle name="Normal 58 6 4 2 5 3 2" xfId="50823"/>
    <cellStyle name="Normal 58 6 4 2 5 4" xfId="31753"/>
    <cellStyle name="Normal 58 6 4 2 6" xfId="7637"/>
    <cellStyle name="Normal 58 6 4 2 6 2" xfId="20367"/>
    <cellStyle name="Normal 58 6 4 2 6 2 2" xfId="45920"/>
    <cellStyle name="Normal 58 6 4 2 6 3" xfId="33194"/>
    <cellStyle name="Normal 58 6 4 2 7" xfId="16878"/>
    <cellStyle name="Normal 58 6 4 2 7 2" xfId="42431"/>
    <cellStyle name="Normal 58 6 4 2 8" xfId="26850"/>
    <cellStyle name="Normal 58 6 4 3" xfId="1246"/>
    <cellStyle name="Normal 58 6 4 3 2" xfId="3675"/>
    <cellStyle name="Normal 58 6 4 3 2 2" xfId="12811"/>
    <cellStyle name="Normal 58 6 4 3 2 2 2" xfId="23030"/>
    <cellStyle name="Normal 58 6 4 3 2 2 2 2" xfId="48583"/>
    <cellStyle name="Normal 58 6 4 3 2 2 3" xfId="38366"/>
    <cellStyle name="Normal 58 6 4 3 2 3" xfId="9232"/>
    <cellStyle name="Normal 58 6 4 3 2 3 2" xfId="34789"/>
    <cellStyle name="Normal 58 6 4 3 2 4" xfId="18023"/>
    <cellStyle name="Normal 58 6 4 3 2 4 2" xfId="43576"/>
    <cellStyle name="Normal 58 6 4 3 2 5" xfId="29513"/>
    <cellStyle name="Normal 58 6 4 3 3" xfId="5085"/>
    <cellStyle name="Normal 58 6 4 3 3 2" xfId="13922"/>
    <cellStyle name="Normal 58 6 4 3 3 2 2" xfId="24173"/>
    <cellStyle name="Normal 58 6 4 3 3 2 2 2" xfId="49726"/>
    <cellStyle name="Normal 58 6 4 3 3 2 3" xfId="39477"/>
    <cellStyle name="Normal 58 6 4 3 3 3" xfId="10343"/>
    <cellStyle name="Normal 58 6 4 3 3 3 2" xfId="35900"/>
    <cellStyle name="Normal 58 6 4 3 3 4" xfId="19166"/>
    <cellStyle name="Normal 58 6 4 3 3 4 2" xfId="44719"/>
    <cellStyle name="Normal 58 6 4 3 3 5" xfId="30656"/>
    <cellStyle name="Normal 58 6 4 3 4" xfId="2069"/>
    <cellStyle name="Normal 58 6 4 3 4 2" xfId="11434"/>
    <cellStyle name="Normal 58 6 4 3 4 2 2" xfId="36989"/>
    <cellStyle name="Normal 58 6 4 3 4 3" xfId="21438"/>
    <cellStyle name="Normal 58 6 4 3 4 3 2" xfId="46991"/>
    <cellStyle name="Normal 58 6 4 3 4 4" xfId="27921"/>
    <cellStyle name="Normal 58 6 4 3 5" xfId="6540"/>
    <cellStyle name="Normal 58 6 4 3 5 2" xfId="15367"/>
    <cellStyle name="Normal 58 6 4 3 5 2 2" xfId="40922"/>
    <cellStyle name="Normal 58 6 4 3 5 3" xfId="25618"/>
    <cellStyle name="Normal 58 6 4 3 5 3 2" xfId="51171"/>
    <cellStyle name="Normal 58 6 4 3 5 4" xfId="32101"/>
    <cellStyle name="Normal 58 6 4 3 6" xfId="7986"/>
    <cellStyle name="Normal 58 6 4 3 6 2" xfId="20629"/>
    <cellStyle name="Normal 58 6 4 3 6 2 2" xfId="46182"/>
    <cellStyle name="Normal 58 6 4 3 6 3" xfId="33543"/>
    <cellStyle name="Normal 58 6 4 3 7" xfId="16431"/>
    <cellStyle name="Normal 58 6 4 3 7 2" xfId="41984"/>
    <cellStyle name="Normal 58 6 4 3 8" xfId="27112"/>
    <cellStyle name="Normal 58 6 4 4" xfId="2960"/>
    <cellStyle name="Normal 58 6 4 4 2" xfId="5338"/>
    <cellStyle name="Normal 58 6 4 4 2 2" xfId="14175"/>
    <cellStyle name="Normal 58 6 4 4 2 2 2" xfId="24426"/>
    <cellStyle name="Normal 58 6 4 4 2 2 2 2" xfId="49979"/>
    <cellStyle name="Normal 58 6 4 4 2 2 3" xfId="39730"/>
    <cellStyle name="Normal 58 6 4 4 2 3" xfId="10596"/>
    <cellStyle name="Normal 58 6 4 4 2 3 2" xfId="36153"/>
    <cellStyle name="Normal 58 6 4 4 2 4" xfId="19419"/>
    <cellStyle name="Normal 58 6 4 4 2 4 2" xfId="44972"/>
    <cellStyle name="Normal 58 6 4 4 2 5" xfId="30909"/>
    <cellStyle name="Normal 58 6 4 4 3" xfId="6793"/>
    <cellStyle name="Normal 58 6 4 4 3 2" xfId="15620"/>
    <cellStyle name="Normal 58 6 4 4 3 2 2" xfId="41175"/>
    <cellStyle name="Normal 58 6 4 4 3 3" xfId="25871"/>
    <cellStyle name="Normal 58 6 4 4 3 3 2" xfId="51424"/>
    <cellStyle name="Normal 58 6 4 4 3 4" xfId="32354"/>
    <cellStyle name="Normal 58 6 4 4 4" xfId="8239"/>
    <cellStyle name="Normal 58 6 4 4 4 2" xfId="22321"/>
    <cellStyle name="Normal 58 6 4 4 4 2 2" xfId="47874"/>
    <cellStyle name="Normal 58 6 4 4 4 3" xfId="33796"/>
    <cellStyle name="Normal 58 6 4 4 5" xfId="17314"/>
    <cellStyle name="Normal 58 6 4 4 5 2" xfId="42867"/>
    <cellStyle name="Normal 58 6 4 4 6" xfId="28804"/>
    <cellStyle name="Normal 58 6 4 5" xfId="4294"/>
    <cellStyle name="Normal 58 6 4 5 2" xfId="13132"/>
    <cellStyle name="Normal 58 6 4 5 2 2" xfId="23383"/>
    <cellStyle name="Normal 58 6 4 5 2 2 2" xfId="48936"/>
    <cellStyle name="Normal 58 6 4 5 2 3" xfId="38687"/>
    <cellStyle name="Normal 58 6 4 5 3" xfId="9553"/>
    <cellStyle name="Normal 58 6 4 5 3 2" xfId="35110"/>
    <cellStyle name="Normal 58 6 4 5 4" xfId="18376"/>
    <cellStyle name="Normal 58 6 4 5 4 2" xfId="43929"/>
    <cellStyle name="Normal 58 6 4 5 5" xfId="29866"/>
    <cellStyle name="Normal 58 6 4 6" xfId="1566"/>
    <cellStyle name="Normal 58 6 4 6 2" xfId="10943"/>
    <cellStyle name="Normal 58 6 4 6 2 2" xfId="36498"/>
    <cellStyle name="Normal 58 6 4 6 3" xfId="20947"/>
    <cellStyle name="Normal 58 6 4 6 3 2" xfId="46500"/>
    <cellStyle name="Normal 58 6 4 6 4" xfId="27430"/>
    <cellStyle name="Normal 58 6 4 7" xfId="5750"/>
    <cellStyle name="Normal 58 6 4 7 2" xfId="14577"/>
    <cellStyle name="Normal 58 6 4 7 2 2" xfId="40132"/>
    <cellStyle name="Normal 58 6 4 7 3" xfId="24828"/>
    <cellStyle name="Normal 58 6 4 7 3 2" xfId="50381"/>
    <cellStyle name="Normal 58 6 4 7 4" xfId="31311"/>
    <cellStyle name="Normal 58 6 4 8" xfId="7194"/>
    <cellStyle name="Normal 58 6 4 8 2" xfId="19920"/>
    <cellStyle name="Normal 58 6 4 8 2 2" xfId="45473"/>
    <cellStyle name="Normal 58 6 4 8 3" xfId="32751"/>
    <cellStyle name="Normal 58 6 4 9" xfId="15940"/>
    <cellStyle name="Normal 58 6 4 9 2" xfId="41493"/>
    <cellStyle name="Normal 58 6 4_Degree data" xfId="4028"/>
    <cellStyle name="Normal 58 6 5" xfId="315"/>
    <cellStyle name="Normal 58 6 5 2" xfId="2801"/>
    <cellStyle name="Normal 58 6 5 2 2" xfId="12105"/>
    <cellStyle name="Normal 58 6 5 2 2 2" xfId="22162"/>
    <cellStyle name="Normal 58 6 5 2 2 2 2" xfId="47715"/>
    <cellStyle name="Normal 58 6 5 2 2 3" xfId="37660"/>
    <cellStyle name="Normal 58 6 5 2 3" xfId="8624"/>
    <cellStyle name="Normal 58 6 5 2 3 2" xfId="34181"/>
    <cellStyle name="Normal 58 6 5 2 4" xfId="17155"/>
    <cellStyle name="Normal 58 6 5 2 4 2" xfId="42708"/>
    <cellStyle name="Normal 58 6 5 2 5" xfId="28645"/>
    <cellStyle name="Normal 58 6 5 3" xfId="4731"/>
    <cellStyle name="Normal 58 6 5 3 2" xfId="13569"/>
    <cellStyle name="Normal 58 6 5 3 2 2" xfId="23820"/>
    <cellStyle name="Normal 58 6 5 3 2 2 2" xfId="49373"/>
    <cellStyle name="Normal 58 6 5 3 2 3" xfId="39124"/>
    <cellStyle name="Normal 58 6 5 3 3" xfId="9990"/>
    <cellStyle name="Normal 58 6 5 3 3 2" xfId="35547"/>
    <cellStyle name="Normal 58 6 5 3 4" xfId="18813"/>
    <cellStyle name="Normal 58 6 5 3 4 2" xfId="44366"/>
    <cellStyle name="Normal 58 6 5 3 5" xfId="30303"/>
    <cellStyle name="Normal 58 6 5 4" xfId="1910"/>
    <cellStyle name="Normal 58 6 5 4 2" xfId="11275"/>
    <cellStyle name="Normal 58 6 5 4 2 2" xfId="36830"/>
    <cellStyle name="Normal 58 6 5 4 3" xfId="21279"/>
    <cellStyle name="Normal 58 6 5 4 3 2" xfId="46832"/>
    <cellStyle name="Normal 58 6 5 4 4" xfId="27762"/>
    <cellStyle name="Normal 58 6 5 5" xfId="6187"/>
    <cellStyle name="Normal 58 6 5 5 2" xfId="15014"/>
    <cellStyle name="Normal 58 6 5 5 2 2" xfId="40569"/>
    <cellStyle name="Normal 58 6 5 5 3" xfId="25265"/>
    <cellStyle name="Normal 58 6 5 5 3 2" xfId="50818"/>
    <cellStyle name="Normal 58 6 5 5 4" xfId="31748"/>
    <cellStyle name="Normal 58 6 5 6" xfId="7632"/>
    <cellStyle name="Normal 58 6 5 6 2" xfId="19761"/>
    <cellStyle name="Normal 58 6 5 6 2 2" xfId="45314"/>
    <cellStyle name="Normal 58 6 5 6 3" xfId="33189"/>
    <cellStyle name="Normal 58 6 5 7" xfId="16272"/>
    <cellStyle name="Normal 58 6 5 7 2" xfId="41825"/>
    <cellStyle name="Normal 58 6 5 8" xfId="26244"/>
    <cellStyle name="Normal 58 6 6" xfId="917"/>
    <cellStyle name="Normal 58 6 6 2" xfId="3402"/>
    <cellStyle name="Normal 58 6 6 2 2" xfId="12544"/>
    <cellStyle name="Normal 58 6 6 2 2 2" xfId="22763"/>
    <cellStyle name="Normal 58 6 6 2 2 2 2" xfId="48316"/>
    <cellStyle name="Normal 58 6 6 2 2 3" xfId="38099"/>
    <cellStyle name="Normal 58 6 6 2 3" xfId="8966"/>
    <cellStyle name="Normal 58 6 6 2 3 2" xfId="34523"/>
    <cellStyle name="Normal 58 6 6 2 4" xfId="17756"/>
    <cellStyle name="Normal 58 6 6 2 4 2" xfId="43309"/>
    <cellStyle name="Normal 58 6 6 2 5" xfId="29246"/>
    <cellStyle name="Normal 58 6 6 3" xfId="5080"/>
    <cellStyle name="Normal 58 6 6 3 2" xfId="13917"/>
    <cellStyle name="Normal 58 6 6 3 2 2" xfId="24168"/>
    <cellStyle name="Normal 58 6 6 3 2 2 2" xfId="49721"/>
    <cellStyle name="Normal 58 6 6 3 2 3" xfId="39472"/>
    <cellStyle name="Normal 58 6 6 3 3" xfId="10338"/>
    <cellStyle name="Normal 58 6 6 3 3 2" xfId="35895"/>
    <cellStyle name="Normal 58 6 6 3 4" xfId="19161"/>
    <cellStyle name="Normal 58 6 6 3 4 2" xfId="44714"/>
    <cellStyle name="Normal 58 6 6 3 5" xfId="30651"/>
    <cellStyle name="Normal 58 6 6 4" xfId="2511"/>
    <cellStyle name="Normal 58 6 6 4 2" xfId="11876"/>
    <cellStyle name="Normal 58 6 6 4 2 2" xfId="37431"/>
    <cellStyle name="Normal 58 6 6 4 3" xfId="21880"/>
    <cellStyle name="Normal 58 6 6 4 3 2" xfId="47433"/>
    <cellStyle name="Normal 58 6 6 4 4" xfId="28363"/>
    <cellStyle name="Normal 58 6 6 5" xfId="6535"/>
    <cellStyle name="Normal 58 6 6 5 2" xfId="15362"/>
    <cellStyle name="Normal 58 6 6 5 2 2" xfId="40917"/>
    <cellStyle name="Normal 58 6 6 5 3" xfId="25613"/>
    <cellStyle name="Normal 58 6 6 5 3 2" xfId="51166"/>
    <cellStyle name="Normal 58 6 6 5 4" xfId="32096"/>
    <cellStyle name="Normal 58 6 6 6" xfId="7981"/>
    <cellStyle name="Normal 58 6 6 6 2" xfId="20362"/>
    <cellStyle name="Normal 58 6 6 6 2 2" xfId="45915"/>
    <cellStyle name="Normal 58 6 6 6 3" xfId="33538"/>
    <cellStyle name="Normal 58 6 6 7" xfId="16873"/>
    <cellStyle name="Normal 58 6 6 7 2" xfId="42426"/>
    <cellStyle name="Normal 58 6 6 8" xfId="26845"/>
    <cellStyle name="Normal 58 6 7" xfId="1087"/>
    <cellStyle name="Normal 58 6 7 2" xfId="3516"/>
    <cellStyle name="Normal 58 6 7 2 2" xfId="12652"/>
    <cellStyle name="Normal 58 6 7 2 2 2" xfId="22871"/>
    <cellStyle name="Normal 58 6 7 2 2 2 2" xfId="48424"/>
    <cellStyle name="Normal 58 6 7 2 2 3" xfId="38207"/>
    <cellStyle name="Normal 58 6 7 2 3" xfId="9074"/>
    <cellStyle name="Normal 58 6 7 2 3 2" xfId="34631"/>
    <cellStyle name="Normal 58 6 7 2 4" xfId="17864"/>
    <cellStyle name="Normal 58 6 7 2 4 2" xfId="43417"/>
    <cellStyle name="Normal 58 6 7 2 5" xfId="29354"/>
    <cellStyle name="Normal 58 6 7 3" xfId="5179"/>
    <cellStyle name="Normal 58 6 7 3 2" xfId="14016"/>
    <cellStyle name="Normal 58 6 7 3 2 2" xfId="24267"/>
    <cellStyle name="Normal 58 6 7 3 2 2 2" xfId="49820"/>
    <cellStyle name="Normal 58 6 7 3 2 3" xfId="39571"/>
    <cellStyle name="Normal 58 6 7 3 3" xfId="10437"/>
    <cellStyle name="Normal 58 6 7 3 3 2" xfId="35994"/>
    <cellStyle name="Normal 58 6 7 3 4" xfId="19260"/>
    <cellStyle name="Normal 58 6 7 3 4 2" xfId="44813"/>
    <cellStyle name="Normal 58 6 7 3 5" xfId="30750"/>
    <cellStyle name="Normal 58 6 7 4" xfId="1745"/>
    <cellStyle name="Normal 58 6 7 4 2" xfId="11116"/>
    <cellStyle name="Normal 58 6 7 4 2 2" xfId="36671"/>
    <cellStyle name="Normal 58 6 7 4 3" xfId="21120"/>
    <cellStyle name="Normal 58 6 7 4 3 2" xfId="46673"/>
    <cellStyle name="Normal 58 6 7 4 4" xfId="27603"/>
    <cellStyle name="Normal 58 6 7 5" xfId="6634"/>
    <cellStyle name="Normal 58 6 7 5 2" xfId="15461"/>
    <cellStyle name="Normal 58 6 7 5 2 2" xfId="41016"/>
    <cellStyle name="Normal 58 6 7 5 3" xfId="25712"/>
    <cellStyle name="Normal 58 6 7 5 3 2" xfId="51265"/>
    <cellStyle name="Normal 58 6 7 5 4" xfId="32195"/>
    <cellStyle name="Normal 58 6 7 6" xfId="8080"/>
    <cellStyle name="Normal 58 6 7 6 2" xfId="20470"/>
    <cellStyle name="Normal 58 6 7 6 2 2" xfId="46023"/>
    <cellStyle name="Normal 58 6 7 6 3" xfId="33637"/>
    <cellStyle name="Normal 58 6 7 7" xfId="16113"/>
    <cellStyle name="Normal 58 6 7 7 2" xfId="41666"/>
    <cellStyle name="Normal 58 6 7 8" xfId="26953"/>
    <cellStyle name="Normal 58 6 8" xfId="2643"/>
    <cellStyle name="Normal 58 6 8 2" xfId="5591"/>
    <cellStyle name="Normal 58 6 8 2 2" xfId="14418"/>
    <cellStyle name="Normal 58 6 8 2 2 2" xfId="39973"/>
    <cellStyle name="Normal 58 6 8 2 3" xfId="24669"/>
    <cellStyle name="Normal 58 6 8 2 3 2" xfId="50222"/>
    <cellStyle name="Normal 58 6 8 2 4" xfId="31152"/>
    <cellStyle name="Normal 58 6 8 3" xfId="7035"/>
    <cellStyle name="Normal 58 6 8 3 2" xfId="22004"/>
    <cellStyle name="Normal 58 6 8 3 2 2" xfId="47557"/>
    <cellStyle name="Normal 58 6 8 3 3" xfId="32592"/>
    <cellStyle name="Normal 58 6 8 4" xfId="16997"/>
    <cellStyle name="Normal 58 6 8 4 2" xfId="42550"/>
    <cellStyle name="Normal 58 6 8 5" xfId="28487"/>
    <cellStyle name="Normal 58 6 9" xfId="4133"/>
    <cellStyle name="Normal 58 6 9 2" xfId="12971"/>
    <cellStyle name="Normal 58 6 9 2 2" xfId="23222"/>
    <cellStyle name="Normal 58 6 9 2 2 2" xfId="48775"/>
    <cellStyle name="Normal 58 6 9 2 3" xfId="38526"/>
    <cellStyle name="Normal 58 6 9 3" xfId="9392"/>
    <cellStyle name="Normal 58 6 9 3 2" xfId="34949"/>
    <cellStyle name="Normal 58 6 9 4" xfId="18215"/>
    <cellStyle name="Normal 58 6 9 4 2" xfId="43768"/>
    <cellStyle name="Normal 58 6 9 5" xfId="29705"/>
    <cellStyle name="Normal 58 6_Degree data" xfId="4023"/>
    <cellStyle name="Normal 58 7" xfId="172"/>
    <cellStyle name="Normal 58 7 10" xfId="7120"/>
    <cellStyle name="Normal 58 7 10 2" xfId="19629"/>
    <cellStyle name="Normal 58 7 10 2 2" xfId="45182"/>
    <cellStyle name="Normal 58 7 10 3" xfId="32677"/>
    <cellStyle name="Normal 58 7 11" xfId="15866"/>
    <cellStyle name="Normal 58 7 11 2" xfId="41419"/>
    <cellStyle name="Normal 58 7 12" xfId="26112"/>
    <cellStyle name="Normal 58 7 2" xfId="500"/>
    <cellStyle name="Normal 58 7 2 10" xfId="26429"/>
    <cellStyle name="Normal 58 7 2 2" xfId="924"/>
    <cellStyle name="Normal 58 7 2 2 2" xfId="3409"/>
    <cellStyle name="Normal 58 7 2 2 2 2" xfId="12551"/>
    <cellStyle name="Normal 58 7 2 2 2 2 2" xfId="22770"/>
    <cellStyle name="Normal 58 7 2 2 2 2 2 2" xfId="48323"/>
    <cellStyle name="Normal 58 7 2 2 2 2 3" xfId="38106"/>
    <cellStyle name="Normal 58 7 2 2 2 3" xfId="8973"/>
    <cellStyle name="Normal 58 7 2 2 2 3 2" xfId="34530"/>
    <cellStyle name="Normal 58 7 2 2 2 4" xfId="17763"/>
    <cellStyle name="Normal 58 7 2 2 2 4 2" xfId="43316"/>
    <cellStyle name="Normal 58 7 2 2 2 5" xfId="29253"/>
    <cellStyle name="Normal 58 7 2 2 3" xfId="4738"/>
    <cellStyle name="Normal 58 7 2 2 3 2" xfId="13576"/>
    <cellStyle name="Normal 58 7 2 2 3 2 2" xfId="23827"/>
    <cellStyle name="Normal 58 7 2 2 3 2 2 2" xfId="49380"/>
    <cellStyle name="Normal 58 7 2 2 3 2 3" xfId="39131"/>
    <cellStyle name="Normal 58 7 2 2 3 3" xfId="9997"/>
    <cellStyle name="Normal 58 7 2 2 3 3 2" xfId="35554"/>
    <cellStyle name="Normal 58 7 2 2 3 4" xfId="18820"/>
    <cellStyle name="Normal 58 7 2 2 3 4 2" xfId="44373"/>
    <cellStyle name="Normal 58 7 2 2 3 5" xfId="30310"/>
    <cellStyle name="Normal 58 7 2 2 4" xfId="2518"/>
    <cellStyle name="Normal 58 7 2 2 4 2" xfId="11883"/>
    <cellStyle name="Normal 58 7 2 2 4 2 2" xfId="37438"/>
    <cellStyle name="Normal 58 7 2 2 4 3" xfId="21887"/>
    <cellStyle name="Normal 58 7 2 2 4 3 2" xfId="47440"/>
    <cellStyle name="Normal 58 7 2 2 4 4" xfId="28370"/>
    <cellStyle name="Normal 58 7 2 2 5" xfId="6194"/>
    <cellStyle name="Normal 58 7 2 2 5 2" xfId="15021"/>
    <cellStyle name="Normal 58 7 2 2 5 2 2" xfId="40576"/>
    <cellStyle name="Normal 58 7 2 2 5 3" xfId="25272"/>
    <cellStyle name="Normal 58 7 2 2 5 3 2" xfId="50825"/>
    <cellStyle name="Normal 58 7 2 2 5 4" xfId="31755"/>
    <cellStyle name="Normal 58 7 2 2 6" xfId="7639"/>
    <cellStyle name="Normal 58 7 2 2 6 2" xfId="20369"/>
    <cellStyle name="Normal 58 7 2 2 6 2 2" xfId="45922"/>
    <cellStyle name="Normal 58 7 2 2 6 3" xfId="33196"/>
    <cellStyle name="Normal 58 7 2 2 7" xfId="16880"/>
    <cellStyle name="Normal 58 7 2 2 7 2" xfId="42433"/>
    <cellStyle name="Normal 58 7 2 2 8" xfId="26852"/>
    <cellStyle name="Normal 58 7 2 3" xfId="1272"/>
    <cellStyle name="Normal 58 7 2 3 2" xfId="3701"/>
    <cellStyle name="Normal 58 7 2 3 2 2" xfId="12837"/>
    <cellStyle name="Normal 58 7 2 3 2 2 2" xfId="23056"/>
    <cellStyle name="Normal 58 7 2 3 2 2 2 2" xfId="48609"/>
    <cellStyle name="Normal 58 7 2 3 2 2 3" xfId="38392"/>
    <cellStyle name="Normal 58 7 2 3 2 3" xfId="9258"/>
    <cellStyle name="Normal 58 7 2 3 2 3 2" xfId="34815"/>
    <cellStyle name="Normal 58 7 2 3 2 4" xfId="18049"/>
    <cellStyle name="Normal 58 7 2 3 2 4 2" xfId="43602"/>
    <cellStyle name="Normal 58 7 2 3 2 5" xfId="29539"/>
    <cellStyle name="Normal 58 7 2 3 3" xfId="5087"/>
    <cellStyle name="Normal 58 7 2 3 3 2" xfId="13924"/>
    <cellStyle name="Normal 58 7 2 3 3 2 2" xfId="24175"/>
    <cellStyle name="Normal 58 7 2 3 3 2 2 2" xfId="49728"/>
    <cellStyle name="Normal 58 7 2 3 3 2 3" xfId="39479"/>
    <cellStyle name="Normal 58 7 2 3 3 3" xfId="10345"/>
    <cellStyle name="Normal 58 7 2 3 3 3 2" xfId="35902"/>
    <cellStyle name="Normal 58 7 2 3 3 4" xfId="19168"/>
    <cellStyle name="Normal 58 7 2 3 3 4 2" xfId="44721"/>
    <cellStyle name="Normal 58 7 2 3 3 5" xfId="30658"/>
    <cellStyle name="Normal 58 7 2 3 4" xfId="2095"/>
    <cellStyle name="Normal 58 7 2 3 4 2" xfId="11460"/>
    <cellStyle name="Normal 58 7 2 3 4 2 2" xfId="37015"/>
    <cellStyle name="Normal 58 7 2 3 4 3" xfId="21464"/>
    <cellStyle name="Normal 58 7 2 3 4 3 2" xfId="47017"/>
    <cellStyle name="Normal 58 7 2 3 4 4" xfId="27947"/>
    <cellStyle name="Normal 58 7 2 3 5" xfId="6542"/>
    <cellStyle name="Normal 58 7 2 3 5 2" xfId="15369"/>
    <cellStyle name="Normal 58 7 2 3 5 2 2" xfId="40924"/>
    <cellStyle name="Normal 58 7 2 3 5 3" xfId="25620"/>
    <cellStyle name="Normal 58 7 2 3 5 3 2" xfId="51173"/>
    <cellStyle name="Normal 58 7 2 3 5 4" xfId="32103"/>
    <cellStyle name="Normal 58 7 2 3 6" xfId="7988"/>
    <cellStyle name="Normal 58 7 2 3 6 2" xfId="20655"/>
    <cellStyle name="Normal 58 7 2 3 6 2 2" xfId="46208"/>
    <cellStyle name="Normal 58 7 2 3 6 3" xfId="33545"/>
    <cellStyle name="Normal 58 7 2 3 7" xfId="16457"/>
    <cellStyle name="Normal 58 7 2 3 7 2" xfId="42010"/>
    <cellStyle name="Normal 58 7 2 3 8" xfId="27138"/>
    <cellStyle name="Normal 58 7 2 4" xfId="2986"/>
    <cellStyle name="Normal 58 7 2 4 2" xfId="5364"/>
    <cellStyle name="Normal 58 7 2 4 2 2" xfId="14201"/>
    <cellStyle name="Normal 58 7 2 4 2 2 2" xfId="24452"/>
    <cellStyle name="Normal 58 7 2 4 2 2 2 2" xfId="50005"/>
    <cellStyle name="Normal 58 7 2 4 2 2 3" xfId="39756"/>
    <cellStyle name="Normal 58 7 2 4 2 3" xfId="10622"/>
    <cellStyle name="Normal 58 7 2 4 2 3 2" xfId="36179"/>
    <cellStyle name="Normal 58 7 2 4 2 4" xfId="19445"/>
    <cellStyle name="Normal 58 7 2 4 2 4 2" xfId="44998"/>
    <cellStyle name="Normal 58 7 2 4 2 5" xfId="30935"/>
    <cellStyle name="Normal 58 7 2 4 3" xfId="6819"/>
    <cellStyle name="Normal 58 7 2 4 3 2" xfId="15646"/>
    <cellStyle name="Normal 58 7 2 4 3 2 2" xfId="41201"/>
    <cellStyle name="Normal 58 7 2 4 3 3" xfId="25897"/>
    <cellStyle name="Normal 58 7 2 4 3 3 2" xfId="51450"/>
    <cellStyle name="Normal 58 7 2 4 3 4" xfId="32380"/>
    <cellStyle name="Normal 58 7 2 4 4" xfId="8265"/>
    <cellStyle name="Normal 58 7 2 4 4 2" xfId="22347"/>
    <cellStyle name="Normal 58 7 2 4 4 2 2" xfId="47900"/>
    <cellStyle name="Normal 58 7 2 4 4 3" xfId="33822"/>
    <cellStyle name="Normal 58 7 2 4 5" xfId="17340"/>
    <cellStyle name="Normal 58 7 2 4 5 2" xfId="42893"/>
    <cellStyle name="Normal 58 7 2 4 6" xfId="28830"/>
    <cellStyle name="Normal 58 7 2 5" xfId="4320"/>
    <cellStyle name="Normal 58 7 2 5 2" xfId="13158"/>
    <cellStyle name="Normal 58 7 2 5 2 2" xfId="23409"/>
    <cellStyle name="Normal 58 7 2 5 2 2 2" xfId="48962"/>
    <cellStyle name="Normal 58 7 2 5 2 3" xfId="38713"/>
    <cellStyle name="Normal 58 7 2 5 3" xfId="9579"/>
    <cellStyle name="Normal 58 7 2 5 3 2" xfId="35136"/>
    <cellStyle name="Normal 58 7 2 5 4" xfId="18402"/>
    <cellStyle name="Normal 58 7 2 5 4 2" xfId="43955"/>
    <cellStyle name="Normal 58 7 2 5 5" xfId="29892"/>
    <cellStyle name="Normal 58 7 2 6" xfId="1592"/>
    <cellStyle name="Normal 58 7 2 6 2" xfId="10969"/>
    <cellStyle name="Normal 58 7 2 6 2 2" xfId="36524"/>
    <cellStyle name="Normal 58 7 2 6 3" xfId="20973"/>
    <cellStyle name="Normal 58 7 2 6 3 2" xfId="46526"/>
    <cellStyle name="Normal 58 7 2 6 4" xfId="27456"/>
    <cellStyle name="Normal 58 7 2 7" xfId="5776"/>
    <cellStyle name="Normal 58 7 2 7 2" xfId="14603"/>
    <cellStyle name="Normal 58 7 2 7 2 2" xfId="40158"/>
    <cellStyle name="Normal 58 7 2 7 3" xfId="24854"/>
    <cellStyle name="Normal 58 7 2 7 3 2" xfId="50407"/>
    <cellStyle name="Normal 58 7 2 7 4" xfId="31337"/>
    <cellStyle name="Normal 58 7 2 8" xfId="7220"/>
    <cellStyle name="Normal 58 7 2 8 2" xfId="19946"/>
    <cellStyle name="Normal 58 7 2 8 2 2" xfId="45499"/>
    <cellStyle name="Normal 58 7 2 8 3" xfId="32777"/>
    <cellStyle name="Normal 58 7 2 9" xfId="15966"/>
    <cellStyle name="Normal 58 7 2 9 2" xfId="41519"/>
    <cellStyle name="Normal 58 7 2_Degree data" xfId="4030"/>
    <cellStyle name="Normal 58 7 3" xfId="400"/>
    <cellStyle name="Normal 58 7 3 2" xfId="2886"/>
    <cellStyle name="Normal 58 7 3 2 2" xfId="12174"/>
    <cellStyle name="Normal 58 7 3 2 2 2" xfId="22247"/>
    <cellStyle name="Normal 58 7 3 2 2 2 2" xfId="47800"/>
    <cellStyle name="Normal 58 7 3 2 2 3" xfId="37729"/>
    <cellStyle name="Normal 58 7 3 2 3" xfId="8400"/>
    <cellStyle name="Normal 58 7 3 2 3 2" xfId="33957"/>
    <cellStyle name="Normal 58 7 3 2 4" xfId="17240"/>
    <cellStyle name="Normal 58 7 3 2 4 2" xfId="42793"/>
    <cellStyle name="Normal 58 7 3 2 5" xfId="28730"/>
    <cellStyle name="Normal 58 7 3 3" xfId="4737"/>
    <cellStyle name="Normal 58 7 3 3 2" xfId="13575"/>
    <cellStyle name="Normal 58 7 3 3 2 2" xfId="23826"/>
    <cellStyle name="Normal 58 7 3 3 2 2 2" xfId="49379"/>
    <cellStyle name="Normal 58 7 3 3 2 3" xfId="39130"/>
    <cellStyle name="Normal 58 7 3 3 3" xfId="9996"/>
    <cellStyle name="Normal 58 7 3 3 3 2" xfId="35553"/>
    <cellStyle name="Normal 58 7 3 3 4" xfId="18819"/>
    <cellStyle name="Normal 58 7 3 3 4 2" xfId="44372"/>
    <cellStyle name="Normal 58 7 3 3 5" xfId="30309"/>
    <cellStyle name="Normal 58 7 3 4" xfId="1995"/>
    <cellStyle name="Normal 58 7 3 4 2" xfId="11360"/>
    <cellStyle name="Normal 58 7 3 4 2 2" xfId="36915"/>
    <cellStyle name="Normal 58 7 3 4 3" xfId="21364"/>
    <cellStyle name="Normal 58 7 3 4 3 2" xfId="46917"/>
    <cellStyle name="Normal 58 7 3 4 4" xfId="27847"/>
    <cellStyle name="Normal 58 7 3 5" xfId="6193"/>
    <cellStyle name="Normal 58 7 3 5 2" xfId="15020"/>
    <cellStyle name="Normal 58 7 3 5 2 2" xfId="40575"/>
    <cellStyle name="Normal 58 7 3 5 3" xfId="25271"/>
    <cellStyle name="Normal 58 7 3 5 3 2" xfId="50824"/>
    <cellStyle name="Normal 58 7 3 5 4" xfId="31754"/>
    <cellStyle name="Normal 58 7 3 6" xfId="7638"/>
    <cellStyle name="Normal 58 7 3 6 2" xfId="19846"/>
    <cellStyle name="Normal 58 7 3 6 2 2" xfId="45399"/>
    <cellStyle name="Normal 58 7 3 6 3" xfId="33195"/>
    <cellStyle name="Normal 58 7 3 7" xfId="16357"/>
    <cellStyle name="Normal 58 7 3 7 2" xfId="41910"/>
    <cellStyle name="Normal 58 7 3 8" xfId="26329"/>
    <cellStyle name="Normal 58 7 4" xfId="923"/>
    <cellStyle name="Normal 58 7 4 2" xfId="3408"/>
    <cellStyle name="Normal 58 7 4 2 2" xfId="12550"/>
    <cellStyle name="Normal 58 7 4 2 2 2" xfId="22769"/>
    <cellStyle name="Normal 58 7 4 2 2 2 2" xfId="48322"/>
    <cellStyle name="Normal 58 7 4 2 2 3" xfId="38105"/>
    <cellStyle name="Normal 58 7 4 2 3" xfId="8972"/>
    <cellStyle name="Normal 58 7 4 2 3 2" xfId="34529"/>
    <cellStyle name="Normal 58 7 4 2 4" xfId="17762"/>
    <cellStyle name="Normal 58 7 4 2 4 2" xfId="43315"/>
    <cellStyle name="Normal 58 7 4 2 5" xfId="29252"/>
    <cellStyle name="Normal 58 7 4 3" xfId="5086"/>
    <cellStyle name="Normal 58 7 4 3 2" xfId="13923"/>
    <cellStyle name="Normal 58 7 4 3 2 2" xfId="24174"/>
    <cellStyle name="Normal 58 7 4 3 2 2 2" xfId="49727"/>
    <cellStyle name="Normal 58 7 4 3 2 3" xfId="39478"/>
    <cellStyle name="Normal 58 7 4 3 3" xfId="10344"/>
    <cellStyle name="Normal 58 7 4 3 3 2" xfId="35901"/>
    <cellStyle name="Normal 58 7 4 3 4" xfId="19167"/>
    <cellStyle name="Normal 58 7 4 3 4 2" xfId="44720"/>
    <cellStyle name="Normal 58 7 4 3 5" xfId="30657"/>
    <cellStyle name="Normal 58 7 4 4" xfId="2517"/>
    <cellStyle name="Normal 58 7 4 4 2" xfId="11882"/>
    <cellStyle name="Normal 58 7 4 4 2 2" xfId="37437"/>
    <cellStyle name="Normal 58 7 4 4 3" xfId="21886"/>
    <cellStyle name="Normal 58 7 4 4 3 2" xfId="47439"/>
    <cellStyle name="Normal 58 7 4 4 4" xfId="28369"/>
    <cellStyle name="Normal 58 7 4 5" xfId="6541"/>
    <cellStyle name="Normal 58 7 4 5 2" xfId="15368"/>
    <cellStyle name="Normal 58 7 4 5 2 2" xfId="40923"/>
    <cellStyle name="Normal 58 7 4 5 3" xfId="25619"/>
    <cellStyle name="Normal 58 7 4 5 3 2" xfId="51172"/>
    <cellStyle name="Normal 58 7 4 5 4" xfId="32102"/>
    <cellStyle name="Normal 58 7 4 6" xfId="7987"/>
    <cellStyle name="Normal 58 7 4 6 2" xfId="20368"/>
    <cellStyle name="Normal 58 7 4 6 2 2" xfId="45921"/>
    <cellStyle name="Normal 58 7 4 6 3" xfId="33544"/>
    <cellStyle name="Normal 58 7 4 7" xfId="16879"/>
    <cellStyle name="Normal 58 7 4 7 2" xfId="42432"/>
    <cellStyle name="Normal 58 7 4 8" xfId="26851"/>
    <cellStyle name="Normal 58 7 5" xfId="1172"/>
    <cellStyle name="Normal 58 7 5 2" xfId="3601"/>
    <cellStyle name="Normal 58 7 5 2 2" xfId="12737"/>
    <cellStyle name="Normal 58 7 5 2 2 2" xfId="22956"/>
    <cellStyle name="Normal 58 7 5 2 2 2 2" xfId="48509"/>
    <cellStyle name="Normal 58 7 5 2 2 3" xfId="38292"/>
    <cellStyle name="Normal 58 7 5 2 3" xfId="9158"/>
    <cellStyle name="Normal 58 7 5 2 3 2" xfId="34715"/>
    <cellStyle name="Normal 58 7 5 2 4" xfId="17949"/>
    <cellStyle name="Normal 58 7 5 2 4 2" xfId="43502"/>
    <cellStyle name="Normal 58 7 5 2 5" xfId="29439"/>
    <cellStyle name="Normal 58 7 5 3" xfId="5264"/>
    <cellStyle name="Normal 58 7 5 3 2" xfId="14101"/>
    <cellStyle name="Normal 58 7 5 3 2 2" xfId="24352"/>
    <cellStyle name="Normal 58 7 5 3 2 2 2" xfId="49905"/>
    <cellStyle name="Normal 58 7 5 3 2 3" xfId="39656"/>
    <cellStyle name="Normal 58 7 5 3 3" xfId="10522"/>
    <cellStyle name="Normal 58 7 5 3 3 2" xfId="36079"/>
    <cellStyle name="Normal 58 7 5 3 4" xfId="19345"/>
    <cellStyle name="Normal 58 7 5 3 4 2" xfId="44898"/>
    <cellStyle name="Normal 58 7 5 3 5" xfId="30835"/>
    <cellStyle name="Normal 58 7 5 4" xfId="1774"/>
    <cellStyle name="Normal 58 7 5 4 2" xfId="11143"/>
    <cellStyle name="Normal 58 7 5 4 2 2" xfId="36698"/>
    <cellStyle name="Normal 58 7 5 4 3" xfId="21147"/>
    <cellStyle name="Normal 58 7 5 4 3 2" xfId="46700"/>
    <cellStyle name="Normal 58 7 5 4 4" xfId="27630"/>
    <cellStyle name="Normal 58 7 5 5" xfId="6719"/>
    <cellStyle name="Normal 58 7 5 5 2" xfId="15546"/>
    <cellStyle name="Normal 58 7 5 5 2 2" xfId="41101"/>
    <cellStyle name="Normal 58 7 5 5 3" xfId="25797"/>
    <cellStyle name="Normal 58 7 5 5 3 2" xfId="51350"/>
    <cellStyle name="Normal 58 7 5 5 4" xfId="32280"/>
    <cellStyle name="Normal 58 7 5 6" xfId="8165"/>
    <cellStyle name="Normal 58 7 5 6 2" xfId="20555"/>
    <cellStyle name="Normal 58 7 5 6 2 2" xfId="46108"/>
    <cellStyle name="Normal 58 7 5 6 3" xfId="33722"/>
    <cellStyle name="Normal 58 7 5 7" xfId="16140"/>
    <cellStyle name="Normal 58 7 5 7 2" xfId="41693"/>
    <cellStyle name="Normal 58 7 5 8" xfId="27038"/>
    <cellStyle name="Normal 58 7 6" xfId="2669"/>
    <cellStyle name="Normal 58 7 6 2" xfId="11986"/>
    <cellStyle name="Normal 58 7 6 2 2" xfId="22030"/>
    <cellStyle name="Normal 58 7 6 2 2 2" xfId="47583"/>
    <cellStyle name="Normal 58 7 6 2 3" xfId="37541"/>
    <cellStyle name="Normal 58 7 6 3" xfId="8623"/>
    <cellStyle name="Normal 58 7 6 3 2" xfId="34180"/>
    <cellStyle name="Normal 58 7 6 4" xfId="17023"/>
    <cellStyle name="Normal 58 7 6 4 2" xfId="42576"/>
    <cellStyle name="Normal 58 7 6 5" xfId="28513"/>
    <cellStyle name="Normal 58 7 7" xfId="4220"/>
    <cellStyle name="Normal 58 7 7 2" xfId="13058"/>
    <cellStyle name="Normal 58 7 7 2 2" xfId="23309"/>
    <cellStyle name="Normal 58 7 7 2 2 2" xfId="48862"/>
    <cellStyle name="Normal 58 7 7 2 3" xfId="38613"/>
    <cellStyle name="Normal 58 7 7 3" xfId="9479"/>
    <cellStyle name="Normal 58 7 7 3 2" xfId="35036"/>
    <cellStyle name="Normal 58 7 7 4" xfId="18302"/>
    <cellStyle name="Normal 58 7 7 4 2" xfId="43855"/>
    <cellStyle name="Normal 58 7 7 5" xfId="29792"/>
    <cellStyle name="Normal 58 7 8" xfId="1492"/>
    <cellStyle name="Normal 58 7 8 2" xfId="10869"/>
    <cellStyle name="Normal 58 7 8 2 2" xfId="36424"/>
    <cellStyle name="Normal 58 7 8 3" xfId="20873"/>
    <cellStyle name="Normal 58 7 8 3 2" xfId="46426"/>
    <cellStyle name="Normal 58 7 8 4" xfId="27356"/>
    <cellStyle name="Normal 58 7 9" xfId="5676"/>
    <cellStyle name="Normal 58 7 9 2" xfId="14503"/>
    <cellStyle name="Normal 58 7 9 2 2" xfId="40058"/>
    <cellStyle name="Normal 58 7 9 3" xfId="24754"/>
    <cellStyle name="Normal 58 7 9 3 2" xfId="50307"/>
    <cellStyle name="Normal 58 7 9 4" xfId="31237"/>
    <cellStyle name="Normal 58 7_Degree data" xfId="4029"/>
    <cellStyle name="Normal 58 8" xfId="225"/>
    <cellStyle name="Normal 58 8 10" xfId="7063"/>
    <cellStyle name="Normal 58 8 10 2" xfId="19677"/>
    <cellStyle name="Normal 58 8 10 2 2" xfId="45230"/>
    <cellStyle name="Normal 58 8 10 3" xfId="32620"/>
    <cellStyle name="Normal 58 8 11" xfId="15809"/>
    <cellStyle name="Normal 58 8 11 2" xfId="41362"/>
    <cellStyle name="Normal 58 8 12" xfId="26160"/>
    <cellStyle name="Normal 58 8 2" xfId="548"/>
    <cellStyle name="Normal 58 8 2 10" xfId="26477"/>
    <cellStyle name="Normal 58 8 2 2" xfId="926"/>
    <cellStyle name="Normal 58 8 2 2 2" xfId="3411"/>
    <cellStyle name="Normal 58 8 2 2 2 2" xfId="12553"/>
    <cellStyle name="Normal 58 8 2 2 2 2 2" xfId="22772"/>
    <cellStyle name="Normal 58 8 2 2 2 2 2 2" xfId="48325"/>
    <cellStyle name="Normal 58 8 2 2 2 2 3" xfId="38108"/>
    <cellStyle name="Normal 58 8 2 2 2 3" xfId="8975"/>
    <cellStyle name="Normal 58 8 2 2 2 3 2" xfId="34532"/>
    <cellStyle name="Normal 58 8 2 2 2 4" xfId="17765"/>
    <cellStyle name="Normal 58 8 2 2 2 4 2" xfId="43318"/>
    <cellStyle name="Normal 58 8 2 2 2 5" xfId="29255"/>
    <cellStyle name="Normal 58 8 2 2 3" xfId="4740"/>
    <cellStyle name="Normal 58 8 2 2 3 2" xfId="13578"/>
    <cellStyle name="Normal 58 8 2 2 3 2 2" xfId="23829"/>
    <cellStyle name="Normal 58 8 2 2 3 2 2 2" xfId="49382"/>
    <cellStyle name="Normal 58 8 2 2 3 2 3" xfId="39133"/>
    <cellStyle name="Normal 58 8 2 2 3 3" xfId="9999"/>
    <cellStyle name="Normal 58 8 2 2 3 3 2" xfId="35556"/>
    <cellStyle name="Normal 58 8 2 2 3 4" xfId="18822"/>
    <cellStyle name="Normal 58 8 2 2 3 4 2" xfId="44375"/>
    <cellStyle name="Normal 58 8 2 2 3 5" xfId="30312"/>
    <cellStyle name="Normal 58 8 2 2 4" xfId="2520"/>
    <cellStyle name="Normal 58 8 2 2 4 2" xfId="11885"/>
    <cellStyle name="Normal 58 8 2 2 4 2 2" xfId="37440"/>
    <cellStyle name="Normal 58 8 2 2 4 3" xfId="21889"/>
    <cellStyle name="Normal 58 8 2 2 4 3 2" xfId="47442"/>
    <cellStyle name="Normal 58 8 2 2 4 4" xfId="28372"/>
    <cellStyle name="Normal 58 8 2 2 5" xfId="6196"/>
    <cellStyle name="Normal 58 8 2 2 5 2" xfId="15023"/>
    <cellStyle name="Normal 58 8 2 2 5 2 2" xfId="40578"/>
    <cellStyle name="Normal 58 8 2 2 5 3" xfId="25274"/>
    <cellStyle name="Normal 58 8 2 2 5 3 2" xfId="50827"/>
    <cellStyle name="Normal 58 8 2 2 5 4" xfId="31757"/>
    <cellStyle name="Normal 58 8 2 2 6" xfId="7641"/>
    <cellStyle name="Normal 58 8 2 2 6 2" xfId="20371"/>
    <cellStyle name="Normal 58 8 2 2 6 2 2" xfId="45924"/>
    <cellStyle name="Normal 58 8 2 2 6 3" xfId="33198"/>
    <cellStyle name="Normal 58 8 2 2 7" xfId="16882"/>
    <cellStyle name="Normal 58 8 2 2 7 2" xfId="42435"/>
    <cellStyle name="Normal 58 8 2 2 8" xfId="26854"/>
    <cellStyle name="Normal 58 8 2 3" xfId="1320"/>
    <cellStyle name="Normal 58 8 2 3 2" xfId="3749"/>
    <cellStyle name="Normal 58 8 2 3 2 2" xfId="12885"/>
    <cellStyle name="Normal 58 8 2 3 2 2 2" xfId="23104"/>
    <cellStyle name="Normal 58 8 2 3 2 2 2 2" xfId="48657"/>
    <cellStyle name="Normal 58 8 2 3 2 2 3" xfId="38440"/>
    <cellStyle name="Normal 58 8 2 3 2 3" xfId="9306"/>
    <cellStyle name="Normal 58 8 2 3 2 3 2" xfId="34863"/>
    <cellStyle name="Normal 58 8 2 3 2 4" xfId="18097"/>
    <cellStyle name="Normal 58 8 2 3 2 4 2" xfId="43650"/>
    <cellStyle name="Normal 58 8 2 3 2 5" xfId="29587"/>
    <cellStyle name="Normal 58 8 2 3 3" xfId="5089"/>
    <cellStyle name="Normal 58 8 2 3 3 2" xfId="13926"/>
    <cellStyle name="Normal 58 8 2 3 3 2 2" xfId="24177"/>
    <cellStyle name="Normal 58 8 2 3 3 2 2 2" xfId="49730"/>
    <cellStyle name="Normal 58 8 2 3 3 2 3" xfId="39481"/>
    <cellStyle name="Normal 58 8 2 3 3 3" xfId="10347"/>
    <cellStyle name="Normal 58 8 2 3 3 3 2" xfId="35904"/>
    <cellStyle name="Normal 58 8 2 3 3 4" xfId="19170"/>
    <cellStyle name="Normal 58 8 2 3 3 4 2" xfId="44723"/>
    <cellStyle name="Normal 58 8 2 3 3 5" xfId="30660"/>
    <cellStyle name="Normal 58 8 2 3 4" xfId="2143"/>
    <cellStyle name="Normal 58 8 2 3 4 2" xfId="11508"/>
    <cellStyle name="Normal 58 8 2 3 4 2 2" xfId="37063"/>
    <cellStyle name="Normal 58 8 2 3 4 3" xfId="21512"/>
    <cellStyle name="Normal 58 8 2 3 4 3 2" xfId="47065"/>
    <cellStyle name="Normal 58 8 2 3 4 4" xfId="27995"/>
    <cellStyle name="Normal 58 8 2 3 5" xfId="6544"/>
    <cellStyle name="Normal 58 8 2 3 5 2" xfId="15371"/>
    <cellStyle name="Normal 58 8 2 3 5 2 2" xfId="40926"/>
    <cellStyle name="Normal 58 8 2 3 5 3" xfId="25622"/>
    <cellStyle name="Normal 58 8 2 3 5 3 2" xfId="51175"/>
    <cellStyle name="Normal 58 8 2 3 5 4" xfId="32105"/>
    <cellStyle name="Normal 58 8 2 3 6" xfId="7990"/>
    <cellStyle name="Normal 58 8 2 3 6 2" xfId="20703"/>
    <cellStyle name="Normal 58 8 2 3 6 2 2" xfId="46256"/>
    <cellStyle name="Normal 58 8 2 3 6 3" xfId="33547"/>
    <cellStyle name="Normal 58 8 2 3 7" xfId="16505"/>
    <cellStyle name="Normal 58 8 2 3 7 2" xfId="42058"/>
    <cellStyle name="Normal 58 8 2 3 8" xfId="27186"/>
    <cellStyle name="Normal 58 8 2 4" xfId="3034"/>
    <cellStyle name="Normal 58 8 2 4 2" xfId="5412"/>
    <cellStyle name="Normal 58 8 2 4 2 2" xfId="14249"/>
    <cellStyle name="Normal 58 8 2 4 2 2 2" xfId="24500"/>
    <cellStyle name="Normal 58 8 2 4 2 2 2 2" xfId="50053"/>
    <cellStyle name="Normal 58 8 2 4 2 2 3" xfId="39804"/>
    <cellStyle name="Normal 58 8 2 4 2 3" xfId="10670"/>
    <cellStyle name="Normal 58 8 2 4 2 3 2" xfId="36227"/>
    <cellStyle name="Normal 58 8 2 4 2 4" xfId="19493"/>
    <cellStyle name="Normal 58 8 2 4 2 4 2" xfId="45046"/>
    <cellStyle name="Normal 58 8 2 4 2 5" xfId="30983"/>
    <cellStyle name="Normal 58 8 2 4 3" xfId="6867"/>
    <cellStyle name="Normal 58 8 2 4 3 2" xfId="15694"/>
    <cellStyle name="Normal 58 8 2 4 3 2 2" xfId="41249"/>
    <cellStyle name="Normal 58 8 2 4 3 3" xfId="25945"/>
    <cellStyle name="Normal 58 8 2 4 3 3 2" xfId="51498"/>
    <cellStyle name="Normal 58 8 2 4 3 4" xfId="32428"/>
    <cellStyle name="Normal 58 8 2 4 4" xfId="8313"/>
    <cellStyle name="Normal 58 8 2 4 4 2" xfId="22395"/>
    <cellStyle name="Normal 58 8 2 4 4 2 2" xfId="47948"/>
    <cellStyle name="Normal 58 8 2 4 4 3" xfId="33870"/>
    <cellStyle name="Normal 58 8 2 4 5" xfId="17388"/>
    <cellStyle name="Normal 58 8 2 4 5 2" xfId="42941"/>
    <cellStyle name="Normal 58 8 2 4 6" xfId="28878"/>
    <cellStyle name="Normal 58 8 2 5" xfId="4368"/>
    <cellStyle name="Normal 58 8 2 5 2" xfId="13206"/>
    <cellStyle name="Normal 58 8 2 5 2 2" xfId="23457"/>
    <cellStyle name="Normal 58 8 2 5 2 2 2" xfId="49010"/>
    <cellStyle name="Normal 58 8 2 5 2 3" xfId="38761"/>
    <cellStyle name="Normal 58 8 2 5 3" xfId="9627"/>
    <cellStyle name="Normal 58 8 2 5 3 2" xfId="35184"/>
    <cellStyle name="Normal 58 8 2 5 4" xfId="18450"/>
    <cellStyle name="Normal 58 8 2 5 4 2" xfId="44003"/>
    <cellStyle name="Normal 58 8 2 5 5" xfId="29940"/>
    <cellStyle name="Normal 58 8 2 6" xfId="1640"/>
    <cellStyle name="Normal 58 8 2 6 2" xfId="11017"/>
    <cellStyle name="Normal 58 8 2 6 2 2" xfId="36572"/>
    <cellStyle name="Normal 58 8 2 6 3" xfId="21021"/>
    <cellStyle name="Normal 58 8 2 6 3 2" xfId="46574"/>
    <cellStyle name="Normal 58 8 2 6 4" xfId="27504"/>
    <cellStyle name="Normal 58 8 2 7" xfId="5824"/>
    <cellStyle name="Normal 58 8 2 7 2" xfId="14651"/>
    <cellStyle name="Normal 58 8 2 7 2 2" xfId="40206"/>
    <cellStyle name="Normal 58 8 2 7 3" xfId="24902"/>
    <cellStyle name="Normal 58 8 2 7 3 2" xfId="50455"/>
    <cellStyle name="Normal 58 8 2 7 4" xfId="31385"/>
    <cellStyle name="Normal 58 8 2 8" xfId="7268"/>
    <cellStyle name="Normal 58 8 2 8 2" xfId="19994"/>
    <cellStyle name="Normal 58 8 2 8 2 2" xfId="45547"/>
    <cellStyle name="Normal 58 8 2 8 3" xfId="32825"/>
    <cellStyle name="Normal 58 8 2 9" xfId="16014"/>
    <cellStyle name="Normal 58 8 2 9 2" xfId="41567"/>
    <cellStyle name="Normal 58 8 2_Degree data" xfId="4032"/>
    <cellStyle name="Normal 58 8 3" xfId="343"/>
    <cellStyle name="Normal 58 8 3 2" xfId="2829"/>
    <cellStyle name="Normal 58 8 3 2 2" xfId="12117"/>
    <cellStyle name="Normal 58 8 3 2 2 2" xfId="22190"/>
    <cellStyle name="Normal 58 8 3 2 2 2 2" xfId="47743"/>
    <cellStyle name="Normal 58 8 3 2 2 3" xfId="37672"/>
    <cellStyle name="Normal 58 8 3 2 3" xfId="8629"/>
    <cellStyle name="Normal 58 8 3 2 3 2" xfId="34186"/>
    <cellStyle name="Normal 58 8 3 2 4" xfId="17183"/>
    <cellStyle name="Normal 58 8 3 2 4 2" xfId="42736"/>
    <cellStyle name="Normal 58 8 3 2 5" xfId="28673"/>
    <cellStyle name="Normal 58 8 3 3" xfId="4739"/>
    <cellStyle name="Normal 58 8 3 3 2" xfId="13577"/>
    <cellStyle name="Normal 58 8 3 3 2 2" xfId="23828"/>
    <cellStyle name="Normal 58 8 3 3 2 2 2" xfId="49381"/>
    <cellStyle name="Normal 58 8 3 3 2 3" xfId="39132"/>
    <cellStyle name="Normal 58 8 3 3 3" xfId="9998"/>
    <cellStyle name="Normal 58 8 3 3 3 2" xfId="35555"/>
    <cellStyle name="Normal 58 8 3 3 4" xfId="18821"/>
    <cellStyle name="Normal 58 8 3 3 4 2" xfId="44374"/>
    <cellStyle name="Normal 58 8 3 3 5" xfId="30311"/>
    <cellStyle name="Normal 58 8 3 4" xfId="1938"/>
    <cellStyle name="Normal 58 8 3 4 2" xfId="11303"/>
    <cellStyle name="Normal 58 8 3 4 2 2" xfId="36858"/>
    <cellStyle name="Normal 58 8 3 4 3" xfId="21307"/>
    <cellStyle name="Normal 58 8 3 4 3 2" xfId="46860"/>
    <cellStyle name="Normal 58 8 3 4 4" xfId="27790"/>
    <cellStyle name="Normal 58 8 3 5" xfId="6195"/>
    <cellStyle name="Normal 58 8 3 5 2" xfId="15022"/>
    <cellStyle name="Normal 58 8 3 5 2 2" xfId="40577"/>
    <cellStyle name="Normal 58 8 3 5 3" xfId="25273"/>
    <cellStyle name="Normal 58 8 3 5 3 2" xfId="50826"/>
    <cellStyle name="Normal 58 8 3 5 4" xfId="31756"/>
    <cellStyle name="Normal 58 8 3 6" xfId="7640"/>
    <cellStyle name="Normal 58 8 3 6 2" xfId="19789"/>
    <cellStyle name="Normal 58 8 3 6 2 2" xfId="45342"/>
    <cellStyle name="Normal 58 8 3 6 3" xfId="33197"/>
    <cellStyle name="Normal 58 8 3 7" xfId="16300"/>
    <cellStyle name="Normal 58 8 3 7 2" xfId="41853"/>
    <cellStyle name="Normal 58 8 3 8" xfId="26272"/>
    <cellStyle name="Normal 58 8 4" xfId="925"/>
    <cellStyle name="Normal 58 8 4 2" xfId="3410"/>
    <cellStyle name="Normal 58 8 4 2 2" xfId="12552"/>
    <cellStyle name="Normal 58 8 4 2 2 2" xfId="22771"/>
    <cellStyle name="Normal 58 8 4 2 2 2 2" xfId="48324"/>
    <cellStyle name="Normal 58 8 4 2 2 3" xfId="38107"/>
    <cellStyle name="Normal 58 8 4 2 3" xfId="8974"/>
    <cellStyle name="Normal 58 8 4 2 3 2" xfId="34531"/>
    <cellStyle name="Normal 58 8 4 2 4" xfId="17764"/>
    <cellStyle name="Normal 58 8 4 2 4 2" xfId="43317"/>
    <cellStyle name="Normal 58 8 4 2 5" xfId="29254"/>
    <cellStyle name="Normal 58 8 4 3" xfId="5088"/>
    <cellStyle name="Normal 58 8 4 3 2" xfId="13925"/>
    <cellStyle name="Normal 58 8 4 3 2 2" xfId="24176"/>
    <cellStyle name="Normal 58 8 4 3 2 2 2" xfId="49729"/>
    <cellStyle name="Normal 58 8 4 3 2 3" xfId="39480"/>
    <cellStyle name="Normal 58 8 4 3 3" xfId="10346"/>
    <cellStyle name="Normal 58 8 4 3 3 2" xfId="35903"/>
    <cellStyle name="Normal 58 8 4 3 4" xfId="19169"/>
    <cellStyle name="Normal 58 8 4 3 4 2" xfId="44722"/>
    <cellStyle name="Normal 58 8 4 3 5" xfId="30659"/>
    <cellStyle name="Normal 58 8 4 4" xfId="2519"/>
    <cellStyle name="Normal 58 8 4 4 2" xfId="11884"/>
    <cellStyle name="Normal 58 8 4 4 2 2" xfId="37439"/>
    <cellStyle name="Normal 58 8 4 4 3" xfId="21888"/>
    <cellStyle name="Normal 58 8 4 4 3 2" xfId="47441"/>
    <cellStyle name="Normal 58 8 4 4 4" xfId="28371"/>
    <cellStyle name="Normal 58 8 4 5" xfId="6543"/>
    <cellStyle name="Normal 58 8 4 5 2" xfId="15370"/>
    <cellStyle name="Normal 58 8 4 5 2 2" xfId="40925"/>
    <cellStyle name="Normal 58 8 4 5 3" xfId="25621"/>
    <cellStyle name="Normal 58 8 4 5 3 2" xfId="51174"/>
    <cellStyle name="Normal 58 8 4 5 4" xfId="32104"/>
    <cellStyle name="Normal 58 8 4 6" xfId="7989"/>
    <cellStyle name="Normal 58 8 4 6 2" xfId="20370"/>
    <cellStyle name="Normal 58 8 4 6 2 2" xfId="45923"/>
    <cellStyle name="Normal 58 8 4 6 3" xfId="33546"/>
    <cellStyle name="Normal 58 8 4 7" xfId="16881"/>
    <cellStyle name="Normal 58 8 4 7 2" xfId="42434"/>
    <cellStyle name="Normal 58 8 4 8" xfId="26853"/>
    <cellStyle name="Normal 58 8 5" xfId="1115"/>
    <cellStyle name="Normal 58 8 5 2" xfId="3544"/>
    <cellStyle name="Normal 58 8 5 2 2" xfId="12680"/>
    <cellStyle name="Normal 58 8 5 2 2 2" xfId="22899"/>
    <cellStyle name="Normal 58 8 5 2 2 2 2" xfId="48452"/>
    <cellStyle name="Normal 58 8 5 2 2 3" xfId="38235"/>
    <cellStyle name="Normal 58 8 5 2 3" xfId="9101"/>
    <cellStyle name="Normal 58 8 5 2 3 2" xfId="34658"/>
    <cellStyle name="Normal 58 8 5 2 4" xfId="17892"/>
    <cellStyle name="Normal 58 8 5 2 4 2" xfId="43445"/>
    <cellStyle name="Normal 58 8 5 2 5" xfId="29382"/>
    <cellStyle name="Normal 58 8 5 3" xfId="5207"/>
    <cellStyle name="Normal 58 8 5 3 2" xfId="14044"/>
    <cellStyle name="Normal 58 8 5 3 2 2" xfId="24295"/>
    <cellStyle name="Normal 58 8 5 3 2 2 2" xfId="49848"/>
    <cellStyle name="Normal 58 8 5 3 2 3" xfId="39599"/>
    <cellStyle name="Normal 58 8 5 3 3" xfId="10465"/>
    <cellStyle name="Normal 58 8 5 3 3 2" xfId="36022"/>
    <cellStyle name="Normal 58 8 5 3 4" xfId="19288"/>
    <cellStyle name="Normal 58 8 5 3 4 2" xfId="44841"/>
    <cellStyle name="Normal 58 8 5 3 5" xfId="30778"/>
    <cellStyle name="Normal 58 8 5 4" xfId="1823"/>
    <cellStyle name="Normal 58 8 5 4 2" xfId="11191"/>
    <cellStyle name="Normal 58 8 5 4 2 2" xfId="36746"/>
    <cellStyle name="Normal 58 8 5 4 3" xfId="21195"/>
    <cellStyle name="Normal 58 8 5 4 3 2" xfId="46748"/>
    <cellStyle name="Normal 58 8 5 4 4" xfId="27678"/>
    <cellStyle name="Normal 58 8 5 5" xfId="6662"/>
    <cellStyle name="Normal 58 8 5 5 2" xfId="15489"/>
    <cellStyle name="Normal 58 8 5 5 2 2" xfId="41044"/>
    <cellStyle name="Normal 58 8 5 5 3" xfId="25740"/>
    <cellStyle name="Normal 58 8 5 5 3 2" xfId="51293"/>
    <cellStyle name="Normal 58 8 5 5 4" xfId="32223"/>
    <cellStyle name="Normal 58 8 5 6" xfId="8108"/>
    <cellStyle name="Normal 58 8 5 6 2" xfId="20498"/>
    <cellStyle name="Normal 58 8 5 6 2 2" xfId="46051"/>
    <cellStyle name="Normal 58 8 5 6 3" xfId="33665"/>
    <cellStyle name="Normal 58 8 5 7" xfId="16188"/>
    <cellStyle name="Normal 58 8 5 7 2" xfId="41741"/>
    <cellStyle name="Normal 58 8 5 8" xfId="26981"/>
    <cellStyle name="Normal 58 8 6" xfId="2717"/>
    <cellStyle name="Normal 58 8 6 2" xfId="12034"/>
    <cellStyle name="Normal 58 8 6 2 2" xfId="22078"/>
    <cellStyle name="Normal 58 8 6 2 2 2" xfId="47631"/>
    <cellStyle name="Normal 58 8 6 2 3" xfId="37589"/>
    <cellStyle name="Normal 58 8 6 3" xfId="8552"/>
    <cellStyle name="Normal 58 8 6 3 2" xfId="34109"/>
    <cellStyle name="Normal 58 8 6 4" xfId="17071"/>
    <cellStyle name="Normal 58 8 6 4 2" xfId="42624"/>
    <cellStyle name="Normal 58 8 6 5" xfId="28561"/>
    <cellStyle name="Normal 58 8 7" xfId="4163"/>
    <cellStyle name="Normal 58 8 7 2" xfId="13001"/>
    <cellStyle name="Normal 58 8 7 2 2" xfId="23252"/>
    <cellStyle name="Normal 58 8 7 2 2 2" xfId="48805"/>
    <cellStyle name="Normal 58 8 7 2 3" xfId="38556"/>
    <cellStyle name="Normal 58 8 7 3" xfId="9422"/>
    <cellStyle name="Normal 58 8 7 3 2" xfId="34979"/>
    <cellStyle name="Normal 58 8 7 4" xfId="18245"/>
    <cellStyle name="Normal 58 8 7 4 2" xfId="43798"/>
    <cellStyle name="Normal 58 8 7 5" xfId="29735"/>
    <cellStyle name="Normal 58 8 8" xfId="1435"/>
    <cellStyle name="Normal 58 8 8 2" xfId="10812"/>
    <cellStyle name="Normal 58 8 8 2 2" xfId="36367"/>
    <cellStyle name="Normal 58 8 8 3" xfId="20816"/>
    <cellStyle name="Normal 58 8 8 3 2" xfId="46369"/>
    <cellStyle name="Normal 58 8 8 4" xfId="27299"/>
    <cellStyle name="Normal 58 8 9" xfId="5619"/>
    <cellStyle name="Normal 58 8 9 2" xfId="14446"/>
    <cellStyle name="Normal 58 8 9 2 2" xfId="40001"/>
    <cellStyle name="Normal 58 8 9 3" xfId="24697"/>
    <cellStyle name="Normal 58 8 9 3 2" xfId="50250"/>
    <cellStyle name="Normal 58 8 9 4" xfId="31180"/>
    <cellStyle name="Normal 58 8_Degree data" xfId="4031"/>
    <cellStyle name="Normal 58 9" xfId="282"/>
    <cellStyle name="Normal 58 9 10" xfId="16070"/>
    <cellStyle name="Normal 58 9 10 2" xfId="41623"/>
    <cellStyle name="Normal 58 9 11" xfId="26216"/>
    <cellStyle name="Normal 58 9 2" xfId="604"/>
    <cellStyle name="Normal 58 9 2 2" xfId="3090"/>
    <cellStyle name="Normal 58 9 2 2 2" xfId="12233"/>
    <cellStyle name="Normal 58 9 2 2 2 2" xfId="22451"/>
    <cellStyle name="Normal 58 9 2 2 2 2 2" xfId="48004"/>
    <cellStyle name="Normal 58 9 2 2 2 3" xfId="37788"/>
    <cellStyle name="Normal 58 9 2 2 3" xfId="8655"/>
    <cellStyle name="Normal 58 9 2 2 3 2" xfId="34212"/>
    <cellStyle name="Normal 58 9 2 2 4" xfId="17444"/>
    <cellStyle name="Normal 58 9 2 2 4 2" xfId="42997"/>
    <cellStyle name="Normal 58 9 2 2 5" xfId="28934"/>
    <cellStyle name="Normal 58 9 2 3" xfId="4741"/>
    <cellStyle name="Normal 58 9 2 3 2" xfId="13579"/>
    <cellStyle name="Normal 58 9 2 3 2 2" xfId="23830"/>
    <cellStyle name="Normal 58 9 2 3 2 2 2" xfId="49383"/>
    <cellStyle name="Normal 58 9 2 3 2 3" xfId="39134"/>
    <cellStyle name="Normal 58 9 2 3 3" xfId="10000"/>
    <cellStyle name="Normal 58 9 2 3 3 2" xfId="35557"/>
    <cellStyle name="Normal 58 9 2 3 4" xfId="18823"/>
    <cellStyle name="Normal 58 9 2 3 4 2" xfId="44376"/>
    <cellStyle name="Normal 58 9 2 3 5" xfId="30313"/>
    <cellStyle name="Normal 58 9 2 4" xfId="2199"/>
    <cellStyle name="Normal 58 9 2 4 2" xfId="11564"/>
    <cellStyle name="Normal 58 9 2 4 2 2" xfId="37119"/>
    <cellStyle name="Normal 58 9 2 4 3" xfId="21568"/>
    <cellStyle name="Normal 58 9 2 4 3 2" xfId="47121"/>
    <cellStyle name="Normal 58 9 2 4 4" xfId="28051"/>
    <cellStyle name="Normal 58 9 2 5" xfId="6197"/>
    <cellStyle name="Normal 58 9 2 5 2" xfId="15024"/>
    <cellStyle name="Normal 58 9 2 5 2 2" xfId="40579"/>
    <cellStyle name="Normal 58 9 2 5 3" xfId="25275"/>
    <cellStyle name="Normal 58 9 2 5 3 2" xfId="50828"/>
    <cellStyle name="Normal 58 9 2 5 4" xfId="31758"/>
    <cellStyle name="Normal 58 9 2 6" xfId="7642"/>
    <cellStyle name="Normal 58 9 2 6 2" xfId="20050"/>
    <cellStyle name="Normal 58 9 2 6 2 2" xfId="45603"/>
    <cellStyle name="Normal 58 9 2 6 3" xfId="33199"/>
    <cellStyle name="Normal 58 9 2 7" xfId="16561"/>
    <cellStyle name="Normal 58 9 2 7 2" xfId="42114"/>
    <cellStyle name="Normal 58 9 2 8" xfId="26533"/>
    <cellStyle name="Normal 58 9 3" xfId="927"/>
    <cellStyle name="Normal 58 9 3 2" xfId="3412"/>
    <cellStyle name="Normal 58 9 3 2 2" xfId="12554"/>
    <cellStyle name="Normal 58 9 3 2 2 2" xfId="22773"/>
    <cellStyle name="Normal 58 9 3 2 2 2 2" xfId="48326"/>
    <cellStyle name="Normal 58 9 3 2 2 3" xfId="38109"/>
    <cellStyle name="Normal 58 9 3 2 3" xfId="8976"/>
    <cellStyle name="Normal 58 9 3 2 3 2" xfId="34533"/>
    <cellStyle name="Normal 58 9 3 2 4" xfId="17766"/>
    <cellStyle name="Normal 58 9 3 2 4 2" xfId="43319"/>
    <cellStyle name="Normal 58 9 3 2 5" xfId="29256"/>
    <cellStyle name="Normal 58 9 3 3" xfId="5090"/>
    <cellStyle name="Normal 58 9 3 3 2" xfId="13927"/>
    <cellStyle name="Normal 58 9 3 3 2 2" xfId="24178"/>
    <cellStyle name="Normal 58 9 3 3 2 2 2" xfId="49731"/>
    <cellStyle name="Normal 58 9 3 3 2 3" xfId="39482"/>
    <cellStyle name="Normal 58 9 3 3 3" xfId="10348"/>
    <cellStyle name="Normal 58 9 3 3 3 2" xfId="35905"/>
    <cellStyle name="Normal 58 9 3 3 4" xfId="19171"/>
    <cellStyle name="Normal 58 9 3 3 4 2" xfId="44724"/>
    <cellStyle name="Normal 58 9 3 3 5" xfId="30661"/>
    <cellStyle name="Normal 58 9 3 4" xfId="2521"/>
    <cellStyle name="Normal 58 9 3 4 2" xfId="11886"/>
    <cellStyle name="Normal 58 9 3 4 2 2" xfId="37441"/>
    <cellStyle name="Normal 58 9 3 4 3" xfId="21890"/>
    <cellStyle name="Normal 58 9 3 4 3 2" xfId="47443"/>
    <cellStyle name="Normal 58 9 3 4 4" xfId="28373"/>
    <cellStyle name="Normal 58 9 3 5" xfId="6545"/>
    <cellStyle name="Normal 58 9 3 5 2" xfId="15372"/>
    <cellStyle name="Normal 58 9 3 5 2 2" xfId="40927"/>
    <cellStyle name="Normal 58 9 3 5 3" xfId="25623"/>
    <cellStyle name="Normal 58 9 3 5 3 2" xfId="51176"/>
    <cellStyle name="Normal 58 9 3 5 4" xfId="32106"/>
    <cellStyle name="Normal 58 9 3 6" xfId="7991"/>
    <cellStyle name="Normal 58 9 3 6 2" xfId="20372"/>
    <cellStyle name="Normal 58 9 3 6 2 2" xfId="45925"/>
    <cellStyle name="Normal 58 9 3 6 3" xfId="33548"/>
    <cellStyle name="Normal 58 9 3 7" xfId="16883"/>
    <cellStyle name="Normal 58 9 3 7 2" xfId="42436"/>
    <cellStyle name="Normal 58 9 3 8" xfId="26855"/>
    <cellStyle name="Normal 58 9 4" xfId="1376"/>
    <cellStyle name="Normal 58 9 4 2" xfId="3805"/>
    <cellStyle name="Normal 58 9 4 2 2" xfId="12941"/>
    <cellStyle name="Normal 58 9 4 2 2 2" xfId="23160"/>
    <cellStyle name="Normal 58 9 4 2 2 2 2" xfId="48713"/>
    <cellStyle name="Normal 58 9 4 2 2 3" xfId="38496"/>
    <cellStyle name="Normal 58 9 4 2 3" xfId="9362"/>
    <cellStyle name="Normal 58 9 4 2 3 2" xfId="34919"/>
    <cellStyle name="Normal 58 9 4 2 4" xfId="18153"/>
    <cellStyle name="Normal 58 9 4 2 4 2" xfId="43706"/>
    <cellStyle name="Normal 58 9 4 2 5" xfId="29643"/>
    <cellStyle name="Normal 58 9 4 3" xfId="5468"/>
    <cellStyle name="Normal 58 9 4 3 2" xfId="14305"/>
    <cellStyle name="Normal 58 9 4 3 2 2" xfId="24556"/>
    <cellStyle name="Normal 58 9 4 3 2 2 2" xfId="50109"/>
    <cellStyle name="Normal 58 9 4 3 2 3" xfId="39860"/>
    <cellStyle name="Normal 58 9 4 3 3" xfId="10726"/>
    <cellStyle name="Normal 58 9 4 3 3 2" xfId="36283"/>
    <cellStyle name="Normal 58 9 4 3 4" xfId="19549"/>
    <cellStyle name="Normal 58 9 4 3 4 2" xfId="45102"/>
    <cellStyle name="Normal 58 9 4 3 5" xfId="31039"/>
    <cellStyle name="Normal 58 9 4 4" xfId="1879"/>
    <cellStyle name="Normal 58 9 4 4 2" xfId="11247"/>
    <cellStyle name="Normal 58 9 4 4 2 2" xfId="36802"/>
    <cellStyle name="Normal 58 9 4 4 3" xfId="21251"/>
    <cellStyle name="Normal 58 9 4 4 3 2" xfId="46804"/>
    <cellStyle name="Normal 58 9 4 4 4" xfId="27734"/>
    <cellStyle name="Normal 58 9 4 5" xfId="6923"/>
    <cellStyle name="Normal 58 9 4 5 2" xfId="15750"/>
    <cellStyle name="Normal 58 9 4 5 2 2" xfId="41305"/>
    <cellStyle name="Normal 58 9 4 5 3" xfId="26001"/>
    <cellStyle name="Normal 58 9 4 5 3 2" xfId="51554"/>
    <cellStyle name="Normal 58 9 4 5 4" xfId="32484"/>
    <cellStyle name="Normal 58 9 4 6" xfId="8369"/>
    <cellStyle name="Normal 58 9 4 6 2" xfId="20759"/>
    <cellStyle name="Normal 58 9 4 6 2 2" xfId="46312"/>
    <cellStyle name="Normal 58 9 4 6 3" xfId="33926"/>
    <cellStyle name="Normal 58 9 4 7" xfId="16244"/>
    <cellStyle name="Normal 58 9 4 7 2" xfId="41797"/>
    <cellStyle name="Normal 58 9 4 8" xfId="27242"/>
    <cellStyle name="Normal 58 9 5" xfId="2773"/>
    <cellStyle name="Normal 58 9 5 2" xfId="12090"/>
    <cellStyle name="Normal 58 9 5 2 2" xfId="22134"/>
    <cellStyle name="Normal 58 9 5 2 2 2" xfId="47687"/>
    <cellStyle name="Normal 58 9 5 2 3" xfId="37645"/>
    <cellStyle name="Normal 58 9 5 3" xfId="8394"/>
    <cellStyle name="Normal 58 9 5 3 2" xfId="33951"/>
    <cellStyle name="Normal 58 9 5 4" xfId="17127"/>
    <cellStyle name="Normal 58 9 5 4 2" xfId="42680"/>
    <cellStyle name="Normal 58 9 5 5" xfId="28617"/>
    <cellStyle name="Normal 58 9 6" xfId="4424"/>
    <cellStyle name="Normal 58 9 6 2" xfId="13262"/>
    <cellStyle name="Normal 58 9 6 2 2" xfId="23513"/>
    <cellStyle name="Normal 58 9 6 2 2 2" xfId="49066"/>
    <cellStyle name="Normal 58 9 6 2 3" xfId="38817"/>
    <cellStyle name="Normal 58 9 6 3" xfId="9683"/>
    <cellStyle name="Normal 58 9 6 3 2" xfId="35240"/>
    <cellStyle name="Normal 58 9 6 4" xfId="18506"/>
    <cellStyle name="Normal 58 9 6 4 2" xfId="44059"/>
    <cellStyle name="Normal 58 9 6 5" xfId="29996"/>
    <cellStyle name="Normal 58 9 7" xfId="1696"/>
    <cellStyle name="Normal 58 9 7 2" xfId="11073"/>
    <cellStyle name="Normal 58 9 7 2 2" xfId="36628"/>
    <cellStyle name="Normal 58 9 7 3" xfId="21077"/>
    <cellStyle name="Normal 58 9 7 3 2" xfId="46630"/>
    <cellStyle name="Normal 58 9 7 4" xfId="27560"/>
    <cellStyle name="Normal 58 9 8" xfId="5880"/>
    <cellStyle name="Normal 58 9 8 2" xfId="14707"/>
    <cellStyle name="Normal 58 9 8 2 2" xfId="40262"/>
    <cellStyle name="Normal 58 9 8 3" xfId="24958"/>
    <cellStyle name="Normal 58 9 8 3 2" xfId="50511"/>
    <cellStyle name="Normal 58 9 8 4" xfId="31441"/>
    <cellStyle name="Normal 58 9 9" xfId="7324"/>
    <cellStyle name="Normal 58 9 9 2" xfId="19733"/>
    <cellStyle name="Normal 58 9 9 2 2" xfId="45286"/>
    <cellStyle name="Normal 58 9 9 3" xfId="32881"/>
    <cellStyle name="Normal 58 9_Degree data" xfId="4033"/>
    <cellStyle name="Normal 58_Degree data" xfId="3991"/>
    <cellStyle name="Normal 59" xfId="47"/>
    <cellStyle name="Normal 6" xfId="29"/>
    <cellStyle name="Normal 6 2 2" xfId="46"/>
    <cellStyle name="Normal 6_sreb progression tab 2 redo" xfId="36"/>
    <cellStyle name="Normal 60" xfId="58"/>
    <cellStyle name="Normal 60 2" xfId="928"/>
    <cellStyle name="Normal 60 3" xfId="1713"/>
    <cellStyle name="Normal 60_Degree data" xfId="4034"/>
    <cellStyle name="Normal 61" xfId="59"/>
    <cellStyle name="Normal 61 2" xfId="929"/>
    <cellStyle name="Normal 61 3" xfId="1714"/>
    <cellStyle name="Normal 61_Degree data" xfId="4035"/>
    <cellStyle name="Normal 62" xfId="94"/>
    <cellStyle name="Normal 62 2" xfId="930"/>
    <cellStyle name="Normal 62 3" xfId="1715"/>
    <cellStyle name="Normal 62_Degree data" xfId="4036"/>
    <cellStyle name="Normal 63" xfId="124"/>
    <cellStyle name="Normal 63 10" xfId="1418"/>
    <cellStyle name="Normal 63 10 2" xfId="10795"/>
    <cellStyle name="Normal 63 10 2 2" xfId="36350"/>
    <cellStyle name="Normal 63 10 3" xfId="20799"/>
    <cellStyle name="Normal 63 10 3 2" xfId="46352"/>
    <cellStyle name="Normal 63 10 4" xfId="27282"/>
    <cellStyle name="Normal 63 11" xfId="5602"/>
    <cellStyle name="Normal 63 11 2" xfId="14429"/>
    <cellStyle name="Normal 63 11 2 2" xfId="39984"/>
    <cellStyle name="Normal 63 11 3" xfId="24680"/>
    <cellStyle name="Normal 63 11 3 2" xfId="50233"/>
    <cellStyle name="Normal 63 11 4" xfId="31163"/>
    <cellStyle name="Normal 63 12" xfId="7046"/>
    <cellStyle name="Normal 63 12 2" xfId="19591"/>
    <cellStyle name="Normal 63 12 2 2" xfId="45144"/>
    <cellStyle name="Normal 63 12 3" xfId="32603"/>
    <cellStyle name="Normal 63 13" xfId="15792"/>
    <cellStyle name="Normal 63 13 2" xfId="41345"/>
    <cellStyle name="Normal 63 14" xfId="26074"/>
    <cellStyle name="Normal 63 2" xfId="244"/>
    <cellStyle name="Normal 63 2 10" xfId="7082"/>
    <cellStyle name="Normal 63 2 10 2" xfId="19696"/>
    <cellStyle name="Normal 63 2 10 2 2" xfId="45249"/>
    <cellStyle name="Normal 63 2 10 3" xfId="32639"/>
    <cellStyle name="Normal 63 2 11" xfId="15828"/>
    <cellStyle name="Normal 63 2 11 2" xfId="41381"/>
    <cellStyle name="Normal 63 2 12" xfId="26179"/>
    <cellStyle name="Normal 63 2 2" xfId="567"/>
    <cellStyle name="Normal 63 2 2 10" xfId="26496"/>
    <cellStyle name="Normal 63 2 2 2" xfId="933"/>
    <cellStyle name="Normal 63 2 2 2 2" xfId="3415"/>
    <cellStyle name="Normal 63 2 2 2 2 2" xfId="12557"/>
    <cellStyle name="Normal 63 2 2 2 2 2 2" xfId="22776"/>
    <cellStyle name="Normal 63 2 2 2 2 2 2 2" xfId="48329"/>
    <cellStyle name="Normal 63 2 2 2 2 2 3" xfId="38112"/>
    <cellStyle name="Normal 63 2 2 2 2 3" xfId="8979"/>
    <cellStyle name="Normal 63 2 2 2 2 3 2" xfId="34536"/>
    <cellStyle name="Normal 63 2 2 2 2 4" xfId="17769"/>
    <cellStyle name="Normal 63 2 2 2 2 4 2" xfId="43322"/>
    <cellStyle name="Normal 63 2 2 2 2 5" xfId="29259"/>
    <cellStyle name="Normal 63 2 2 2 3" xfId="4744"/>
    <cellStyle name="Normal 63 2 2 2 3 2" xfId="13582"/>
    <cellStyle name="Normal 63 2 2 2 3 2 2" xfId="23833"/>
    <cellStyle name="Normal 63 2 2 2 3 2 2 2" xfId="49386"/>
    <cellStyle name="Normal 63 2 2 2 3 2 3" xfId="39137"/>
    <cellStyle name="Normal 63 2 2 2 3 3" xfId="10003"/>
    <cellStyle name="Normal 63 2 2 2 3 3 2" xfId="35560"/>
    <cellStyle name="Normal 63 2 2 2 3 4" xfId="18826"/>
    <cellStyle name="Normal 63 2 2 2 3 4 2" xfId="44379"/>
    <cellStyle name="Normal 63 2 2 2 3 5" xfId="30316"/>
    <cellStyle name="Normal 63 2 2 2 4" xfId="2524"/>
    <cellStyle name="Normal 63 2 2 2 4 2" xfId="11889"/>
    <cellStyle name="Normal 63 2 2 2 4 2 2" xfId="37444"/>
    <cellStyle name="Normal 63 2 2 2 4 3" xfId="21893"/>
    <cellStyle name="Normal 63 2 2 2 4 3 2" xfId="47446"/>
    <cellStyle name="Normal 63 2 2 2 4 4" xfId="28376"/>
    <cellStyle name="Normal 63 2 2 2 5" xfId="6200"/>
    <cellStyle name="Normal 63 2 2 2 5 2" xfId="15027"/>
    <cellStyle name="Normal 63 2 2 2 5 2 2" xfId="40582"/>
    <cellStyle name="Normal 63 2 2 2 5 3" xfId="25278"/>
    <cellStyle name="Normal 63 2 2 2 5 3 2" xfId="50831"/>
    <cellStyle name="Normal 63 2 2 2 5 4" xfId="31761"/>
    <cellStyle name="Normal 63 2 2 2 6" xfId="7646"/>
    <cellStyle name="Normal 63 2 2 2 6 2" xfId="20375"/>
    <cellStyle name="Normal 63 2 2 2 6 2 2" xfId="45928"/>
    <cellStyle name="Normal 63 2 2 2 6 3" xfId="33203"/>
    <cellStyle name="Normal 63 2 2 2 7" xfId="16886"/>
    <cellStyle name="Normal 63 2 2 2 7 2" xfId="42439"/>
    <cellStyle name="Normal 63 2 2 2 8" xfId="26858"/>
    <cellStyle name="Normal 63 2 2 3" xfId="1339"/>
    <cellStyle name="Normal 63 2 2 3 2" xfId="3768"/>
    <cellStyle name="Normal 63 2 2 3 2 2" xfId="12904"/>
    <cellStyle name="Normal 63 2 2 3 2 2 2" xfId="23123"/>
    <cellStyle name="Normal 63 2 2 3 2 2 2 2" xfId="48676"/>
    <cellStyle name="Normal 63 2 2 3 2 2 3" xfId="38459"/>
    <cellStyle name="Normal 63 2 2 3 2 3" xfId="9325"/>
    <cellStyle name="Normal 63 2 2 3 2 3 2" xfId="34882"/>
    <cellStyle name="Normal 63 2 2 3 2 4" xfId="18116"/>
    <cellStyle name="Normal 63 2 2 3 2 4 2" xfId="43669"/>
    <cellStyle name="Normal 63 2 2 3 2 5" xfId="29606"/>
    <cellStyle name="Normal 63 2 2 3 3" xfId="5093"/>
    <cellStyle name="Normal 63 2 2 3 3 2" xfId="13930"/>
    <cellStyle name="Normal 63 2 2 3 3 2 2" xfId="24181"/>
    <cellStyle name="Normal 63 2 2 3 3 2 2 2" xfId="49734"/>
    <cellStyle name="Normal 63 2 2 3 3 2 3" xfId="39485"/>
    <cellStyle name="Normal 63 2 2 3 3 3" xfId="10351"/>
    <cellStyle name="Normal 63 2 2 3 3 3 2" xfId="35908"/>
    <cellStyle name="Normal 63 2 2 3 3 4" xfId="19174"/>
    <cellStyle name="Normal 63 2 2 3 3 4 2" xfId="44727"/>
    <cellStyle name="Normal 63 2 2 3 3 5" xfId="30664"/>
    <cellStyle name="Normal 63 2 2 3 4" xfId="2162"/>
    <cellStyle name="Normal 63 2 2 3 4 2" xfId="11527"/>
    <cellStyle name="Normal 63 2 2 3 4 2 2" xfId="37082"/>
    <cellStyle name="Normal 63 2 2 3 4 3" xfId="21531"/>
    <cellStyle name="Normal 63 2 2 3 4 3 2" xfId="47084"/>
    <cellStyle name="Normal 63 2 2 3 4 4" xfId="28014"/>
    <cellStyle name="Normal 63 2 2 3 5" xfId="6548"/>
    <cellStyle name="Normal 63 2 2 3 5 2" xfId="15375"/>
    <cellStyle name="Normal 63 2 2 3 5 2 2" xfId="40930"/>
    <cellStyle name="Normal 63 2 2 3 5 3" xfId="25626"/>
    <cellStyle name="Normal 63 2 2 3 5 3 2" xfId="51179"/>
    <cellStyle name="Normal 63 2 2 3 5 4" xfId="32109"/>
    <cellStyle name="Normal 63 2 2 3 6" xfId="7994"/>
    <cellStyle name="Normal 63 2 2 3 6 2" xfId="20722"/>
    <cellStyle name="Normal 63 2 2 3 6 2 2" xfId="46275"/>
    <cellStyle name="Normal 63 2 2 3 6 3" xfId="33551"/>
    <cellStyle name="Normal 63 2 2 3 7" xfId="16524"/>
    <cellStyle name="Normal 63 2 2 3 7 2" xfId="42077"/>
    <cellStyle name="Normal 63 2 2 3 8" xfId="27205"/>
    <cellStyle name="Normal 63 2 2 4" xfId="3053"/>
    <cellStyle name="Normal 63 2 2 4 2" xfId="5431"/>
    <cellStyle name="Normal 63 2 2 4 2 2" xfId="14268"/>
    <cellStyle name="Normal 63 2 2 4 2 2 2" xfId="24519"/>
    <cellStyle name="Normal 63 2 2 4 2 2 2 2" xfId="50072"/>
    <cellStyle name="Normal 63 2 2 4 2 2 3" xfId="39823"/>
    <cellStyle name="Normal 63 2 2 4 2 3" xfId="10689"/>
    <cellStyle name="Normal 63 2 2 4 2 3 2" xfId="36246"/>
    <cellStyle name="Normal 63 2 2 4 2 4" xfId="19512"/>
    <cellStyle name="Normal 63 2 2 4 2 4 2" xfId="45065"/>
    <cellStyle name="Normal 63 2 2 4 2 5" xfId="31002"/>
    <cellStyle name="Normal 63 2 2 4 3" xfId="6886"/>
    <cellStyle name="Normal 63 2 2 4 3 2" xfId="15713"/>
    <cellStyle name="Normal 63 2 2 4 3 2 2" xfId="41268"/>
    <cellStyle name="Normal 63 2 2 4 3 3" xfId="25964"/>
    <cellStyle name="Normal 63 2 2 4 3 3 2" xfId="51517"/>
    <cellStyle name="Normal 63 2 2 4 3 4" xfId="32447"/>
    <cellStyle name="Normal 63 2 2 4 4" xfId="8332"/>
    <cellStyle name="Normal 63 2 2 4 4 2" xfId="22414"/>
    <cellStyle name="Normal 63 2 2 4 4 2 2" xfId="47967"/>
    <cellStyle name="Normal 63 2 2 4 4 3" xfId="33889"/>
    <cellStyle name="Normal 63 2 2 4 5" xfId="17407"/>
    <cellStyle name="Normal 63 2 2 4 5 2" xfId="42960"/>
    <cellStyle name="Normal 63 2 2 4 6" xfId="28897"/>
    <cellStyle name="Normal 63 2 2 5" xfId="4387"/>
    <cellStyle name="Normal 63 2 2 5 2" xfId="13225"/>
    <cellStyle name="Normal 63 2 2 5 2 2" xfId="23476"/>
    <cellStyle name="Normal 63 2 2 5 2 2 2" xfId="49029"/>
    <cellStyle name="Normal 63 2 2 5 2 3" xfId="38780"/>
    <cellStyle name="Normal 63 2 2 5 3" xfId="9646"/>
    <cellStyle name="Normal 63 2 2 5 3 2" xfId="35203"/>
    <cellStyle name="Normal 63 2 2 5 4" xfId="18469"/>
    <cellStyle name="Normal 63 2 2 5 4 2" xfId="44022"/>
    <cellStyle name="Normal 63 2 2 5 5" xfId="29959"/>
    <cellStyle name="Normal 63 2 2 6" xfId="1659"/>
    <cellStyle name="Normal 63 2 2 6 2" xfId="11036"/>
    <cellStyle name="Normal 63 2 2 6 2 2" xfId="36591"/>
    <cellStyle name="Normal 63 2 2 6 3" xfId="21040"/>
    <cellStyle name="Normal 63 2 2 6 3 2" xfId="46593"/>
    <cellStyle name="Normal 63 2 2 6 4" xfId="27523"/>
    <cellStyle name="Normal 63 2 2 7" xfId="5843"/>
    <cellStyle name="Normal 63 2 2 7 2" xfId="14670"/>
    <cellStyle name="Normal 63 2 2 7 2 2" xfId="40225"/>
    <cellStyle name="Normal 63 2 2 7 3" xfId="24921"/>
    <cellStyle name="Normal 63 2 2 7 3 2" xfId="50474"/>
    <cellStyle name="Normal 63 2 2 7 4" xfId="31404"/>
    <cellStyle name="Normal 63 2 2 8" xfId="7287"/>
    <cellStyle name="Normal 63 2 2 8 2" xfId="20013"/>
    <cellStyle name="Normal 63 2 2 8 2 2" xfId="45566"/>
    <cellStyle name="Normal 63 2 2 8 3" xfId="32844"/>
    <cellStyle name="Normal 63 2 2 9" xfId="16033"/>
    <cellStyle name="Normal 63 2 2 9 2" xfId="41586"/>
    <cellStyle name="Normal 63 2 2_Degree data" xfId="4039"/>
    <cellStyle name="Normal 63 2 3" xfId="362"/>
    <cellStyle name="Normal 63 2 3 2" xfId="2848"/>
    <cellStyle name="Normal 63 2 3 2 2" xfId="12136"/>
    <cellStyle name="Normal 63 2 3 2 2 2" xfId="22209"/>
    <cellStyle name="Normal 63 2 3 2 2 2 2" xfId="47762"/>
    <cellStyle name="Normal 63 2 3 2 2 3" xfId="37691"/>
    <cellStyle name="Normal 63 2 3 2 3" xfId="8579"/>
    <cellStyle name="Normal 63 2 3 2 3 2" xfId="34136"/>
    <cellStyle name="Normal 63 2 3 2 4" xfId="17202"/>
    <cellStyle name="Normal 63 2 3 2 4 2" xfId="42755"/>
    <cellStyle name="Normal 63 2 3 2 5" xfId="28692"/>
    <cellStyle name="Normal 63 2 3 3" xfId="4743"/>
    <cellStyle name="Normal 63 2 3 3 2" xfId="13581"/>
    <cellStyle name="Normal 63 2 3 3 2 2" xfId="23832"/>
    <cellStyle name="Normal 63 2 3 3 2 2 2" xfId="49385"/>
    <cellStyle name="Normal 63 2 3 3 2 3" xfId="39136"/>
    <cellStyle name="Normal 63 2 3 3 3" xfId="10002"/>
    <cellStyle name="Normal 63 2 3 3 3 2" xfId="35559"/>
    <cellStyle name="Normal 63 2 3 3 4" xfId="18825"/>
    <cellStyle name="Normal 63 2 3 3 4 2" xfId="44378"/>
    <cellStyle name="Normal 63 2 3 3 5" xfId="30315"/>
    <cellStyle name="Normal 63 2 3 4" xfId="1957"/>
    <cellStyle name="Normal 63 2 3 4 2" xfId="11322"/>
    <cellStyle name="Normal 63 2 3 4 2 2" xfId="36877"/>
    <cellStyle name="Normal 63 2 3 4 3" xfId="21326"/>
    <cellStyle name="Normal 63 2 3 4 3 2" xfId="46879"/>
    <cellStyle name="Normal 63 2 3 4 4" xfId="27809"/>
    <cellStyle name="Normal 63 2 3 5" xfId="6199"/>
    <cellStyle name="Normal 63 2 3 5 2" xfId="15026"/>
    <cellStyle name="Normal 63 2 3 5 2 2" xfId="40581"/>
    <cellStyle name="Normal 63 2 3 5 3" xfId="25277"/>
    <cellStyle name="Normal 63 2 3 5 3 2" xfId="50830"/>
    <cellStyle name="Normal 63 2 3 5 4" xfId="31760"/>
    <cellStyle name="Normal 63 2 3 6" xfId="7645"/>
    <cellStyle name="Normal 63 2 3 6 2" xfId="19808"/>
    <cellStyle name="Normal 63 2 3 6 2 2" xfId="45361"/>
    <cellStyle name="Normal 63 2 3 6 3" xfId="33202"/>
    <cellStyle name="Normal 63 2 3 7" xfId="16319"/>
    <cellStyle name="Normal 63 2 3 7 2" xfId="41872"/>
    <cellStyle name="Normal 63 2 3 8" xfId="26291"/>
    <cellStyle name="Normal 63 2 4" xfId="932"/>
    <cellStyle name="Normal 63 2 4 2" xfId="3414"/>
    <cellStyle name="Normal 63 2 4 2 2" xfId="12556"/>
    <cellStyle name="Normal 63 2 4 2 2 2" xfId="22775"/>
    <cellStyle name="Normal 63 2 4 2 2 2 2" xfId="48328"/>
    <cellStyle name="Normal 63 2 4 2 2 3" xfId="38111"/>
    <cellStyle name="Normal 63 2 4 2 3" xfId="8978"/>
    <cellStyle name="Normal 63 2 4 2 3 2" xfId="34535"/>
    <cellStyle name="Normal 63 2 4 2 4" xfId="17768"/>
    <cellStyle name="Normal 63 2 4 2 4 2" xfId="43321"/>
    <cellStyle name="Normal 63 2 4 2 5" xfId="29258"/>
    <cellStyle name="Normal 63 2 4 3" xfId="5092"/>
    <cellStyle name="Normal 63 2 4 3 2" xfId="13929"/>
    <cellStyle name="Normal 63 2 4 3 2 2" xfId="24180"/>
    <cellStyle name="Normal 63 2 4 3 2 2 2" xfId="49733"/>
    <cellStyle name="Normal 63 2 4 3 2 3" xfId="39484"/>
    <cellStyle name="Normal 63 2 4 3 3" xfId="10350"/>
    <cellStyle name="Normal 63 2 4 3 3 2" xfId="35907"/>
    <cellStyle name="Normal 63 2 4 3 4" xfId="19173"/>
    <cellStyle name="Normal 63 2 4 3 4 2" xfId="44726"/>
    <cellStyle name="Normal 63 2 4 3 5" xfId="30663"/>
    <cellStyle name="Normal 63 2 4 4" xfId="2523"/>
    <cellStyle name="Normal 63 2 4 4 2" xfId="11888"/>
    <cellStyle name="Normal 63 2 4 4 2 2" xfId="37443"/>
    <cellStyle name="Normal 63 2 4 4 3" xfId="21892"/>
    <cellStyle name="Normal 63 2 4 4 3 2" xfId="47445"/>
    <cellStyle name="Normal 63 2 4 4 4" xfId="28375"/>
    <cellStyle name="Normal 63 2 4 5" xfId="6547"/>
    <cellStyle name="Normal 63 2 4 5 2" xfId="15374"/>
    <cellStyle name="Normal 63 2 4 5 2 2" xfId="40929"/>
    <cellStyle name="Normal 63 2 4 5 3" xfId="25625"/>
    <cellStyle name="Normal 63 2 4 5 3 2" xfId="51178"/>
    <cellStyle name="Normal 63 2 4 5 4" xfId="32108"/>
    <cellStyle name="Normal 63 2 4 6" xfId="7993"/>
    <cellStyle name="Normal 63 2 4 6 2" xfId="20374"/>
    <cellStyle name="Normal 63 2 4 6 2 2" xfId="45927"/>
    <cellStyle name="Normal 63 2 4 6 3" xfId="33550"/>
    <cellStyle name="Normal 63 2 4 7" xfId="16885"/>
    <cellStyle name="Normal 63 2 4 7 2" xfId="42438"/>
    <cellStyle name="Normal 63 2 4 8" xfId="26857"/>
    <cellStyle name="Normal 63 2 5" xfId="1134"/>
    <cellStyle name="Normal 63 2 5 2" xfId="3563"/>
    <cellStyle name="Normal 63 2 5 2 2" xfId="12699"/>
    <cellStyle name="Normal 63 2 5 2 2 2" xfId="22918"/>
    <cellStyle name="Normal 63 2 5 2 2 2 2" xfId="48471"/>
    <cellStyle name="Normal 63 2 5 2 2 3" xfId="38254"/>
    <cellStyle name="Normal 63 2 5 2 3" xfId="9120"/>
    <cellStyle name="Normal 63 2 5 2 3 2" xfId="34677"/>
    <cellStyle name="Normal 63 2 5 2 4" xfId="17911"/>
    <cellStyle name="Normal 63 2 5 2 4 2" xfId="43464"/>
    <cellStyle name="Normal 63 2 5 2 5" xfId="29401"/>
    <cellStyle name="Normal 63 2 5 3" xfId="5226"/>
    <cellStyle name="Normal 63 2 5 3 2" xfId="14063"/>
    <cellStyle name="Normal 63 2 5 3 2 2" xfId="24314"/>
    <cellStyle name="Normal 63 2 5 3 2 2 2" xfId="49867"/>
    <cellStyle name="Normal 63 2 5 3 2 3" xfId="39618"/>
    <cellStyle name="Normal 63 2 5 3 3" xfId="10484"/>
    <cellStyle name="Normal 63 2 5 3 3 2" xfId="36041"/>
    <cellStyle name="Normal 63 2 5 3 4" xfId="19307"/>
    <cellStyle name="Normal 63 2 5 3 4 2" xfId="44860"/>
    <cellStyle name="Normal 63 2 5 3 5" xfId="30797"/>
    <cellStyle name="Normal 63 2 5 4" xfId="1842"/>
    <cellStyle name="Normal 63 2 5 4 2" xfId="11210"/>
    <cellStyle name="Normal 63 2 5 4 2 2" xfId="36765"/>
    <cellStyle name="Normal 63 2 5 4 3" xfId="21214"/>
    <cellStyle name="Normal 63 2 5 4 3 2" xfId="46767"/>
    <cellStyle name="Normal 63 2 5 4 4" xfId="27697"/>
    <cellStyle name="Normal 63 2 5 5" xfId="6681"/>
    <cellStyle name="Normal 63 2 5 5 2" xfId="15508"/>
    <cellStyle name="Normal 63 2 5 5 2 2" xfId="41063"/>
    <cellStyle name="Normal 63 2 5 5 3" xfId="25759"/>
    <cellStyle name="Normal 63 2 5 5 3 2" xfId="51312"/>
    <cellStyle name="Normal 63 2 5 5 4" xfId="32242"/>
    <cellStyle name="Normal 63 2 5 6" xfId="8127"/>
    <cellStyle name="Normal 63 2 5 6 2" xfId="20517"/>
    <cellStyle name="Normal 63 2 5 6 2 2" xfId="46070"/>
    <cellStyle name="Normal 63 2 5 6 3" xfId="33684"/>
    <cellStyle name="Normal 63 2 5 7" xfId="16207"/>
    <cellStyle name="Normal 63 2 5 7 2" xfId="41760"/>
    <cellStyle name="Normal 63 2 5 8" xfId="27000"/>
    <cellStyle name="Normal 63 2 6" xfId="2736"/>
    <cellStyle name="Normal 63 2 6 2" xfId="12053"/>
    <cellStyle name="Normal 63 2 6 2 2" xfId="22097"/>
    <cellStyle name="Normal 63 2 6 2 2 2" xfId="47650"/>
    <cellStyle name="Normal 63 2 6 2 3" xfId="37608"/>
    <cellStyle name="Normal 63 2 6 3" xfId="8584"/>
    <cellStyle name="Normal 63 2 6 3 2" xfId="34141"/>
    <cellStyle name="Normal 63 2 6 4" xfId="17090"/>
    <cellStyle name="Normal 63 2 6 4 2" xfId="42643"/>
    <cellStyle name="Normal 63 2 6 5" xfId="28580"/>
    <cellStyle name="Normal 63 2 7" xfId="4182"/>
    <cellStyle name="Normal 63 2 7 2" xfId="13020"/>
    <cellStyle name="Normal 63 2 7 2 2" xfId="23271"/>
    <cellStyle name="Normal 63 2 7 2 2 2" xfId="48824"/>
    <cellStyle name="Normal 63 2 7 2 3" xfId="38575"/>
    <cellStyle name="Normal 63 2 7 3" xfId="9441"/>
    <cellStyle name="Normal 63 2 7 3 2" xfId="34998"/>
    <cellStyle name="Normal 63 2 7 4" xfId="18264"/>
    <cellStyle name="Normal 63 2 7 4 2" xfId="43817"/>
    <cellStyle name="Normal 63 2 7 5" xfId="29754"/>
    <cellStyle name="Normal 63 2 8" xfId="1454"/>
    <cellStyle name="Normal 63 2 8 2" xfId="10831"/>
    <cellStyle name="Normal 63 2 8 2 2" xfId="36386"/>
    <cellStyle name="Normal 63 2 8 3" xfId="20835"/>
    <cellStyle name="Normal 63 2 8 3 2" xfId="46388"/>
    <cellStyle name="Normal 63 2 8 4" xfId="27318"/>
    <cellStyle name="Normal 63 2 9" xfId="5638"/>
    <cellStyle name="Normal 63 2 9 2" xfId="14465"/>
    <cellStyle name="Normal 63 2 9 2 2" xfId="40020"/>
    <cellStyle name="Normal 63 2 9 3" xfId="24716"/>
    <cellStyle name="Normal 63 2 9 3 2" xfId="50269"/>
    <cellStyle name="Normal 63 2 9 4" xfId="31199"/>
    <cellStyle name="Normal 63 2_Degree data" xfId="4038"/>
    <cellStyle name="Normal 63 3" xfId="219"/>
    <cellStyle name="Normal 63 3 10" xfId="16010"/>
    <cellStyle name="Normal 63 3 10 2" xfId="41563"/>
    <cellStyle name="Normal 63 3 11" xfId="26156"/>
    <cellStyle name="Normal 63 3 2" xfId="544"/>
    <cellStyle name="Normal 63 3 2 2" xfId="3030"/>
    <cellStyle name="Normal 63 3 2 2 2" xfId="12218"/>
    <cellStyle name="Normal 63 3 2 2 2 2" xfId="22391"/>
    <cellStyle name="Normal 63 3 2 2 2 2 2" xfId="47944"/>
    <cellStyle name="Normal 63 3 2 2 2 3" xfId="37773"/>
    <cellStyle name="Normal 63 3 2 2 3" xfId="8576"/>
    <cellStyle name="Normal 63 3 2 2 3 2" xfId="34133"/>
    <cellStyle name="Normal 63 3 2 2 4" xfId="17384"/>
    <cellStyle name="Normal 63 3 2 2 4 2" xfId="42937"/>
    <cellStyle name="Normal 63 3 2 2 5" xfId="28874"/>
    <cellStyle name="Normal 63 3 2 3" xfId="4745"/>
    <cellStyle name="Normal 63 3 2 3 2" xfId="13583"/>
    <cellStyle name="Normal 63 3 2 3 2 2" xfId="23834"/>
    <cellStyle name="Normal 63 3 2 3 2 2 2" xfId="49387"/>
    <cellStyle name="Normal 63 3 2 3 2 3" xfId="39138"/>
    <cellStyle name="Normal 63 3 2 3 3" xfId="10004"/>
    <cellStyle name="Normal 63 3 2 3 3 2" xfId="35561"/>
    <cellStyle name="Normal 63 3 2 3 4" xfId="18827"/>
    <cellStyle name="Normal 63 3 2 3 4 2" xfId="44380"/>
    <cellStyle name="Normal 63 3 2 3 5" xfId="30317"/>
    <cellStyle name="Normal 63 3 2 4" xfId="2139"/>
    <cellStyle name="Normal 63 3 2 4 2" xfId="11504"/>
    <cellStyle name="Normal 63 3 2 4 2 2" xfId="37059"/>
    <cellStyle name="Normal 63 3 2 4 3" xfId="21508"/>
    <cellStyle name="Normal 63 3 2 4 3 2" xfId="47061"/>
    <cellStyle name="Normal 63 3 2 4 4" xfId="27991"/>
    <cellStyle name="Normal 63 3 2 5" xfId="6201"/>
    <cellStyle name="Normal 63 3 2 5 2" xfId="15028"/>
    <cellStyle name="Normal 63 3 2 5 2 2" xfId="40583"/>
    <cellStyle name="Normal 63 3 2 5 3" xfId="25279"/>
    <cellStyle name="Normal 63 3 2 5 3 2" xfId="50832"/>
    <cellStyle name="Normal 63 3 2 5 4" xfId="31762"/>
    <cellStyle name="Normal 63 3 2 6" xfId="7647"/>
    <cellStyle name="Normal 63 3 2 6 2" xfId="19990"/>
    <cellStyle name="Normal 63 3 2 6 2 2" xfId="45543"/>
    <cellStyle name="Normal 63 3 2 6 3" xfId="33204"/>
    <cellStyle name="Normal 63 3 2 7" xfId="16501"/>
    <cellStyle name="Normal 63 3 2 7 2" xfId="42054"/>
    <cellStyle name="Normal 63 3 2 8" xfId="26473"/>
    <cellStyle name="Normal 63 3 3" xfId="934"/>
    <cellStyle name="Normal 63 3 3 2" xfId="3416"/>
    <cellStyle name="Normal 63 3 3 2 2" xfId="12558"/>
    <cellStyle name="Normal 63 3 3 2 2 2" xfId="22777"/>
    <cellStyle name="Normal 63 3 3 2 2 2 2" xfId="48330"/>
    <cellStyle name="Normal 63 3 3 2 2 3" xfId="38113"/>
    <cellStyle name="Normal 63 3 3 2 3" xfId="8980"/>
    <cellStyle name="Normal 63 3 3 2 3 2" xfId="34537"/>
    <cellStyle name="Normal 63 3 3 2 4" xfId="17770"/>
    <cellStyle name="Normal 63 3 3 2 4 2" xfId="43323"/>
    <cellStyle name="Normal 63 3 3 2 5" xfId="29260"/>
    <cellStyle name="Normal 63 3 3 3" xfId="5094"/>
    <cellStyle name="Normal 63 3 3 3 2" xfId="13931"/>
    <cellStyle name="Normal 63 3 3 3 2 2" xfId="24182"/>
    <cellStyle name="Normal 63 3 3 3 2 2 2" xfId="49735"/>
    <cellStyle name="Normal 63 3 3 3 2 3" xfId="39486"/>
    <cellStyle name="Normal 63 3 3 3 3" xfId="10352"/>
    <cellStyle name="Normal 63 3 3 3 3 2" xfId="35909"/>
    <cellStyle name="Normal 63 3 3 3 4" xfId="19175"/>
    <cellStyle name="Normal 63 3 3 3 4 2" xfId="44728"/>
    <cellStyle name="Normal 63 3 3 3 5" xfId="30665"/>
    <cellStyle name="Normal 63 3 3 4" xfId="2525"/>
    <cellStyle name="Normal 63 3 3 4 2" xfId="11890"/>
    <cellStyle name="Normal 63 3 3 4 2 2" xfId="37445"/>
    <cellStyle name="Normal 63 3 3 4 3" xfId="21894"/>
    <cellStyle name="Normal 63 3 3 4 3 2" xfId="47447"/>
    <cellStyle name="Normal 63 3 3 4 4" xfId="28377"/>
    <cellStyle name="Normal 63 3 3 5" xfId="6549"/>
    <cellStyle name="Normal 63 3 3 5 2" xfId="15376"/>
    <cellStyle name="Normal 63 3 3 5 2 2" xfId="40931"/>
    <cellStyle name="Normal 63 3 3 5 3" xfId="25627"/>
    <cellStyle name="Normal 63 3 3 5 3 2" xfId="51180"/>
    <cellStyle name="Normal 63 3 3 5 4" xfId="32110"/>
    <cellStyle name="Normal 63 3 3 6" xfId="7995"/>
    <cellStyle name="Normal 63 3 3 6 2" xfId="20376"/>
    <cellStyle name="Normal 63 3 3 6 2 2" xfId="45929"/>
    <cellStyle name="Normal 63 3 3 6 3" xfId="33552"/>
    <cellStyle name="Normal 63 3 3 7" xfId="16887"/>
    <cellStyle name="Normal 63 3 3 7 2" xfId="42440"/>
    <cellStyle name="Normal 63 3 3 8" xfId="26859"/>
    <cellStyle name="Normal 63 3 4" xfId="1316"/>
    <cellStyle name="Normal 63 3 4 2" xfId="3745"/>
    <cellStyle name="Normal 63 3 4 2 2" xfId="12881"/>
    <cellStyle name="Normal 63 3 4 2 2 2" xfId="23100"/>
    <cellStyle name="Normal 63 3 4 2 2 2 2" xfId="48653"/>
    <cellStyle name="Normal 63 3 4 2 2 3" xfId="38436"/>
    <cellStyle name="Normal 63 3 4 2 3" xfId="9302"/>
    <cellStyle name="Normal 63 3 4 2 3 2" xfId="34859"/>
    <cellStyle name="Normal 63 3 4 2 4" xfId="18093"/>
    <cellStyle name="Normal 63 3 4 2 4 2" xfId="43646"/>
    <cellStyle name="Normal 63 3 4 2 5" xfId="29583"/>
    <cellStyle name="Normal 63 3 4 3" xfId="5408"/>
    <cellStyle name="Normal 63 3 4 3 2" xfId="14245"/>
    <cellStyle name="Normal 63 3 4 3 2 2" xfId="24496"/>
    <cellStyle name="Normal 63 3 4 3 2 2 2" xfId="50049"/>
    <cellStyle name="Normal 63 3 4 3 2 3" xfId="39800"/>
    <cellStyle name="Normal 63 3 4 3 3" xfId="10666"/>
    <cellStyle name="Normal 63 3 4 3 3 2" xfId="36223"/>
    <cellStyle name="Normal 63 3 4 3 4" xfId="19489"/>
    <cellStyle name="Normal 63 3 4 3 4 2" xfId="45042"/>
    <cellStyle name="Normal 63 3 4 3 5" xfId="30979"/>
    <cellStyle name="Normal 63 3 4 4" xfId="1819"/>
    <cellStyle name="Normal 63 3 4 4 2" xfId="11187"/>
    <cellStyle name="Normal 63 3 4 4 2 2" xfId="36742"/>
    <cellStyle name="Normal 63 3 4 4 3" xfId="21191"/>
    <cellStyle name="Normal 63 3 4 4 3 2" xfId="46744"/>
    <cellStyle name="Normal 63 3 4 4 4" xfId="27674"/>
    <cellStyle name="Normal 63 3 4 5" xfId="6863"/>
    <cellStyle name="Normal 63 3 4 5 2" xfId="15690"/>
    <cellStyle name="Normal 63 3 4 5 2 2" xfId="41245"/>
    <cellStyle name="Normal 63 3 4 5 3" xfId="25941"/>
    <cellStyle name="Normal 63 3 4 5 3 2" xfId="51494"/>
    <cellStyle name="Normal 63 3 4 5 4" xfId="32424"/>
    <cellStyle name="Normal 63 3 4 6" xfId="8309"/>
    <cellStyle name="Normal 63 3 4 6 2" xfId="20699"/>
    <cellStyle name="Normal 63 3 4 6 2 2" xfId="46252"/>
    <cellStyle name="Normal 63 3 4 6 3" xfId="33866"/>
    <cellStyle name="Normal 63 3 4 7" xfId="16184"/>
    <cellStyle name="Normal 63 3 4 7 2" xfId="41737"/>
    <cellStyle name="Normal 63 3 4 8" xfId="27182"/>
    <cellStyle name="Normal 63 3 5" xfId="2713"/>
    <cellStyle name="Normal 63 3 5 2" xfId="12030"/>
    <cellStyle name="Normal 63 3 5 2 2" xfId="22074"/>
    <cellStyle name="Normal 63 3 5 2 2 2" xfId="47627"/>
    <cellStyle name="Normal 63 3 5 2 3" xfId="37585"/>
    <cellStyle name="Normal 63 3 5 3" xfId="8553"/>
    <cellStyle name="Normal 63 3 5 3 2" xfId="34110"/>
    <cellStyle name="Normal 63 3 5 4" xfId="17067"/>
    <cellStyle name="Normal 63 3 5 4 2" xfId="42620"/>
    <cellStyle name="Normal 63 3 5 5" xfId="28557"/>
    <cellStyle name="Normal 63 3 6" xfId="4364"/>
    <cellStyle name="Normal 63 3 6 2" xfId="13202"/>
    <cellStyle name="Normal 63 3 6 2 2" xfId="23453"/>
    <cellStyle name="Normal 63 3 6 2 2 2" xfId="49006"/>
    <cellStyle name="Normal 63 3 6 2 3" xfId="38757"/>
    <cellStyle name="Normal 63 3 6 3" xfId="9623"/>
    <cellStyle name="Normal 63 3 6 3 2" xfId="35180"/>
    <cellStyle name="Normal 63 3 6 4" xfId="18446"/>
    <cellStyle name="Normal 63 3 6 4 2" xfId="43999"/>
    <cellStyle name="Normal 63 3 6 5" xfId="29936"/>
    <cellStyle name="Normal 63 3 7" xfId="1636"/>
    <cellStyle name="Normal 63 3 7 2" xfId="11013"/>
    <cellStyle name="Normal 63 3 7 2 2" xfId="36568"/>
    <cellStyle name="Normal 63 3 7 3" xfId="21017"/>
    <cellStyle name="Normal 63 3 7 3 2" xfId="46570"/>
    <cellStyle name="Normal 63 3 7 4" xfId="27500"/>
    <cellStyle name="Normal 63 3 8" xfId="5820"/>
    <cellStyle name="Normal 63 3 8 2" xfId="14647"/>
    <cellStyle name="Normal 63 3 8 2 2" xfId="40202"/>
    <cellStyle name="Normal 63 3 8 3" xfId="24898"/>
    <cellStyle name="Normal 63 3 8 3 2" xfId="50451"/>
    <cellStyle name="Normal 63 3 8 4" xfId="31381"/>
    <cellStyle name="Normal 63 3 9" xfId="7264"/>
    <cellStyle name="Normal 63 3 9 2" xfId="19673"/>
    <cellStyle name="Normal 63 3 9 2 2" xfId="45226"/>
    <cellStyle name="Normal 63 3 9 3" xfId="32821"/>
    <cellStyle name="Normal 63 3_Degree data" xfId="4040"/>
    <cellStyle name="Normal 63 4" xfId="462"/>
    <cellStyle name="Normal 63 4 10" xfId="26391"/>
    <cellStyle name="Normal 63 4 2" xfId="935"/>
    <cellStyle name="Normal 63 4 2 2" xfId="3417"/>
    <cellStyle name="Normal 63 4 2 2 2" xfId="12559"/>
    <cellStyle name="Normal 63 4 2 2 2 2" xfId="22778"/>
    <cellStyle name="Normal 63 4 2 2 2 2 2" xfId="48331"/>
    <cellStyle name="Normal 63 4 2 2 2 3" xfId="38114"/>
    <cellStyle name="Normal 63 4 2 2 3" xfId="8981"/>
    <cellStyle name="Normal 63 4 2 2 3 2" xfId="34538"/>
    <cellStyle name="Normal 63 4 2 2 4" xfId="17771"/>
    <cellStyle name="Normal 63 4 2 2 4 2" xfId="43324"/>
    <cellStyle name="Normal 63 4 2 2 5" xfId="29261"/>
    <cellStyle name="Normal 63 4 2 3" xfId="4746"/>
    <cellStyle name="Normal 63 4 2 3 2" xfId="13584"/>
    <cellStyle name="Normal 63 4 2 3 2 2" xfId="23835"/>
    <cellStyle name="Normal 63 4 2 3 2 2 2" xfId="49388"/>
    <cellStyle name="Normal 63 4 2 3 2 3" xfId="39139"/>
    <cellStyle name="Normal 63 4 2 3 3" xfId="10005"/>
    <cellStyle name="Normal 63 4 2 3 3 2" xfId="35562"/>
    <cellStyle name="Normal 63 4 2 3 4" xfId="18828"/>
    <cellStyle name="Normal 63 4 2 3 4 2" xfId="44381"/>
    <cellStyle name="Normal 63 4 2 3 5" xfId="30318"/>
    <cellStyle name="Normal 63 4 2 4" xfId="2526"/>
    <cellStyle name="Normal 63 4 2 4 2" xfId="11891"/>
    <cellStyle name="Normal 63 4 2 4 2 2" xfId="37446"/>
    <cellStyle name="Normal 63 4 2 4 3" xfId="21895"/>
    <cellStyle name="Normal 63 4 2 4 3 2" xfId="47448"/>
    <cellStyle name="Normal 63 4 2 4 4" xfId="28378"/>
    <cellStyle name="Normal 63 4 2 5" xfId="6202"/>
    <cellStyle name="Normal 63 4 2 5 2" xfId="15029"/>
    <cellStyle name="Normal 63 4 2 5 2 2" xfId="40584"/>
    <cellStyle name="Normal 63 4 2 5 3" xfId="25280"/>
    <cellStyle name="Normal 63 4 2 5 3 2" xfId="50833"/>
    <cellStyle name="Normal 63 4 2 5 4" xfId="31763"/>
    <cellStyle name="Normal 63 4 2 6" xfId="7648"/>
    <cellStyle name="Normal 63 4 2 6 2" xfId="20377"/>
    <cellStyle name="Normal 63 4 2 6 2 2" xfId="45930"/>
    <cellStyle name="Normal 63 4 2 6 3" xfId="33205"/>
    <cellStyle name="Normal 63 4 2 7" xfId="16888"/>
    <cellStyle name="Normal 63 4 2 7 2" xfId="42441"/>
    <cellStyle name="Normal 63 4 2 8" xfId="26860"/>
    <cellStyle name="Normal 63 4 3" xfId="1234"/>
    <cellStyle name="Normal 63 4 3 2" xfId="3663"/>
    <cellStyle name="Normal 63 4 3 2 2" xfId="12799"/>
    <cellStyle name="Normal 63 4 3 2 2 2" xfId="23018"/>
    <cellStyle name="Normal 63 4 3 2 2 2 2" xfId="48571"/>
    <cellStyle name="Normal 63 4 3 2 2 3" xfId="38354"/>
    <cellStyle name="Normal 63 4 3 2 3" xfId="9220"/>
    <cellStyle name="Normal 63 4 3 2 3 2" xfId="34777"/>
    <cellStyle name="Normal 63 4 3 2 4" xfId="18011"/>
    <cellStyle name="Normal 63 4 3 2 4 2" xfId="43564"/>
    <cellStyle name="Normal 63 4 3 2 5" xfId="29501"/>
    <cellStyle name="Normal 63 4 3 3" xfId="5095"/>
    <cellStyle name="Normal 63 4 3 3 2" xfId="13932"/>
    <cellStyle name="Normal 63 4 3 3 2 2" xfId="24183"/>
    <cellStyle name="Normal 63 4 3 3 2 2 2" xfId="49736"/>
    <cellStyle name="Normal 63 4 3 3 2 3" xfId="39487"/>
    <cellStyle name="Normal 63 4 3 3 3" xfId="10353"/>
    <cellStyle name="Normal 63 4 3 3 3 2" xfId="35910"/>
    <cellStyle name="Normal 63 4 3 3 4" xfId="19176"/>
    <cellStyle name="Normal 63 4 3 3 4 2" xfId="44729"/>
    <cellStyle name="Normal 63 4 3 3 5" xfId="30666"/>
    <cellStyle name="Normal 63 4 3 4" xfId="2057"/>
    <cellStyle name="Normal 63 4 3 4 2" xfId="11422"/>
    <cellStyle name="Normal 63 4 3 4 2 2" xfId="36977"/>
    <cellStyle name="Normal 63 4 3 4 3" xfId="21426"/>
    <cellStyle name="Normal 63 4 3 4 3 2" xfId="46979"/>
    <cellStyle name="Normal 63 4 3 4 4" xfId="27909"/>
    <cellStyle name="Normal 63 4 3 5" xfId="6550"/>
    <cellStyle name="Normal 63 4 3 5 2" xfId="15377"/>
    <cellStyle name="Normal 63 4 3 5 2 2" xfId="40932"/>
    <cellStyle name="Normal 63 4 3 5 3" xfId="25628"/>
    <cellStyle name="Normal 63 4 3 5 3 2" xfId="51181"/>
    <cellStyle name="Normal 63 4 3 5 4" xfId="32111"/>
    <cellStyle name="Normal 63 4 3 6" xfId="7996"/>
    <cellStyle name="Normal 63 4 3 6 2" xfId="20617"/>
    <cellStyle name="Normal 63 4 3 6 2 2" xfId="46170"/>
    <cellStyle name="Normal 63 4 3 6 3" xfId="33553"/>
    <cellStyle name="Normal 63 4 3 7" xfId="16419"/>
    <cellStyle name="Normal 63 4 3 7 2" xfId="41972"/>
    <cellStyle name="Normal 63 4 3 8" xfId="27100"/>
    <cellStyle name="Normal 63 4 4" xfId="2948"/>
    <cellStyle name="Normal 63 4 4 2" xfId="5326"/>
    <cellStyle name="Normal 63 4 4 2 2" xfId="14163"/>
    <cellStyle name="Normal 63 4 4 2 2 2" xfId="24414"/>
    <cellStyle name="Normal 63 4 4 2 2 2 2" xfId="49967"/>
    <cellStyle name="Normal 63 4 4 2 2 3" xfId="39718"/>
    <cellStyle name="Normal 63 4 4 2 3" xfId="10584"/>
    <cellStyle name="Normal 63 4 4 2 3 2" xfId="36141"/>
    <cellStyle name="Normal 63 4 4 2 4" xfId="19407"/>
    <cellStyle name="Normal 63 4 4 2 4 2" xfId="44960"/>
    <cellStyle name="Normal 63 4 4 2 5" xfId="30897"/>
    <cellStyle name="Normal 63 4 4 3" xfId="6781"/>
    <cellStyle name="Normal 63 4 4 3 2" xfId="15608"/>
    <cellStyle name="Normal 63 4 4 3 2 2" xfId="41163"/>
    <cellStyle name="Normal 63 4 4 3 3" xfId="25859"/>
    <cellStyle name="Normal 63 4 4 3 3 2" xfId="51412"/>
    <cellStyle name="Normal 63 4 4 3 4" xfId="32342"/>
    <cellStyle name="Normal 63 4 4 4" xfId="8227"/>
    <cellStyle name="Normal 63 4 4 4 2" xfId="22309"/>
    <cellStyle name="Normal 63 4 4 4 2 2" xfId="47862"/>
    <cellStyle name="Normal 63 4 4 4 3" xfId="33784"/>
    <cellStyle name="Normal 63 4 4 5" xfId="17302"/>
    <cellStyle name="Normal 63 4 4 5 2" xfId="42855"/>
    <cellStyle name="Normal 63 4 4 6" xfId="28792"/>
    <cellStyle name="Normal 63 4 5" xfId="4282"/>
    <cellStyle name="Normal 63 4 5 2" xfId="13120"/>
    <cellStyle name="Normal 63 4 5 2 2" xfId="23371"/>
    <cellStyle name="Normal 63 4 5 2 2 2" xfId="48924"/>
    <cellStyle name="Normal 63 4 5 2 3" xfId="38675"/>
    <cellStyle name="Normal 63 4 5 3" xfId="9541"/>
    <cellStyle name="Normal 63 4 5 3 2" xfId="35098"/>
    <cellStyle name="Normal 63 4 5 4" xfId="18364"/>
    <cellStyle name="Normal 63 4 5 4 2" xfId="43917"/>
    <cellStyle name="Normal 63 4 5 5" xfId="29854"/>
    <cellStyle name="Normal 63 4 6" xfId="1554"/>
    <cellStyle name="Normal 63 4 6 2" xfId="10931"/>
    <cellStyle name="Normal 63 4 6 2 2" xfId="36486"/>
    <cellStyle name="Normal 63 4 6 3" xfId="20935"/>
    <cellStyle name="Normal 63 4 6 3 2" xfId="46488"/>
    <cellStyle name="Normal 63 4 6 4" xfId="27418"/>
    <cellStyle name="Normal 63 4 7" xfId="5738"/>
    <cellStyle name="Normal 63 4 7 2" xfId="14565"/>
    <cellStyle name="Normal 63 4 7 2 2" xfId="40120"/>
    <cellStyle name="Normal 63 4 7 3" xfId="24816"/>
    <cellStyle name="Normal 63 4 7 3 2" xfId="50369"/>
    <cellStyle name="Normal 63 4 7 4" xfId="31299"/>
    <cellStyle name="Normal 63 4 8" xfId="7182"/>
    <cellStyle name="Normal 63 4 8 2" xfId="19908"/>
    <cellStyle name="Normal 63 4 8 2 2" xfId="45461"/>
    <cellStyle name="Normal 63 4 8 3" xfId="32739"/>
    <cellStyle name="Normal 63 4 9" xfId="15928"/>
    <cellStyle name="Normal 63 4 9 2" xfId="41481"/>
    <cellStyle name="Normal 63 4_Degree data" xfId="4041"/>
    <cellStyle name="Normal 63 5" xfId="326"/>
    <cellStyle name="Normal 63 5 2" xfId="2812"/>
    <cellStyle name="Normal 63 5 2 2" xfId="12112"/>
    <cellStyle name="Normal 63 5 2 2 2" xfId="22173"/>
    <cellStyle name="Normal 63 5 2 2 2 2" xfId="47726"/>
    <cellStyle name="Normal 63 5 2 2 3" xfId="37667"/>
    <cellStyle name="Normal 63 5 2 3" xfId="8472"/>
    <cellStyle name="Normal 63 5 2 3 2" xfId="34029"/>
    <cellStyle name="Normal 63 5 2 4" xfId="17166"/>
    <cellStyle name="Normal 63 5 2 4 2" xfId="42719"/>
    <cellStyle name="Normal 63 5 2 5" xfId="28656"/>
    <cellStyle name="Normal 63 5 3" xfId="4742"/>
    <cellStyle name="Normal 63 5 3 2" xfId="13580"/>
    <cellStyle name="Normal 63 5 3 2 2" xfId="23831"/>
    <cellStyle name="Normal 63 5 3 2 2 2" xfId="49384"/>
    <cellStyle name="Normal 63 5 3 2 3" xfId="39135"/>
    <cellStyle name="Normal 63 5 3 3" xfId="10001"/>
    <cellStyle name="Normal 63 5 3 3 2" xfId="35558"/>
    <cellStyle name="Normal 63 5 3 4" xfId="18824"/>
    <cellStyle name="Normal 63 5 3 4 2" xfId="44377"/>
    <cellStyle name="Normal 63 5 3 5" xfId="30314"/>
    <cellStyle name="Normal 63 5 4" xfId="1921"/>
    <cellStyle name="Normal 63 5 4 2" xfId="11286"/>
    <cellStyle name="Normal 63 5 4 2 2" xfId="36841"/>
    <cellStyle name="Normal 63 5 4 3" xfId="21290"/>
    <cellStyle name="Normal 63 5 4 3 2" xfId="46843"/>
    <cellStyle name="Normal 63 5 4 4" xfId="27773"/>
    <cellStyle name="Normal 63 5 5" xfId="6198"/>
    <cellStyle name="Normal 63 5 5 2" xfId="15025"/>
    <cellStyle name="Normal 63 5 5 2 2" xfId="40580"/>
    <cellStyle name="Normal 63 5 5 3" xfId="25276"/>
    <cellStyle name="Normal 63 5 5 3 2" xfId="50829"/>
    <cellStyle name="Normal 63 5 5 4" xfId="31759"/>
    <cellStyle name="Normal 63 5 6" xfId="7644"/>
    <cellStyle name="Normal 63 5 6 2" xfId="19772"/>
    <cellStyle name="Normal 63 5 6 2 2" xfId="45325"/>
    <cellStyle name="Normal 63 5 6 3" xfId="33201"/>
    <cellStyle name="Normal 63 5 7" xfId="16283"/>
    <cellStyle name="Normal 63 5 7 2" xfId="41836"/>
    <cellStyle name="Normal 63 5 8" xfId="26255"/>
    <cellStyle name="Normal 63 6" xfId="931"/>
    <cellStyle name="Normal 63 6 2" xfId="3413"/>
    <cellStyle name="Normal 63 6 2 2" xfId="12555"/>
    <cellStyle name="Normal 63 6 2 2 2" xfId="22774"/>
    <cellStyle name="Normal 63 6 2 2 2 2" xfId="48327"/>
    <cellStyle name="Normal 63 6 2 2 3" xfId="38110"/>
    <cellStyle name="Normal 63 6 2 3" xfId="8977"/>
    <cellStyle name="Normal 63 6 2 3 2" xfId="34534"/>
    <cellStyle name="Normal 63 6 2 4" xfId="17767"/>
    <cellStyle name="Normal 63 6 2 4 2" xfId="43320"/>
    <cellStyle name="Normal 63 6 2 5" xfId="29257"/>
    <cellStyle name="Normal 63 6 3" xfId="5091"/>
    <cellStyle name="Normal 63 6 3 2" xfId="13928"/>
    <cellStyle name="Normal 63 6 3 2 2" xfId="24179"/>
    <cellStyle name="Normal 63 6 3 2 2 2" xfId="49732"/>
    <cellStyle name="Normal 63 6 3 2 3" xfId="39483"/>
    <cellStyle name="Normal 63 6 3 3" xfId="10349"/>
    <cellStyle name="Normal 63 6 3 3 2" xfId="35906"/>
    <cellStyle name="Normal 63 6 3 4" xfId="19172"/>
    <cellStyle name="Normal 63 6 3 4 2" xfId="44725"/>
    <cellStyle name="Normal 63 6 3 5" xfId="30662"/>
    <cellStyle name="Normal 63 6 4" xfId="2522"/>
    <cellStyle name="Normal 63 6 4 2" xfId="11887"/>
    <cellStyle name="Normal 63 6 4 2 2" xfId="37442"/>
    <cellStyle name="Normal 63 6 4 3" xfId="21891"/>
    <cellStyle name="Normal 63 6 4 3 2" xfId="47444"/>
    <cellStyle name="Normal 63 6 4 4" xfId="28374"/>
    <cellStyle name="Normal 63 6 5" xfId="6546"/>
    <cellStyle name="Normal 63 6 5 2" xfId="15373"/>
    <cellStyle name="Normal 63 6 5 2 2" xfId="40928"/>
    <cellStyle name="Normal 63 6 5 3" xfId="25624"/>
    <cellStyle name="Normal 63 6 5 3 2" xfId="51177"/>
    <cellStyle name="Normal 63 6 5 4" xfId="32107"/>
    <cellStyle name="Normal 63 6 6" xfId="7992"/>
    <cellStyle name="Normal 63 6 6 2" xfId="20373"/>
    <cellStyle name="Normal 63 6 6 2 2" xfId="45926"/>
    <cellStyle name="Normal 63 6 6 3" xfId="33549"/>
    <cellStyle name="Normal 63 6 7" xfId="16884"/>
    <cellStyle name="Normal 63 6 7 2" xfId="42437"/>
    <cellStyle name="Normal 63 6 8" xfId="26856"/>
    <cellStyle name="Normal 63 7" xfId="1098"/>
    <cellStyle name="Normal 63 7 2" xfId="3527"/>
    <cellStyle name="Normal 63 7 2 2" xfId="12663"/>
    <cellStyle name="Normal 63 7 2 2 2" xfId="22882"/>
    <cellStyle name="Normal 63 7 2 2 2 2" xfId="48435"/>
    <cellStyle name="Normal 63 7 2 2 3" xfId="38218"/>
    <cellStyle name="Normal 63 7 2 3" xfId="9084"/>
    <cellStyle name="Normal 63 7 2 3 2" xfId="34641"/>
    <cellStyle name="Normal 63 7 2 4" xfId="17875"/>
    <cellStyle name="Normal 63 7 2 4 2" xfId="43428"/>
    <cellStyle name="Normal 63 7 2 5" xfId="29365"/>
    <cellStyle name="Normal 63 7 3" xfId="5190"/>
    <cellStyle name="Normal 63 7 3 2" xfId="14027"/>
    <cellStyle name="Normal 63 7 3 2 2" xfId="24278"/>
    <cellStyle name="Normal 63 7 3 2 2 2" xfId="49831"/>
    <cellStyle name="Normal 63 7 3 2 3" xfId="39582"/>
    <cellStyle name="Normal 63 7 3 3" xfId="10448"/>
    <cellStyle name="Normal 63 7 3 3 2" xfId="36005"/>
    <cellStyle name="Normal 63 7 3 4" xfId="19271"/>
    <cellStyle name="Normal 63 7 3 4 2" xfId="44824"/>
    <cellStyle name="Normal 63 7 3 5" xfId="30761"/>
    <cellStyle name="Normal 63 7 4" xfId="1730"/>
    <cellStyle name="Normal 63 7 4 2" xfId="11104"/>
    <cellStyle name="Normal 63 7 4 2 2" xfId="36659"/>
    <cellStyle name="Normal 63 7 4 3" xfId="21108"/>
    <cellStyle name="Normal 63 7 4 3 2" xfId="46661"/>
    <cellStyle name="Normal 63 7 4 4" xfId="27591"/>
    <cellStyle name="Normal 63 7 5" xfId="6645"/>
    <cellStyle name="Normal 63 7 5 2" xfId="15472"/>
    <cellStyle name="Normal 63 7 5 2 2" xfId="41027"/>
    <cellStyle name="Normal 63 7 5 3" xfId="25723"/>
    <cellStyle name="Normal 63 7 5 3 2" xfId="51276"/>
    <cellStyle name="Normal 63 7 5 4" xfId="32206"/>
    <cellStyle name="Normal 63 7 6" xfId="8091"/>
    <cellStyle name="Normal 63 7 6 2" xfId="20481"/>
    <cellStyle name="Normal 63 7 6 2 2" xfId="46034"/>
    <cellStyle name="Normal 63 7 6 3" xfId="33648"/>
    <cellStyle name="Normal 63 7 7" xfId="16101"/>
    <cellStyle name="Normal 63 7 7 2" xfId="41654"/>
    <cellStyle name="Normal 63 7 8" xfId="26964"/>
    <cellStyle name="Normal 63 8" xfId="2630"/>
    <cellStyle name="Normal 63 8 2" xfId="11969"/>
    <cellStyle name="Normal 63 8 2 2" xfId="21992"/>
    <cellStyle name="Normal 63 8 2 2 2" xfId="47545"/>
    <cellStyle name="Normal 63 8 2 3" xfId="37524"/>
    <cellStyle name="Normal 63 8 3" xfId="8564"/>
    <cellStyle name="Normal 63 8 3 2" xfId="34121"/>
    <cellStyle name="Normal 63 8 4" xfId="16985"/>
    <cellStyle name="Normal 63 8 4 2" xfId="42538"/>
    <cellStyle name="Normal 63 8 5" xfId="28475"/>
    <cellStyle name="Normal 63 9" xfId="4144"/>
    <cellStyle name="Normal 63 9 2" xfId="12982"/>
    <cellStyle name="Normal 63 9 2 2" xfId="23233"/>
    <cellStyle name="Normal 63 9 2 2 2" xfId="48786"/>
    <cellStyle name="Normal 63 9 2 3" xfId="38537"/>
    <cellStyle name="Normal 63 9 3" xfId="9403"/>
    <cellStyle name="Normal 63 9 3 2" xfId="34960"/>
    <cellStyle name="Normal 63 9 4" xfId="18226"/>
    <cellStyle name="Normal 63 9 4 2" xfId="43779"/>
    <cellStyle name="Normal 63 9 5" xfId="29716"/>
    <cellStyle name="Normal 63_Degree data" xfId="4037"/>
    <cellStyle name="Normal 64" xfId="131"/>
    <cellStyle name="Normal 64 2" xfId="936"/>
    <cellStyle name="Normal 64 3" xfId="1737"/>
    <cellStyle name="Normal 64_Degree data" xfId="4042"/>
    <cellStyle name="Normal 65" xfId="133"/>
    <cellStyle name="Normal 65 2" xfId="937"/>
    <cellStyle name="Normal 65 3" xfId="1739"/>
    <cellStyle name="Normal 65_Degree data" xfId="4043"/>
    <cellStyle name="Normal 66" xfId="132"/>
    <cellStyle name="Normal 66 2" xfId="938"/>
    <cellStyle name="Normal 66 3" xfId="1738"/>
    <cellStyle name="Normal 66_Degree data" xfId="4044"/>
    <cellStyle name="Normal 67" xfId="169"/>
    <cellStyle name="Normal 67 2" xfId="939"/>
    <cellStyle name="Normal 67 3" xfId="1771"/>
    <cellStyle name="Normal 67_Degree data" xfId="4045"/>
    <cellStyle name="Normal 68" xfId="170"/>
    <cellStyle name="Normal 68 2" xfId="940"/>
    <cellStyle name="Normal 68 3" xfId="1772"/>
    <cellStyle name="Normal 68_Degree data" xfId="4046"/>
    <cellStyle name="Normal 69" xfId="200"/>
    <cellStyle name="Normal 69 2" xfId="941"/>
    <cellStyle name="Normal 69 3" xfId="1801"/>
    <cellStyle name="Normal 69_Degree data" xfId="4047"/>
    <cellStyle name="Normal 7" xfId="44"/>
    <cellStyle name="Normal 7 10" xfId="942"/>
    <cellStyle name="Normal 7 10 2" xfId="3418"/>
    <cellStyle name="Normal 7 10 2 2" xfId="12560"/>
    <cellStyle name="Normal 7 10 2 2 2" xfId="22779"/>
    <cellStyle name="Normal 7 10 2 2 2 2" xfId="48332"/>
    <cellStyle name="Normal 7 10 2 2 3" xfId="38115"/>
    <cellStyle name="Normal 7 10 2 3" xfId="8982"/>
    <cellStyle name="Normal 7 10 2 3 2" xfId="34539"/>
    <cellStyle name="Normal 7 10 2 4" xfId="17772"/>
    <cellStyle name="Normal 7 10 2 4 2" xfId="43325"/>
    <cellStyle name="Normal 7 10 2 5" xfId="29262"/>
    <cellStyle name="Normal 7 10 3" xfId="4748"/>
    <cellStyle name="Normal 7 10 3 2" xfId="13585"/>
    <cellStyle name="Normal 7 10 3 2 2" xfId="23836"/>
    <cellStyle name="Normal 7 10 3 2 2 2" xfId="49389"/>
    <cellStyle name="Normal 7 10 3 2 3" xfId="39140"/>
    <cellStyle name="Normal 7 10 3 3" xfId="10006"/>
    <cellStyle name="Normal 7 10 3 3 2" xfId="35563"/>
    <cellStyle name="Normal 7 10 3 4" xfId="18829"/>
    <cellStyle name="Normal 7 10 3 4 2" xfId="44382"/>
    <cellStyle name="Normal 7 10 3 5" xfId="30319"/>
    <cellStyle name="Normal 7 10 4" xfId="2527"/>
    <cellStyle name="Normal 7 10 4 2" xfId="11892"/>
    <cellStyle name="Normal 7 10 4 2 2" xfId="37447"/>
    <cellStyle name="Normal 7 10 4 3" xfId="21896"/>
    <cellStyle name="Normal 7 10 4 3 2" xfId="47449"/>
    <cellStyle name="Normal 7 10 4 4" xfId="28379"/>
    <cellStyle name="Normal 7 10 5" xfId="6203"/>
    <cellStyle name="Normal 7 10 5 2" xfId="15030"/>
    <cellStyle name="Normal 7 10 5 2 2" xfId="40585"/>
    <cellStyle name="Normal 7 10 5 3" xfId="25281"/>
    <cellStyle name="Normal 7 10 5 3 2" xfId="50834"/>
    <cellStyle name="Normal 7 10 5 4" xfId="31764"/>
    <cellStyle name="Normal 7 10 6" xfId="7649"/>
    <cellStyle name="Normal 7 10 6 2" xfId="20378"/>
    <cellStyle name="Normal 7 10 6 2 2" xfId="45931"/>
    <cellStyle name="Normal 7 10 6 3" xfId="33206"/>
    <cellStyle name="Normal 7 10 7" xfId="16889"/>
    <cellStyle name="Normal 7 10 7 2" xfId="42442"/>
    <cellStyle name="Normal 7 10 8" xfId="26861"/>
    <cellStyle name="Normal 7 11" xfId="1047"/>
    <cellStyle name="Normal 7 11 2" xfId="3476"/>
    <cellStyle name="Normal 7 11 2 2" xfId="12612"/>
    <cellStyle name="Normal 7 11 2 2 2" xfId="22831"/>
    <cellStyle name="Normal 7 11 2 2 2 2" xfId="48384"/>
    <cellStyle name="Normal 7 11 2 2 3" xfId="38167"/>
    <cellStyle name="Normal 7 11 2 3" xfId="9034"/>
    <cellStyle name="Normal 7 11 2 3 2" xfId="34591"/>
    <cellStyle name="Normal 7 11 2 4" xfId="17824"/>
    <cellStyle name="Normal 7 11 2 4 2" xfId="43377"/>
    <cellStyle name="Normal 7 11 2 5" xfId="29314"/>
    <cellStyle name="Normal 7 11 3" xfId="5096"/>
    <cellStyle name="Normal 7 11 3 2" xfId="13933"/>
    <cellStyle name="Normal 7 11 3 2 2" xfId="24184"/>
    <cellStyle name="Normal 7 11 3 2 2 2" xfId="49737"/>
    <cellStyle name="Normal 7 11 3 2 3" xfId="39488"/>
    <cellStyle name="Normal 7 11 3 3" xfId="10354"/>
    <cellStyle name="Normal 7 11 3 3 2" xfId="35911"/>
    <cellStyle name="Normal 7 11 3 4" xfId="19177"/>
    <cellStyle name="Normal 7 11 3 4 2" xfId="44730"/>
    <cellStyle name="Normal 7 11 3 5" xfId="30667"/>
    <cellStyle name="Normal 7 11 4" xfId="1711"/>
    <cellStyle name="Normal 7 11 4 2" xfId="11088"/>
    <cellStyle name="Normal 7 11 4 2 2" xfId="36643"/>
    <cellStyle name="Normal 7 11 4 3" xfId="21092"/>
    <cellStyle name="Normal 7 11 4 3 2" xfId="46645"/>
    <cellStyle name="Normal 7 11 4 4" xfId="27575"/>
    <cellStyle name="Normal 7 11 5" xfId="6551"/>
    <cellStyle name="Normal 7 11 5 2" xfId="15378"/>
    <cellStyle name="Normal 7 11 5 2 2" xfId="40933"/>
    <cellStyle name="Normal 7 11 5 3" xfId="25629"/>
    <cellStyle name="Normal 7 11 5 3 2" xfId="51182"/>
    <cellStyle name="Normal 7 11 5 4" xfId="32112"/>
    <cellStyle name="Normal 7 11 6" xfId="7997"/>
    <cellStyle name="Normal 7 11 6 2" xfId="20430"/>
    <cellStyle name="Normal 7 11 6 2 2" xfId="45983"/>
    <cellStyle name="Normal 7 11 6 3" xfId="33554"/>
    <cellStyle name="Normal 7 11 7" xfId="16085"/>
    <cellStyle name="Normal 7 11 7 2" xfId="41638"/>
    <cellStyle name="Normal 7 11 8" xfId="26913"/>
    <cellStyle name="Normal 7 12" xfId="2611"/>
    <cellStyle name="Normal 7 12 2" xfId="5139"/>
    <cellStyle name="Normal 7 12 2 2" xfId="13976"/>
    <cellStyle name="Normal 7 12 2 2 2" xfId="24227"/>
    <cellStyle name="Normal 7 12 2 2 2 2" xfId="49780"/>
    <cellStyle name="Normal 7 12 2 2 3" xfId="39531"/>
    <cellStyle name="Normal 7 12 2 3" xfId="10397"/>
    <cellStyle name="Normal 7 12 2 3 2" xfId="35954"/>
    <cellStyle name="Normal 7 12 2 4" xfId="19220"/>
    <cellStyle name="Normal 7 12 2 4 2" xfId="44773"/>
    <cellStyle name="Normal 7 12 2 5" xfId="30710"/>
    <cellStyle name="Normal 7 12 3" xfId="6594"/>
    <cellStyle name="Normal 7 12 3 2" xfId="15421"/>
    <cellStyle name="Normal 7 12 3 2 2" xfId="40976"/>
    <cellStyle name="Normal 7 12 3 3" xfId="25672"/>
    <cellStyle name="Normal 7 12 3 3 2" xfId="51225"/>
    <cellStyle name="Normal 7 12 3 4" xfId="32155"/>
    <cellStyle name="Normal 7 12 4" xfId="8040"/>
    <cellStyle name="Normal 7 12 4 2" xfId="21975"/>
    <cellStyle name="Normal 7 12 4 2 2" xfId="47528"/>
    <cellStyle name="Normal 7 12 4 3" xfId="33597"/>
    <cellStyle name="Normal 7 12 5" xfId="16968"/>
    <cellStyle name="Normal 7 12 5 2" xfId="42521"/>
    <cellStyle name="Normal 7 12 6" xfId="28458"/>
    <cellStyle name="Normal 7 13" xfId="4093"/>
    <cellStyle name="Normal 7 13 2" xfId="5551"/>
    <cellStyle name="Normal 7 13 2 2" xfId="14378"/>
    <cellStyle name="Normal 7 13 2 2 2" xfId="39933"/>
    <cellStyle name="Normal 7 13 2 3" xfId="24629"/>
    <cellStyle name="Normal 7 13 2 3 2" xfId="50182"/>
    <cellStyle name="Normal 7 13 2 4" xfId="31112"/>
    <cellStyle name="Normal 7 13 3" xfId="6995"/>
    <cellStyle name="Normal 7 13 3 2" xfId="23182"/>
    <cellStyle name="Normal 7 13 3 2 2" xfId="48735"/>
    <cellStyle name="Normal 7 13 3 3" xfId="32552"/>
    <cellStyle name="Normal 7 13 4" xfId="18175"/>
    <cellStyle name="Normal 7 13 4 2" xfId="43728"/>
    <cellStyle name="Normal 7 13 5" xfId="29665"/>
    <cellStyle name="Normal 7 14" xfId="1399"/>
    <cellStyle name="Normal 7 14 2" xfId="10776"/>
    <cellStyle name="Normal 7 14 2 2" xfId="36331"/>
    <cellStyle name="Normal 7 14 3" xfId="20780"/>
    <cellStyle name="Normal 7 14 3 2" xfId="46333"/>
    <cellStyle name="Normal 7 14 4" xfId="27263"/>
    <cellStyle name="Normal 7 15" xfId="5511"/>
    <cellStyle name="Normal 7 15 2" xfId="14338"/>
    <cellStyle name="Normal 7 15 2 2" xfId="39893"/>
    <cellStyle name="Normal 7 15 3" xfId="24589"/>
    <cellStyle name="Normal 7 15 3 2" xfId="50142"/>
    <cellStyle name="Normal 7 15 4" xfId="31072"/>
    <cellStyle name="Normal 7 16" xfId="6950"/>
    <cellStyle name="Normal 7 16 2" xfId="19575"/>
    <cellStyle name="Normal 7 16 2 2" xfId="45128"/>
    <cellStyle name="Normal 7 16 3" xfId="32508"/>
    <cellStyle name="Normal 7 17" xfId="15773"/>
    <cellStyle name="Normal 7 17 2" xfId="41326"/>
    <cellStyle name="Normal 7 18" xfId="26058"/>
    <cellStyle name="Normal 7 2" xfId="115"/>
    <cellStyle name="Normal 7 2 10" xfId="4105"/>
    <cellStyle name="Normal 7 2 10 2" xfId="5563"/>
    <cellStyle name="Normal 7 2 10 2 2" xfId="14390"/>
    <cellStyle name="Normal 7 2 10 2 2 2" xfId="39945"/>
    <cellStyle name="Normal 7 2 10 2 3" xfId="24641"/>
    <cellStyle name="Normal 7 2 10 2 3 2" xfId="50194"/>
    <cellStyle name="Normal 7 2 10 2 4" xfId="31124"/>
    <cellStyle name="Normal 7 2 10 3" xfId="7007"/>
    <cellStyle name="Normal 7 2 10 3 2" xfId="23194"/>
    <cellStyle name="Normal 7 2 10 3 2 2" xfId="48747"/>
    <cellStyle name="Normal 7 2 10 3 3" xfId="32564"/>
    <cellStyle name="Normal 7 2 10 4" xfId="18187"/>
    <cellStyle name="Normal 7 2 10 4 2" xfId="43740"/>
    <cellStyle name="Normal 7 2 10 5" xfId="29677"/>
    <cellStyle name="Normal 7 2 11" xfId="1424"/>
    <cellStyle name="Normal 7 2 11 2" xfId="10801"/>
    <cellStyle name="Normal 7 2 11 2 2" xfId="36356"/>
    <cellStyle name="Normal 7 2 11 3" xfId="20805"/>
    <cellStyle name="Normal 7 2 11 3 2" xfId="46358"/>
    <cellStyle name="Normal 7 2 11 4" xfId="27288"/>
    <cellStyle name="Normal 7 2 12" xfId="5533"/>
    <cellStyle name="Normal 7 2 12 2" xfId="14360"/>
    <cellStyle name="Normal 7 2 12 2 2" xfId="39915"/>
    <cellStyle name="Normal 7 2 12 3" xfId="24611"/>
    <cellStyle name="Normal 7 2 12 3 2" xfId="50164"/>
    <cellStyle name="Normal 7 2 12 4" xfId="31094"/>
    <cellStyle name="Normal 7 2 13" xfId="6977"/>
    <cellStyle name="Normal 7 2 13 2" xfId="19588"/>
    <cellStyle name="Normal 7 2 13 2 2" xfId="45141"/>
    <cellStyle name="Normal 7 2 13 3" xfId="32534"/>
    <cellStyle name="Normal 7 2 14" xfId="15798"/>
    <cellStyle name="Normal 7 2 14 2" xfId="41351"/>
    <cellStyle name="Normal 7 2 15" xfId="26071"/>
    <cellStyle name="Normal 7 2 2" xfId="159"/>
    <cellStyle name="Normal 7 2 2 10" xfId="5665"/>
    <cellStyle name="Normal 7 2 2 10 2" xfId="14492"/>
    <cellStyle name="Normal 7 2 2 10 2 2" xfId="40047"/>
    <cellStyle name="Normal 7 2 2 10 3" xfId="24743"/>
    <cellStyle name="Normal 7 2 2 10 3 2" xfId="50296"/>
    <cellStyle name="Normal 7 2 2 10 4" xfId="31226"/>
    <cellStyle name="Normal 7 2 2 11" xfId="7109"/>
    <cellStyle name="Normal 7 2 2 11 2" xfId="19618"/>
    <cellStyle name="Normal 7 2 2 11 2 2" xfId="45171"/>
    <cellStyle name="Normal 7 2 2 11 3" xfId="32666"/>
    <cellStyle name="Normal 7 2 2 12" xfId="15855"/>
    <cellStyle name="Normal 7 2 2 12 2" xfId="41408"/>
    <cellStyle name="Normal 7 2 2 13" xfId="26101"/>
    <cellStyle name="Normal 7 2 2 2" xfId="271"/>
    <cellStyle name="Normal 7 2 2 2 10" xfId="16059"/>
    <cellStyle name="Normal 7 2 2 2 10 2" xfId="41612"/>
    <cellStyle name="Normal 7 2 2 2 11" xfId="26205"/>
    <cellStyle name="Normal 7 2 2 2 2" xfId="593"/>
    <cellStyle name="Normal 7 2 2 2 2 2" xfId="3079"/>
    <cellStyle name="Normal 7 2 2 2 2 2 2" xfId="12226"/>
    <cellStyle name="Normal 7 2 2 2 2 2 2 2" xfId="22440"/>
    <cellStyle name="Normal 7 2 2 2 2 2 2 2 2" xfId="47993"/>
    <cellStyle name="Normal 7 2 2 2 2 2 2 3" xfId="37781"/>
    <cellStyle name="Normal 7 2 2 2 2 2 3" xfId="8648"/>
    <cellStyle name="Normal 7 2 2 2 2 2 3 2" xfId="34205"/>
    <cellStyle name="Normal 7 2 2 2 2 2 4" xfId="17433"/>
    <cellStyle name="Normal 7 2 2 2 2 2 4 2" xfId="42986"/>
    <cellStyle name="Normal 7 2 2 2 2 2 5" xfId="28923"/>
    <cellStyle name="Normal 7 2 2 2 2 3" xfId="4751"/>
    <cellStyle name="Normal 7 2 2 2 2 3 2" xfId="13588"/>
    <cellStyle name="Normal 7 2 2 2 2 3 2 2" xfId="23839"/>
    <cellStyle name="Normal 7 2 2 2 2 3 2 2 2" xfId="49392"/>
    <cellStyle name="Normal 7 2 2 2 2 3 2 3" xfId="39143"/>
    <cellStyle name="Normal 7 2 2 2 2 3 3" xfId="10009"/>
    <cellStyle name="Normal 7 2 2 2 2 3 3 2" xfId="35566"/>
    <cellStyle name="Normal 7 2 2 2 2 3 4" xfId="18832"/>
    <cellStyle name="Normal 7 2 2 2 2 3 4 2" xfId="44385"/>
    <cellStyle name="Normal 7 2 2 2 2 3 5" xfId="30322"/>
    <cellStyle name="Normal 7 2 2 2 2 4" xfId="2188"/>
    <cellStyle name="Normal 7 2 2 2 2 4 2" xfId="11553"/>
    <cellStyle name="Normal 7 2 2 2 2 4 2 2" xfId="37108"/>
    <cellStyle name="Normal 7 2 2 2 2 4 3" xfId="21557"/>
    <cellStyle name="Normal 7 2 2 2 2 4 3 2" xfId="47110"/>
    <cellStyle name="Normal 7 2 2 2 2 4 4" xfId="28040"/>
    <cellStyle name="Normal 7 2 2 2 2 5" xfId="6206"/>
    <cellStyle name="Normal 7 2 2 2 2 5 2" xfId="15033"/>
    <cellStyle name="Normal 7 2 2 2 2 5 2 2" xfId="40588"/>
    <cellStyle name="Normal 7 2 2 2 2 5 3" xfId="25284"/>
    <cellStyle name="Normal 7 2 2 2 2 5 3 2" xfId="50837"/>
    <cellStyle name="Normal 7 2 2 2 2 5 4" xfId="31767"/>
    <cellStyle name="Normal 7 2 2 2 2 6" xfId="7652"/>
    <cellStyle name="Normal 7 2 2 2 2 6 2" xfId="20039"/>
    <cellStyle name="Normal 7 2 2 2 2 6 2 2" xfId="45592"/>
    <cellStyle name="Normal 7 2 2 2 2 6 3" xfId="33209"/>
    <cellStyle name="Normal 7 2 2 2 2 7" xfId="16550"/>
    <cellStyle name="Normal 7 2 2 2 2 7 2" xfId="42103"/>
    <cellStyle name="Normal 7 2 2 2 2 8" xfId="26522"/>
    <cellStyle name="Normal 7 2 2 2 3" xfId="945"/>
    <cellStyle name="Normal 7 2 2 2 3 2" xfId="3421"/>
    <cellStyle name="Normal 7 2 2 2 3 2 2" xfId="12563"/>
    <cellStyle name="Normal 7 2 2 2 3 2 2 2" xfId="22782"/>
    <cellStyle name="Normal 7 2 2 2 3 2 2 2 2" xfId="48335"/>
    <cellStyle name="Normal 7 2 2 2 3 2 2 3" xfId="38118"/>
    <cellStyle name="Normal 7 2 2 2 3 2 3" xfId="8985"/>
    <cellStyle name="Normal 7 2 2 2 3 2 3 2" xfId="34542"/>
    <cellStyle name="Normal 7 2 2 2 3 2 4" xfId="17775"/>
    <cellStyle name="Normal 7 2 2 2 3 2 4 2" xfId="43328"/>
    <cellStyle name="Normal 7 2 2 2 3 2 5" xfId="29265"/>
    <cellStyle name="Normal 7 2 2 2 3 3" xfId="5099"/>
    <cellStyle name="Normal 7 2 2 2 3 3 2" xfId="13936"/>
    <cellStyle name="Normal 7 2 2 2 3 3 2 2" xfId="24187"/>
    <cellStyle name="Normal 7 2 2 2 3 3 2 2 2" xfId="49740"/>
    <cellStyle name="Normal 7 2 2 2 3 3 2 3" xfId="39491"/>
    <cellStyle name="Normal 7 2 2 2 3 3 3" xfId="10357"/>
    <cellStyle name="Normal 7 2 2 2 3 3 3 2" xfId="35914"/>
    <cellStyle name="Normal 7 2 2 2 3 3 4" xfId="19180"/>
    <cellStyle name="Normal 7 2 2 2 3 3 4 2" xfId="44733"/>
    <cellStyle name="Normal 7 2 2 2 3 3 5" xfId="30670"/>
    <cellStyle name="Normal 7 2 2 2 3 4" xfId="2530"/>
    <cellStyle name="Normal 7 2 2 2 3 4 2" xfId="11895"/>
    <cellStyle name="Normal 7 2 2 2 3 4 2 2" xfId="37450"/>
    <cellStyle name="Normal 7 2 2 2 3 4 3" xfId="21899"/>
    <cellStyle name="Normal 7 2 2 2 3 4 3 2" xfId="47452"/>
    <cellStyle name="Normal 7 2 2 2 3 4 4" xfId="28382"/>
    <cellStyle name="Normal 7 2 2 2 3 5" xfId="6554"/>
    <cellStyle name="Normal 7 2 2 2 3 5 2" xfId="15381"/>
    <cellStyle name="Normal 7 2 2 2 3 5 2 2" xfId="40936"/>
    <cellStyle name="Normal 7 2 2 2 3 5 3" xfId="25632"/>
    <cellStyle name="Normal 7 2 2 2 3 5 3 2" xfId="51185"/>
    <cellStyle name="Normal 7 2 2 2 3 5 4" xfId="32115"/>
    <cellStyle name="Normal 7 2 2 2 3 6" xfId="8000"/>
    <cellStyle name="Normal 7 2 2 2 3 6 2" xfId="20381"/>
    <cellStyle name="Normal 7 2 2 2 3 6 2 2" xfId="45934"/>
    <cellStyle name="Normal 7 2 2 2 3 6 3" xfId="33557"/>
    <cellStyle name="Normal 7 2 2 2 3 7" xfId="16892"/>
    <cellStyle name="Normal 7 2 2 2 3 7 2" xfId="42445"/>
    <cellStyle name="Normal 7 2 2 2 3 8" xfId="26864"/>
    <cellStyle name="Normal 7 2 2 2 4" xfId="1365"/>
    <cellStyle name="Normal 7 2 2 2 4 2" xfId="3794"/>
    <cellStyle name="Normal 7 2 2 2 4 2 2" xfId="12930"/>
    <cellStyle name="Normal 7 2 2 2 4 2 2 2" xfId="23149"/>
    <cellStyle name="Normal 7 2 2 2 4 2 2 2 2" xfId="48702"/>
    <cellStyle name="Normal 7 2 2 2 4 2 2 3" xfId="38485"/>
    <cellStyle name="Normal 7 2 2 2 4 2 3" xfId="9351"/>
    <cellStyle name="Normal 7 2 2 2 4 2 3 2" xfId="34908"/>
    <cellStyle name="Normal 7 2 2 2 4 2 4" xfId="18142"/>
    <cellStyle name="Normal 7 2 2 2 4 2 4 2" xfId="43695"/>
    <cellStyle name="Normal 7 2 2 2 4 2 5" xfId="29632"/>
    <cellStyle name="Normal 7 2 2 2 4 3" xfId="5457"/>
    <cellStyle name="Normal 7 2 2 2 4 3 2" xfId="14294"/>
    <cellStyle name="Normal 7 2 2 2 4 3 2 2" xfId="24545"/>
    <cellStyle name="Normal 7 2 2 2 4 3 2 2 2" xfId="50098"/>
    <cellStyle name="Normal 7 2 2 2 4 3 2 3" xfId="39849"/>
    <cellStyle name="Normal 7 2 2 2 4 3 3" xfId="10715"/>
    <cellStyle name="Normal 7 2 2 2 4 3 3 2" xfId="36272"/>
    <cellStyle name="Normal 7 2 2 2 4 3 4" xfId="19538"/>
    <cellStyle name="Normal 7 2 2 2 4 3 4 2" xfId="45091"/>
    <cellStyle name="Normal 7 2 2 2 4 3 5" xfId="31028"/>
    <cellStyle name="Normal 7 2 2 2 4 4" xfId="1868"/>
    <cellStyle name="Normal 7 2 2 2 4 4 2" xfId="11236"/>
    <cellStyle name="Normal 7 2 2 2 4 4 2 2" xfId="36791"/>
    <cellStyle name="Normal 7 2 2 2 4 4 3" xfId="21240"/>
    <cellStyle name="Normal 7 2 2 2 4 4 3 2" xfId="46793"/>
    <cellStyle name="Normal 7 2 2 2 4 4 4" xfId="27723"/>
    <cellStyle name="Normal 7 2 2 2 4 5" xfId="6912"/>
    <cellStyle name="Normal 7 2 2 2 4 5 2" xfId="15739"/>
    <cellStyle name="Normal 7 2 2 2 4 5 2 2" xfId="41294"/>
    <cellStyle name="Normal 7 2 2 2 4 5 3" xfId="25990"/>
    <cellStyle name="Normal 7 2 2 2 4 5 3 2" xfId="51543"/>
    <cellStyle name="Normal 7 2 2 2 4 5 4" xfId="32473"/>
    <cellStyle name="Normal 7 2 2 2 4 6" xfId="8358"/>
    <cellStyle name="Normal 7 2 2 2 4 6 2" xfId="20748"/>
    <cellStyle name="Normal 7 2 2 2 4 6 2 2" xfId="46301"/>
    <cellStyle name="Normal 7 2 2 2 4 6 3" xfId="33915"/>
    <cellStyle name="Normal 7 2 2 2 4 7" xfId="16233"/>
    <cellStyle name="Normal 7 2 2 2 4 7 2" xfId="41786"/>
    <cellStyle name="Normal 7 2 2 2 4 8" xfId="27231"/>
    <cellStyle name="Normal 7 2 2 2 5" xfId="2762"/>
    <cellStyle name="Normal 7 2 2 2 5 2" xfId="12079"/>
    <cellStyle name="Normal 7 2 2 2 5 2 2" xfId="22123"/>
    <cellStyle name="Normal 7 2 2 2 5 2 2 2" xfId="47676"/>
    <cellStyle name="Normal 7 2 2 2 5 2 3" xfId="37634"/>
    <cellStyle name="Normal 7 2 2 2 5 3" xfId="8641"/>
    <cellStyle name="Normal 7 2 2 2 5 3 2" xfId="34198"/>
    <cellStyle name="Normal 7 2 2 2 5 4" xfId="17116"/>
    <cellStyle name="Normal 7 2 2 2 5 4 2" xfId="42669"/>
    <cellStyle name="Normal 7 2 2 2 5 5" xfId="28606"/>
    <cellStyle name="Normal 7 2 2 2 6" xfId="4413"/>
    <cellStyle name="Normal 7 2 2 2 6 2" xfId="13251"/>
    <cellStyle name="Normal 7 2 2 2 6 2 2" xfId="23502"/>
    <cellStyle name="Normal 7 2 2 2 6 2 2 2" xfId="49055"/>
    <cellStyle name="Normal 7 2 2 2 6 2 3" xfId="38806"/>
    <cellStyle name="Normal 7 2 2 2 6 3" xfId="9672"/>
    <cellStyle name="Normal 7 2 2 2 6 3 2" xfId="35229"/>
    <cellStyle name="Normal 7 2 2 2 6 4" xfId="18495"/>
    <cellStyle name="Normal 7 2 2 2 6 4 2" xfId="44048"/>
    <cellStyle name="Normal 7 2 2 2 6 5" xfId="29985"/>
    <cellStyle name="Normal 7 2 2 2 7" xfId="1685"/>
    <cellStyle name="Normal 7 2 2 2 7 2" xfId="11062"/>
    <cellStyle name="Normal 7 2 2 2 7 2 2" xfId="36617"/>
    <cellStyle name="Normal 7 2 2 2 7 3" xfId="21066"/>
    <cellStyle name="Normal 7 2 2 2 7 3 2" xfId="46619"/>
    <cellStyle name="Normal 7 2 2 2 7 4" xfId="27549"/>
    <cellStyle name="Normal 7 2 2 2 8" xfId="5869"/>
    <cellStyle name="Normal 7 2 2 2 8 2" xfId="14696"/>
    <cellStyle name="Normal 7 2 2 2 8 2 2" xfId="40251"/>
    <cellStyle name="Normal 7 2 2 2 8 3" xfId="24947"/>
    <cellStyle name="Normal 7 2 2 2 8 3 2" xfId="50500"/>
    <cellStyle name="Normal 7 2 2 2 8 4" xfId="31430"/>
    <cellStyle name="Normal 7 2 2 2 9" xfId="7313"/>
    <cellStyle name="Normal 7 2 2 2 9 2" xfId="19722"/>
    <cellStyle name="Normal 7 2 2 2 9 2 2" xfId="45275"/>
    <cellStyle name="Normal 7 2 2 2 9 3" xfId="32870"/>
    <cellStyle name="Normal 7 2 2 2_Degree data" xfId="4051"/>
    <cellStyle name="Normal 7 2 2 3" xfId="489"/>
    <cellStyle name="Normal 7 2 2 3 10" xfId="26418"/>
    <cellStyle name="Normal 7 2 2 3 2" xfId="946"/>
    <cellStyle name="Normal 7 2 2 3 2 2" xfId="3422"/>
    <cellStyle name="Normal 7 2 2 3 2 2 2" xfId="12564"/>
    <cellStyle name="Normal 7 2 2 3 2 2 2 2" xfId="22783"/>
    <cellStyle name="Normal 7 2 2 3 2 2 2 2 2" xfId="48336"/>
    <cellStyle name="Normal 7 2 2 3 2 2 2 3" xfId="38119"/>
    <cellStyle name="Normal 7 2 2 3 2 2 3" xfId="8986"/>
    <cellStyle name="Normal 7 2 2 3 2 2 3 2" xfId="34543"/>
    <cellStyle name="Normal 7 2 2 3 2 2 4" xfId="17776"/>
    <cellStyle name="Normal 7 2 2 3 2 2 4 2" xfId="43329"/>
    <cellStyle name="Normal 7 2 2 3 2 2 5" xfId="29266"/>
    <cellStyle name="Normal 7 2 2 3 2 3" xfId="4752"/>
    <cellStyle name="Normal 7 2 2 3 2 3 2" xfId="13589"/>
    <cellStyle name="Normal 7 2 2 3 2 3 2 2" xfId="23840"/>
    <cellStyle name="Normal 7 2 2 3 2 3 2 2 2" xfId="49393"/>
    <cellStyle name="Normal 7 2 2 3 2 3 2 3" xfId="39144"/>
    <cellStyle name="Normal 7 2 2 3 2 3 3" xfId="10010"/>
    <cellStyle name="Normal 7 2 2 3 2 3 3 2" xfId="35567"/>
    <cellStyle name="Normal 7 2 2 3 2 3 4" xfId="18833"/>
    <cellStyle name="Normal 7 2 2 3 2 3 4 2" xfId="44386"/>
    <cellStyle name="Normal 7 2 2 3 2 3 5" xfId="30323"/>
    <cellStyle name="Normal 7 2 2 3 2 4" xfId="2531"/>
    <cellStyle name="Normal 7 2 2 3 2 4 2" xfId="11896"/>
    <cellStyle name="Normal 7 2 2 3 2 4 2 2" xfId="37451"/>
    <cellStyle name="Normal 7 2 2 3 2 4 3" xfId="21900"/>
    <cellStyle name="Normal 7 2 2 3 2 4 3 2" xfId="47453"/>
    <cellStyle name="Normal 7 2 2 3 2 4 4" xfId="28383"/>
    <cellStyle name="Normal 7 2 2 3 2 5" xfId="6207"/>
    <cellStyle name="Normal 7 2 2 3 2 5 2" xfId="15034"/>
    <cellStyle name="Normal 7 2 2 3 2 5 2 2" xfId="40589"/>
    <cellStyle name="Normal 7 2 2 3 2 5 3" xfId="25285"/>
    <cellStyle name="Normal 7 2 2 3 2 5 3 2" xfId="50838"/>
    <cellStyle name="Normal 7 2 2 3 2 5 4" xfId="31768"/>
    <cellStyle name="Normal 7 2 2 3 2 6" xfId="7653"/>
    <cellStyle name="Normal 7 2 2 3 2 6 2" xfId="20382"/>
    <cellStyle name="Normal 7 2 2 3 2 6 2 2" xfId="45935"/>
    <cellStyle name="Normal 7 2 2 3 2 6 3" xfId="33210"/>
    <cellStyle name="Normal 7 2 2 3 2 7" xfId="16893"/>
    <cellStyle name="Normal 7 2 2 3 2 7 2" xfId="42446"/>
    <cellStyle name="Normal 7 2 2 3 2 8" xfId="26865"/>
    <cellStyle name="Normal 7 2 2 3 3" xfId="1261"/>
    <cellStyle name="Normal 7 2 2 3 3 2" xfId="3690"/>
    <cellStyle name="Normal 7 2 2 3 3 2 2" xfId="12826"/>
    <cellStyle name="Normal 7 2 2 3 3 2 2 2" xfId="23045"/>
    <cellStyle name="Normal 7 2 2 3 3 2 2 2 2" xfId="48598"/>
    <cellStyle name="Normal 7 2 2 3 3 2 2 3" xfId="38381"/>
    <cellStyle name="Normal 7 2 2 3 3 2 3" xfId="9247"/>
    <cellStyle name="Normal 7 2 2 3 3 2 3 2" xfId="34804"/>
    <cellStyle name="Normal 7 2 2 3 3 2 4" xfId="18038"/>
    <cellStyle name="Normal 7 2 2 3 3 2 4 2" xfId="43591"/>
    <cellStyle name="Normal 7 2 2 3 3 2 5" xfId="29528"/>
    <cellStyle name="Normal 7 2 2 3 3 3" xfId="5100"/>
    <cellStyle name="Normal 7 2 2 3 3 3 2" xfId="13937"/>
    <cellStyle name="Normal 7 2 2 3 3 3 2 2" xfId="24188"/>
    <cellStyle name="Normal 7 2 2 3 3 3 2 2 2" xfId="49741"/>
    <cellStyle name="Normal 7 2 2 3 3 3 2 3" xfId="39492"/>
    <cellStyle name="Normal 7 2 2 3 3 3 3" xfId="10358"/>
    <cellStyle name="Normal 7 2 2 3 3 3 3 2" xfId="35915"/>
    <cellStyle name="Normal 7 2 2 3 3 3 4" xfId="19181"/>
    <cellStyle name="Normal 7 2 2 3 3 3 4 2" xfId="44734"/>
    <cellStyle name="Normal 7 2 2 3 3 3 5" xfId="30671"/>
    <cellStyle name="Normal 7 2 2 3 3 4" xfId="2084"/>
    <cellStyle name="Normal 7 2 2 3 3 4 2" xfId="11449"/>
    <cellStyle name="Normal 7 2 2 3 3 4 2 2" xfId="37004"/>
    <cellStyle name="Normal 7 2 2 3 3 4 3" xfId="21453"/>
    <cellStyle name="Normal 7 2 2 3 3 4 3 2" xfId="47006"/>
    <cellStyle name="Normal 7 2 2 3 3 4 4" xfId="27936"/>
    <cellStyle name="Normal 7 2 2 3 3 5" xfId="6555"/>
    <cellStyle name="Normal 7 2 2 3 3 5 2" xfId="15382"/>
    <cellStyle name="Normal 7 2 2 3 3 5 2 2" xfId="40937"/>
    <cellStyle name="Normal 7 2 2 3 3 5 3" xfId="25633"/>
    <cellStyle name="Normal 7 2 2 3 3 5 3 2" xfId="51186"/>
    <cellStyle name="Normal 7 2 2 3 3 5 4" xfId="32116"/>
    <cellStyle name="Normal 7 2 2 3 3 6" xfId="8001"/>
    <cellStyle name="Normal 7 2 2 3 3 6 2" xfId="20644"/>
    <cellStyle name="Normal 7 2 2 3 3 6 2 2" xfId="46197"/>
    <cellStyle name="Normal 7 2 2 3 3 6 3" xfId="33558"/>
    <cellStyle name="Normal 7 2 2 3 3 7" xfId="16446"/>
    <cellStyle name="Normal 7 2 2 3 3 7 2" xfId="41999"/>
    <cellStyle name="Normal 7 2 2 3 3 8" xfId="27127"/>
    <cellStyle name="Normal 7 2 2 3 4" xfId="2975"/>
    <cellStyle name="Normal 7 2 2 3 4 2" xfId="5353"/>
    <cellStyle name="Normal 7 2 2 3 4 2 2" xfId="14190"/>
    <cellStyle name="Normal 7 2 2 3 4 2 2 2" xfId="24441"/>
    <cellStyle name="Normal 7 2 2 3 4 2 2 2 2" xfId="49994"/>
    <cellStyle name="Normal 7 2 2 3 4 2 2 3" xfId="39745"/>
    <cellStyle name="Normal 7 2 2 3 4 2 3" xfId="10611"/>
    <cellStyle name="Normal 7 2 2 3 4 2 3 2" xfId="36168"/>
    <cellStyle name="Normal 7 2 2 3 4 2 4" xfId="19434"/>
    <cellStyle name="Normal 7 2 2 3 4 2 4 2" xfId="44987"/>
    <cellStyle name="Normal 7 2 2 3 4 2 5" xfId="30924"/>
    <cellStyle name="Normal 7 2 2 3 4 3" xfId="6808"/>
    <cellStyle name="Normal 7 2 2 3 4 3 2" xfId="15635"/>
    <cellStyle name="Normal 7 2 2 3 4 3 2 2" xfId="41190"/>
    <cellStyle name="Normal 7 2 2 3 4 3 3" xfId="25886"/>
    <cellStyle name="Normal 7 2 2 3 4 3 3 2" xfId="51439"/>
    <cellStyle name="Normal 7 2 2 3 4 3 4" xfId="32369"/>
    <cellStyle name="Normal 7 2 2 3 4 4" xfId="8254"/>
    <cellStyle name="Normal 7 2 2 3 4 4 2" xfId="22336"/>
    <cellStyle name="Normal 7 2 2 3 4 4 2 2" xfId="47889"/>
    <cellStyle name="Normal 7 2 2 3 4 4 3" xfId="33811"/>
    <cellStyle name="Normal 7 2 2 3 4 5" xfId="17329"/>
    <cellStyle name="Normal 7 2 2 3 4 5 2" xfId="42882"/>
    <cellStyle name="Normal 7 2 2 3 4 6" xfId="28819"/>
    <cellStyle name="Normal 7 2 2 3 5" xfId="4309"/>
    <cellStyle name="Normal 7 2 2 3 5 2" xfId="13147"/>
    <cellStyle name="Normal 7 2 2 3 5 2 2" xfId="23398"/>
    <cellStyle name="Normal 7 2 2 3 5 2 2 2" xfId="48951"/>
    <cellStyle name="Normal 7 2 2 3 5 2 3" xfId="38702"/>
    <cellStyle name="Normal 7 2 2 3 5 3" xfId="9568"/>
    <cellStyle name="Normal 7 2 2 3 5 3 2" xfId="35125"/>
    <cellStyle name="Normal 7 2 2 3 5 4" xfId="18391"/>
    <cellStyle name="Normal 7 2 2 3 5 4 2" xfId="43944"/>
    <cellStyle name="Normal 7 2 2 3 5 5" xfId="29881"/>
    <cellStyle name="Normal 7 2 2 3 6" xfId="1581"/>
    <cellStyle name="Normal 7 2 2 3 6 2" xfId="10958"/>
    <cellStyle name="Normal 7 2 2 3 6 2 2" xfId="36513"/>
    <cellStyle name="Normal 7 2 2 3 6 3" xfId="20962"/>
    <cellStyle name="Normal 7 2 2 3 6 3 2" xfId="46515"/>
    <cellStyle name="Normal 7 2 2 3 6 4" xfId="27445"/>
    <cellStyle name="Normal 7 2 2 3 7" xfId="5765"/>
    <cellStyle name="Normal 7 2 2 3 7 2" xfId="14592"/>
    <cellStyle name="Normal 7 2 2 3 7 2 2" xfId="40147"/>
    <cellStyle name="Normal 7 2 2 3 7 3" xfId="24843"/>
    <cellStyle name="Normal 7 2 2 3 7 3 2" xfId="50396"/>
    <cellStyle name="Normal 7 2 2 3 7 4" xfId="31326"/>
    <cellStyle name="Normal 7 2 2 3 8" xfId="7209"/>
    <cellStyle name="Normal 7 2 2 3 8 2" xfId="19935"/>
    <cellStyle name="Normal 7 2 2 3 8 2 2" xfId="45488"/>
    <cellStyle name="Normal 7 2 2 3 8 3" xfId="32766"/>
    <cellStyle name="Normal 7 2 2 3 9" xfId="15955"/>
    <cellStyle name="Normal 7 2 2 3 9 2" xfId="41508"/>
    <cellStyle name="Normal 7 2 2 3_Degree data" xfId="4052"/>
    <cellStyle name="Normal 7 2 2 4" xfId="389"/>
    <cellStyle name="Normal 7 2 2 4 2" xfId="2875"/>
    <cellStyle name="Normal 7 2 2 4 2 2" xfId="12163"/>
    <cellStyle name="Normal 7 2 2 4 2 2 2" xfId="22236"/>
    <cellStyle name="Normal 7 2 2 4 2 2 2 2" xfId="47789"/>
    <cellStyle name="Normal 7 2 2 4 2 2 3" xfId="37718"/>
    <cellStyle name="Normal 7 2 2 4 2 3" xfId="8600"/>
    <cellStyle name="Normal 7 2 2 4 2 3 2" xfId="34157"/>
    <cellStyle name="Normal 7 2 2 4 2 4" xfId="17229"/>
    <cellStyle name="Normal 7 2 2 4 2 4 2" xfId="42782"/>
    <cellStyle name="Normal 7 2 2 4 2 5" xfId="28719"/>
    <cellStyle name="Normal 7 2 2 4 3" xfId="4750"/>
    <cellStyle name="Normal 7 2 2 4 3 2" xfId="13587"/>
    <cellStyle name="Normal 7 2 2 4 3 2 2" xfId="23838"/>
    <cellStyle name="Normal 7 2 2 4 3 2 2 2" xfId="49391"/>
    <cellStyle name="Normal 7 2 2 4 3 2 3" xfId="39142"/>
    <cellStyle name="Normal 7 2 2 4 3 3" xfId="10008"/>
    <cellStyle name="Normal 7 2 2 4 3 3 2" xfId="35565"/>
    <cellStyle name="Normal 7 2 2 4 3 4" xfId="18831"/>
    <cellStyle name="Normal 7 2 2 4 3 4 2" xfId="44384"/>
    <cellStyle name="Normal 7 2 2 4 3 5" xfId="30321"/>
    <cellStyle name="Normal 7 2 2 4 4" xfId="1984"/>
    <cellStyle name="Normal 7 2 2 4 4 2" xfId="11349"/>
    <cellStyle name="Normal 7 2 2 4 4 2 2" xfId="36904"/>
    <cellStyle name="Normal 7 2 2 4 4 3" xfId="21353"/>
    <cellStyle name="Normal 7 2 2 4 4 3 2" xfId="46906"/>
    <cellStyle name="Normal 7 2 2 4 4 4" xfId="27836"/>
    <cellStyle name="Normal 7 2 2 4 5" xfId="6205"/>
    <cellStyle name="Normal 7 2 2 4 5 2" xfId="15032"/>
    <cellStyle name="Normal 7 2 2 4 5 2 2" xfId="40587"/>
    <cellStyle name="Normal 7 2 2 4 5 3" xfId="25283"/>
    <cellStyle name="Normal 7 2 2 4 5 3 2" xfId="50836"/>
    <cellStyle name="Normal 7 2 2 4 5 4" xfId="31766"/>
    <cellStyle name="Normal 7 2 2 4 6" xfId="7651"/>
    <cellStyle name="Normal 7 2 2 4 6 2" xfId="19835"/>
    <cellStyle name="Normal 7 2 2 4 6 2 2" xfId="45388"/>
    <cellStyle name="Normal 7 2 2 4 6 3" xfId="33208"/>
    <cellStyle name="Normal 7 2 2 4 7" xfId="16346"/>
    <cellStyle name="Normal 7 2 2 4 7 2" xfId="41899"/>
    <cellStyle name="Normal 7 2 2 4 8" xfId="26318"/>
    <cellStyle name="Normal 7 2 2 5" xfId="944"/>
    <cellStyle name="Normal 7 2 2 5 2" xfId="3420"/>
    <cellStyle name="Normal 7 2 2 5 2 2" xfId="12562"/>
    <cellStyle name="Normal 7 2 2 5 2 2 2" xfId="22781"/>
    <cellStyle name="Normal 7 2 2 5 2 2 2 2" xfId="48334"/>
    <cellStyle name="Normal 7 2 2 5 2 2 3" xfId="38117"/>
    <cellStyle name="Normal 7 2 2 5 2 3" xfId="8984"/>
    <cellStyle name="Normal 7 2 2 5 2 3 2" xfId="34541"/>
    <cellStyle name="Normal 7 2 2 5 2 4" xfId="17774"/>
    <cellStyle name="Normal 7 2 2 5 2 4 2" xfId="43327"/>
    <cellStyle name="Normal 7 2 2 5 2 5" xfId="29264"/>
    <cellStyle name="Normal 7 2 2 5 3" xfId="5098"/>
    <cellStyle name="Normal 7 2 2 5 3 2" xfId="13935"/>
    <cellStyle name="Normal 7 2 2 5 3 2 2" xfId="24186"/>
    <cellStyle name="Normal 7 2 2 5 3 2 2 2" xfId="49739"/>
    <cellStyle name="Normal 7 2 2 5 3 2 3" xfId="39490"/>
    <cellStyle name="Normal 7 2 2 5 3 3" xfId="10356"/>
    <cellStyle name="Normal 7 2 2 5 3 3 2" xfId="35913"/>
    <cellStyle name="Normal 7 2 2 5 3 4" xfId="19179"/>
    <cellStyle name="Normal 7 2 2 5 3 4 2" xfId="44732"/>
    <cellStyle name="Normal 7 2 2 5 3 5" xfId="30669"/>
    <cellStyle name="Normal 7 2 2 5 4" xfId="2529"/>
    <cellStyle name="Normal 7 2 2 5 4 2" xfId="11894"/>
    <cellStyle name="Normal 7 2 2 5 4 2 2" xfId="37449"/>
    <cellStyle name="Normal 7 2 2 5 4 3" xfId="21898"/>
    <cellStyle name="Normal 7 2 2 5 4 3 2" xfId="47451"/>
    <cellStyle name="Normal 7 2 2 5 4 4" xfId="28381"/>
    <cellStyle name="Normal 7 2 2 5 5" xfId="6553"/>
    <cellStyle name="Normal 7 2 2 5 5 2" xfId="15380"/>
    <cellStyle name="Normal 7 2 2 5 5 2 2" xfId="40935"/>
    <cellStyle name="Normal 7 2 2 5 5 3" xfId="25631"/>
    <cellStyle name="Normal 7 2 2 5 5 3 2" xfId="51184"/>
    <cellStyle name="Normal 7 2 2 5 5 4" xfId="32114"/>
    <cellStyle name="Normal 7 2 2 5 6" xfId="7999"/>
    <cellStyle name="Normal 7 2 2 5 6 2" xfId="20380"/>
    <cellStyle name="Normal 7 2 2 5 6 2 2" xfId="45933"/>
    <cellStyle name="Normal 7 2 2 5 6 3" xfId="33556"/>
    <cellStyle name="Normal 7 2 2 5 7" xfId="16891"/>
    <cellStyle name="Normal 7 2 2 5 7 2" xfId="42444"/>
    <cellStyle name="Normal 7 2 2 5 8" xfId="26863"/>
    <cellStyle name="Normal 7 2 2 6" xfId="1161"/>
    <cellStyle name="Normal 7 2 2 6 2" xfId="3590"/>
    <cellStyle name="Normal 7 2 2 6 2 2" xfId="12726"/>
    <cellStyle name="Normal 7 2 2 6 2 2 2" xfId="22945"/>
    <cellStyle name="Normal 7 2 2 6 2 2 2 2" xfId="48498"/>
    <cellStyle name="Normal 7 2 2 6 2 2 3" xfId="38281"/>
    <cellStyle name="Normal 7 2 2 6 2 3" xfId="9147"/>
    <cellStyle name="Normal 7 2 2 6 2 3 2" xfId="34704"/>
    <cellStyle name="Normal 7 2 2 6 2 4" xfId="17938"/>
    <cellStyle name="Normal 7 2 2 6 2 4 2" xfId="43491"/>
    <cellStyle name="Normal 7 2 2 6 2 5" xfId="29428"/>
    <cellStyle name="Normal 7 2 2 6 3" xfId="5253"/>
    <cellStyle name="Normal 7 2 2 6 3 2" xfId="14090"/>
    <cellStyle name="Normal 7 2 2 6 3 2 2" xfId="24341"/>
    <cellStyle name="Normal 7 2 2 6 3 2 2 2" xfId="49894"/>
    <cellStyle name="Normal 7 2 2 6 3 2 3" xfId="39645"/>
    <cellStyle name="Normal 7 2 2 6 3 3" xfId="10511"/>
    <cellStyle name="Normal 7 2 2 6 3 3 2" xfId="36068"/>
    <cellStyle name="Normal 7 2 2 6 3 4" xfId="19334"/>
    <cellStyle name="Normal 7 2 2 6 3 4 2" xfId="44887"/>
    <cellStyle name="Normal 7 2 2 6 3 5" xfId="30824"/>
    <cellStyle name="Normal 7 2 2 6 4" xfId="1761"/>
    <cellStyle name="Normal 7 2 2 6 4 2" xfId="11132"/>
    <cellStyle name="Normal 7 2 2 6 4 2 2" xfId="36687"/>
    <cellStyle name="Normal 7 2 2 6 4 3" xfId="21136"/>
    <cellStyle name="Normal 7 2 2 6 4 3 2" xfId="46689"/>
    <cellStyle name="Normal 7 2 2 6 4 4" xfId="27619"/>
    <cellStyle name="Normal 7 2 2 6 5" xfId="6708"/>
    <cellStyle name="Normal 7 2 2 6 5 2" xfId="15535"/>
    <cellStyle name="Normal 7 2 2 6 5 2 2" xfId="41090"/>
    <cellStyle name="Normal 7 2 2 6 5 3" xfId="25786"/>
    <cellStyle name="Normal 7 2 2 6 5 3 2" xfId="51339"/>
    <cellStyle name="Normal 7 2 2 6 5 4" xfId="32269"/>
    <cellStyle name="Normal 7 2 2 6 6" xfId="8154"/>
    <cellStyle name="Normal 7 2 2 6 6 2" xfId="20544"/>
    <cellStyle name="Normal 7 2 2 6 6 2 2" xfId="46097"/>
    <cellStyle name="Normal 7 2 2 6 6 3" xfId="33711"/>
    <cellStyle name="Normal 7 2 2 6 7" xfId="16129"/>
    <cellStyle name="Normal 7 2 2 6 7 2" xfId="41682"/>
    <cellStyle name="Normal 7 2 2 6 8" xfId="27027"/>
    <cellStyle name="Normal 7 2 2 7" xfId="2658"/>
    <cellStyle name="Normal 7 2 2 7 2" xfId="11978"/>
    <cellStyle name="Normal 7 2 2 7 2 2" xfId="22019"/>
    <cellStyle name="Normal 7 2 2 7 2 2 2" xfId="47572"/>
    <cellStyle name="Normal 7 2 2 7 2 3" xfId="37533"/>
    <cellStyle name="Normal 7 2 2 7 3" xfId="8571"/>
    <cellStyle name="Normal 7 2 2 7 3 2" xfId="34128"/>
    <cellStyle name="Normal 7 2 2 7 4" xfId="17012"/>
    <cellStyle name="Normal 7 2 2 7 4 2" xfId="42565"/>
    <cellStyle name="Normal 7 2 2 7 5" xfId="28502"/>
    <cellStyle name="Normal 7 2 2 8" xfId="4209"/>
    <cellStyle name="Normal 7 2 2 8 2" xfId="13047"/>
    <cellStyle name="Normal 7 2 2 8 2 2" xfId="23298"/>
    <cellStyle name="Normal 7 2 2 8 2 2 2" xfId="48851"/>
    <cellStyle name="Normal 7 2 2 8 2 3" xfId="38602"/>
    <cellStyle name="Normal 7 2 2 8 3" xfId="9468"/>
    <cellStyle name="Normal 7 2 2 8 3 2" xfId="35025"/>
    <cellStyle name="Normal 7 2 2 8 4" xfId="18291"/>
    <cellStyle name="Normal 7 2 2 8 4 2" xfId="43844"/>
    <cellStyle name="Normal 7 2 2 8 5" xfId="29781"/>
    <cellStyle name="Normal 7 2 2 9" xfId="1481"/>
    <cellStyle name="Normal 7 2 2 9 2" xfId="10858"/>
    <cellStyle name="Normal 7 2 2 9 2 2" xfId="36413"/>
    <cellStyle name="Normal 7 2 2 9 3" xfId="20862"/>
    <cellStyle name="Normal 7 2 2 9 3 2" xfId="46415"/>
    <cellStyle name="Normal 7 2 2 9 4" xfId="27345"/>
    <cellStyle name="Normal 7 2 2_Degree data" xfId="4050"/>
    <cellStyle name="Normal 7 2 3" xfId="206"/>
    <cellStyle name="Normal 7 2 3 10" xfId="7152"/>
    <cellStyle name="Normal 7 2 3 10 2" xfId="19661"/>
    <cellStyle name="Normal 7 2 3 10 2 2" xfId="45214"/>
    <cellStyle name="Normal 7 2 3 10 3" xfId="32709"/>
    <cellStyle name="Normal 7 2 3 11" xfId="15898"/>
    <cellStyle name="Normal 7 2 3 11 2" xfId="41451"/>
    <cellStyle name="Normal 7 2 3 12" xfId="26144"/>
    <cellStyle name="Normal 7 2 3 2" xfId="532"/>
    <cellStyle name="Normal 7 2 3 2 10" xfId="26461"/>
    <cellStyle name="Normal 7 2 3 2 2" xfId="948"/>
    <cellStyle name="Normal 7 2 3 2 2 2" xfId="3424"/>
    <cellStyle name="Normal 7 2 3 2 2 2 2" xfId="12566"/>
    <cellStyle name="Normal 7 2 3 2 2 2 2 2" xfId="22785"/>
    <cellStyle name="Normal 7 2 3 2 2 2 2 2 2" xfId="48338"/>
    <cellStyle name="Normal 7 2 3 2 2 2 2 3" xfId="38121"/>
    <cellStyle name="Normal 7 2 3 2 2 2 3" xfId="8988"/>
    <cellStyle name="Normal 7 2 3 2 2 2 3 2" xfId="34545"/>
    <cellStyle name="Normal 7 2 3 2 2 2 4" xfId="17778"/>
    <cellStyle name="Normal 7 2 3 2 2 2 4 2" xfId="43331"/>
    <cellStyle name="Normal 7 2 3 2 2 2 5" xfId="29268"/>
    <cellStyle name="Normal 7 2 3 2 2 3" xfId="4754"/>
    <cellStyle name="Normal 7 2 3 2 2 3 2" xfId="13591"/>
    <cellStyle name="Normal 7 2 3 2 2 3 2 2" xfId="23842"/>
    <cellStyle name="Normal 7 2 3 2 2 3 2 2 2" xfId="49395"/>
    <cellStyle name="Normal 7 2 3 2 2 3 2 3" xfId="39146"/>
    <cellStyle name="Normal 7 2 3 2 2 3 3" xfId="10012"/>
    <cellStyle name="Normal 7 2 3 2 2 3 3 2" xfId="35569"/>
    <cellStyle name="Normal 7 2 3 2 2 3 4" xfId="18835"/>
    <cellStyle name="Normal 7 2 3 2 2 3 4 2" xfId="44388"/>
    <cellStyle name="Normal 7 2 3 2 2 3 5" xfId="30325"/>
    <cellStyle name="Normal 7 2 3 2 2 4" xfId="2533"/>
    <cellStyle name="Normal 7 2 3 2 2 4 2" xfId="11898"/>
    <cellStyle name="Normal 7 2 3 2 2 4 2 2" xfId="37453"/>
    <cellStyle name="Normal 7 2 3 2 2 4 3" xfId="21902"/>
    <cellStyle name="Normal 7 2 3 2 2 4 3 2" xfId="47455"/>
    <cellStyle name="Normal 7 2 3 2 2 4 4" xfId="28385"/>
    <cellStyle name="Normal 7 2 3 2 2 5" xfId="6209"/>
    <cellStyle name="Normal 7 2 3 2 2 5 2" xfId="15036"/>
    <cellStyle name="Normal 7 2 3 2 2 5 2 2" xfId="40591"/>
    <cellStyle name="Normal 7 2 3 2 2 5 3" xfId="25287"/>
    <cellStyle name="Normal 7 2 3 2 2 5 3 2" xfId="50840"/>
    <cellStyle name="Normal 7 2 3 2 2 5 4" xfId="31770"/>
    <cellStyle name="Normal 7 2 3 2 2 6" xfId="7655"/>
    <cellStyle name="Normal 7 2 3 2 2 6 2" xfId="20384"/>
    <cellStyle name="Normal 7 2 3 2 2 6 2 2" xfId="45937"/>
    <cellStyle name="Normal 7 2 3 2 2 6 3" xfId="33212"/>
    <cellStyle name="Normal 7 2 3 2 2 7" xfId="16895"/>
    <cellStyle name="Normal 7 2 3 2 2 7 2" xfId="42448"/>
    <cellStyle name="Normal 7 2 3 2 2 8" xfId="26867"/>
    <cellStyle name="Normal 7 2 3 2 3" xfId="1304"/>
    <cellStyle name="Normal 7 2 3 2 3 2" xfId="3733"/>
    <cellStyle name="Normal 7 2 3 2 3 2 2" xfId="12869"/>
    <cellStyle name="Normal 7 2 3 2 3 2 2 2" xfId="23088"/>
    <cellStyle name="Normal 7 2 3 2 3 2 2 2 2" xfId="48641"/>
    <cellStyle name="Normal 7 2 3 2 3 2 2 3" xfId="38424"/>
    <cellStyle name="Normal 7 2 3 2 3 2 3" xfId="9290"/>
    <cellStyle name="Normal 7 2 3 2 3 2 3 2" xfId="34847"/>
    <cellStyle name="Normal 7 2 3 2 3 2 4" xfId="18081"/>
    <cellStyle name="Normal 7 2 3 2 3 2 4 2" xfId="43634"/>
    <cellStyle name="Normal 7 2 3 2 3 2 5" xfId="29571"/>
    <cellStyle name="Normal 7 2 3 2 3 3" xfId="5102"/>
    <cellStyle name="Normal 7 2 3 2 3 3 2" xfId="13939"/>
    <cellStyle name="Normal 7 2 3 2 3 3 2 2" xfId="24190"/>
    <cellStyle name="Normal 7 2 3 2 3 3 2 2 2" xfId="49743"/>
    <cellStyle name="Normal 7 2 3 2 3 3 2 3" xfId="39494"/>
    <cellStyle name="Normal 7 2 3 2 3 3 3" xfId="10360"/>
    <cellStyle name="Normal 7 2 3 2 3 3 3 2" xfId="35917"/>
    <cellStyle name="Normal 7 2 3 2 3 3 4" xfId="19183"/>
    <cellStyle name="Normal 7 2 3 2 3 3 4 2" xfId="44736"/>
    <cellStyle name="Normal 7 2 3 2 3 3 5" xfId="30673"/>
    <cellStyle name="Normal 7 2 3 2 3 4" xfId="2127"/>
    <cellStyle name="Normal 7 2 3 2 3 4 2" xfId="11492"/>
    <cellStyle name="Normal 7 2 3 2 3 4 2 2" xfId="37047"/>
    <cellStyle name="Normal 7 2 3 2 3 4 3" xfId="21496"/>
    <cellStyle name="Normal 7 2 3 2 3 4 3 2" xfId="47049"/>
    <cellStyle name="Normal 7 2 3 2 3 4 4" xfId="27979"/>
    <cellStyle name="Normal 7 2 3 2 3 5" xfId="6557"/>
    <cellStyle name="Normal 7 2 3 2 3 5 2" xfId="15384"/>
    <cellStyle name="Normal 7 2 3 2 3 5 2 2" xfId="40939"/>
    <cellStyle name="Normal 7 2 3 2 3 5 3" xfId="25635"/>
    <cellStyle name="Normal 7 2 3 2 3 5 3 2" xfId="51188"/>
    <cellStyle name="Normal 7 2 3 2 3 5 4" xfId="32118"/>
    <cellStyle name="Normal 7 2 3 2 3 6" xfId="8003"/>
    <cellStyle name="Normal 7 2 3 2 3 6 2" xfId="20687"/>
    <cellStyle name="Normal 7 2 3 2 3 6 2 2" xfId="46240"/>
    <cellStyle name="Normal 7 2 3 2 3 6 3" xfId="33560"/>
    <cellStyle name="Normal 7 2 3 2 3 7" xfId="16489"/>
    <cellStyle name="Normal 7 2 3 2 3 7 2" xfId="42042"/>
    <cellStyle name="Normal 7 2 3 2 3 8" xfId="27170"/>
    <cellStyle name="Normal 7 2 3 2 4" xfId="3018"/>
    <cellStyle name="Normal 7 2 3 2 4 2" xfId="5396"/>
    <cellStyle name="Normal 7 2 3 2 4 2 2" xfId="14233"/>
    <cellStyle name="Normal 7 2 3 2 4 2 2 2" xfId="24484"/>
    <cellStyle name="Normal 7 2 3 2 4 2 2 2 2" xfId="50037"/>
    <cellStyle name="Normal 7 2 3 2 4 2 2 3" xfId="39788"/>
    <cellStyle name="Normal 7 2 3 2 4 2 3" xfId="10654"/>
    <cellStyle name="Normal 7 2 3 2 4 2 3 2" xfId="36211"/>
    <cellStyle name="Normal 7 2 3 2 4 2 4" xfId="19477"/>
    <cellStyle name="Normal 7 2 3 2 4 2 4 2" xfId="45030"/>
    <cellStyle name="Normal 7 2 3 2 4 2 5" xfId="30967"/>
    <cellStyle name="Normal 7 2 3 2 4 3" xfId="6851"/>
    <cellStyle name="Normal 7 2 3 2 4 3 2" xfId="15678"/>
    <cellStyle name="Normal 7 2 3 2 4 3 2 2" xfId="41233"/>
    <cellStyle name="Normal 7 2 3 2 4 3 3" xfId="25929"/>
    <cellStyle name="Normal 7 2 3 2 4 3 3 2" xfId="51482"/>
    <cellStyle name="Normal 7 2 3 2 4 3 4" xfId="32412"/>
    <cellStyle name="Normal 7 2 3 2 4 4" xfId="8297"/>
    <cellStyle name="Normal 7 2 3 2 4 4 2" xfId="22379"/>
    <cellStyle name="Normal 7 2 3 2 4 4 2 2" xfId="47932"/>
    <cellStyle name="Normal 7 2 3 2 4 4 3" xfId="33854"/>
    <cellStyle name="Normal 7 2 3 2 4 5" xfId="17372"/>
    <cellStyle name="Normal 7 2 3 2 4 5 2" xfId="42925"/>
    <cellStyle name="Normal 7 2 3 2 4 6" xfId="28862"/>
    <cellStyle name="Normal 7 2 3 2 5" xfId="4352"/>
    <cellStyle name="Normal 7 2 3 2 5 2" xfId="13190"/>
    <cellStyle name="Normal 7 2 3 2 5 2 2" xfId="23441"/>
    <cellStyle name="Normal 7 2 3 2 5 2 2 2" xfId="48994"/>
    <cellStyle name="Normal 7 2 3 2 5 2 3" xfId="38745"/>
    <cellStyle name="Normal 7 2 3 2 5 3" xfId="9611"/>
    <cellStyle name="Normal 7 2 3 2 5 3 2" xfId="35168"/>
    <cellStyle name="Normal 7 2 3 2 5 4" xfId="18434"/>
    <cellStyle name="Normal 7 2 3 2 5 4 2" xfId="43987"/>
    <cellStyle name="Normal 7 2 3 2 5 5" xfId="29924"/>
    <cellStyle name="Normal 7 2 3 2 6" xfId="1624"/>
    <cellStyle name="Normal 7 2 3 2 6 2" xfId="11001"/>
    <cellStyle name="Normal 7 2 3 2 6 2 2" xfId="36556"/>
    <cellStyle name="Normal 7 2 3 2 6 3" xfId="21005"/>
    <cellStyle name="Normal 7 2 3 2 6 3 2" xfId="46558"/>
    <cellStyle name="Normal 7 2 3 2 6 4" xfId="27488"/>
    <cellStyle name="Normal 7 2 3 2 7" xfId="5808"/>
    <cellStyle name="Normal 7 2 3 2 7 2" xfId="14635"/>
    <cellStyle name="Normal 7 2 3 2 7 2 2" xfId="40190"/>
    <cellStyle name="Normal 7 2 3 2 7 3" xfId="24886"/>
    <cellStyle name="Normal 7 2 3 2 7 3 2" xfId="50439"/>
    <cellStyle name="Normal 7 2 3 2 7 4" xfId="31369"/>
    <cellStyle name="Normal 7 2 3 2 8" xfId="7252"/>
    <cellStyle name="Normal 7 2 3 2 8 2" xfId="19978"/>
    <cellStyle name="Normal 7 2 3 2 8 2 2" xfId="45531"/>
    <cellStyle name="Normal 7 2 3 2 8 3" xfId="32809"/>
    <cellStyle name="Normal 7 2 3 2 9" xfId="15998"/>
    <cellStyle name="Normal 7 2 3 2 9 2" xfId="41551"/>
    <cellStyle name="Normal 7 2 3 2_Degree data" xfId="4054"/>
    <cellStyle name="Normal 7 2 3 3" xfId="432"/>
    <cellStyle name="Normal 7 2 3 3 2" xfId="2918"/>
    <cellStyle name="Normal 7 2 3 3 2 2" xfId="12206"/>
    <cellStyle name="Normal 7 2 3 3 2 2 2" xfId="22279"/>
    <cellStyle name="Normal 7 2 3 3 2 2 2 2" xfId="47832"/>
    <cellStyle name="Normal 7 2 3 3 2 2 3" xfId="37761"/>
    <cellStyle name="Normal 7 2 3 3 2 3" xfId="8583"/>
    <cellStyle name="Normal 7 2 3 3 2 3 2" xfId="34140"/>
    <cellStyle name="Normal 7 2 3 3 2 4" xfId="17272"/>
    <cellStyle name="Normal 7 2 3 3 2 4 2" xfId="42825"/>
    <cellStyle name="Normal 7 2 3 3 2 5" xfId="28762"/>
    <cellStyle name="Normal 7 2 3 3 3" xfId="4753"/>
    <cellStyle name="Normal 7 2 3 3 3 2" xfId="13590"/>
    <cellStyle name="Normal 7 2 3 3 3 2 2" xfId="23841"/>
    <cellStyle name="Normal 7 2 3 3 3 2 2 2" xfId="49394"/>
    <cellStyle name="Normal 7 2 3 3 3 2 3" xfId="39145"/>
    <cellStyle name="Normal 7 2 3 3 3 3" xfId="10011"/>
    <cellStyle name="Normal 7 2 3 3 3 3 2" xfId="35568"/>
    <cellStyle name="Normal 7 2 3 3 3 4" xfId="18834"/>
    <cellStyle name="Normal 7 2 3 3 3 4 2" xfId="44387"/>
    <cellStyle name="Normal 7 2 3 3 3 5" xfId="30324"/>
    <cellStyle name="Normal 7 2 3 3 4" xfId="2027"/>
    <cellStyle name="Normal 7 2 3 3 4 2" xfId="11392"/>
    <cellStyle name="Normal 7 2 3 3 4 2 2" xfId="36947"/>
    <cellStyle name="Normal 7 2 3 3 4 3" xfId="21396"/>
    <cellStyle name="Normal 7 2 3 3 4 3 2" xfId="46949"/>
    <cellStyle name="Normal 7 2 3 3 4 4" xfId="27879"/>
    <cellStyle name="Normal 7 2 3 3 5" xfId="6208"/>
    <cellStyle name="Normal 7 2 3 3 5 2" xfId="15035"/>
    <cellStyle name="Normal 7 2 3 3 5 2 2" xfId="40590"/>
    <cellStyle name="Normal 7 2 3 3 5 3" xfId="25286"/>
    <cellStyle name="Normal 7 2 3 3 5 3 2" xfId="50839"/>
    <cellStyle name="Normal 7 2 3 3 5 4" xfId="31769"/>
    <cellStyle name="Normal 7 2 3 3 6" xfId="7654"/>
    <cellStyle name="Normal 7 2 3 3 6 2" xfId="19878"/>
    <cellStyle name="Normal 7 2 3 3 6 2 2" xfId="45431"/>
    <cellStyle name="Normal 7 2 3 3 6 3" xfId="33211"/>
    <cellStyle name="Normal 7 2 3 3 7" xfId="16389"/>
    <cellStyle name="Normal 7 2 3 3 7 2" xfId="41942"/>
    <cellStyle name="Normal 7 2 3 3 8" xfId="26361"/>
    <cellStyle name="Normal 7 2 3 4" xfId="947"/>
    <cellStyle name="Normal 7 2 3 4 2" xfId="3423"/>
    <cellStyle name="Normal 7 2 3 4 2 2" xfId="12565"/>
    <cellStyle name="Normal 7 2 3 4 2 2 2" xfId="22784"/>
    <cellStyle name="Normal 7 2 3 4 2 2 2 2" xfId="48337"/>
    <cellStyle name="Normal 7 2 3 4 2 2 3" xfId="38120"/>
    <cellStyle name="Normal 7 2 3 4 2 3" xfId="8987"/>
    <cellStyle name="Normal 7 2 3 4 2 3 2" xfId="34544"/>
    <cellStyle name="Normal 7 2 3 4 2 4" xfId="17777"/>
    <cellStyle name="Normal 7 2 3 4 2 4 2" xfId="43330"/>
    <cellStyle name="Normal 7 2 3 4 2 5" xfId="29267"/>
    <cellStyle name="Normal 7 2 3 4 3" xfId="5101"/>
    <cellStyle name="Normal 7 2 3 4 3 2" xfId="13938"/>
    <cellStyle name="Normal 7 2 3 4 3 2 2" xfId="24189"/>
    <cellStyle name="Normal 7 2 3 4 3 2 2 2" xfId="49742"/>
    <cellStyle name="Normal 7 2 3 4 3 2 3" xfId="39493"/>
    <cellStyle name="Normal 7 2 3 4 3 3" xfId="10359"/>
    <cellStyle name="Normal 7 2 3 4 3 3 2" xfId="35916"/>
    <cellStyle name="Normal 7 2 3 4 3 4" xfId="19182"/>
    <cellStyle name="Normal 7 2 3 4 3 4 2" xfId="44735"/>
    <cellStyle name="Normal 7 2 3 4 3 5" xfId="30672"/>
    <cellStyle name="Normal 7 2 3 4 4" xfId="2532"/>
    <cellStyle name="Normal 7 2 3 4 4 2" xfId="11897"/>
    <cellStyle name="Normal 7 2 3 4 4 2 2" xfId="37452"/>
    <cellStyle name="Normal 7 2 3 4 4 3" xfId="21901"/>
    <cellStyle name="Normal 7 2 3 4 4 3 2" xfId="47454"/>
    <cellStyle name="Normal 7 2 3 4 4 4" xfId="28384"/>
    <cellStyle name="Normal 7 2 3 4 5" xfId="6556"/>
    <cellStyle name="Normal 7 2 3 4 5 2" xfId="15383"/>
    <cellStyle name="Normal 7 2 3 4 5 2 2" xfId="40938"/>
    <cellStyle name="Normal 7 2 3 4 5 3" xfId="25634"/>
    <cellStyle name="Normal 7 2 3 4 5 3 2" xfId="51187"/>
    <cellStyle name="Normal 7 2 3 4 5 4" xfId="32117"/>
    <cellStyle name="Normal 7 2 3 4 6" xfId="8002"/>
    <cellStyle name="Normal 7 2 3 4 6 2" xfId="20383"/>
    <cellStyle name="Normal 7 2 3 4 6 2 2" xfId="45936"/>
    <cellStyle name="Normal 7 2 3 4 6 3" xfId="33559"/>
    <cellStyle name="Normal 7 2 3 4 7" xfId="16894"/>
    <cellStyle name="Normal 7 2 3 4 7 2" xfId="42447"/>
    <cellStyle name="Normal 7 2 3 4 8" xfId="26866"/>
    <cellStyle name="Normal 7 2 3 5" xfId="1204"/>
    <cellStyle name="Normal 7 2 3 5 2" xfId="3633"/>
    <cellStyle name="Normal 7 2 3 5 2 2" xfId="12769"/>
    <cellStyle name="Normal 7 2 3 5 2 2 2" xfId="22988"/>
    <cellStyle name="Normal 7 2 3 5 2 2 2 2" xfId="48541"/>
    <cellStyle name="Normal 7 2 3 5 2 2 3" xfId="38324"/>
    <cellStyle name="Normal 7 2 3 5 2 3" xfId="9190"/>
    <cellStyle name="Normal 7 2 3 5 2 3 2" xfId="34747"/>
    <cellStyle name="Normal 7 2 3 5 2 4" xfId="17981"/>
    <cellStyle name="Normal 7 2 3 5 2 4 2" xfId="43534"/>
    <cellStyle name="Normal 7 2 3 5 2 5" xfId="29471"/>
    <cellStyle name="Normal 7 2 3 5 3" xfId="5296"/>
    <cellStyle name="Normal 7 2 3 5 3 2" xfId="14133"/>
    <cellStyle name="Normal 7 2 3 5 3 2 2" xfId="24384"/>
    <cellStyle name="Normal 7 2 3 5 3 2 2 2" xfId="49937"/>
    <cellStyle name="Normal 7 2 3 5 3 2 3" xfId="39688"/>
    <cellStyle name="Normal 7 2 3 5 3 3" xfId="10554"/>
    <cellStyle name="Normal 7 2 3 5 3 3 2" xfId="36111"/>
    <cellStyle name="Normal 7 2 3 5 3 4" xfId="19377"/>
    <cellStyle name="Normal 7 2 3 5 3 4 2" xfId="44930"/>
    <cellStyle name="Normal 7 2 3 5 3 5" xfId="30867"/>
    <cellStyle name="Normal 7 2 3 5 4" xfId="1807"/>
    <cellStyle name="Normal 7 2 3 5 4 2" xfId="11175"/>
    <cellStyle name="Normal 7 2 3 5 4 2 2" xfId="36730"/>
    <cellStyle name="Normal 7 2 3 5 4 3" xfId="21179"/>
    <cellStyle name="Normal 7 2 3 5 4 3 2" xfId="46732"/>
    <cellStyle name="Normal 7 2 3 5 4 4" xfId="27662"/>
    <cellStyle name="Normal 7 2 3 5 5" xfId="6751"/>
    <cellStyle name="Normal 7 2 3 5 5 2" xfId="15578"/>
    <cellStyle name="Normal 7 2 3 5 5 2 2" xfId="41133"/>
    <cellStyle name="Normal 7 2 3 5 5 3" xfId="25829"/>
    <cellStyle name="Normal 7 2 3 5 5 3 2" xfId="51382"/>
    <cellStyle name="Normal 7 2 3 5 5 4" xfId="32312"/>
    <cellStyle name="Normal 7 2 3 5 6" xfId="8197"/>
    <cellStyle name="Normal 7 2 3 5 6 2" xfId="20587"/>
    <cellStyle name="Normal 7 2 3 5 6 2 2" xfId="46140"/>
    <cellStyle name="Normal 7 2 3 5 6 3" xfId="33754"/>
    <cellStyle name="Normal 7 2 3 5 7" xfId="16172"/>
    <cellStyle name="Normal 7 2 3 5 7 2" xfId="41725"/>
    <cellStyle name="Normal 7 2 3 5 8" xfId="27070"/>
    <cellStyle name="Normal 7 2 3 6" xfId="2701"/>
    <cellStyle name="Normal 7 2 3 6 2" xfId="12018"/>
    <cellStyle name="Normal 7 2 3 6 2 2" xfId="22062"/>
    <cellStyle name="Normal 7 2 3 6 2 2 2" xfId="47615"/>
    <cellStyle name="Normal 7 2 3 6 2 3" xfId="37573"/>
    <cellStyle name="Normal 7 2 3 6 3" xfId="8495"/>
    <cellStyle name="Normal 7 2 3 6 3 2" xfId="34052"/>
    <cellStyle name="Normal 7 2 3 6 4" xfId="17055"/>
    <cellStyle name="Normal 7 2 3 6 4 2" xfId="42608"/>
    <cellStyle name="Normal 7 2 3 6 5" xfId="28545"/>
    <cellStyle name="Normal 7 2 3 7" xfId="4252"/>
    <cellStyle name="Normal 7 2 3 7 2" xfId="13090"/>
    <cellStyle name="Normal 7 2 3 7 2 2" xfId="23341"/>
    <cellStyle name="Normal 7 2 3 7 2 2 2" xfId="48894"/>
    <cellStyle name="Normal 7 2 3 7 2 3" xfId="38645"/>
    <cellStyle name="Normal 7 2 3 7 3" xfId="9511"/>
    <cellStyle name="Normal 7 2 3 7 3 2" xfId="35068"/>
    <cellStyle name="Normal 7 2 3 7 4" xfId="18334"/>
    <cellStyle name="Normal 7 2 3 7 4 2" xfId="43887"/>
    <cellStyle name="Normal 7 2 3 7 5" xfId="29824"/>
    <cellStyle name="Normal 7 2 3 8" xfId="1524"/>
    <cellStyle name="Normal 7 2 3 8 2" xfId="10901"/>
    <cellStyle name="Normal 7 2 3 8 2 2" xfId="36456"/>
    <cellStyle name="Normal 7 2 3 8 3" xfId="20905"/>
    <cellStyle name="Normal 7 2 3 8 3 2" xfId="46458"/>
    <cellStyle name="Normal 7 2 3 8 4" xfId="27388"/>
    <cellStyle name="Normal 7 2 3 9" xfId="5708"/>
    <cellStyle name="Normal 7 2 3 9 2" xfId="14535"/>
    <cellStyle name="Normal 7 2 3 9 2 2" xfId="40090"/>
    <cellStyle name="Normal 7 2 3 9 3" xfId="24786"/>
    <cellStyle name="Normal 7 2 3 9 3 2" xfId="50339"/>
    <cellStyle name="Normal 7 2 3 9 4" xfId="31269"/>
    <cellStyle name="Normal 7 2 3_Degree data" xfId="4053"/>
    <cellStyle name="Normal 7 2 4" xfId="241"/>
    <cellStyle name="Normal 7 2 4 10" xfId="7079"/>
    <cellStyle name="Normal 7 2 4 10 2" xfId="19693"/>
    <cellStyle name="Normal 7 2 4 10 2 2" xfId="45246"/>
    <cellStyle name="Normal 7 2 4 10 3" xfId="32636"/>
    <cellStyle name="Normal 7 2 4 11" xfId="15825"/>
    <cellStyle name="Normal 7 2 4 11 2" xfId="41378"/>
    <cellStyle name="Normal 7 2 4 12" xfId="26176"/>
    <cellStyle name="Normal 7 2 4 2" xfId="564"/>
    <cellStyle name="Normal 7 2 4 2 10" xfId="26493"/>
    <cellStyle name="Normal 7 2 4 2 2" xfId="950"/>
    <cellStyle name="Normal 7 2 4 2 2 2" xfId="3426"/>
    <cellStyle name="Normal 7 2 4 2 2 2 2" xfId="12568"/>
    <cellStyle name="Normal 7 2 4 2 2 2 2 2" xfId="22787"/>
    <cellStyle name="Normal 7 2 4 2 2 2 2 2 2" xfId="48340"/>
    <cellStyle name="Normal 7 2 4 2 2 2 2 3" xfId="38123"/>
    <cellStyle name="Normal 7 2 4 2 2 2 3" xfId="8990"/>
    <cellStyle name="Normal 7 2 4 2 2 2 3 2" xfId="34547"/>
    <cellStyle name="Normal 7 2 4 2 2 2 4" xfId="17780"/>
    <cellStyle name="Normal 7 2 4 2 2 2 4 2" xfId="43333"/>
    <cellStyle name="Normal 7 2 4 2 2 2 5" xfId="29270"/>
    <cellStyle name="Normal 7 2 4 2 2 3" xfId="4756"/>
    <cellStyle name="Normal 7 2 4 2 2 3 2" xfId="13593"/>
    <cellStyle name="Normal 7 2 4 2 2 3 2 2" xfId="23844"/>
    <cellStyle name="Normal 7 2 4 2 2 3 2 2 2" xfId="49397"/>
    <cellStyle name="Normal 7 2 4 2 2 3 2 3" xfId="39148"/>
    <cellStyle name="Normal 7 2 4 2 2 3 3" xfId="10014"/>
    <cellStyle name="Normal 7 2 4 2 2 3 3 2" xfId="35571"/>
    <cellStyle name="Normal 7 2 4 2 2 3 4" xfId="18837"/>
    <cellStyle name="Normal 7 2 4 2 2 3 4 2" xfId="44390"/>
    <cellStyle name="Normal 7 2 4 2 2 3 5" xfId="30327"/>
    <cellStyle name="Normal 7 2 4 2 2 4" xfId="2535"/>
    <cellStyle name="Normal 7 2 4 2 2 4 2" xfId="11900"/>
    <cellStyle name="Normal 7 2 4 2 2 4 2 2" xfId="37455"/>
    <cellStyle name="Normal 7 2 4 2 2 4 3" xfId="21904"/>
    <cellStyle name="Normal 7 2 4 2 2 4 3 2" xfId="47457"/>
    <cellStyle name="Normal 7 2 4 2 2 4 4" xfId="28387"/>
    <cellStyle name="Normal 7 2 4 2 2 5" xfId="6211"/>
    <cellStyle name="Normal 7 2 4 2 2 5 2" xfId="15038"/>
    <cellStyle name="Normal 7 2 4 2 2 5 2 2" xfId="40593"/>
    <cellStyle name="Normal 7 2 4 2 2 5 3" xfId="25289"/>
    <cellStyle name="Normal 7 2 4 2 2 5 3 2" xfId="50842"/>
    <cellStyle name="Normal 7 2 4 2 2 5 4" xfId="31772"/>
    <cellStyle name="Normal 7 2 4 2 2 6" xfId="7657"/>
    <cellStyle name="Normal 7 2 4 2 2 6 2" xfId="20386"/>
    <cellStyle name="Normal 7 2 4 2 2 6 2 2" xfId="45939"/>
    <cellStyle name="Normal 7 2 4 2 2 6 3" xfId="33214"/>
    <cellStyle name="Normal 7 2 4 2 2 7" xfId="16897"/>
    <cellStyle name="Normal 7 2 4 2 2 7 2" xfId="42450"/>
    <cellStyle name="Normal 7 2 4 2 2 8" xfId="26869"/>
    <cellStyle name="Normal 7 2 4 2 3" xfId="1336"/>
    <cellStyle name="Normal 7 2 4 2 3 2" xfId="3765"/>
    <cellStyle name="Normal 7 2 4 2 3 2 2" xfId="12901"/>
    <cellStyle name="Normal 7 2 4 2 3 2 2 2" xfId="23120"/>
    <cellStyle name="Normal 7 2 4 2 3 2 2 2 2" xfId="48673"/>
    <cellStyle name="Normal 7 2 4 2 3 2 2 3" xfId="38456"/>
    <cellStyle name="Normal 7 2 4 2 3 2 3" xfId="9322"/>
    <cellStyle name="Normal 7 2 4 2 3 2 3 2" xfId="34879"/>
    <cellStyle name="Normal 7 2 4 2 3 2 4" xfId="18113"/>
    <cellStyle name="Normal 7 2 4 2 3 2 4 2" xfId="43666"/>
    <cellStyle name="Normal 7 2 4 2 3 2 5" xfId="29603"/>
    <cellStyle name="Normal 7 2 4 2 3 3" xfId="5104"/>
    <cellStyle name="Normal 7 2 4 2 3 3 2" xfId="13941"/>
    <cellStyle name="Normal 7 2 4 2 3 3 2 2" xfId="24192"/>
    <cellStyle name="Normal 7 2 4 2 3 3 2 2 2" xfId="49745"/>
    <cellStyle name="Normal 7 2 4 2 3 3 2 3" xfId="39496"/>
    <cellStyle name="Normal 7 2 4 2 3 3 3" xfId="10362"/>
    <cellStyle name="Normal 7 2 4 2 3 3 3 2" xfId="35919"/>
    <cellStyle name="Normal 7 2 4 2 3 3 4" xfId="19185"/>
    <cellStyle name="Normal 7 2 4 2 3 3 4 2" xfId="44738"/>
    <cellStyle name="Normal 7 2 4 2 3 3 5" xfId="30675"/>
    <cellStyle name="Normal 7 2 4 2 3 4" xfId="2159"/>
    <cellStyle name="Normal 7 2 4 2 3 4 2" xfId="11524"/>
    <cellStyle name="Normal 7 2 4 2 3 4 2 2" xfId="37079"/>
    <cellStyle name="Normal 7 2 4 2 3 4 3" xfId="21528"/>
    <cellStyle name="Normal 7 2 4 2 3 4 3 2" xfId="47081"/>
    <cellStyle name="Normal 7 2 4 2 3 4 4" xfId="28011"/>
    <cellStyle name="Normal 7 2 4 2 3 5" xfId="6559"/>
    <cellStyle name="Normal 7 2 4 2 3 5 2" xfId="15386"/>
    <cellStyle name="Normal 7 2 4 2 3 5 2 2" xfId="40941"/>
    <cellStyle name="Normal 7 2 4 2 3 5 3" xfId="25637"/>
    <cellStyle name="Normal 7 2 4 2 3 5 3 2" xfId="51190"/>
    <cellStyle name="Normal 7 2 4 2 3 5 4" xfId="32120"/>
    <cellStyle name="Normal 7 2 4 2 3 6" xfId="8005"/>
    <cellStyle name="Normal 7 2 4 2 3 6 2" xfId="20719"/>
    <cellStyle name="Normal 7 2 4 2 3 6 2 2" xfId="46272"/>
    <cellStyle name="Normal 7 2 4 2 3 6 3" xfId="33562"/>
    <cellStyle name="Normal 7 2 4 2 3 7" xfId="16521"/>
    <cellStyle name="Normal 7 2 4 2 3 7 2" xfId="42074"/>
    <cellStyle name="Normal 7 2 4 2 3 8" xfId="27202"/>
    <cellStyle name="Normal 7 2 4 2 4" xfId="3050"/>
    <cellStyle name="Normal 7 2 4 2 4 2" xfId="5428"/>
    <cellStyle name="Normal 7 2 4 2 4 2 2" xfId="14265"/>
    <cellStyle name="Normal 7 2 4 2 4 2 2 2" xfId="24516"/>
    <cellStyle name="Normal 7 2 4 2 4 2 2 2 2" xfId="50069"/>
    <cellStyle name="Normal 7 2 4 2 4 2 2 3" xfId="39820"/>
    <cellStyle name="Normal 7 2 4 2 4 2 3" xfId="10686"/>
    <cellStyle name="Normal 7 2 4 2 4 2 3 2" xfId="36243"/>
    <cellStyle name="Normal 7 2 4 2 4 2 4" xfId="19509"/>
    <cellStyle name="Normal 7 2 4 2 4 2 4 2" xfId="45062"/>
    <cellStyle name="Normal 7 2 4 2 4 2 5" xfId="30999"/>
    <cellStyle name="Normal 7 2 4 2 4 3" xfId="6883"/>
    <cellStyle name="Normal 7 2 4 2 4 3 2" xfId="15710"/>
    <cellStyle name="Normal 7 2 4 2 4 3 2 2" xfId="41265"/>
    <cellStyle name="Normal 7 2 4 2 4 3 3" xfId="25961"/>
    <cellStyle name="Normal 7 2 4 2 4 3 3 2" xfId="51514"/>
    <cellStyle name="Normal 7 2 4 2 4 3 4" xfId="32444"/>
    <cellStyle name="Normal 7 2 4 2 4 4" xfId="8329"/>
    <cellStyle name="Normal 7 2 4 2 4 4 2" xfId="22411"/>
    <cellStyle name="Normal 7 2 4 2 4 4 2 2" xfId="47964"/>
    <cellStyle name="Normal 7 2 4 2 4 4 3" xfId="33886"/>
    <cellStyle name="Normal 7 2 4 2 4 5" xfId="17404"/>
    <cellStyle name="Normal 7 2 4 2 4 5 2" xfId="42957"/>
    <cellStyle name="Normal 7 2 4 2 4 6" xfId="28894"/>
    <cellStyle name="Normal 7 2 4 2 5" xfId="4384"/>
    <cellStyle name="Normal 7 2 4 2 5 2" xfId="13222"/>
    <cellStyle name="Normal 7 2 4 2 5 2 2" xfId="23473"/>
    <cellStyle name="Normal 7 2 4 2 5 2 2 2" xfId="49026"/>
    <cellStyle name="Normal 7 2 4 2 5 2 3" xfId="38777"/>
    <cellStyle name="Normal 7 2 4 2 5 3" xfId="9643"/>
    <cellStyle name="Normal 7 2 4 2 5 3 2" xfId="35200"/>
    <cellStyle name="Normal 7 2 4 2 5 4" xfId="18466"/>
    <cellStyle name="Normal 7 2 4 2 5 4 2" xfId="44019"/>
    <cellStyle name="Normal 7 2 4 2 5 5" xfId="29956"/>
    <cellStyle name="Normal 7 2 4 2 6" xfId="1656"/>
    <cellStyle name="Normal 7 2 4 2 6 2" xfId="11033"/>
    <cellStyle name="Normal 7 2 4 2 6 2 2" xfId="36588"/>
    <cellStyle name="Normal 7 2 4 2 6 3" xfId="21037"/>
    <cellStyle name="Normal 7 2 4 2 6 3 2" xfId="46590"/>
    <cellStyle name="Normal 7 2 4 2 6 4" xfId="27520"/>
    <cellStyle name="Normal 7 2 4 2 7" xfId="5840"/>
    <cellStyle name="Normal 7 2 4 2 7 2" xfId="14667"/>
    <cellStyle name="Normal 7 2 4 2 7 2 2" xfId="40222"/>
    <cellStyle name="Normal 7 2 4 2 7 3" xfId="24918"/>
    <cellStyle name="Normal 7 2 4 2 7 3 2" xfId="50471"/>
    <cellStyle name="Normal 7 2 4 2 7 4" xfId="31401"/>
    <cellStyle name="Normal 7 2 4 2 8" xfId="7284"/>
    <cellStyle name="Normal 7 2 4 2 8 2" xfId="20010"/>
    <cellStyle name="Normal 7 2 4 2 8 2 2" xfId="45563"/>
    <cellStyle name="Normal 7 2 4 2 8 3" xfId="32841"/>
    <cellStyle name="Normal 7 2 4 2 9" xfId="16030"/>
    <cellStyle name="Normal 7 2 4 2 9 2" xfId="41583"/>
    <cellStyle name="Normal 7 2 4 2_Degree data" xfId="4056"/>
    <cellStyle name="Normal 7 2 4 3" xfId="359"/>
    <cellStyle name="Normal 7 2 4 3 2" xfId="2845"/>
    <cellStyle name="Normal 7 2 4 3 2 2" xfId="12133"/>
    <cellStyle name="Normal 7 2 4 3 2 2 2" xfId="22206"/>
    <cellStyle name="Normal 7 2 4 3 2 2 2 2" xfId="47759"/>
    <cellStyle name="Normal 7 2 4 3 2 2 3" xfId="37688"/>
    <cellStyle name="Normal 7 2 4 3 2 3" xfId="8403"/>
    <cellStyle name="Normal 7 2 4 3 2 3 2" xfId="33960"/>
    <cellStyle name="Normal 7 2 4 3 2 4" xfId="17199"/>
    <cellStyle name="Normal 7 2 4 3 2 4 2" xfId="42752"/>
    <cellStyle name="Normal 7 2 4 3 2 5" xfId="28689"/>
    <cellStyle name="Normal 7 2 4 3 3" xfId="4755"/>
    <cellStyle name="Normal 7 2 4 3 3 2" xfId="13592"/>
    <cellStyle name="Normal 7 2 4 3 3 2 2" xfId="23843"/>
    <cellStyle name="Normal 7 2 4 3 3 2 2 2" xfId="49396"/>
    <cellStyle name="Normal 7 2 4 3 3 2 3" xfId="39147"/>
    <cellStyle name="Normal 7 2 4 3 3 3" xfId="10013"/>
    <cellStyle name="Normal 7 2 4 3 3 3 2" xfId="35570"/>
    <cellStyle name="Normal 7 2 4 3 3 4" xfId="18836"/>
    <cellStyle name="Normal 7 2 4 3 3 4 2" xfId="44389"/>
    <cellStyle name="Normal 7 2 4 3 3 5" xfId="30326"/>
    <cellStyle name="Normal 7 2 4 3 4" xfId="1954"/>
    <cellStyle name="Normal 7 2 4 3 4 2" xfId="11319"/>
    <cellStyle name="Normal 7 2 4 3 4 2 2" xfId="36874"/>
    <cellStyle name="Normal 7 2 4 3 4 3" xfId="21323"/>
    <cellStyle name="Normal 7 2 4 3 4 3 2" xfId="46876"/>
    <cellStyle name="Normal 7 2 4 3 4 4" xfId="27806"/>
    <cellStyle name="Normal 7 2 4 3 5" xfId="6210"/>
    <cellStyle name="Normal 7 2 4 3 5 2" xfId="15037"/>
    <cellStyle name="Normal 7 2 4 3 5 2 2" xfId="40592"/>
    <cellStyle name="Normal 7 2 4 3 5 3" xfId="25288"/>
    <cellStyle name="Normal 7 2 4 3 5 3 2" xfId="50841"/>
    <cellStyle name="Normal 7 2 4 3 5 4" xfId="31771"/>
    <cellStyle name="Normal 7 2 4 3 6" xfId="7656"/>
    <cellStyle name="Normal 7 2 4 3 6 2" xfId="19805"/>
    <cellStyle name="Normal 7 2 4 3 6 2 2" xfId="45358"/>
    <cellStyle name="Normal 7 2 4 3 6 3" xfId="33213"/>
    <cellStyle name="Normal 7 2 4 3 7" xfId="16316"/>
    <cellStyle name="Normal 7 2 4 3 7 2" xfId="41869"/>
    <cellStyle name="Normal 7 2 4 3 8" xfId="26288"/>
    <cellStyle name="Normal 7 2 4 4" xfId="949"/>
    <cellStyle name="Normal 7 2 4 4 2" xfId="3425"/>
    <cellStyle name="Normal 7 2 4 4 2 2" xfId="12567"/>
    <cellStyle name="Normal 7 2 4 4 2 2 2" xfId="22786"/>
    <cellStyle name="Normal 7 2 4 4 2 2 2 2" xfId="48339"/>
    <cellStyle name="Normal 7 2 4 4 2 2 3" xfId="38122"/>
    <cellStyle name="Normal 7 2 4 4 2 3" xfId="8989"/>
    <cellStyle name="Normal 7 2 4 4 2 3 2" xfId="34546"/>
    <cellStyle name="Normal 7 2 4 4 2 4" xfId="17779"/>
    <cellStyle name="Normal 7 2 4 4 2 4 2" xfId="43332"/>
    <cellStyle name="Normal 7 2 4 4 2 5" xfId="29269"/>
    <cellStyle name="Normal 7 2 4 4 3" xfId="5103"/>
    <cellStyle name="Normal 7 2 4 4 3 2" xfId="13940"/>
    <cellStyle name="Normal 7 2 4 4 3 2 2" xfId="24191"/>
    <cellStyle name="Normal 7 2 4 4 3 2 2 2" xfId="49744"/>
    <cellStyle name="Normal 7 2 4 4 3 2 3" xfId="39495"/>
    <cellStyle name="Normal 7 2 4 4 3 3" xfId="10361"/>
    <cellStyle name="Normal 7 2 4 4 3 3 2" xfId="35918"/>
    <cellStyle name="Normal 7 2 4 4 3 4" xfId="19184"/>
    <cellStyle name="Normal 7 2 4 4 3 4 2" xfId="44737"/>
    <cellStyle name="Normal 7 2 4 4 3 5" xfId="30674"/>
    <cellStyle name="Normal 7 2 4 4 4" xfId="2534"/>
    <cellStyle name="Normal 7 2 4 4 4 2" xfId="11899"/>
    <cellStyle name="Normal 7 2 4 4 4 2 2" xfId="37454"/>
    <cellStyle name="Normal 7 2 4 4 4 3" xfId="21903"/>
    <cellStyle name="Normal 7 2 4 4 4 3 2" xfId="47456"/>
    <cellStyle name="Normal 7 2 4 4 4 4" xfId="28386"/>
    <cellStyle name="Normal 7 2 4 4 5" xfId="6558"/>
    <cellStyle name="Normal 7 2 4 4 5 2" xfId="15385"/>
    <cellStyle name="Normal 7 2 4 4 5 2 2" xfId="40940"/>
    <cellStyle name="Normal 7 2 4 4 5 3" xfId="25636"/>
    <cellStyle name="Normal 7 2 4 4 5 3 2" xfId="51189"/>
    <cellStyle name="Normal 7 2 4 4 5 4" xfId="32119"/>
    <cellStyle name="Normal 7 2 4 4 6" xfId="8004"/>
    <cellStyle name="Normal 7 2 4 4 6 2" xfId="20385"/>
    <cellStyle name="Normal 7 2 4 4 6 2 2" xfId="45938"/>
    <cellStyle name="Normal 7 2 4 4 6 3" xfId="33561"/>
    <cellStyle name="Normal 7 2 4 4 7" xfId="16896"/>
    <cellStyle name="Normal 7 2 4 4 7 2" xfId="42449"/>
    <cellStyle name="Normal 7 2 4 4 8" xfId="26868"/>
    <cellStyle name="Normal 7 2 4 5" xfId="1131"/>
    <cellStyle name="Normal 7 2 4 5 2" xfId="3560"/>
    <cellStyle name="Normal 7 2 4 5 2 2" xfId="12696"/>
    <cellStyle name="Normal 7 2 4 5 2 2 2" xfId="22915"/>
    <cellStyle name="Normal 7 2 4 5 2 2 2 2" xfId="48468"/>
    <cellStyle name="Normal 7 2 4 5 2 2 3" xfId="38251"/>
    <cellStyle name="Normal 7 2 4 5 2 3" xfId="9117"/>
    <cellStyle name="Normal 7 2 4 5 2 3 2" xfId="34674"/>
    <cellStyle name="Normal 7 2 4 5 2 4" xfId="17908"/>
    <cellStyle name="Normal 7 2 4 5 2 4 2" xfId="43461"/>
    <cellStyle name="Normal 7 2 4 5 2 5" xfId="29398"/>
    <cellStyle name="Normal 7 2 4 5 3" xfId="5223"/>
    <cellStyle name="Normal 7 2 4 5 3 2" xfId="14060"/>
    <cellStyle name="Normal 7 2 4 5 3 2 2" xfId="24311"/>
    <cellStyle name="Normal 7 2 4 5 3 2 2 2" xfId="49864"/>
    <cellStyle name="Normal 7 2 4 5 3 2 3" xfId="39615"/>
    <cellStyle name="Normal 7 2 4 5 3 3" xfId="10481"/>
    <cellStyle name="Normal 7 2 4 5 3 3 2" xfId="36038"/>
    <cellStyle name="Normal 7 2 4 5 3 4" xfId="19304"/>
    <cellStyle name="Normal 7 2 4 5 3 4 2" xfId="44857"/>
    <cellStyle name="Normal 7 2 4 5 3 5" xfId="30794"/>
    <cellStyle name="Normal 7 2 4 5 4" xfId="1839"/>
    <cellStyle name="Normal 7 2 4 5 4 2" xfId="11207"/>
    <cellStyle name="Normal 7 2 4 5 4 2 2" xfId="36762"/>
    <cellStyle name="Normal 7 2 4 5 4 3" xfId="21211"/>
    <cellStyle name="Normal 7 2 4 5 4 3 2" xfId="46764"/>
    <cellStyle name="Normal 7 2 4 5 4 4" xfId="27694"/>
    <cellStyle name="Normal 7 2 4 5 5" xfId="6678"/>
    <cellStyle name="Normal 7 2 4 5 5 2" xfId="15505"/>
    <cellStyle name="Normal 7 2 4 5 5 2 2" xfId="41060"/>
    <cellStyle name="Normal 7 2 4 5 5 3" xfId="25756"/>
    <cellStyle name="Normal 7 2 4 5 5 3 2" xfId="51309"/>
    <cellStyle name="Normal 7 2 4 5 5 4" xfId="32239"/>
    <cellStyle name="Normal 7 2 4 5 6" xfId="8124"/>
    <cellStyle name="Normal 7 2 4 5 6 2" xfId="20514"/>
    <cellStyle name="Normal 7 2 4 5 6 2 2" xfId="46067"/>
    <cellStyle name="Normal 7 2 4 5 6 3" xfId="33681"/>
    <cellStyle name="Normal 7 2 4 5 7" xfId="16204"/>
    <cellStyle name="Normal 7 2 4 5 7 2" xfId="41757"/>
    <cellStyle name="Normal 7 2 4 5 8" xfId="26997"/>
    <cellStyle name="Normal 7 2 4 6" xfId="2733"/>
    <cellStyle name="Normal 7 2 4 6 2" xfId="12050"/>
    <cellStyle name="Normal 7 2 4 6 2 2" xfId="22094"/>
    <cellStyle name="Normal 7 2 4 6 2 2 2" xfId="47647"/>
    <cellStyle name="Normal 7 2 4 6 2 3" xfId="37605"/>
    <cellStyle name="Normal 7 2 4 6 3" xfId="8488"/>
    <cellStyle name="Normal 7 2 4 6 3 2" xfId="34045"/>
    <cellStyle name="Normal 7 2 4 6 4" xfId="17087"/>
    <cellStyle name="Normal 7 2 4 6 4 2" xfId="42640"/>
    <cellStyle name="Normal 7 2 4 6 5" xfId="28577"/>
    <cellStyle name="Normal 7 2 4 7" xfId="4179"/>
    <cellStyle name="Normal 7 2 4 7 2" xfId="13017"/>
    <cellStyle name="Normal 7 2 4 7 2 2" xfId="23268"/>
    <cellStyle name="Normal 7 2 4 7 2 2 2" xfId="48821"/>
    <cellStyle name="Normal 7 2 4 7 2 3" xfId="38572"/>
    <cellStyle name="Normal 7 2 4 7 3" xfId="9438"/>
    <cellStyle name="Normal 7 2 4 7 3 2" xfId="34995"/>
    <cellStyle name="Normal 7 2 4 7 4" xfId="18261"/>
    <cellStyle name="Normal 7 2 4 7 4 2" xfId="43814"/>
    <cellStyle name="Normal 7 2 4 7 5" xfId="29751"/>
    <cellStyle name="Normal 7 2 4 8" xfId="1451"/>
    <cellStyle name="Normal 7 2 4 8 2" xfId="10828"/>
    <cellStyle name="Normal 7 2 4 8 2 2" xfId="36383"/>
    <cellStyle name="Normal 7 2 4 8 3" xfId="20832"/>
    <cellStyle name="Normal 7 2 4 8 3 2" xfId="46385"/>
    <cellStyle name="Normal 7 2 4 8 4" xfId="27315"/>
    <cellStyle name="Normal 7 2 4 9" xfId="5635"/>
    <cellStyle name="Normal 7 2 4 9 2" xfId="14462"/>
    <cellStyle name="Normal 7 2 4 9 2 2" xfId="40017"/>
    <cellStyle name="Normal 7 2 4 9 3" xfId="24713"/>
    <cellStyle name="Normal 7 2 4 9 3 2" xfId="50266"/>
    <cellStyle name="Normal 7 2 4 9 4" xfId="31196"/>
    <cellStyle name="Normal 7 2 4_Degree data" xfId="4055"/>
    <cellStyle name="Normal 7 2 5" xfId="459"/>
    <cellStyle name="Normal 7 2 5 10" xfId="26388"/>
    <cellStyle name="Normal 7 2 5 2" xfId="951"/>
    <cellStyle name="Normal 7 2 5 2 2" xfId="3427"/>
    <cellStyle name="Normal 7 2 5 2 2 2" xfId="12569"/>
    <cellStyle name="Normal 7 2 5 2 2 2 2" xfId="22788"/>
    <cellStyle name="Normal 7 2 5 2 2 2 2 2" xfId="48341"/>
    <cellStyle name="Normal 7 2 5 2 2 2 3" xfId="38124"/>
    <cellStyle name="Normal 7 2 5 2 2 3" xfId="8991"/>
    <cellStyle name="Normal 7 2 5 2 2 3 2" xfId="34548"/>
    <cellStyle name="Normal 7 2 5 2 2 4" xfId="17781"/>
    <cellStyle name="Normal 7 2 5 2 2 4 2" xfId="43334"/>
    <cellStyle name="Normal 7 2 5 2 2 5" xfId="29271"/>
    <cellStyle name="Normal 7 2 5 2 3" xfId="4757"/>
    <cellStyle name="Normal 7 2 5 2 3 2" xfId="13594"/>
    <cellStyle name="Normal 7 2 5 2 3 2 2" xfId="23845"/>
    <cellStyle name="Normal 7 2 5 2 3 2 2 2" xfId="49398"/>
    <cellStyle name="Normal 7 2 5 2 3 2 3" xfId="39149"/>
    <cellStyle name="Normal 7 2 5 2 3 3" xfId="10015"/>
    <cellStyle name="Normal 7 2 5 2 3 3 2" xfId="35572"/>
    <cellStyle name="Normal 7 2 5 2 3 4" xfId="18838"/>
    <cellStyle name="Normal 7 2 5 2 3 4 2" xfId="44391"/>
    <cellStyle name="Normal 7 2 5 2 3 5" xfId="30328"/>
    <cellStyle name="Normal 7 2 5 2 4" xfId="2536"/>
    <cellStyle name="Normal 7 2 5 2 4 2" xfId="11901"/>
    <cellStyle name="Normal 7 2 5 2 4 2 2" xfId="37456"/>
    <cellStyle name="Normal 7 2 5 2 4 3" xfId="21905"/>
    <cellStyle name="Normal 7 2 5 2 4 3 2" xfId="47458"/>
    <cellStyle name="Normal 7 2 5 2 4 4" xfId="28388"/>
    <cellStyle name="Normal 7 2 5 2 5" xfId="6212"/>
    <cellStyle name="Normal 7 2 5 2 5 2" xfId="15039"/>
    <cellStyle name="Normal 7 2 5 2 5 2 2" xfId="40594"/>
    <cellStyle name="Normal 7 2 5 2 5 3" xfId="25290"/>
    <cellStyle name="Normal 7 2 5 2 5 3 2" xfId="50843"/>
    <cellStyle name="Normal 7 2 5 2 5 4" xfId="31773"/>
    <cellStyle name="Normal 7 2 5 2 6" xfId="7658"/>
    <cellStyle name="Normal 7 2 5 2 6 2" xfId="20387"/>
    <cellStyle name="Normal 7 2 5 2 6 2 2" xfId="45940"/>
    <cellStyle name="Normal 7 2 5 2 6 3" xfId="33215"/>
    <cellStyle name="Normal 7 2 5 2 7" xfId="16898"/>
    <cellStyle name="Normal 7 2 5 2 7 2" xfId="42451"/>
    <cellStyle name="Normal 7 2 5 2 8" xfId="26870"/>
    <cellStyle name="Normal 7 2 5 3" xfId="1231"/>
    <cellStyle name="Normal 7 2 5 3 2" xfId="3660"/>
    <cellStyle name="Normal 7 2 5 3 2 2" xfId="12796"/>
    <cellStyle name="Normal 7 2 5 3 2 2 2" xfId="23015"/>
    <cellStyle name="Normal 7 2 5 3 2 2 2 2" xfId="48568"/>
    <cellStyle name="Normal 7 2 5 3 2 2 3" xfId="38351"/>
    <cellStyle name="Normal 7 2 5 3 2 3" xfId="9217"/>
    <cellStyle name="Normal 7 2 5 3 2 3 2" xfId="34774"/>
    <cellStyle name="Normal 7 2 5 3 2 4" xfId="18008"/>
    <cellStyle name="Normal 7 2 5 3 2 4 2" xfId="43561"/>
    <cellStyle name="Normal 7 2 5 3 2 5" xfId="29498"/>
    <cellStyle name="Normal 7 2 5 3 3" xfId="5105"/>
    <cellStyle name="Normal 7 2 5 3 3 2" xfId="13942"/>
    <cellStyle name="Normal 7 2 5 3 3 2 2" xfId="24193"/>
    <cellStyle name="Normal 7 2 5 3 3 2 2 2" xfId="49746"/>
    <cellStyle name="Normal 7 2 5 3 3 2 3" xfId="39497"/>
    <cellStyle name="Normal 7 2 5 3 3 3" xfId="10363"/>
    <cellStyle name="Normal 7 2 5 3 3 3 2" xfId="35920"/>
    <cellStyle name="Normal 7 2 5 3 3 4" xfId="19186"/>
    <cellStyle name="Normal 7 2 5 3 3 4 2" xfId="44739"/>
    <cellStyle name="Normal 7 2 5 3 3 5" xfId="30676"/>
    <cellStyle name="Normal 7 2 5 3 4" xfId="2054"/>
    <cellStyle name="Normal 7 2 5 3 4 2" xfId="11419"/>
    <cellStyle name="Normal 7 2 5 3 4 2 2" xfId="36974"/>
    <cellStyle name="Normal 7 2 5 3 4 3" xfId="21423"/>
    <cellStyle name="Normal 7 2 5 3 4 3 2" xfId="46976"/>
    <cellStyle name="Normal 7 2 5 3 4 4" xfId="27906"/>
    <cellStyle name="Normal 7 2 5 3 5" xfId="6560"/>
    <cellStyle name="Normal 7 2 5 3 5 2" xfId="15387"/>
    <cellStyle name="Normal 7 2 5 3 5 2 2" xfId="40942"/>
    <cellStyle name="Normal 7 2 5 3 5 3" xfId="25638"/>
    <cellStyle name="Normal 7 2 5 3 5 3 2" xfId="51191"/>
    <cellStyle name="Normal 7 2 5 3 5 4" xfId="32121"/>
    <cellStyle name="Normal 7 2 5 3 6" xfId="8006"/>
    <cellStyle name="Normal 7 2 5 3 6 2" xfId="20614"/>
    <cellStyle name="Normal 7 2 5 3 6 2 2" xfId="46167"/>
    <cellStyle name="Normal 7 2 5 3 6 3" xfId="33563"/>
    <cellStyle name="Normal 7 2 5 3 7" xfId="16416"/>
    <cellStyle name="Normal 7 2 5 3 7 2" xfId="41969"/>
    <cellStyle name="Normal 7 2 5 3 8" xfId="27097"/>
    <cellStyle name="Normal 7 2 5 4" xfId="2945"/>
    <cellStyle name="Normal 7 2 5 4 2" xfId="5323"/>
    <cellStyle name="Normal 7 2 5 4 2 2" xfId="14160"/>
    <cellStyle name="Normal 7 2 5 4 2 2 2" xfId="24411"/>
    <cellStyle name="Normal 7 2 5 4 2 2 2 2" xfId="49964"/>
    <cellStyle name="Normal 7 2 5 4 2 2 3" xfId="39715"/>
    <cellStyle name="Normal 7 2 5 4 2 3" xfId="10581"/>
    <cellStyle name="Normal 7 2 5 4 2 3 2" xfId="36138"/>
    <cellStyle name="Normal 7 2 5 4 2 4" xfId="19404"/>
    <cellStyle name="Normal 7 2 5 4 2 4 2" xfId="44957"/>
    <cellStyle name="Normal 7 2 5 4 2 5" xfId="30894"/>
    <cellStyle name="Normal 7 2 5 4 3" xfId="6778"/>
    <cellStyle name="Normal 7 2 5 4 3 2" xfId="15605"/>
    <cellStyle name="Normal 7 2 5 4 3 2 2" xfId="41160"/>
    <cellStyle name="Normal 7 2 5 4 3 3" xfId="25856"/>
    <cellStyle name="Normal 7 2 5 4 3 3 2" xfId="51409"/>
    <cellStyle name="Normal 7 2 5 4 3 4" xfId="32339"/>
    <cellStyle name="Normal 7 2 5 4 4" xfId="8224"/>
    <cellStyle name="Normal 7 2 5 4 4 2" xfId="22306"/>
    <cellStyle name="Normal 7 2 5 4 4 2 2" xfId="47859"/>
    <cellStyle name="Normal 7 2 5 4 4 3" xfId="33781"/>
    <cellStyle name="Normal 7 2 5 4 5" xfId="17299"/>
    <cellStyle name="Normal 7 2 5 4 5 2" xfId="42852"/>
    <cellStyle name="Normal 7 2 5 4 6" xfId="28789"/>
    <cellStyle name="Normal 7 2 5 5" xfId="4279"/>
    <cellStyle name="Normal 7 2 5 5 2" xfId="13117"/>
    <cellStyle name="Normal 7 2 5 5 2 2" xfId="23368"/>
    <cellStyle name="Normal 7 2 5 5 2 2 2" xfId="48921"/>
    <cellStyle name="Normal 7 2 5 5 2 3" xfId="38672"/>
    <cellStyle name="Normal 7 2 5 5 3" xfId="9538"/>
    <cellStyle name="Normal 7 2 5 5 3 2" xfId="35095"/>
    <cellStyle name="Normal 7 2 5 5 4" xfId="18361"/>
    <cellStyle name="Normal 7 2 5 5 4 2" xfId="43914"/>
    <cellStyle name="Normal 7 2 5 5 5" xfId="29851"/>
    <cellStyle name="Normal 7 2 5 6" xfId="1551"/>
    <cellStyle name="Normal 7 2 5 6 2" xfId="10928"/>
    <cellStyle name="Normal 7 2 5 6 2 2" xfId="36483"/>
    <cellStyle name="Normal 7 2 5 6 3" xfId="20932"/>
    <cellStyle name="Normal 7 2 5 6 3 2" xfId="46485"/>
    <cellStyle name="Normal 7 2 5 6 4" xfId="27415"/>
    <cellStyle name="Normal 7 2 5 7" xfId="5735"/>
    <cellStyle name="Normal 7 2 5 7 2" xfId="14562"/>
    <cellStyle name="Normal 7 2 5 7 2 2" xfId="40117"/>
    <cellStyle name="Normal 7 2 5 7 3" xfId="24813"/>
    <cellStyle name="Normal 7 2 5 7 3 2" xfId="50366"/>
    <cellStyle name="Normal 7 2 5 7 4" xfId="31296"/>
    <cellStyle name="Normal 7 2 5 8" xfId="7179"/>
    <cellStyle name="Normal 7 2 5 8 2" xfId="19905"/>
    <cellStyle name="Normal 7 2 5 8 2 2" xfId="45458"/>
    <cellStyle name="Normal 7 2 5 8 3" xfId="32736"/>
    <cellStyle name="Normal 7 2 5 9" xfId="15925"/>
    <cellStyle name="Normal 7 2 5 9 2" xfId="41478"/>
    <cellStyle name="Normal 7 2 5_Degree data" xfId="4057"/>
    <cellStyle name="Normal 7 2 6" xfId="332"/>
    <cellStyle name="Normal 7 2 6 10" xfId="26261"/>
    <cellStyle name="Normal 7 2 6 2" xfId="952"/>
    <cellStyle name="Normal 7 2 6 2 2" xfId="3428"/>
    <cellStyle name="Normal 7 2 6 2 2 2" xfId="12570"/>
    <cellStyle name="Normal 7 2 6 2 2 2 2" xfId="22789"/>
    <cellStyle name="Normal 7 2 6 2 2 2 2 2" xfId="48342"/>
    <cellStyle name="Normal 7 2 6 2 2 2 3" xfId="38125"/>
    <cellStyle name="Normal 7 2 6 2 2 3" xfId="8992"/>
    <cellStyle name="Normal 7 2 6 2 2 3 2" xfId="34549"/>
    <cellStyle name="Normal 7 2 6 2 2 4" xfId="17782"/>
    <cellStyle name="Normal 7 2 6 2 2 4 2" xfId="43335"/>
    <cellStyle name="Normal 7 2 6 2 2 5" xfId="29272"/>
    <cellStyle name="Normal 7 2 6 2 3" xfId="4758"/>
    <cellStyle name="Normal 7 2 6 2 3 2" xfId="13595"/>
    <cellStyle name="Normal 7 2 6 2 3 2 2" xfId="23846"/>
    <cellStyle name="Normal 7 2 6 2 3 2 2 2" xfId="49399"/>
    <cellStyle name="Normal 7 2 6 2 3 2 3" xfId="39150"/>
    <cellStyle name="Normal 7 2 6 2 3 3" xfId="10016"/>
    <cellStyle name="Normal 7 2 6 2 3 3 2" xfId="35573"/>
    <cellStyle name="Normal 7 2 6 2 3 4" xfId="18839"/>
    <cellStyle name="Normal 7 2 6 2 3 4 2" xfId="44392"/>
    <cellStyle name="Normal 7 2 6 2 3 5" xfId="30329"/>
    <cellStyle name="Normal 7 2 6 2 4" xfId="2537"/>
    <cellStyle name="Normal 7 2 6 2 4 2" xfId="11902"/>
    <cellStyle name="Normal 7 2 6 2 4 2 2" xfId="37457"/>
    <cellStyle name="Normal 7 2 6 2 4 3" xfId="21906"/>
    <cellStyle name="Normal 7 2 6 2 4 3 2" xfId="47459"/>
    <cellStyle name="Normal 7 2 6 2 4 4" xfId="28389"/>
    <cellStyle name="Normal 7 2 6 2 5" xfId="6213"/>
    <cellStyle name="Normal 7 2 6 2 5 2" xfId="15040"/>
    <cellStyle name="Normal 7 2 6 2 5 2 2" xfId="40595"/>
    <cellStyle name="Normal 7 2 6 2 5 3" xfId="25291"/>
    <cellStyle name="Normal 7 2 6 2 5 3 2" xfId="50844"/>
    <cellStyle name="Normal 7 2 6 2 5 4" xfId="31774"/>
    <cellStyle name="Normal 7 2 6 2 6" xfId="7659"/>
    <cellStyle name="Normal 7 2 6 2 6 2" xfId="20388"/>
    <cellStyle name="Normal 7 2 6 2 6 2 2" xfId="45941"/>
    <cellStyle name="Normal 7 2 6 2 6 3" xfId="33216"/>
    <cellStyle name="Normal 7 2 6 2 7" xfId="16899"/>
    <cellStyle name="Normal 7 2 6 2 7 2" xfId="42452"/>
    <cellStyle name="Normal 7 2 6 2 8" xfId="26871"/>
    <cellStyle name="Normal 7 2 6 3" xfId="1104"/>
    <cellStyle name="Normal 7 2 6 3 2" xfId="3533"/>
    <cellStyle name="Normal 7 2 6 3 2 2" xfId="12669"/>
    <cellStyle name="Normal 7 2 6 3 2 2 2" xfId="22888"/>
    <cellStyle name="Normal 7 2 6 3 2 2 2 2" xfId="48441"/>
    <cellStyle name="Normal 7 2 6 3 2 2 3" xfId="38224"/>
    <cellStyle name="Normal 7 2 6 3 2 3" xfId="9090"/>
    <cellStyle name="Normal 7 2 6 3 2 3 2" xfId="34647"/>
    <cellStyle name="Normal 7 2 6 3 2 4" xfId="17881"/>
    <cellStyle name="Normal 7 2 6 3 2 4 2" xfId="43434"/>
    <cellStyle name="Normal 7 2 6 3 2 5" xfId="29371"/>
    <cellStyle name="Normal 7 2 6 3 3" xfId="5106"/>
    <cellStyle name="Normal 7 2 6 3 3 2" xfId="13943"/>
    <cellStyle name="Normal 7 2 6 3 3 2 2" xfId="24194"/>
    <cellStyle name="Normal 7 2 6 3 3 2 2 2" xfId="49747"/>
    <cellStyle name="Normal 7 2 6 3 3 2 3" xfId="39498"/>
    <cellStyle name="Normal 7 2 6 3 3 3" xfId="10364"/>
    <cellStyle name="Normal 7 2 6 3 3 3 2" xfId="35921"/>
    <cellStyle name="Normal 7 2 6 3 3 4" xfId="19187"/>
    <cellStyle name="Normal 7 2 6 3 3 4 2" xfId="44740"/>
    <cellStyle name="Normal 7 2 6 3 3 5" xfId="30677"/>
    <cellStyle name="Normal 7 2 6 3 4" xfId="2600"/>
    <cellStyle name="Normal 7 2 6 3 4 2" xfId="11964"/>
    <cellStyle name="Normal 7 2 6 3 4 2 2" xfId="37519"/>
    <cellStyle name="Normal 7 2 6 3 4 3" xfId="21968"/>
    <cellStyle name="Normal 7 2 6 3 4 3 2" xfId="47521"/>
    <cellStyle name="Normal 7 2 6 3 4 4" xfId="28451"/>
    <cellStyle name="Normal 7 2 6 3 5" xfId="6561"/>
    <cellStyle name="Normal 7 2 6 3 5 2" xfId="15388"/>
    <cellStyle name="Normal 7 2 6 3 5 2 2" xfId="40943"/>
    <cellStyle name="Normal 7 2 6 3 5 3" xfId="25639"/>
    <cellStyle name="Normal 7 2 6 3 5 3 2" xfId="51192"/>
    <cellStyle name="Normal 7 2 6 3 5 4" xfId="32122"/>
    <cellStyle name="Normal 7 2 6 3 6" xfId="8007"/>
    <cellStyle name="Normal 7 2 6 3 6 2" xfId="20487"/>
    <cellStyle name="Normal 7 2 6 3 6 2 2" xfId="46040"/>
    <cellStyle name="Normal 7 2 6 3 6 3" xfId="33564"/>
    <cellStyle name="Normal 7 2 6 3 7" xfId="16961"/>
    <cellStyle name="Normal 7 2 6 3 7 2" xfId="42514"/>
    <cellStyle name="Normal 7 2 6 3 8" xfId="26970"/>
    <cellStyle name="Normal 7 2 6 4" xfId="2818"/>
    <cellStyle name="Normal 7 2 6 4 2" xfId="5196"/>
    <cellStyle name="Normal 7 2 6 4 2 2" xfId="14033"/>
    <cellStyle name="Normal 7 2 6 4 2 2 2" xfId="24284"/>
    <cellStyle name="Normal 7 2 6 4 2 2 2 2" xfId="49837"/>
    <cellStyle name="Normal 7 2 6 4 2 2 3" xfId="39588"/>
    <cellStyle name="Normal 7 2 6 4 2 3" xfId="10454"/>
    <cellStyle name="Normal 7 2 6 4 2 3 2" xfId="36011"/>
    <cellStyle name="Normal 7 2 6 4 2 4" xfId="19277"/>
    <cellStyle name="Normal 7 2 6 4 2 4 2" xfId="44830"/>
    <cellStyle name="Normal 7 2 6 4 2 5" xfId="30767"/>
    <cellStyle name="Normal 7 2 6 4 3" xfId="6651"/>
    <cellStyle name="Normal 7 2 6 4 3 2" xfId="15478"/>
    <cellStyle name="Normal 7 2 6 4 3 2 2" xfId="41033"/>
    <cellStyle name="Normal 7 2 6 4 3 3" xfId="25729"/>
    <cellStyle name="Normal 7 2 6 4 3 3 2" xfId="51282"/>
    <cellStyle name="Normal 7 2 6 4 3 4" xfId="32212"/>
    <cellStyle name="Normal 7 2 6 4 4" xfId="8097"/>
    <cellStyle name="Normal 7 2 6 4 4 2" xfId="22179"/>
    <cellStyle name="Normal 7 2 6 4 4 2 2" xfId="47732"/>
    <cellStyle name="Normal 7 2 6 4 4 3" xfId="33654"/>
    <cellStyle name="Normal 7 2 6 4 5" xfId="17172"/>
    <cellStyle name="Normal 7 2 6 4 5 2" xfId="42725"/>
    <cellStyle name="Normal 7 2 6 4 6" xfId="28662"/>
    <cellStyle name="Normal 7 2 6 5" xfId="4150"/>
    <cellStyle name="Normal 7 2 6 5 2" xfId="12988"/>
    <cellStyle name="Normal 7 2 6 5 2 2" xfId="23239"/>
    <cellStyle name="Normal 7 2 6 5 2 2 2" xfId="48792"/>
    <cellStyle name="Normal 7 2 6 5 2 3" xfId="38543"/>
    <cellStyle name="Normal 7 2 6 5 3" xfId="9409"/>
    <cellStyle name="Normal 7 2 6 5 3 2" xfId="34966"/>
    <cellStyle name="Normal 7 2 6 5 4" xfId="18232"/>
    <cellStyle name="Normal 7 2 6 5 4 2" xfId="43785"/>
    <cellStyle name="Normal 7 2 6 5 5" xfId="29722"/>
    <cellStyle name="Normal 7 2 6 6" xfId="1927"/>
    <cellStyle name="Normal 7 2 6 6 2" xfId="11292"/>
    <cellStyle name="Normal 7 2 6 6 2 2" xfId="36847"/>
    <cellStyle name="Normal 7 2 6 6 3" xfId="21296"/>
    <cellStyle name="Normal 7 2 6 6 3 2" xfId="46849"/>
    <cellStyle name="Normal 7 2 6 6 4" xfId="27779"/>
    <cellStyle name="Normal 7 2 6 7" xfId="5608"/>
    <cellStyle name="Normal 7 2 6 7 2" xfId="14435"/>
    <cellStyle name="Normal 7 2 6 7 2 2" xfId="39990"/>
    <cellStyle name="Normal 7 2 6 7 3" xfId="24686"/>
    <cellStyle name="Normal 7 2 6 7 3 2" xfId="50239"/>
    <cellStyle name="Normal 7 2 6 7 4" xfId="31169"/>
    <cellStyle name="Normal 7 2 6 8" xfId="7052"/>
    <cellStyle name="Normal 7 2 6 8 2" xfId="19778"/>
    <cellStyle name="Normal 7 2 6 8 2 2" xfId="45331"/>
    <cellStyle name="Normal 7 2 6 8 3" xfId="32609"/>
    <cellStyle name="Normal 7 2 6 9" xfId="16289"/>
    <cellStyle name="Normal 7 2 6 9 2" xfId="41842"/>
    <cellStyle name="Normal 7 2 6_Degree data" xfId="4058"/>
    <cellStyle name="Normal 7 2 7" xfId="943"/>
    <cellStyle name="Normal 7 2 7 2" xfId="3419"/>
    <cellStyle name="Normal 7 2 7 2 2" xfId="12561"/>
    <cellStyle name="Normal 7 2 7 2 2 2" xfId="22780"/>
    <cellStyle name="Normal 7 2 7 2 2 2 2" xfId="48333"/>
    <cellStyle name="Normal 7 2 7 2 2 3" xfId="38116"/>
    <cellStyle name="Normal 7 2 7 2 3" xfId="8983"/>
    <cellStyle name="Normal 7 2 7 2 3 2" xfId="34540"/>
    <cellStyle name="Normal 7 2 7 2 4" xfId="17773"/>
    <cellStyle name="Normal 7 2 7 2 4 2" xfId="43326"/>
    <cellStyle name="Normal 7 2 7 2 5" xfId="29263"/>
    <cellStyle name="Normal 7 2 7 3" xfId="4749"/>
    <cellStyle name="Normal 7 2 7 3 2" xfId="13586"/>
    <cellStyle name="Normal 7 2 7 3 2 2" xfId="23837"/>
    <cellStyle name="Normal 7 2 7 3 2 2 2" xfId="49390"/>
    <cellStyle name="Normal 7 2 7 3 2 3" xfId="39141"/>
    <cellStyle name="Normal 7 2 7 3 3" xfId="10007"/>
    <cellStyle name="Normal 7 2 7 3 3 2" xfId="35564"/>
    <cellStyle name="Normal 7 2 7 3 4" xfId="18830"/>
    <cellStyle name="Normal 7 2 7 3 4 2" xfId="44383"/>
    <cellStyle name="Normal 7 2 7 3 5" xfId="30320"/>
    <cellStyle name="Normal 7 2 7 4" xfId="2528"/>
    <cellStyle name="Normal 7 2 7 4 2" xfId="11893"/>
    <cellStyle name="Normal 7 2 7 4 2 2" xfId="37448"/>
    <cellStyle name="Normal 7 2 7 4 3" xfId="21897"/>
    <cellStyle name="Normal 7 2 7 4 3 2" xfId="47450"/>
    <cellStyle name="Normal 7 2 7 4 4" xfId="28380"/>
    <cellStyle name="Normal 7 2 7 5" xfId="6204"/>
    <cellStyle name="Normal 7 2 7 5 2" xfId="15031"/>
    <cellStyle name="Normal 7 2 7 5 2 2" xfId="40586"/>
    <cellStyle name="Normal 7 2 7 5 3" xfId="25282"/>
    <cellStyle name="Normal 7 2 7 5 3 2" xfId="50835"/>
    <cellStyle name="Normal 7 2 7 5 4" xfId="31765"/>
    <cellStyle name="Normal 7 2 7 6" xfId="7650"/>
    <cellStyle name="Normal 7 2 7 6 2" xfId="20379"/>
    <cellStyle name="Normal 7 2 7 6 2 2" xfId="45932"/>
    <cellStyle name="Normal 7 2 7 6 3" xfId="33207"/>
    <cellStyle name="Normal 7 2 7 7" xfId="16890"/>
    <cellStyle name="Normal 7 2 7 7 2" xfId="42443"/>
    <cellStyle name="Normal 7 2 7 8" xfId="26862"/>
    <cellStyle name="Normal 7 2 8" xfId="1059"/>
    <cellStyle name="Normal 7 2 8 2" xfId="3488"/>
    <cellStyle name="Normal 7 2 8 2 2" xfId="12624"/>
    <cellStyle name="Normal 7 2 8 2 2 2" xfId="22843"/>
    <cellStyle name="Normal 7 2 8 2 2 2 2" xfId="48396"/>
    <cellStyle name="Normal 7 2 8 2 2 3" xfId="38179"/>
    <cellStyle name="Normal 7 2 8 2 3" xfId="9046"/>
    <cellStyle name="Normal 7 2 8 2 3 2" xfId="34603"/>
    <cellStyle name="Normal 7 2 8 2 4" xfId="17836"/>
    <cellStyle name="Normal 7 2 8 2 4 2" xfId="43389"/>
    <cellStyle name="Normal 7 2 8 2 5" xfId="29326"/>
    <cellStyle name="Normal 7 2 8 3" xfId="5097"/>
    <cellStyle name="Normal 7 2 8 3 2" xfId="13934"/>
    <cellStyle name="Normal 7 2 8 3 2 2" xfId="24185"/>
    <cellStyle name="Normal 7 2 8 3 2 2 2" xfId="49738"/>
    <cellStyle name="Normal 7 2 8 3 2 3" xfId="39489"/>
    <cellStyle name="Normal 7 2 8 3 3" xfId="10355"/>
    <cellStyle name="Normal 7 2 8 3 3 2" xfId="35912"/>
    <cellStyle name="Normal 7 2 8 3 4" xfId="19178"/>
    <cellStyle name="Normal 7 2 8 3 4 2" xfId="44731"/>
    <cellStyle name="Normal 7 2 8 3 5" xfId="30668"/>
    <cellStyle name="Normal 7 2 8 4" xfId="1727"/>
    <cellStyle name="Normal 7 2 8 4 2" xfId="11101"/>
    <cellStyle name="Normal 7 2 8 4 2 2" xfId="36656"/>
    <cellStyle name="Normal 7 2 8 4 3" xfId="21105"/>
    <cellStyle name="Normal 7 2 8 4 3 2" xfId="46658"/>
    <cellStyle name="Normal 7 2 8 4 4" xfId="27588"/>
    <cellStyle name="Normal 7 2 8 5" xfId="6552"/>
    <cellStyle name="Normal 7 2 8 5 2" xfId="15379"/>
    <cellStyle name="Normal 7 2 8 5 2 2" xfId="40934"/>
    <cellStyle name="Normal 7 2 8 5 3" xfId="25630"/>
    <cellStyle name="Normal 7 2 8 5 3 2" xfId="51183"/>
    <cellStyle name="Normal 7 2 8 5 4" xfId="32113"/>
    <cellStyle name="Normal 7 2 8 6" xfId="7998"/>
    <cellStyle name="Normal 7 2 8 6 2" xfId="20442"/>
    <cellStyle name="Normal 7 2 8 6 2 2" xfId="45995"/>
    <cellStyle name="Normal 7 2 8 6 3" xfId="33555"/>
    <cellStyle name="Normal 7 2 8 7" xfId="16098"/>
    <cellStyle name="Normal 7 2 8 7 2" xfId="41651"/>
    <cellStyle name="Normal 7 2 8 8" xfId="26925"/>
    <cellStyle name="Normal 7 2 9" xfId="2625"/>
    <cellStyle name="Normal 7 2 9 2" xfId="5151"/>
    <cellStyle name="Normal 7 2 9 2 2" xfId="13988"/>
    <cellStyle name="Normal 7 2 9 2 2 2" xfId="24239"/>
    <cellStyle name="Normal 7 2 9 2 2 2 2" xfId="49792"/>
    <cellStyle name="Normal 7 2 9 2 2 3" xfId="39543"/>
    <cellStyle name="Normal 7 2 9 2 3" xfId="10409"/>
    <cellStyle name="Normal 7 2 9 2 3 2" xfId="35966"/>
    <cellStyle name="Normal 7 2 9 2 4" xfId="19232"/>
    <cellStyle name="Normal 7 2 9 2 4 2" xfId="44785"/>
    <cellStyle name="Normal 7 2 9 2 5" xfId="30722"/>
    <cellStyle name="Normal 7 2 9 3" xfId="6606"/>
    <cellStyle name="Normal 7 2 9 3 2" xfId="15433"/>
    <cellStyle name="Normal 7 2 9 3 2 2" xfId="40988"/>
    <cellStyle name="Normal 7 2 9 3 3" xfId="25684"/>
    <cellStyle name="Normal 7 2 9 3 3 2" xfId="51237"/>
    <cellStyle name="Normal 7 2 9 3 4" xfId="32167"/>
    <cellStyle name="Normal 7 2 9 4" xfId="8052"/>
    <cellStyle name="Normal 7 2 9 4 2" xfId="21988"/>
    <cellStyle name="Normal 7 2 9 4 2 2" xfId="47541"/>
    <cellStyle name="Normal 7 2 9 4 3" xfId="33609"/>
    <cellStyle name="Normal 7 2 9 5" xfId="16981"/>
    <cellStyle name="Normal 7 2 9 5 2" xfId="42534"/>
    <cellStyle name="Normal 7 2 9 6" xfId="28471"/>
    <cellStyle name="Normal 7 2_Degree data" xfId="4049"/>
    <cellStyle name="Normal 7 3" xfId="130"/>
    <cellStyle name="Normal 7 3 10" xfId="4113"/>
    <cellStyle name="Normal 7 3 10 2" xfId="5571"/>
    <cellStyle name="Normal 7 3 10 2 2" xfId="14398"/>
    <cellStyle name="Normal 7 3 10 2 2 2" xfId="39953"/>
    <cellStyle name="Normal 7 3 10 2 3" xfId="24649"/>
    <cellStyle name="Normal 7 3 10 2 3 2" xfId="50202"/>
    <cellStyle name="Normal 7 3 10 2 4" xfId="31132"/>
    <cellStyle name="Normal 7 3 10 3" xfId="7015"/>
    <cellStyle name="Normal 7 3 10 3 2" xfId="23202"/>
    <cellStyle name="Normal 7 3 10 3 2 2" xfId="48755"/>
    <cellStyle name="Normal 7 3 10 3 3" xfId="32572"/>
    <cellStyle name="Normal 7 3 10 4" xfId="18195"/>
    <cellStyle name="Normal 7 3 10 4 2" xfId="43748"/>
    <cellStyle name="Normal 7 3 10 5" xfId="29685"/>
    <cellStyle name="Normal 7 3 11" xfId="1432"/>
    <cellStyle name="Normal 7 3 11 2" xfId="10809"/>
    <cellStyle name="Normal 7 3 11 2 2" xfId="36364"/>
    <cellStyle name="Normal 7 3 11 3" xfId="20813"/>
    <cellStyle name="Normal 7 3 11 3 2" xfId="46366"/>
    <cellStyle name="Normal 7 3 11 4" xfId="27296"/>
    <cellStyle name="Normal 7 3 12" xfId="5541"/>
    <cellStyle name="Normal 7 3 12 2" xfId="14368"/>
    <cellStyle name="Normal 7 3 12 2 2" xfId="39923"/>
    <cellStyle name="Normal 7 3 12 3" xfId="24619"/>
    <cellStyle name="Normal 7 3 12 3 2" xfId="50172"/>
    <cellStyle name="Normal 7 3 12 4" xfId="31102"/>
    <cellStyle name="Normal 7 3 13" xfId="6985"/>
    <cellStyle name="Normal 7 3 13 2" xfId="19597"/>
    <cellStyle name="Normal 7 3 13 2 2" xfId="45150"/>
    <cellStyle name="Normal 7 3 13 3" xfId="32542"/>
    <cellStyle name="Normal 7 3 14" xfId="15806"/>
    <cellStyle name="Normal 7 3 14 2" xfId="41359"/>
    <cellStyle name="Normal 7 3 15" xfId="26080"/>
    <cellStyle name="Normal 7 3 2" xfId="167"/>
    <cellStyle name="Normal 7 3 2 10" xfId="5673"/>
    <cellStyle name="Normal 7 3 2 10 2" xfId="14500"/>
    <cellStyle name="Normal 7 3 2 10 2 2" xfId="40055"/>
    <cellStyle name="Normal 7 3 2 10 3" xfId="24751"/>
    <cellStyle name="Normal 7 3 2 10 3 2" xfId="50304"/>
    <cellStyle name="Normal 7 3 2 10 4" xfId="31234"/>
    <cellStyle name="Normal 7 3 2 11" xfId="7117"/>
    <cellStyle name="Normal 7 3 2 11 2" xfId="19626"/>
    <cellStyle name="Normal 7 3 2 11 2 2" xfId="45179"/>
    <cellStyle name="Normal 7 3 2 11 3" xfId="32674"/>
    <cellStyle name="Normal 7 3 2 12" xfId="15863"/>
    <cellStyle name="Normal 7 3 2 12 2" xfId="41416"/>
    <cellStyle name="Normal 7 3 2 13" xfId="26109"/>
    <cellStyle name="Normal 7 3 2 2" xfId="279"/>
    <cellStyle name="Normal 7 3 2 2 10" xfId="16067"/>
    <cellStyle name="Normal 7 3 2 2 10 2" xfId="41620"/>
    <cellStyle name="Normal 7 3 2 2 11" xfId="26213"/>
    <cellStyle name="Normal 7 3 2 2 2" xfId="601"/>
    <cellStyle name="Normal 7 3 2 2 2 2" xfId="3087"/>
    <cellStyle name="Normal 7 3 2 2 2 2 2" xfId="12230"/>
    <cellStyle name="Normal 7 3 2 2 2 2 2 2" xfId="22448"/>
    <cellStyle name="Normal 7 3 2 2 2 2 2 2 2" xfId="48001"/>
    <cellStyle name="Normal 7 3 2 2 2 2 2 3" xfId="37785"/>
    <cellStyle name="Normal 7 3 2 2 2 2 3" xfId="8652"/>
    <cellStyle name="Normal 7 3 2 2 2 2 3 2" xfId="34209"/>
    <cellStyle name="Normal 7 3 2 2 2 2 4" xfId="17441"/>
    <cellStyle name="Normal 7 3 2 2 2 2 4 2" xfId="42994"/>
    <cellStyle name="Normal 7 3 2 2 2 2 5" xfId="28931"/>
    <cellStyle name="Normal 7 3 2 2 2 3" xfId="4761"/>
    <cellStyle name="Normal 7 3 2 2 2 3 2" xfId="13598"/>
    <cellStyle name="Normal 7 3 2 2 2 3 2 2" xfId="23849"/>
    <cellStyle name="Normal 7 3 2 2 2 3 2 2 2" xfId="49402"/>
    <cellStyle name="Normal 7 3 2 2 2 3 2 3" xfId="39153"/>
    <cellStyle name="Normal 7 3 2 2 2 3 3" xfId="10019"/>
    <cellStyle name="Normal 7 3 2 2 2 3 3 2" xfId="35576"/>
    <cellStyle name="Normal 7 3 2 2 2 3 4" xfId="18842"/>
    <cellStyle name="Normal 7 3 2 2 2 3 4 2" xfId="44395"/>
    <cellStyle name="Normal 7 3 2 2 2 3 5" xfId="30332"/>
    <cellStyle name="Normal 7 3 2 2 2 4" xfId="2196"/>
    <cellStyle name="Normal 7 3 2 2 2 4 2" xfId="11561"/>
    <cellStyle name="Normal 7 3 2 2 2 4 2 2" xfId="37116"/>
    <cellStyle name="Normal 7 3 2 2 2 4 3" xfId="21565"/>
    <cellStyle name="Normal 7 3 2 2 2 4 3 2" xfId="47118"/>
    <cellStyle name="Normal 7 3 2 2 2 4 4" xfId="28048"/>
    <cellStyle name="Normal 7 3 2 2 2 5" xfId="6216"/>
    <cellStyle name="Normal 7 3 2 2 2 5 2" xfId="15043"/>
    <cellStyle name="Normal 7 3 2 2 2 5 2 2" xfId="40598"/>
    <cellStyle name="Normal 7 3 2 2 2 5 3" xfId="25294"/>
    <cellStyle name="Normal 7 3 2 2 2 5 3 2" xfId="50847"/>
    <cellStyle name="Normal 7 3 2 2 2 5 4" xfId="31777"/>
    <cellStyle name="Normal 7 3 2 2 2 6" xfId="7662"/>
    <cellStyle name="Normal 7 3 2 2 2 6 2" xfId="20047"/>
    <cellStyle name="Normal 7 3 2 2 2 6 2 2" xfId="45600"/>
    <cellStyle name="Normal 7 3 2 2 2 6 3" xfId="33219"/>
    <cellStyle name="Normal 7 3 2 2 2 7" xfId="16558"/>
    <cellStyle name="Normal 7 3 2 2 2 7 2" xfId="42111"/>
    <cellStyle name="Normal 7 3 2 2 2 8" xfId="26530"/>
    <cellStyle name="Normal 7 3 2 2 3" xfId="955"/>
    <cellStyle name="Normal 7 3 2 2 3 2" xfId="3431"/>
    <cellStyle name="Normal 7 3 2 2 3 2 2" xfId="12573"/>
    <cellStyle name="Normal 7 3 2 2 3 2 2 2" xfId="22792"/>
    <cellStyle name="Normal 7 3 2 2 3 2 2 2 2" xfId="48345"/>
    <cellStyle name="Normal 7 3 2 2 3 2 2 3" xfId="38128"/>
    <cellStyle name="Normal 7 3 2 2 3 2 3" xfId="8995"/>
    <cellStyle name="Normal 7 3 2 2 3 2 3 2" xfId="34552"/>
    <cellStyle name="Normal 7 3 2 2 3 2 4" xfId="17785"/>
    <cellStyle name="Normal 7 3 2 2 3 2 4 2" xfId="43338"/>
    <cellStyle name="Normal 7 3 2 2 3 2 5" xfId="29275"/>
    <cellStyle name="Normal 7 3 2 2 3 3" xfId="5109"/>
    <cellStyle name="Normal 7 3 2 2 3 3 2" xfId="13946"/>
    <cellStyle name="Normal 7 3 2 2 3 3 2 2" xfId="24197"/>
    <cellStyle name="Normal 7 3 2 2 3 3 2 2 2" xfId="49750"/>
    <cellStyle name="Normal 7 3 2 2 3 3 2 3" xfId="39501"/>
    <cellStyle name="Normal 7 3 2 2 3 3 3" xfId="10367"/>
    <cellStyle name="Normal 7 3 2 2 3 3 3 2" xfId="35924"/>
    <cellStyle name="Normal 7 3 2 2 3 3 4" xfId="19190"/>
    <cellStyle name="Normal 7 3 2 2 3 3 4 2" xfId="44743"/>
    <cellStyle name="Normal 7 3 2 2 3 3 5" xfId="30680"/>
    <cellStyle name="Normal 7 3 2 2 3 4" xfId="2540"/>
    <cellStyle name="Normal 7 3 2 2 3 4 2" xfId="11905"/>
    <cellStyle name="Normal 7 3 2 2 3 4 2 2" xfId="37460"/>
    <cellStyle name="Normal 7 3 2 2 3 4 3" xfId="21909"/>
    <cellStyle name="Normal 7 3 2 2 3 4 3 2" xfId="47462"/>
    <cellStyle name="Normal 7 3 2 2 3 4 4" xfId="28392"/>
    <cellStyle name="Normal 7 3 2 2 3 5" xfId="6564"/>
    <cellStyle name="Normal 7 3 2 2 3 5 2" xfId="15391"/>
    <cellStyle name="Normal 7 3 2 2 3 5 2 2" xfId="40946"/>
    <cellStyle name="Normal 7 3 2 2 3 5 3" xfId="25642"/>
    <cellStyle name="Normal 7 3 2 2 3 5 3 2" xfId="51195"/>
    <cellStyle name="Normal 7 3 2 2 3 5 4" xfId="32125"/>
    <cellStyle name="Normal 7 3 2 2 3 6" xfId="8010"/>
    <cellStyle name="Normal 7 3 2 2 3 6 2" xfId="20391"/>
    <cellStyle name="Normal 7 3 2 2 3 6 2 2" xfId="45944"/>
    <cellStyle name="Normal 7 3 2 2 3 6 3" xfId="33567"/>
    <cellStyle name="Normal 7 3 2 2 3 7" xfId="16902"/>
    <cellStyle name="Normal 7 3 2 2 3 7 2" xfId="42455"/>
    <cellStyle name="Normal 7 3 2 2 3 8" xfId="26874"/>
    <cellStyle name="Normal 7 3 2 2 4" xfId="1373"/>
    <cellStyle name="Normal 7 3 2 2 4 2" xfId="3802"/>
    <cellStyle name="Normal 7 3 2 2 4 2 2" xfId="12938"/>
    <cellStyle name="Normal 7 3 2 2 4 2 2 2" xfId="23157"/>
    <cellStyle name="Normal 7 3 2 2 4 2 2 2 2" xfId="48710"/>
    <cellStyle name="Normal 7 3 2 2 4 2 2 3" xfId="38493"/>
    <cellStyle name="Normal 7 3 2 2 4 2 3" xfId="9359"/>
    <cellStyle name="Normal 7 3 2 2 4 2 3 2" xfId="34916"/>
    <cellStyle name="Normal 7 3 2 2 4 2 4" xfId="18150"/>
    <cellStyle name="Normal 7 3 2 2 4 2 4 2" xfId="43703"/>
    <cellStyle name="Normal 7 3 2 2 4 2 5" xfId="29640"/>
    <cellStyle name="Normal 7 3 2 2 4 3" xfId="5465"/>
    <cellStyle name="Normal 7 3 2 2 4 3 2" xfId="14302"/>
    <cellStyle name="Normal 7 3 2 2 4 3 2 2" xfId="24553"/>
    <cellStyle name="Normal 7 3 2 2 4 3 2 2 2" xfId="50106"/>
    <cellStyle name="Normal 7 3 2 2 4 3 2 3" xfId="39857"/>
    <cellStyle name="Normal 7 3 2 2 4 3 3" xfId="10723"/>
    <cellStyle name="Normal 7 3 2 2 4 3 3 2" xfId="36280"/>
    <cellStyle name="Normal 7 3 2 2 4 3 4" xfId="19546"/>
    <cellStyle name="Normal 7 3 2 2 4 3 4 2" xfId="45099"/>
    <cellStyle name="Normal 7 3 2 2 4 3 5" xfId="31036"/>
    <cellStyle name="Normal 7 3 2 2 4 4" xfId="1876"/>
    <cellStyle name="Normal 7 3 2 2 4 4 2" xfId="11244"/>
    <cellStyle name="Normal 7 3 2 2 4 4 2 2" xfId="36799"/>
    <cellStyle name="Normal 7 3 2 2 4 4 3" xfId="21248"/>
    <cellStyle name="Normal 7 3 2 2 4 4 3 2" xfId="46801"/>
    <cellStyle name="Normal 7 3 2 2 4 4 4" xfId="27731"/>
    <cellStyle name="Normal 7 3 2 2 4 5" xfId="6920"/>
    <cellStyle name="Normal 7 3 2 2 4 5 2" xfId="15747"/>
    <cellStyle name="Normal 7 3 2 2 4 5 2 2" xfId="41302"/>
    <cellStyle name="Normal 7 3 2 2 4 5 3" xfId="25998"/>
    <cellStyle name="Normal 7 3 2 2 4 5 3 2" xfId="51551"/>
    <cellStyle name="Normal 7 3 2 2 4 5 4" xfId="32481"/>
    <cellStyle name="Normal 7 3 2 2 4 6" xfId="8366"/>
    <cellStyle name="Normal 7 3 2 2 4 6 2" xfId="20756"/>
    <cellStyle name="Normal 7 3 2 2 4 6 2 2" xfId="46309"/>
    <cellStyle name="Normal 7 3 2 2 4 6 3" xfId="33923"/>
    <cellStyle name="Normal 7 3 2 2 4 7" xfId="16241"/>
    <cellStyle name="Normal 7 3 2 2 4 7 2" xfId="41794"/>
    <cellStyle name="Normal 7 3 2 2 4 8" xfId="27239"/>
    <cellStyle name="Normal 7 3 2 2 5" xfId="2770"/>
    <cellStyle name="Normal 7 3 2 2 5 2" xfId="12087"/>
    <cellStyle name="Normal 7 3 2 2 5 2 2" xfId="22131"/>
    <cellStyle name="Normal 7 3 2 2 5 2 2 2" xfId="47684"/>
    <cellStyle name="Normal 7 3 2 2 5 2 3" xfId="37642"/>
    <cellStyle name="Normal 7 3 2 2 5 3" xfId="8539"/>
    <cellStyle name="Normal 7 3 2 2 5 3 2" xfId="34096"/>
    <cellStyle name="Normal 7 3 2 2 5 4" xfId="17124"/>
    <cellStyle name="Normal 7 3 2 2 5 4 2" xfId="42677"/>
    <cellStyle name="Normal 7 3 2 2 5 5" xfId="28614"/>
    <cellStyle name="Normal 7 3 2 2 6" xfId="4421"/>
    <cellStyle name="Normal 7 3 2 2 6 2" xfId="13259"/>
    <cellStyle name="Normal 7 3 2 2 6 2 2" xfId="23510"/>
    <cellStyle name="Normal 7 3 2 2 6 2 2 2" xfId="49063"/>
    <cellStyle name="Normal 7 3 2 2 6 2 3" xfId="38814"/>
    <cellStyle name="Normal 7 3 2 2 6 3" xfId="9680"/>
    <cellStyle name="Normal 7 3 2 2 6 3 2" xfId="35237"/>
    <cellStyle name="Normal 7 3 2 2 6 4" xfId="18503"/>
    <cellStyle name="Normal 7 3 2 2 6 4 2" xfId="44056"/>
    <cellStyle name="Normal 7 3 2 2 6 5" xfId="29993"/>
    <cellStyle name="Normal 7 3 2 2 7" xfId="1693"/>
    <cellStyle name="Normal 7 3 2 2 7 2" xfId="11070"/>
    <cellStyle name="Normal 7 3 2 2 7 2 2" xfId="36625"/>
    <cellStyle name="Normal 7 3 2 2 7 3" xfId="21074"/>
    <cellStyle name="Normal 7 3 2 2 7 3 2" xfId="46627"/>
    <cellStyle name="Normal 7 3 2 2 7 4" xfId="27557"/>
    <cellStyle name="Normal 7 3 2 2 8" xfId="5877"/>
    <cellStyle name="Normal 7 3 2 2 8 2" xfId="14704"/>
    <cellStyle name="Normal 7 3 2 2 8 2 2" xfId="40259"/>
    <cellStyle name="Normal 7 3 2 2 8 3" xfId="24955"/>
    <cellStyle name="Normal 7 3 2 2 8 3 2" xfId="50508"/>
    <cellStyle name="Normal 7 3 2 2 8 4" xfId="31438"/>
    <cellStyle name="Normal 7 3 2 2 9" xfId="7321"/>
    <cellStyle name="Normal 7 3 2 2 9 2" xfId="19730"/>
    <cellStyle name="Normal 7 3 2 2 9 2 2" xfId="45283"/>
    <cellStyle name="Normal 7 3 2 2 9 3" xfId="32878"/>
    <cellStyle name="Normal 7 3 2 2_Degree data" xfId="4061"/>
    <cellStyle name="Normal 7 3 2 3" xfId="497"/>
    <cellStyle name="Normal 7 3 2 3 10" xfId="26426"/>
    <cellStyle name="Normal 7 3 2 3 2" xfId="956"/>
    <cellStyle name="Normal 7 3 2 3 2 2" xfId="3432"/>
    <cellStyle name="Normal 7 3 2 3 2 2 2" xfId="12574"/>
    <cellStyle name="Normal 7 3 2 3 2 2 2 2" xfId="22793"/>
    <cellStyle name="Normal 7 3 2 3 2 2 2 2 2" xfId="48346"/>
    <cellStyle name="Normal 7 3 2 3 2 2 2 3" xfId="38129"/>
    <cellStyle name="Normal 7 3 2 3 2 2 3" xfId="8996"/>
    <cellStyle name="Normal 7 3 2 3 2 2 3 2" xfId="34553"/>
    <cellStyle name="Normal 7 3 2 3 2 2 4" xfId="17786"/>
    <cellStyle name="Normal 7 3 2 3 2 2 4 2" xfId="43339"/>
    <cellStyle name="Normal 7 3 2 3 2 2 5" xfId="29276"/>
    <cellStyle name="Normal 7 3 2 3 2 3" xfId="4762"/>
    <cellStyle name="Normal 7 3 2 3 2 3 2" xfId="13599"/>
    <cellStyle name="Normal 7 3 2 3 2 3 2 2" xfId="23850"/>
    <cellStyle name="Normal 7 3 2 3 2 3 2 2 2" xfId="49403"/>
    <cellStyle name="Normal 7 3 2 3 2 3 2 3" xfId="39154"/>
    <cellStyle name="Normal 7 3 2 3 2 3 3" xfId="10020"/>
    <cellStyle name="Normal 7 3 2 3 2 3 3 2" xfId="35577"/>
    <cellStyle name="Normal 7 3 2 3 2 3 4" xfId="18843"/>
    <cellStyle name="Normal 7 3 2 3 2 3 4 2" xfId="44396"/>
    <cellStyle name="Normal 7 3 2 3 2 3 5" xfId="30333"/>
    <cellStyle name="Normal 7 3 2 3 2 4" xfId="2541"/>
    <cellStyle name="Normal 7 3 2 3 2 4 2" xfId="11906"/>
    <cellStyle name="Normal 7 3 2 3 2 4 2 2" xfId="37461"/>
    <cellStyle name="Normal 7 3 2 3 2 4 3" xfId="21910"/>
    <cellStyle name="Normal 7 3 2 3 2 4 3 2" xfId="47463"/>
    <cellStyle name="Normal 7 3 2 3 2 4 4" xfId="28393"/>
    <cellStyle name="Normal 7 3 2 3 2 5" xfId="6217"/>
    <cellStyle name="Normal 7 3 2 3 2 5 2" xfId="15044"/>
    <cellStyle name="Normal 7 3 2 3 2 5 2 2" xfId="40599"/>
    <cellStyle name="Normal 7 3 2 3 2 5 3" xfId="25295"/>
    <cellStyle name="Normal 7 3 2 3 2 5 3 2" xfId="50848"/>
    <cellStyle name="Normal 7 3 2 3 2 5 4" xfId="31778"/>
    <cellStyle name="Normal 7 3 2 3 2 6" xfId="7663"/>
    <cellStyle name="Normal 7 3 2 3 2 6 2" xfId="20392"/>
    <cellStyle name="Normal 7 3 2 3 2 6 2 2" xfId="45945"/>
    <cellStyle name="Normal 7 3 2 3 2 6 3" xfId="33220"/>
    <cellStyle name="Normal 7 3 2 3 2 7" xfId="16903"/>
    <cellStyle name="Normal 7 3 2 3 2 7 2" xfId="42456"/>
    <cellStyle name="Normal 7 3 2 3 2 8" xfId="26875"/>
    <cellStyle name="Normal 7 3 2 3 3" xfId="1269"/>
    <cellStyle name="Normal 7 3 2 3 3 2" xfId="3698"/>
    <cellStyle name="Normal 7 3 2 3 3 2 2" xfId="12834"/>
    <cellStyle name="Normal 7 3 2 3 3 2 2 2" xfId="23053"/>
    <cellStyle name="Normal 7 3 2 3 3 2 2 2 2" xfId="48606"/>
    <cellStyle name="Normal 7 3 2 3 3 2 2 3" xfId="38389"/>
    <cellStyle name="Normal 7 3 2 3 3 2 3" xfId="9255"/>
    <cellStyle name="Normal 7 3 2 3 3 2 3 2" xfId="34812"/>
    <cellStyle name="Normal 7 3 2 3 3 2 4" xfId="18046"/>
    <cellStyle name="Normal 7 3 2 3 3 2 4 2" xfId="43599"/>
    <cellStyle name="Normal 7 3 2 3 3 2 5" xfId="29536"/>
    <cellStyle name="Normal 7 3 2 3 3 3" xfId="5110"/>
    <cellStyle name="Normal 7 3 2 3 3 3 2" xfId="13947"/>
    <cellStyle name="Normal 7 3 2 3 3 3 2 2" xfId="24198"/>
    <cellStyle name="Normal 7 3 2 3 3 3 2 2 2" xfId="49751"/>
    <cellStyle name="Normal 7 3 2 3 3 3 2 3" xfId="39502"/>
    <cellStyle name="Normal 7 3 2 3 3 3 3" xfId="10368"/>
    <cellStyle name="Normal 7 3 2 3 3 3 3 2" xfId="35925"/>
    <cellStyle name="Normal 7 3 2 3 3 3 4" xfId="19191"/>
    <cellStyle name="Normal 7 3 2 3 3 3 4 2" xfId="44744"/>
    <cellStyle name="Normal 7 3 2 3 3 3 5" xfId="30681"/>
    <cellStyle name="Normal 7 3 2 3 3 4" xfId="2092"/>
    <cellStyle name="Normal 7 3 2 3 3 4 2" xfId="11457"/>
    <cellStyle name="Normal 7 3 2 3 3 4 2 2" xfId="37012"/>
    <cellStyle name="Normal 7 3 2 3 3 4 3" xfId="21461"/>
    <cellStyle name="Normal 7 3 2 3 3 4 3 2" xfId="47014"/>
    <cellStyle name="Normal 7 3 2 3 3 4 4" xfId="27944"/>
    <cellStyle name="Normal 7 3 2 3 3 5" xfId="6565"/>
    <cellStyle name="Normal 7 3 2 3 3 5 2" xfId="15392"/>
    <cellStyle name="Normal 7 3 2 3 3 5 2 2" xfId="40947"/>
    <cellStyle name="Normal 7 3 2 3 3 5 3" xfId="25643"/>
    <cellStyle name="Normal 7 3 2 3 3 5 3 2" xfId="51196"/>
    <cellStyle name="Normal 7 3 2 3 3 5 4" xfId="32126"/>
    <cellStyle name="Normal 7 3 2 3 3 6" xfId="8011"/>
    <cellStyle name="Normal 7 3 2 3 3 6 2" xfId="20652"/>
    <cellStyle name="Normal 7 3 2 3 3 6 2 2" xfId="46205"/>
    <cellStyle name="Normal 7 3 2 3 3 6 3" xfId="33568"/>
    <cellStyle name="Normal 7 3 2 3 3 7" xfId="16454"/>
    <cellStyle name="Normal 7 3 2 3 3 7 2" xfId="42007"/>
    <cellStyle name="Normal 7 3 2 3 3 8" xfId="27135"/>
    <cellStyle name="Normal 7 3 2 3 4" xfId="2983"/>
    <cellStyle name="Normal 7 3 2 3 4 2" xfId="5361"/>
    <cellStyle name="Normal 7 3 2 3 4 2 2" xfId="14198"/>
    <cellStyle name="Normal 7 3 2 3 4 2 2 2" xfId="24449"/>
    <cellStyle name="Normal 7 3 2 3 4 2 2 2 2" xfId="50002"/>
    <cellStyle name="Normal 7 3 2 3 4 2 2 3" xfId="39753"/>
    <cellStyle name="Normal 7 3 2 3 4 2 3" xfId="10619"/>
    <cellStyle name="Normal 7 3 2 3 4 2 3 2" xfId="36176"/>
    <cellStyle name="Normal 7 3 2 3 4 2 4" xfId="19442"/>
    <cellStyle name="Normal 7 3 2 3 4 2 4 2" xfId="44995"/>
    <cellStyle name="Normal 7 3 2 3 4 2 5" xfId="30932"/>
    <cellStyle name="Normal 7 3 2 3 4 3" xfId="6816"/>
    <cellStyle name="Normal 7 3 2 3 4 3 2" xfId="15643"/>
    <cellStyle name="Normal 7 3 2 3 4 3 2 2" xfId="41198"/>
    <cellStyle name="Normal 7 3 2 3 4 3 3" xfId="25894"/>
    <cellStyle name="Normal 7 3 2 3 4 3 3 2" xfId="51447"/>
    <cellStyle name="Normal 7 3 2 3 4 3 4" xfId="32377"/>
    <cellStyle name="Normal 7 3 2 3 4 4" xfId="8262"/>
    <cellStyle name="Normal 7 3 2 3 4 4 2" xfId="22344"/>
    <cellStyle name="Normal 7 3 2 3 4 4 2 2" xfId="47897"/>
    <cellStyle name="Normal 7 3 2 3 4 4 3" xfId="33819"/>
    <cellStyle name="Normal 7 3 2 3 4 5" xfId="17337"/>
    <cellStyle name="Normal 7 3 2 3 4 5 2" xfId="42890"/>
    <cellStyle name="Normal 7 3 2 3 4 6" xfId="28827"/>
    <cellStyle name="Normal 7 3 2 3 5" xfId="4317"/>
    <cellStyle name="Normal 7 3 2 3 5 2" xfId="13155"/>
    <cellStyle name="Normal 7 3 2 3 5 2 2" xfId="23406"/>
    <cellStyle name="Normal 7 3 2 3 5 2 2 2" xfId="48959"/>
    <cellStyle name="Normal 7 3 2 3 5 2 3" xfId="38710"/>
    <cellStyle name="Normal 7 3 2 3 5 3" xfId="9576"/>
    <cellStyle name="Normal 7 3 2 3 5 3 2" xfId="35133"/>
    <cellStyle name="Normal 7 3 2 3 5 4" xfId="18399"/>
    <cellStyle name="Normal 7 3 2 3 5 4 2" xfId="43952"/>
    <cellStyle name="Normal 7 3 2 3 5 5" xfId="29889"/>
    <cellStyle name="Normal 7 3 2 3 6" xfId="1589"/>
    <cellStyle name="Normal 7 3 2 3 6 2" xfId="10966"/>
    <cellStyle name="Normal 7 3 2 3 6 2 2" xfId="36521"/>
    <cellStyle name="Normal 7 3 2 3 6 3" xfId="20970"/>
    <cellStyle name="Normal 7 3 2 3 6 3 2" xfId="46523"/>
    <cellStyle name="Normal 7 3 2 3 6 4" xfId="27453"/>
    <cellStyle name="Normal 7 3 2 3 7" xfId="5773"/>
    <cellStyle name="Normal 7 3 2 3 7 2" xfId="14600"/>
    <cellStyle name="Normal 7 3 2 3 7 2 2" xfId="40155"/>
    <cellStyle name="Normal 7 3 2 3 7 3" xfId="24851"/>
    <cellStyle name="Normal 7 3 2 3 7 3 2" xfId="50404"/>
    <cellStyle name="Normal 7 3 2 3 7 4" xfId="31334"/>
    <cellStyle name="Normal 7 3 2 3 8" xfId="7217"/>
    <cellStyle name="Normal 7 3 2 3 8 2" xfId="19943"/>
    <cellStyle name="Normal 7 3 2 3 8 2 2" xfId="45496"/>
    <cellStyle name="Normal 7 3 2 3 8 3" xfId="32774"/>
    <cellStyle name="Normal 7 3 2 3 9" xfId="15963"/>
    <cellStyle name="Normal 7 3 2 3 9 2" xfId="41516"/>
    <cellStyle name="Normal 7 3 2 3_Degree data" xfId="4062"/>
    <cellStyle name="Normal 7 3 2 4" xfId="397"/>
    <cellStyle name="Normal 7 3 2 4 2" xfId="2883"/>
    <cellStyle name="Normal 7 3 2 4 2 2" xfId="12171"/>
    <cellStyle name="Normal 7 3 2 4 2 2 2" xfId="22244"/>
    <cellStyle name="Normal 7 3 2 4 2 2 2 2" xfId="47797"/>
    <cellStyle name="Normal 7 3 2 4 2 2 3" xfId="37726"/>
    <cellStyle name="Normal 7 3 2 4 2 3" xfId="8520"/>
    <cellStyle name="Normal 7 3 2 4 2 3 2" xfId="34077"/>
    <cellStyle name="Normal 7 3 2 4 2 4" xfId="17237"/>
    <cellStyle name="Normal 7 3 2 4 2 4 2" xfId="42790"/>
    <cellStyle name="Normal 7 3 2 4 2 5" xfId="28727"/>
    <cellStyle name="Normal 7 3 2 4 3" xfId="4760"/>
    <cellStyle name="Normal 7 3 2 4 3 2" xfId="13597"/>
    <cellStyle name="Normal 7 3 2 4 3 2 2" xfId="23848"/>
    <cellStyle name="Normal 7 3 2 4 3 2 2 2" xfId="49401"/>
    <cellStyle name="Normal 7 3 2 4 3 2 3" xfId="39152"/>
    <cellStyle name="Normal 7 3 2 4 3 3" xfId="10018"/>
    <cellStyle name="Normal 7 3 2 4 3 3 2" xfId="35575"/>
    <cellStyle name="Normal 7 3 2 4 3 4" xfId="18841"/>
    <cellStyle name="Normal 7 3 2 4 3 4 2" xfId="44394"/>
    <cellStyle name="Normal 7 3 2 4 3 5" xfId="30331"/>
    <cellStyle name="Normal 7 3 2 4 4" xfId="1992"/>
    <cellStyle name="Normal 7 3 2 4 4 2" xfId="11357"/>
    <cellStyle name="Normal 7 3 2 4 4 2 2" xfId="36912"/>
    <cellStyle name="Normal 7 3 2 4 4 3" xfId="21361"/>
    <cellStyle name="Normal 7 3 2 4 4 3 2" xfId="46914"/>
    <cellStyle name="Normal 7 3 2 4 4 4" xfId="27844"/>
    <cellStyle name="Normal 7 3 2 4 5" xfId="6215"/>
    <cellStyle name="Normal 7 3 2 4 5 2" xfId="15042"/>
    <cellStyle name="Normal 7 3 2 4 5 2 2" xfId="40597"/>
    <cellStyle name="Normal 7 3 2 4 5 3" xfId="25293"/>
    <cellStyle name="Normal 7 3 2 4 5 3 2" xfId="50846"/>
    <cellStyle name="Normal 7 3 2 4 5 4" xfId="31776"/>
    <cellStyle name="Normal 7 3 2 4 6" xfId="7661"/>
    <cellStyle name="Normal 7 3 2 4 6 2" xfId="19843"/>
    <cellStyle name="Normal 7 3 2 4 6 2 2" xfId="45396"/>
    <cellStyle name="Normal 7 3 2 4 6 3" xfId="33218"/>
    <cellStyle name="Normal 7 3 2 4 7" xfId="16354"/>
    <cellStyle name="Normal 7 3 2 4 7 2" xfId="41907"/>
    <cellStyle name="Normal 7 3 2 4 8" xfId="26326"/>
    <cellStyle name="Normal 7 3 2 5" xfId="954"/>
    <cellStyle name="Normal 7 3 2 5 2" xfId="3430"/>
    <cellStyle name="Normal 7 3 2 5 2 2" xfId="12572"/>
    <cellStyle name="Normal 7 3 2 5 2 2 2" xfId="22791"/>
    <cellStyle name="Normal 7 3 2 5 2 2 2 2" xfId="48344"/>
    <cellStyle name="Normal 7 3 2 5 2 2 3" xfId="38127"/>
    <cellStyle name="Normal 7 3 2 5 2 3" xfId="8994"/>
    <cellStyle name="Normal 7 3 2 5 2 3 2" xfId="34551"/>
    <cellStyle name="Normal 7 3 2 5 2 4" xfId="17784"/>
    <cellStyle name="Normal 7 3 2 5 2 4 2" xfId="43337"/>
    <cellStyle name="Normal 7 3 2 5 2 5" xfId="29274"/>
    <cellStyle name="Normal 7 3 2 5 3" xfId="5108"/>
    <cellStyle name="Normal 7 3 2 5 3 2" xfId="13945"/>
    <cellStyle name="Normal 7 3 2 5 3 2 2" xfId="24196"/>
    <cellStyle name="Normal 7 3 2 5 3 2 2 2" xfId="49749"/>
    <cellStyle name="Normal 7 3 2 5 3 2 3" xfId="39500"/>
    <cellStyle name="Normal 7 3 2 5 3 3" xfId="10366"/>
    <cellStyle name="Normal 7 3 2 5 3 3 2" xfId="35923"/>
    <cellStyle name="Normal 7 3 2 5 3 4" xfId="19189"/>
    <cellStyle name="Normal 7 3 2 5 3 4 2" xfId="44742"/>
    <cellStyle name="Normal 7 3 2 5 3 5" xfId="30679"/>
    <cellStyle name="Normal 7 3 2 5 4" xfId="2539"/>
    <cellStyle name="Normal 7 3 2 5 4 2" xfId="11904"/>
    <cellStyle name="Normal 7 3 2 5 4 2 2" xfId="37459"/>
    <cellStyle name="Normal 7 3 2 5 4 3" xfId="21908"/>
    <cellStyle name="Normal 7 3 2 5 4 3 2" xfId="47461"/>
    <cellStyle name="Normal 7 3 2 5 4 4" xfId="28391"/>
    <cellStyle name="Normal 7 3 2 5 5" xfId="6563"/>
    <cellStyle name="Normal 7 3 2 5 5 2" xfId="15390"/>
    <cellStyle name="Normal 7 3 2 5 5 2 2" xfId="40945"/>
    <cellStyle name="Normal 7 3 2 5 5 3" xfId="25641"/>
    <cellStyle name="Normal 7 3 2 5 5 3 2" xfId="51194"/>
    <cellStyle name="Normal 7 3 2 5 5 4" xfId="32124"/>
    <cellStyle name="Normal 7 3 2 5 6" xfId="8009"/>
    <cellStyle name="Normal 7 3 2 5 6 2" xfId="20390"/>
    <cellStyle name="Normal 7 3 2 5 6 2 2" xfId="45943"/>
    <cellStyle name="Normal 7 3 2 5 6 3" xfId="33566"/>
    <cellStyle name="Normal 7 3 2 5 7" xfId="16901"/>
    <cellStyle name="Normal 7 3 2 5 7 2" xfId="42454"/>
    <cellStyle name="Normal 7 3 2 5 8" xfId="26873"/>
    <cellStyle name="Normal 7 3 2 6" xfId="1169"/>
    <cellStyle name="Normal 7 3 2 6 2" xfId="3598"/>
    <cellStyle name="Normal 7 3 2 6 2 2" xfId="12734"/>
    <cellStyle name="Normal 7 3 2 6 2 2 2" xfId="22953"/>
    <cellStyle name="Normal 7 3 2 6 2 2 2 2" xfId="48506"/>
    <cellStyle name="Normal 7 3 2 6 2 2 3" xfId="38289"/>
    <cellStyle name="Normal 7 3 2 6 2 3" xfId="9155"/>
    <cellStyle name="Normal 7 3 2 6 2 3 2" xfId="34712"/>
    <cellStyle name="Normal 7 3 2 6 2 4" xfId="17946"/>
    <cellStyle name="Normal 7 3 2 6 2 4 2" xfId="43499"/>
    <cellStyle name="Normal 7 3 2 6 2 5" xfId="29436"/>
    <cellStyle name="Normal 7 3 2 6 3" xfId="5261"/>
    <cellStyle name="Normal 7 3 2 6 3 2" xfId="14098"/>
    <cellStyle name="Normal 7 3 2 6 3 2 2" xfId="24349"/>
    <cellStyle name="Normal 7 3 2 6 3 2 2 2" xfId="49902"/>
    <cellStyle name="Normal 7 3 2 6 3 2 3" xfId="39653"/>
    <cellStyle name="Normal 7 3 2 6 3 3" xfId="10519"/>
    <cellStyle name="Normal 7 3 2 6 3 3 2" xfId="36076"/>
    <cellStyle name="Normal 7 3 2 6 3 4" xfId="19342"/>
    <cellStyle name="Normal 7 3 2 6 3 4 2" xfId="44895"/>
    <cellStyle name="Normal 7 3 2 6 3 5" xfId="30832"/>
    <cellStyle name="Normal 7 3 2 6 4" xfId="1769"/>
    <cellStyle name="Normal 7 3 2 6 4 2" xfId="11140"/>
    <cellStyle name="Normal 7 3 2 6 4 2 2" xfId="36695"/>
    <cellStyle name="Normal 7 3 2 6 4 3" xfId="21144"/>
    <cellStyle name="Normal 7 3 2 6 4 3 2" xfId="46697"/>
    <cellStyle name="Normal 7 3 2 6 4 4" xfId="27627"/>
    <cellStyle name="Normal 7 3 2 6 5" xfId="6716"/>
    <cellStyle name="Normal 7 3 2 6 5 2" xfId="15543"/>
    <cellStyle name="Normal 7 3 2 6 5 2 2" xfId="41098"/>
    <cellStyle name="Normal 7 3 2 6 5 3" xfId="25794"/>
    <cellStyle name="Normal 7 3 2 6 5 3 2" xfId="51347"/>
    <cellStyle name="Normal 7 3 2 6 5 4" xfId="32277"/>
    <cellStyle name="Normal 7 3 2 6 6" xfId="8162"/>
    <cellStyle name="Normal 7 3 2 6 6 2" xfId="20552"/>
    <cellStyle name="Normal 7 3 2 6 6 2 2" xfId="46105"/>
    <cellStyle name="Normal 7 3 2 6 6 3" xfId="33719"/>
    <cellStyle name="Normal 7 3 2 6 7" xfId="16137"/>
    <cellStyle name="Normal 7 3 2 6 7 2" xfId="41690"/>
    <cellStyle name="Normal 7 3 2 6 8" xfId="27035"/>
    <cellStyle name="Normal 7 3 2 7" xfId="2666"/>
    <cellStyle name="Normal 7 3 2 7 2" xfId="11983"/>
    <cellStyle name="Normal 7 3 2 7 2 2" xfId="22027"/>
    <cellStyle name="Normal 7 3 2 7 2 2 2" xfId="47580"/>
    <cellStyle name="Normal 7 3 2 7 2 3" xfId="37538"/>
    <cellStyle name="Normal 7 3 2 7 3" xfId="8560"/>
    <cellStyle name="Normal 7 3 2 7 3 2" xfId="34117"/>
    <cellStyle name="Normal 7 3 2 7 4" xfId="17020"/>
    <cellStyle name="Normal 7 3 2 7 4 2" xfId="42573"/>
    <cellStyle name="Normal 7 3 2 7 5" xfId="28510"/>
    <cellStyle name="Normal 7 3 2 8" xfId="4217"/>
    <cellStyle name="Normal 7 3 2 8 2" xfId="13055"/>
    <cellStyle name="Normal 7 3 2 8 2 2" xfId="23306"/>
    <cellStyle name="Normal 7 3 2 8 2 2 2" xfId="48859"/>
    <cellStyle name="Normal 7 3 2 8 2 3" xfId="38610"/>
    <cellStyle name="Normal 7 3 2 8 3" xfId="9476"/>
    <cellStyle name="Normal 7 3 2 8 3 2" xfId="35033"/>
    <cellStyle name="Normal 7 3 2 8 4" xfId="18299"/>
    <cellStyle name="Normal 7 3 2 8 4 2" xfId="43852"/>
    <cellStyle name="Normal 7 3 2 8 5" xfId="29789"/>
    <cellStyle name="Normal 7 3 2 9" xfId="1489"/>
    <cellStyle name="Normal 7 3 2 9 2" xfId="10866"/>
    <cellStyle name="Normal 7 3 2 9 2 2" xfId="36421"/>
    <cellStyle name="Normal 7 3 2 9 3" xfId="20870"/>
    <cellStyle name="Normal 7 3 2 9 3 2" xfId="46423"/>
    <cellStyle name="Normal 7 3 2 9 4" xfId="27353"/>
    <cellStyle name="Normal 7 3 2_Degree data" xfId="4060"/>
    <cellStyle name="Normal 7 3 3" xfId="214"/>
    <cellStyle name="Normal 7 3 3 10" xfId="7160"/>
    <cellStyle name="Normal 7 3 3 10 2" xfId="19669"/>
    <cellStyle name="Normal 7 3 3 10 2 2" xfId="45222"/>
    <cellStyle name="Normal 7 3 3 10 3" xfId="32717"/>
    <cellStyle name="Normal 7 3 3 11" xfId="15906"/>
    <cellStyle name="Normal 7 3 3 11 2" xfId="41459"/>
    <cellStyle name="Normal 7 3 3 12" xfId="26152"/>
    <cellStyle name="Normal 7 3 3 2" xfId="540"/>
    <cellStyle name="Normal 7 3 3 2 10" xfId="26469"/>
    <cellStyle name="Normal 7 3 3 2 2" xfId="958"/>
    <cellStyle name="Normal 7 3 3 2 2 2" xfId="3434"/>
    <cellStyle name="Normal 7 3 3 2 2 2 2" xfId="12576"/>
    <cellStyle name="Normal 7 3 3 2 2 2 2 2" xfId="22795"/>
    <cellStyle name="Normal 7 3 3 2 2 2 2 2 2" xfId="48348"/>
    <cellStyle name="Normal 7 3 3 2 2 2 2 3" xfId="38131"/>
    <cellStyle name="Normal 7 3 3 2 2 2 3" xfId="8998"/>
    <cellStyle name="Normal 7 3 3 2 2 2 3 2" xfId="34555"/>
    <cellStyle name="Normal 7 3 3 2 2 2 4" xfId="17788"/>
    <cellStyle name="Normal 7 3 3 2 2 2 4 2" xfId="43341"/>
    <cellStyle name="Normal 7 3 3 2 2 2 5" xfId="29278"/>
    <cellStyle name="Normal 7 3 3 2 2 3" xfId="4764"/>
    <cellStyle name="Normal 7 3 3 2 2 3 2" xfId="13601"/>
    <cellStyle name="Normal 7 3 3 2 2 3 2 2" xfId="23852"/>
    <cellStyle name="Normal 7 3 3 2 2 3 2 2 2" xfId="49405"/>
    <cellStyle name="Normal 7 3 3 2 2 3 2 3" xfId="39156"/>
    <cellStyle name="Normal 7 3 3 2 2 3 3" xfId="10022"/>
    <cellStyle name="Normal 7 3 3 2 2 3 3 2" xfId="35579"/>
    <cellStyle name="Normal 7 3 3 2 2 3 4" xfId="18845"/>
    <cellStyle name="Normal 7 3 3 2 2 3 4 2" xfId="44398"/>
    <cellStyle name="Normal 7 3 3 2 2 3 5" xfId="30335"/>
    <cellStyle name="Normal 7 3 3 2 2 4" xfId="2543"/>
    <cellStyle name="Normal 7 3 3 2 2 4 2" xfId="11908"/>
    <cellStyle name="Normal 7 3 3 2 2 4 2 2" xfId="37463"/>
    <cellStyle name="Normal 7 3 3 2 2 4 3" xfId="21912"/>
    <cellStyle name="Normal 7 3 3 2 2 4 3 2" xfId="47465"/>
    <cellStyle name="Normal 7 3 3 2 2 4 4" xfId="28395"/>
    <cellStyle name="Normal 7 3 3 2 2 5" xfId="6219"/>
    <cellStyle name="Normal 7 3 3 2 2 5 2" xfId="15046"/>
    <cellStyle name="Normal 7 3 3 2 2 5 2 2" xfId="40601"/>
    <cellStyle name="Normal 7 3 3 2 2 5 3" xfId="25297"/>
    <cellStyle name="Normal 7 3 3 2 2 5 3 2" xfId="50850"/>
    <cellStyle name="Normal 7 3 3 2 2 5 4" xfId="31780"/>
    <cellStyle name="Normal 7 3 3 2 2 6" xfId="7665"/>
    <cellStyle name="Normal 7 3 3 2 2 6 2" xfId="20394"/>
    <cellStyle name="Normal 7 3 3 2 2 6 2 2" xfId="45947"/>
    <cellStyle name="Normal 7 3 3 2 2 6 3" xfId="33222"/>
    <cellStyle name="Normal 7 3 3 2 2 7" xfId="16905"/>
    <cellStyle name="Normal 7 3 3 2 2 7 2" xfId="42458"/>
    <cellStyle name="Normal 7 3 3 2 2 8" xfId="26877"/>
    <cellStyle name="Normal 7 3 3 2 3" xfId="1312"/>
    <cellStyle name="Normal 7 3 3 2 3 2" xfId="3741"/>
    <cellStyle name="Normal 7 3 3 2 3 2 2" xfId="12877"/>
    <cellStyle name="Normal 7 3 3 2 3 2 2 2" xfId="23096"/>
    <cellStyle name="Normal 7 3 3 2 3 2 2 2 2" xfId="48649"/>
    <cellStyle name="Normal 7 3 3 2 3 2 2 3" xfId="38432"/>
    <cellStyle name="Normal 7 3 3 2 3 2 3" xfId="9298"/>
    <cellStyle name="Normal 7 3 3 2 3 2 3 2" xfId="34855"/>
    <cellStyle name="Normal 7 3 3 2 3 2 4" xfId="18089"/>
    <cellStyle name="Normal 7 3 3 2 3 2 4 2" xfId="43642"/>
    <cellStyle name="Normal 7 3 3 2 3 2 5" xfId="29579"/>
    <cellStyle name="Normal 7 3 3 2 3 3" xfId="5112"/>
    <cellStyle name="Normal 7 3 3 2 3 3 2" xfId="13949"/>
    <cellStyle name="Normal 7 3 3 2 3 3 2 2" xfId="24200"/>
    <cellStyle name="Normal 7 3 3 2 3 3 2 2 2" xfId="49753"/>
    <cellStyle name="Normal 7 3 3 2 3 3 2 3" xfId="39504"/>
    <cellStyle name="Normal 7 3 3 2 3 3 3" xfId="10370"/>
    <cellStyle name="Normal 7 3 3 2 3 3 3 2" xfId="35927"/>
    <cellStyle name="Normal 7 3 3 2 3 3 4" xfId="19193"/>
    <cellStyle name="Normal 7 3 3 2 3 3 4 2" xfId="44746"/>
    <cellStyle name="Normal 7 3 3 2 3 3 5" xfId="30683"/>
    <cellStyle name="Normal 7 3 3 2 3 4" xfId="2135"/>
    <cellStyle name="Normal 7 3 3 2 3 4 2" xfId="11500"/>
    <cellStyle name="Normal 7 3 3 2 3 4 2 2" xfId="37055"/>
    <cellStyle name="Normal 7 3 3 2 3 4 3" xfId="21504"/>
    <cellStyle name="Normal 7 3 3 2 3 4 3 2" xfId="47057"/>
    <cellStyle name="Normal 7 3 3 2 3 4 4" xfId="27987"/>
    <cellStyle name="Normal 7 3 3 2 3 5" xfId="6567"/>
    <cellStyle name="Normal 7 3 3 2 3 5 2" xfId="15394"/>
    <cellStyle name="Normal 7 3 3 2 3 5 2 2" xfId="40949"/>
    <cellStyle name="Normal 7 3 3 2 3 5 3" xfId="25645"/>
    <cellStyle name="Normal 7 3 3 2 3 5 3 2" xfId="51198"/>
    <cellStyle name="Normal 7 3 3 2 3 5 4" xfId="32128"/>
    <cellStyle name="Normal 7 3 3 2 3 6" xfId="8013"/>
    <cellStyle name="Normal 7 3 3 2 3 6 2" xfId="20695"/>
    <cellStyle name="Normal 7 3 3 2 3 6 2 2" xfId="46248"/>
    <cellStyle name="Normal 7 3 3 2 3 6 3" xfId="33570"/>
    <cellStyle name="Normal 7 3 3 2 3 7" xfId="16497"/>
    <cellStyle name="Normal 7 3 3 2 3 7 2" xfId="42050"/>
    <cellStyle name="Normal 7 3 3 2 3 8" xfId="27178"/>
    <cellStyle name="Normal 7 3 3 2 4" xfId="3026"/>
    <cellStyle name="Normal 7 3 3 2 4 2" xfId="5404"/>
    <cellStyle name="Normal 7 3 3 2 4 2 2" xfId="14241"/>
    <cellStyle name="Normal 7 3 3 2 4 2 2 2" xfId="24492"/>
    <cellStyle name="Normal 7 3 3 2 4 2 2 2 2" xfId="50045"/>
    <cellStyle name="Normal 7 3 3 2 4 2 2 3" xfId="39796"/>
    <cellStyle name="Normal 7 3 3 2 4 2 3" xfId="10662"/>
    <cellStyle name="Normal 7 3 3 2 4 2 3 2" xfId="36219"/>
    <cellStyle name="Normal 7 3 3 2 4 2 4" xfId="19485"/>
    <cellStyle name="Normal 7 3 3 2 4 2 4 2" xfId="45038"/>
    <cellStyle name="Normal 7 3 3 2 4 2 5" xfId="30975"/>
    <cellStyle name="Normal 7 3 3 2 4 3" xfId="6859"/>
    <cellStyle name="Normal 7 3 3 2 4 3 2" xfId="15686"/>
    <cellStyle name="Normal 7 3 3 2 4 3 2 2" xfId="41241"/>
    <cellStyle name="Normal 7 3 3 2 4 3 3" xfId="25937"/>
    <cellStyle name="Normal 7 3 3 2 4 3 3 2" xfId="51490"/>
    <cellStyle name="Normal 7 3 3 2 4 3 4" xfId="32420"/>
    <cellStyle name="Normal 7 3 3 2 4 4" xfId="8305"/>
    <cellStyle name="Normal 7 3 3 2 4 4 2" xfId="22387"/>
    <cellStyle name="Normal 7 3 3 2 4 4 2 2" xfId="47940"/>
    <cellStyle name="Normal 7 3 3 2 4 4 3" xfId="33862"/>
    <cellStyle name="Normal 7 3 3 2 4 5" xfId="17380"/>
    <cellStyle name="Normal 7 3 3 2 4 5 2" xfId="42933"/>
    <cellStyle name="Normal 7 3 3 2 4 6" xfId="28870"/>
    <cellStyle name="Normal 7 3 3 2 5" xfId="4360"/>
    <cellStyle name="Normal 7 3 3 2 5 2" xfId="13198"/>
    <cellStyle name="Normal 7 3 3 2 5 2 2" xfId="23449"/>
    <cellStyle name="Normal 7 3 3 2 5 2 2 2" xfId="49002"/>
    <cellStyle name="Normal 7 3 3 2 5 2 3" xfId="38753"/>
    <cellStyle name="Normal 7 3 3 2 5 3" xfId="9619"/>
    <cellStyle name="Normal 7 3 3 2 5 3 2" xfId="35176"/>
    <cellStyle name="Normal 7 3 3 2 5 4" xfId="18442"/>
    <cellStyle name="Normal 7 3 3 2 5 4 2" xfId="43995"/>
    <cellStyle name="Normal 7 3 3 2 5 5" xfId="29932"/>
    <cellStyle name="Normal 7 3 3 2 6" xfId="1632"/>
    <cellStyle name="Normal 7 3 3 2 6 2" xfId="11009"/>
    <cellStyle name="Normal 7 3 3 2 6 2 2" xfId="36564"/>
    <cellStyle name="Normal 7 3 3 2 6 3" xfId="21013"/>
    <cellStyle name="Normal 7 3 3 2 6 3 2" xfId="46566"/>
    <cellStyle name="Normal 7 3 3 2 6 4" xfId="27496"/>
    <cellStyle name="Normal 7 3 3 2 7" xfId="5816"/>
    <cellStyle name="Normal 7 3 3 2 7 2" xfId="14643"/>
    <cellStyle name="Normal 7 3 3 2 7 2 2" xfId="40198"/>
    <cellStyle name="Normal 7 3 3 2 7 3" xfId="24894"/>
    <cellStyle name="Normal 7 3 3 2 7 3 2" xfId="50447"/>
    <cellStyle name="Normal 7 3 3 2 7 4" xfId="31377"/>
    <cellStyle name="Normal 7 3 3 2 8" xfId="7260"/>
    <cellStyle name="Normal 7 3 3 2 8 2" xfId="19986"/>
    <cellStyle name="Normal 7 3 3 2 8 2 2" xfId="45539"/>
    <cellStyle name="Normal 7 3 3 2 8 3" xfId="32817"/>
    <cellStyle name="Normal 7 3 3 2 9" xfId="16006"/>
    <cellStyle name="Normal 7 3 3 2 9 2" xfId="41559"/>
    <cellStyle name="Normal 7 3 3 2_Degree data" xfId="4064"/>
    <cellStyle name="Normal 7 3 3 3" xfId="440"/>
    <cellStyle name="Normal 7 3 3 3 2" xfId="2926"/>
    <cellStyle name="Normal 7 3 3 3 2 2" xfId="12214"/>
    <cellStyle name="Normal 7 3 3 3 2 2 2" xfId="22287"/>
    <cellStyle name="Normal 7 3 3 3 2 2 2 2" xfId="47840"/>
    <cellStyle name="Normal 7 3 3 3 2 2 3" xfId="37769"/>
    <cellStyle name="Normal 7 3 3 3 2 3" xfId="8509"/>
    <cellStyle name="Normal 7 3 3 3 2 3 2" xfId="34066"/>
    <cellStyle name="Normal 7 3 3 3 2 4" xfId="17280"/>
    <cellStyle name="Normal 7 3 3 3 2 4 2" xfId="42833"/>
    <cellStyle name="Normal 7 3 3 3 2 5" xfId="28770"/>
    <cellStyle name="Normal 7 3 3 3 3" xfId="4763"/>
    <cellStyle name="Normal 7 3 3 3 3 2" xfId="13600"/>
    <cellStyle name="Normal 7 3 3 3 3 2 2" xfId="23851"/>
    <cellStyle name="Normal 7 3 3 3 3 2 2 2" xfId="49404"/>
    <cellStyle name="Normal 7 3 3 3 3 2 3" xfId="39155"/>
    <cellStyle name="Normal 7 3 3 3 3 3" xfId="10021"/>
    <cellStyle name="Normal 7 3 3 3 3 3 2" xfId="35578"/>
    <cellStyle name="Normal 7 3 3 3 3 4" xfId="18844"/>
    <cellStyle name="Normal 7 3 3 3 3 4 2" xfId="44397"/>
    <cellStyle name="Normal 7 3 3 3 3 5" xfId="30334"/>
    <cellStyle name="Normal 7 3 3 3 4" xfId="2035"/>
    <cellStyle name="Normal 7 3 3 3 4 2" xfId="11400"/>
    <cellStyle name="Normal 7 3 3 3 4 2 2" xfId="36955"/>
    <cellStyle name="Normal 7 3 3 3 4 3" xfId="21404"/>
    <cellStyle name="Normal 7 3 3 3 4 3 2" xfId="46957"/>
    <cellStyle name="Normal 7 3 3 3 4 4" xfId="27887"/>
    <cellStyle name="Normal 7 3 3 3 5" xfId="6218"/>
    <cellStyle name="Normal 7 3 3 3 5 2" xfId="15045"/>
    <cellStyle name="Normal 7 3 3 3 5 2 2" xfId="40600"/>
    <cellStyle name="Normal 7 3 3 3 5 3" xfId="25296"/>
    <cellStyle name="Normal 7 3 3 3 5 3 2" xfId="50849"/>
    <cellStyle name="Normal 7 3 3 3 5 4" xfId="31779"/>
    <cellStyle name="Normal 7 3 3 3 6" xfId="7664"/>
    <cellStyle name="Normal 7 3 3 3 6 2" xfId="19886"/>
    <cellStyle name="Normal 7 3 3 3 6 2 2" xfId="45439"/>
    <cellStyle name="Normal 7 3 3 3 6 3" xfId="33221"/>
    <cellStyle name="Normal 7 3 3 3 7" xfId="16397"/>
    <cellStyle name="Normal 7 3 3 3 7 2" xfId="41950"/>
    <cellStyle name="Normal 7 3 3 3 8" xfId="26369"/>
    <cellStyle name="Normal 7 3 3 4" xfId="957"/>
    <cellStyle name="Normal 7 3 3 4 2" xfId="3433"/>
    <cellStyle name="Normal 7 3 3 4 2 2" xfId="12575"/>
    <cellStyle name="Normal 7 3 3 4 2 2 2" xfId="22794"/>
    <cellStyle name="Normal 7 3 3 4 2 2 2 2" xfId="48347"/>
    <cellStyle name="Normal 7 3 3 4 2 2 3" xfId="38130"/>
    <cellStyle name="Normal 7 3 3 4 2 3" xfId="8997"/>
    <cellStyle name="Normal 7 3 3 4 2 3 2" xfId="34554"/>
    <cellStyle name="Normal 7 3 3 4 2 4" xfId="17787"/>
    <cellStyle name="Normal 7 3 3 4 2 4 2" xfId="43340"/>
    <cellStyle name="Normal 7 3 3 4 2 5" xfId="29277"/>
    <cellStyle name="Normal 7 3 3 4 3" xfId="5111"/>
    <cellStyle name="Normal 7 3 3 4 3 2" xfId="13948"/>
    <cellStyle name="Normal 7 3 3 4 3 2 2" xfId="24199"/>
    <cellStyle name="Normal 7 3 3 4 3 2 2 2" xfId="49752"/>
    <cellStyle name="Normal 7 3 3 4 3 2 3" xfId="39503"/>
    <cellStyle name="Normal 7 3 3 4 3 3" xfId="10369"/>
    <cellStyle name="Normal 7 3 3 4 3 3 2" xfId="35926"/>
    <cellStyle name="Normal 7 3 3 4 3 4" xfId="19192"/>
    <cellStyle name="Normal 7 3 3 4 3 4 2" xfId="44745"/>
    <cellStyle name="Normal 7 3 3 4 3 5" xfId="30682"/>
    <cellStyle name="Normal 7 3 3 4 4" xfId="2542"/>
    <cellStyle name="Normal 7 3 3 4 4 2" xfId="11907"/>
    <cellStyle name="Normal 7 3 3 4 4 2 2" xfId="37462"/>
    <cellStyle name="Normal 7 3 3 4 4 3" xfId="21911"/>
    <cellStyle name="Normal 7 3 3 4 4 3 2" xfId="47464"/>
    <cellStyle name="Normal 7 3 3 4 4 4" xfId="28394"/>
    <cellStyle name="Normal 7 3 3 4 5" xfId="6566"/>
    <cellStyle name="Normal 7 3 3 4 5 2" xfId="15393"/>
    <cellStyle name="Normal 7 3 3 4 5 2 2" xfId="40948"/>
    <cellStyle name="Normal 7 3 3 4 5 3" xfId="25644"/>
    <cellStyle name="Normal 7 3 3 4 5 3 2" xfId="51197"/>
    <cellStyle name="Normal 7 3 3 4 5 4" xfId="32127"/>
    <cellStyle name="Normal 7 3 3 4 6" xfId="8012"/>
    <cellStyle name="Normal 7 3 3 4 6 2" xfId="20393"/>
    <cellStyle name="Normal 7 3 3 4 6 2 2" xfId="45946"/>
    <cellStyle name="Normal 7 3 3 4 6 3" xfId="33569"/>
    <cellStyle name="Normal 7 3 3 4 7" xfId="16904"/>
    <cellStyle name="Normal 7 3 3 4 7 2" xfId="42457"/>
    <cellStyle name="Normal 7 3 3 4 8" xfId="26876"/>
    <cellStyle name="Normal 7 3 3 5" xfId="1212"/>
    <cellStyle name="Normal 7 3 3 5 2" xfId="3641"/>
    <cellStyle name="Normal 7 3 3 5 2 2" xfId="12777"/>
    <cellStyle name="Normal 7 3 3 5 2 2 2" xfId="22996"/>
    <cellStyle name="Normal 7 3 3 5 2 2 2 2" xfId="48549"/>
    <cellStyle name="Normal 7 3 3 5 2 2 3" xfId="38332"/>
    <cellStyle name="Normal 7 3 3 5 2 3" xfId="9198"/>
    <cellStyle name="Normal 7 3 3 5 2 3 2" xfId="34755"/>
    <cellStyle name="Normal 7 3 3 5 2 4" xfId="17989"/>
    <cellStyle name="Normal 7 3 3 5 2 4 2" xfId="43542"/>
    <cellStyle name="Normal 7 3 3 5 2 5" xfId="29479"/>
    <cellStyle name="Normal 7 3 3 5 3" xfId="5304"/>
    <cellStyle name="Normal 7 3 3 5 3 2" xfId="14141"/>
    <cellStyle name="Normal 7 3 3 5 3 2 2" xfId="24392"/>
    <cellStyle name="Normal 7 3 3 5 3 2 2 2" xfId="49945"/>
    <cellStyle name="Normal 7 3 3 5 3 2 3" xfId="39696"/>
    <cellStyle name="Normal 7 3 3 5 3 3" xfId="10562"/>
    <cellStyle name="Normal 7 3 3 5 3 3 2" xfId="36119"/>
    <cellStyle name="Normal 7 3 3 5 3 4" xfId="19385"/>
    <cellStyle name="Normal 7 3 3 5 3 4 2" xfId="44938"/>
    <cellStyle name="Normal 7 3 3 5 3 5" xfId="30875"/>
    <cellStyle name="Normal 7 3 3 5 4" xfId="1815"/>
    <cellStyle name="Normal 7 3 3 5 4 2" xfId="11183"/>
    <cellStyle name="Normal 7 3 3 5 4 2 2" xfId="36738"/>
    <cellStyle name="Normal 7 3 3 5 4 3" xfId="21187"/>
    <cellStyle name="Normal 7 3 3 5 4 3 2" xfId="46740"/>
    <cellStyle name="Normal 7 3 3 5 4 4" xfId="27670"/>
    <cellStyle name="Normal 7 3 3 5 5" xfId="6759"/>
    <cellStyle name="Normal 7 3 3 5 5 2" xfId="15586"/>
    <cellStyle name="Normal 7 3 3 5 5 2 2" xfId="41141"/>
    <cellStyle name="Normal 7 3 3 5 5 3" xfId="25837"/>
    <cellStyle name="Normal 7 3 3 5 5 3 2" xfId="51390"/>
    <cellStyle name="Normal 7 3 3 5 5 4" xfId="32320"/>
    <cellStyle name="Normal 7 3 3 5 6" xfId="8205"/>
    <cellStyle name="Normal 7 3 3 5 6 2" xfId="20595"/>
    <cellStyle name="Normal 7 3 3 5 6 2 2" xfId="46148"/>
    <cellStyle name="Normal 7 3 3 5 6 3" xfId="33762"/>
    <cellStyle name="Normal 7 3 3 5 7" xfId="16180"/>
    <cellStyle name="Normal 7 3 3 5 7 2" xfId="41733"/>
    <cellStyle name="Normal 7 3 3 5 8" xfId="27078"/>
    <cellStyle name="Normal 7 3 3 6" xfId="2709"/>
    <cellStyle name="Normal 7 3 3 6 2" xfId="12026"/>
    <cellStyle name="Normal 7 3 3 6 2 2" xfId="22070"/>
    <cellStyle name="Normal 7 3 3 6 2 2 2" xfId="47623"/>
    <cellStyle name="Normal 7 3 3 6 2 3" xfId="37581"/>
    <cellStyle name="Normal 7 3 3 6 3" xfId="8577"/>
    <cellStyle name="Normal 7 3 3 6 3 2" xfId="34134"/>
    <cellStyle name="Normal 7 3 3 6 4" xfId="17063"/>
    <cellStyle name="Normal 7 3 3 6 4 2" xfId="42616"/>
    <cellStyle name="Normal 7 3 3 6 5" xfId="28553"/>
    <cellStyle name="Normal 7 3 3 7" xfId="4260"/>
    <cellStyle name="Normal 7 3 3 7 2" xfId="13098"/>
    <cellStyle name="Normal 7 3 3 7 2 2" xfId="23349"/>
    <cellStyle name="Normal 7 3 3 7 2 2 2" xfId="48902"/>
    <cellStyle name="Normal 7 3 3 7 2 3" xfId="38653"/>
    <cellStyle name="Normal 7 3 3 7 3" xfId="9519"/>
    <cellStyle name="Normal 7 3 3 7 3 2" xfId="35076"/>
    <cellStyle name="Normal 7 3 3 7 4" xfId="18342"/>
    <cellStyle name="Normal 7 3 3 7 4 2" xfId="43895"/>
    <cellStyle name="Normal 7 3 3 7 5" xfId="29832"/>
    <cellStyle name="Normal 7 3 3 8" xfId="1532"/>
    <cellStyle name="Normal 7 3 3 8 2" xfId="10909"/>
    <cellStyle name="Normal 7 3 3 8 2 2" xfId="36464"/>
    <cellStyle name="Normal 7 3 3 8 3" xfId="20913"/>
    <cellStyle name="Normal 7 3 3 8 3 2" xfId="46466"/>
    <cellStyle name="Normal 7 3 3 8 4" xfId="27396"/>
    <cellStyle name="Normal 7 3 3 9" xfId="5716"/>
    <cellStyle name="Normal 7 3 3 9 2" xfId="14543"/>
    <cellStyle name="Normal 7 3 3 9 2 2" xfId="40098"/>
    <cellStyle name="Normal 7 3 3 9 3" xfId="24794"/>
    <cellStyle name="Normal 7 3 3 9 3 2" xfId="50347"/>
    <cellStyle name="Normal 7 3 3 9 4" xfId="31277"/>
    <cellStyle name="Normal 7 3 3_Degree data" xfId="4063"/>
    <cellStyle name="Normal 7 3 4" xfId="250"/>
    <cellStyle name="Normal 7 3 4 10" xfId="7088"/>
    <cellStyle name="Normal 7 3 4 10 2" xfId="19702"/>
    <cellStyle name="Normal 7 3 4 10 2 2" xfId="45255"/>
    <cellStyle name="Normal 7 3 4 10 3" xfId="32645"/>
    <cellStyle name="Normal 7 3 4 11" xfId="15834"/>
    <cellStyle name="Normal 7 3 4 11 2" xfId="41387"/>
    <cellStyle name="Normal 7 3 4 12" xfId="26185"/>
    <cellStyle name="Normal 7 3 4 2" xfId="573"/>
    <cellStyle name="Normal 7 3 4 2 10" xfId="26502"/>
    <cellStyle name="Normal 7 3 4 2 2" xfId="960"/>
    <cellStyle name="Normal 7 3 4 2 2 2" xfId="3436"/>
    <cellStyle name="Normal 7 3 4 2 2 2 2" xfId="12578"/>
    <cellStyle name="Normal 7 3 4 2 2 2 2 2" xfId="22797"/>
    <cellStyle name="Normal 7 3 4 2 2 2 2 2 2" xfId="48350"/>
    <cellStyle name="Normal 7 3 4 2 2 2 2 3" xfId="38133"/>
    <cellStyle name="Normal 7 3 4 2 2 2 3" xfId="9000"/>
    <cellStyle name="Normal 7 3 4 2 2 2 3 2" xfId="34557"/>
    <cellStyle name="Normal 7 3 4 2 2 2 4" xfId="17790"/>
    <cellStyle name="Normal 7 3 4 2 2 2 4 2" xfId="43343"/>
    <cellStyle name="Normal 7 3 4 2 2 2 5" xfId="29280"/>
    <cellStyle name="Normal 7 3 4 2 2 3" xfId="4766"/>
    <cellStyle name="Normal 7 3 4 2 2 3 2" xfId="13603"/>
    <cellStyle name="Normal 7 3 4 2 2 3 2 2" xfId="23854"/>
    <cellStyle name="Normal 7 3 4 2 2 3 2 2 2" xfId="49407"/>
    <cellStyle name="Normal 7 3 4 2 2 3 2 3" xfId="39158"/>
    <cellStyle name="Normal 7 3 4 2 2 3 3" xfId="10024"/>
    <cellStyle name="Normal 7 3 4 2 2 3 3 2" xfId="35581"/>
    <cellStyle name="Normal 7 3 4 2 2 3 4" xfId="18847"/>
    <cellStyle name="Normal 7 3 4 2 2 3 4 2" xfId="44400"/>
    <cellStyle name="Normal 7 3 4 2 2 3 5" xfId="30337"/>
    <cellStyle name="Normal 7 3 4 2 2 4" xfId="2545"/>
    <cellStyle name="Normal 7 3 4 2 2 4 2" xfId="11910"/>
    <cellStyle name="Normal 7 3 4 2 2 4 2 2" xfId="37465"/>
    <cellStyle name="Normal 7 3 4 2 2 4 3" xfId="21914"/>
    <cellStyle name="Normal 7 3 4 2 2 4 3 2" xfId="47467"/>
    <cellStyle name="Normal 7 3 4 2 2 4 4" xfId="28397"/>
    <cellStyle name="Normal 7 3 4 2 2 5" xfId="6221"/>
    <cellStyle name="Normal 7 3 4 2 2 5 2" xfId="15048"/>
    <cellStyle name="Normal 7 3 4 2 2 5 2 2" xfId="40603"/>
    <cellStyle name="Normal 7 3 4 2 2 5 3" xfId="25299"/>
    <cellStyle name="Normal 7 3 4 2 2 5 3 2" xfId="50852"/>
    <cellStyle name="Normal 7 3 4 2 2 5 4" xfId="31782"/>
    <cellStyle name="Normal 7 3 4 2 2 6" xfId="7667"/>
    <cellStyle name="Normal 7 3 4 2 2 6 2" xfId="20396"/>
    <cellStyle name="Normal 7 3 4 2 2 6 2 2" xfId="45949"/>
    <cellStyle name="Normal 7 3 4 2 2 6 3" xfId="33224"/>
    <cellStyle name="Normal 7 3 4 2 2 7" xfId="16907"/>
    <cellStyle name="Normal 7 3 4 2 2 7 2" xfId="42460"/>
    <cellStyle name="Normal 7 3 4 2 2 8" xfId="26879"/>
    <cellStyle name="Normal 7 3 4 2 3" xfId="1345"/>
    <cellStyle name="Normal 7 3 4 2 3 2" xfId="3774"/>
    <cellStyle name="Normal 7 3 4 2 3 2 2" xfId="12910"/>
    <cellStyle name="Normal 7 3 4 2 3 2 2 2" xfId="23129"/>
    <cellStyle name="Normal 7 3 4 2 3 2 2 2 2" xfId="48682"/>
    <cellStyle name="Normal 7 3 4 2 3 2 2 3" xfId="38465"/>
    <cellStyle name="Normal 7 3 4 2 3 2 3" xfId="9331"/>
    <cellStyle name="Normal 7 3 4 2 3 2 3 2" xfId="34888"/>
    <cellStyle name="Normal 7 3 4 2 3 2 4" xfId="18122"/>
    <cellStyle name="Normal 7 3 4 2 3 2 4 2" xfId="43675"/>
    <cellStyle name="Normal 7 3 4 2 3 2 5" xfId="29612"/>
    <cellStyle name="Normal 7 3 4 2 3 3" xfId="5114"/>
    <cellStyle name="Normal 7 3 4 2 3 3 2" xfId="13951"/>
    <cellStyle name="Normal 7 3 4 2 3 3 2 2" xfId="24202"/>
    <cellStyle name="Normal 7 3 4 2 3 3 2 2 2" xfId="49755"/>
    <cellStyle name="Normal 7 3 4 2 3 3 2 3" xfId="39506"/>
    <cellStyle name="Normal 7 3 4 2 3 3 3" xfId="10372"/>
    <cellStyle name="Normal 7 3 4 2 3 3 3 2" xfId="35929"/>
    <cellStyle name="Normal 7 3 4 2 3 3 4" xfId="19195"/>
    <cellStyle name="Normal 7 3 4 2 3 3 4 2" xfId="44748"/>
    <cellStyle name="Normal 7 3 4 2 3 3 5" xfId="30685"/>
    <cellStyle name="Normal 7 3 4 2 3 4" xfId="2168"/>
    <cellStyle name="Normal 7 3 4 2 3 4 2" xfId="11533"/>
    <cellStyle name="Normal 7 3 4 2 3 4 2 2" xfId="37088"/>
    <cellStyle name="Normal 7 3 4 2 3 4 3" xfId="21537"/>
    <cellStyle name="Normal 7 3 4 2 3 4 3 2" xfId="47090"/>
    <cellStyle name="Normal 7 3 4 2 3 4 4" xfId="28020"/>
    <cellStyle name="Normal 7 3 4 2 3 5" xfId="6569"/>
    <cellStyle name="Normal 7 3 4 2 3 5 2" xfId="15396"/>
    <cellStyle name="Normal 7 3 4 2 3 5 2 2" xfId="40951"/>
    <cellStyle name="Normal 7 3 4 2 3 5 3" xfId="25647"/>
    <cellStyle name="Normal 7 3 4 2 3 5 3 2" xfId="51200"/>
    <cellStyle name="Normal 7 3 4 2 3 5 4" xfId="32130"/>
    <cellStyle name="Normal 7 3 4 2 3 6" xfId="8015"/>
    <cellStyle name="Normal 7 3 4 2 3 6 2" xfId="20728"/>
    <cellStyle name="Normal 7 3 4 2 3 6 2 2" xfId="46281"/>
    <cellStyle name="Normal 7 3 4 2 3 6 3" xfId="33572"/>
    <cellStyle name="Normal 7 3 4 2 3 7" xfId="16530"/>
    <cellStyle name="Normal 7 3 4 2 3 7 2" xfId="42083"/>
    <cellStyle name="Normal 7 3 4 2 3 8" xfId="27211"/>
    <cellStyle name="Normal 7 3 4 2 4" xfId="3059"/>
    <cellStyle name="Normal 7 3 4 2 4 2" xfId="5437"/>
    <cellStyle name="Normal 7 3 4 2 4 2 2" xfId="14274"/>
    <cellStyle name="Normal 7 3 4 2 4 2 2 2" xfId="24525"/>
    <cellStyle name="Normal 7 3 4 2 4 2 2 2 2" xfId="50078"/>
    <cellStyle name="Normal 7 3 4 2 4 2 2 3" xfId="39829"/>
    <cellStyle name="Normal 7 3 4 2 4 2 3" xfId="10695"/>
    <cellStyle name="Normal 7 3 4 2 4 2 3 2" xfId="36252"/>
    <cellStyle name="Normal 7 3 4 2 4 2 4" xfId="19518"/>
    <cellStyle name="Normal 7 3 4 2 4 2 4 2" xfId="45071"/>
    <cellStyle name="Normal 7 3 4 2 4 2 5" xfId="31008"/>
    <cellStyle name="Normal 7 3 4 2 4 3" xfId="6892"/>
    <cellStyle name="Normal 7 3 4 2 4 3 2" xfId="15719"/>
    <cellStyle name="Normal 7 3 4 2 4 3 2 2" xfId="41274"/>
    <cellStyle name="Normal 7 3 4 2 4 3 3" xfId="25970"/>
    <cellStyle name="Normal 7 3 4 2 4 3 3 2" xfId="51523"/>
    <cellStyle name="Normal 7 3 4 2 4 3 4" xfId="32453"/>
    <cellStyle name="Normal 7 3 4 2 4 4" xfId="8338"/>
    <cellStyle name="Normal 7 3 4 2 4 4 2" xfId="22420"/>
    <cellStyle name="Normal 7 3 4 2 4 4 2 2" xfId="47973"/>
    <cellStyle name="Normal 7 3 4 2 4 4 3" xfId="33895"/>
    <cellStyle name="Normal 7 3 4 2 4 5" xfId="17413"/>
    <cellStyle name="Normal 7 3 4 2 4 5 2" xfId="42966"/>
    <cellStyle name="Normal 7 3 4 2 4 6" xfId="28903"/>
    <cellStyle name="Normal 7 3 4 2 5" xfId="4393"/>
    <cellStyle name="Normal 7 3 4 2 5 2" xfId="13231"/>
    <cellStyle name="Normal 7 3 4 2 5 2 2" xfId="23482"/>
    <cellStyle name="Normal 7 3 4 2 5 2 2 2" xfId="49035"/>
    <cellStyle name="Normal 7 3 4 2 5 2 3" xfId="38786"/>
    <cellStyle name="Normal 7 3 4 2 5 3" xfId="9652"/>
    <cellStyle name="Normal 7 3 4 2 5 3 2" xfId="35209"/>
    <cellStyle name="Normal 7 3 4 2 5 4" xfId="18475"/>
    <cellStyle name="Normal 7 3 4 2 5 4 2" xfId="44028"/>
    <cellStyle name="Normal 7 3 4 2 5 5" xfId="29965"/>
    <cellStyle name="Normal 7 3 4 2 6" xfId="1665"/>
    <cellStyle name="Normal 7 3 4 2 6 2" xfId="11042"/>
    <cellStyle name="Normal 7 3 4 2 6 2 2" xfId="36597"/>
    <cellStyle name="Normal 7 3 4 2 6 3" xfId="21046"/>
    <cellStyle name="Normal 7 3 4 2 6 3 2" xfId="46599"/>
    <cellStyle name="Normal 7 3 4 2 6 4" xfId="27529"/>
    <cellStyle name="Normal 7 3 4 2 7" xfId="5849"/>
    <cellStyle name="Normal 7 3 4 2 7 2" xfId="14676"/>
    <cellStyle name="Normal 7 3 4 2 7 2 2" xfId="40231"/>
    <cellStyle name="Normal 7 3 4 2 7 3" xfId="24927"/>
    <cellStyle name="Normal 7 3 4 2 7 3 2" xfId="50480"/>
    <cellStyle name="Normal 7 3 4 2 7 4" xfId="31410"/>
    <cellStyle name="Normal 7 3 4 2 8" xfId="7293"/>
    <cellStyle name="Normal 7 3 4 2 8 2" xfId="20019"/>
    <cellStyle name="Normal 7 3 4 2 8 2 2" xfId="45572"/>
    <cellStyle name="Normal 7 3 4 2 8 3" xfId="32850"/>
    <cellStyle name="Normal 7 3 4 2 9" xfId="16039"/>
    <cellStyle name="Normal 7 3 4 2 9 2" xfId="41592"/>
    <cellStyle name="Normal 7 3 4 2_Degree data" xfId="4066"/>
    <cellStyle name="Normal 7 3 4 3" xfId="368"/>
    <cellStyle name="Normal 7 3 4 3 2" xfId="2854"/>
    <cellStyle name="Normal 7 3 4 3 2 2" xfId="12142"/>
    <cellStyle name="Normal 7 3 4 3 2 2 2" xfId="22215"/>
    <cellStyle name="Normal 7 3 4 3 2 2 2 2" xfId="47768"/>
    <cellStyle name="Normal 7 3 4 3 2 2 3" xfId="37697"/>
    <cellStyle name="Normal 7 3 4 3 2 3" xfId="8391"/>
    <cellStyle name="Normal 7 3 4 3 2 3 2" xfId="33948"/>
    <cellStyle name="Normal 7 3 4 3 2 4" xfId="17208"/>
    <cellStyle name="Normal 7 3 4 3 2 4 2" xfId="42761"/>
    <cellStyle name="Normal 7 3 4 3 2 5" xfId="28698"/>
    <cellStyle name="Normal 7 3 4 3 3" xfId="4765"/>
    <cellStyle name="Normal 7 3 4 3 3 2" xfId="13602"/>
    <cellStyle name="Normal 7 3 4 3 3 2 2" xfId="23853"/>
    <cellStyle name="Normal 7 3 4 3 3 2 2 2" xfId="49406"/>
    <cellStyle name="Normal 7 3 4 3 3 2 3" xfId="39157"/>
    <cellStyle name="Normal 7 3 4 3 3 3" xfId="10023"/>
    <cellStyle name="Normal 7 3 4 3 3 3 2" xfId="35580"/>
    <cellStyle name="Normal 7 3 4 3 3 4" xfId="18846"/>
    <cellStyle name="Normal 7 3 4 3 3 4 2" xfId="44399"/>
    <cellStyle name="Normal 7 3 4 3 3 5" xfId="30336"/>
    <cellStyle name="Normal 7 3 4 3 4" xfId="1963"/>
    <cellStyle name="Normal 7 3 4 3 4 2" xfId="11328"/>
    <cellStyle name="Normal 7 3 4 3 4 2 2" xfId="36883"/>
    <cellStyle name="Normal 7 3 4 3 4 3" xfId="21332"/>
    <cellStyle name="Normal 7 3 4 3 4 3 2" xfId="46885"/>
    <cellStyle name="Normal 7 3 4 3 4 4" xfId="27815"/>
    <cellStyle name="Normal 7 3 4 3 5" xfId="6220"/>
    <cellStyle name="Normal 7 3 4 3 5 2" xfId="15047"/>
    <cellStyle name="Normal 7 3 4 3 5 2 2" xfId="40602"/>
    <cellStyle name="Normal 7 3 4 3 5 3" xfId="25298"/>
    <cellStyle name="Normal 7 3 4 3 5 3 2" xfId="50851"/>
    <cellStyle name="Normal 7 3 4 3 5 4" xfId="31781"/>
    <cellStyle name="Normal 7 3 4 3 6" xfId="7666"/>
    <cellStyle name="Normal 7 3 4 3 6 2" xfId="19814"/>
    <cellStyle name="Normal 7 3 4 3 6 2 2" xfId="45367"/>
    <cellStyle name="Normal 7 3 4 3 6 3" xfId="33223"/>
    <cellStyle name="Normal 7 3 4 3 7" xfId="16325"/>
    <cellStyle name="Normal 7 3 4 3 7 2" xfId="41878"/>
    <cellStyle name="Normal 7 3 4 3 8" xfId="26297"/>
    <cellStyle name="Normal 7 3 4 4" xfId="959"/>
    <cellStyle name="Normal 7 3 4 4 2" xfId="3435"/>
    <cellStyle name="Normal 7 3 4 4 2 2" xfId="12577"/>
    <cellStyle name="Normal 7 3 4 4 2 2 2" xfId="22796"/>
    <cellStyle name="Normal 7 3 4 4 2 2 2 2" xfId="48349"/>
    <cellStyle name="Normal 7 3 4 4 2 2 3" xfId="38132"/>
    <cellStyle name="Normal 7 3 4 4 2 3" xfId="8999"/>
    <cellStyle name="Normal 7 3 4 4 2 3 2" xfId="34556"/>
    <cellStyle name="Normal 7 3 4 4 2 4" xfId="17789"/>
    <cellStyle name="Normal 7 3 4 4 2 4 2" xfId="43342"/>
    <cellStyle name="Normal 7 3 4 4 2 5" xfId="29279"/>
    <cellStyle name="Normal 7 3 4 4 3" xfId="5113"/>
    <cellStyle name="Normal 7 3 4 4 3 2" xfId="13950"/>
    <cellStyle name="Normal 7 3 4 4 3 2 2" xfId="24201"/>
    <cellStyle name="Normal 7 3 4 4 3 2 2 2" xfId="49754"/>
    <cellStyle name="Normal 7 3 4 4 3 2 3" xfId="39505"/>
    <cellStyle name="Normal 7 3 4 4 3 3" xfId="10371"/>
    <cellStyle name="Normal 7 3 4 4 3 3 2" xfId="35928"/>
    <cellStyle name="Normal 7 3 4 4 3 4" xfId="19194"/>
    <cellStyle name="Normal 7 3 4 4 3 4 2" xfId="44747"/>
    <cellStyle name="Normal 7 3 4 4 3 5" xfId="30684"/>
    <cellStyle name="Normal 7 3 4 4 4" xfId="2544"/>
    <cellStyle name="Normal 7 3 4 4 4 2" xfId="11909"/>
    <cellStyle name="Normal 7 3 4 4 4 2 2" xfId="37464"/>
    <cellStyle name="Normal 7 3 4 4 4 3" xfId="21913"/>
    <cellStyle name="Normal 7 3 4 4 4 3 2" xfId="47466"/>
    <cellStyle name="Normal 7 3 4 4 4 4" xfId="28396"/>
    <cellStyle name="Normal 7 3 4 4 5" xfId="6568"/>
    <cellStyle name="Normal 7 3 4 4 5 2" xfId="15395"/>
    <cellStyle name="Normal 7 3 4 4 5 2 2" xfId="40950"/>
    <cellStyle name="Normal 7 3 4 4 5 3" xfId="25646"/>
    <cellStyle name="Normal 7 3 4 4 5 3 2" xfId="51199"/>
    <cellStyle name="Normal 7 3 4 4 5 4" xfId="32129"/>
    <cellStyle name="Normal 7 3 4 4 6" xfId="8014"/>
    <cellStyle name="Normal 7 3 4 4 6 2" xfId="20395"/>
    <cellStyle name="Normal 7 3 4 4 6 2 2" xfId="45948"/>
    <cellStyle name="Normal 7 3 4 4 6 3" xfId="33571"/>
    <cellStyle name="Normal 7 3 4 4 7" xfId="16906"/>
    <cellStyle name="Normal 7 3 4 4 7 2" xfId="42459"/>
    <cellStyle name="Normal 7 3 4 4 8" xfId="26878"/>
    <cellStyle name="Normal 7 3 4 5" xfId="1140"/>
    <cellStyle name="Normal 7 3 4 5 2" xfId="3569"/>
    <cellStyle name="Normal 7 3 4 5 2 2" xfId="12705"/>
    <cellStyle name="Normal 7 3 4 5 2 2 2" xfId="22924"/>
    <cellStyle name="Normal 7 3 4 5 2 2 2 2" xfId="48477"/>
    <cellStyle name="Normal 7 3 4 5 2 2 3" xfId="38260"/>
    <cellStyle name="Normal 7 3 4 5 2 3" xfId="9126"/>
    <cellStyle name="Normal 7 3 4 5 2 3 2" xfId="34683"/>
    <cellStyle name="Normal 7 3 4 5 2 4" xfId="17917"/>
    <cellStyle name="Normal 7 3 4 5 2 4 2" xfId="43470"/>
    <cellStyle name="Normal 7 3 4 5 2 5" xfId="29407"/>
    <cellStyle name="Normal 7 3 4 5 3" xfId="5232"/>
    <cellStyle name="Normal 7 3 4 5 3 2" xfId="14069"/>
    <cellStyle name="Normal 7 3 4 5 3 2 2" xfId="24320"/>
    <cellStyle name="Normal 7 3 4 5 3 2 2 2" xfId="49873"/>
    <cellStyle name="Normal 7 3 4 5 3 2 3" xfId="39624"/>
    <cellStyle name="Normal 7 3 4 5 3 3" xfId="10490"/>
    <cellStyle name="Normal 7 3 4 5 3 3 2" xfId="36047"/>
    <cellStyle name="Normal 7 3 4 5 3 4" xfId="19313"/>
    <cellStyle name="Normal 7 3 4 5 3 4 2" xfId="44866"/>
    <cellStyle name="Normal 7 3 4 5 3 5" xfId="30803"/>
    <cellStyle name="Normal 7 3 4 5 4" xfId="1848"/>
    <cellStyle name="Normal 7 3 4 5 4 2" xfId="11216"/>
    <cellStyle name="Normal 7 3 4 5 4 2 2" xfId="36771"/>
    <cellStyle name="Normal 7 3 4 5 4 3" xfId="21220"/>
    <cellStyle name="Normal 7 3 4 5 4 3 2" xfId="46773"/>
    <cellStyle name="Normal 7 3 4 5 4 4" xfId="27703"/>
    <cellStyle name="Normal 7 3 4 5 5" xfId="6687"/>
    <cellStyle name="Normal 7 3 4 5 5 2" xfId="15514"/>
    <cellStyle name="Normal 7 3 4 5 5 2 2" xfId="41069"/>
    <cellStyle name="Normal 7 3 4 5 5 3" xfId="25765"/>
    <cellStyle name="Normal 7 3 4 5 5 3 2" xfId="51318"/>
    <cellStyle name="Normal 7 3 4 5 5 4" xfId="32248"/>
    <cellStyle name="Normal 7 3 4 5 6" xfId="8133"/>
    <cellStyle name="Normal 7 3 4 5 6 2" xfId="20523"/>
    <cellStyle name="Normal 7 3 4 5 6 2 2" xfId="46076"/>
    <cellStyle name="Normal 7 3 4 5 6 3" xfId="33690"/>
    <cellStyle name="Normal 7 3 4 5 7" xfId="16213"/>
    <cellStyle name="Normal 7 3 4 5 7 2" xfId="41766"/>
    <cellStyle name="Normal 7 3 4 5 8" xfId="27006"/>
    <cellStyle name="Normal 7 3 4 6" xfId="2742"/>
    <cellStyle name="Normal 7 3 4 6 2" xfId="12059"/>
    <cellStyle name="Normal 7 3 4 6 2 2" xfId="22103"/>
    <cellStyle name="Normal 7 3 4 6 2 2 2" xfId="47656"/>
    <cellStyle name="Normal 7 3 4 6 2 3" xfId="37614"/>
    <cellStyle name="Normal 7 3 4 6 3" xfId="8418"/>
    <cellStyle name="Normal 7 3 4 6 3 2" xfId="33975"/>
    <cellStyle name="Normal 7 3 4 6 4" xfId="17096"/>
    <cellStyle name="Normal 7 3 4 6 4 2" xfId="42649"/>
    <cellStyle name="Normal 7 3 4 6 5" xfId="28586"/>
    <cellStyle name="Normal 7 3 4 7" xfId="4188"/>
    <cellStyle name="Normal 7 3 4 7 2" xfId="13026"/>
    <cellStyle name="Normal 7 3 4 7 2 2" xfId="23277"/>
    <cellStyle name="Normal 7 3 4 7 2 2 2" xfId="48830"/>
    <cellStyle name="Normal 7 3 4 7 2 3" xfId="38581"/>
    <cellStyle name="Normal 7 3 4 7 3" xfId="9447"/>
    <cellStyle name="Normal 7 3 4 7 3 2" xfId="35004"/>
    <cellStyle name="Normal 7 3 4 7 4" xfId="18270"/>
    <cellStyle name="Normal 7 3 4 7 4 2" xfId="43823"/>
    <cellStyle name="Normal 7 3 4 7 5" xfId="29760"/>
    <cellStyle name="Normal 7 3 4 8" xfId="1460"/>
    <cellStyle name="Normal 7 3 4 8 2" xfId="10837"/>
    <cellStyle name="Normal 7 3 4 8 2 2" xfId="36392"/>
    <cellStyle name="Normal 7 3 4 8 3" xfId="20841"/>
    <cellStyle name="Normal 7 3 4 8 3 2" xfId="46394"/>
    <cellStyle name="Normal 7 3 4 8 4" xfId="27324"/>
    <cellStyle name="Normal 7 3 4 9" xfId="5644"/>
    <cellStyle name="Normal 7 3 4 9 2" xfId="14471"/>
    <cellStyle name="Normal 7 3 4 9 2 2" xfId="40026"/>
    <cellStyle name="Normal 7 3 4 9 3" xfId="24722"/>
    <cellStyle name="Normal 7 3 4 9 3 2" xfId="50275"/>
    <cellStyle name="Normal 7 3 4 9 4" xfId="31205"/>
    <cellStyle name="Normal 7 3 4_Degree data" xfId="4065"/>
    <cellStyle name="Normal 7 3 5" xfId="468"/>
    <cellStyle name="Normal 7 3 5 10" xfId="26397"/>
    <cellStyle name="Normal 7 3 5 2" xfId="961"/>
    <cellStyle name="Normal 7 3 5 2 2" xfId="3437"/>
    <cellStyle name="Normal 7 3 5 2 2 2" xfId="12579"/>
    <cellStyle name="Normal 7 3 5 2 2 2 2" xfId="22798"/>
    <cellStyle name="Normal 7 3 5 2 2 2 2 2" xfId="48351"/>
    <cellStyle name="Normal 7 3 5 2 2 2 3" xfId="38134"/>
    <cellStyle name="Normal 7 3 5 2 2 3" xfId="9001"/>
    <cellStyle name="Normal 7 3 5 2 2 3 2" xfId="34558"/>
    <cellStyle name="Normal 7 3 5 2 2 4" xfId="17791"/>
    <cellStyle name="Normal 7 3 5 2 2 4 2" xfId="43344"/>
    <cellStyle name="Normal 7 3 5 2 2 5" xfId="29281"/>
    <cellStyle name="Normal 7 3 5 2 3" xfId="4767"/>
    <cellStyle name="Normal 7 3 5 2 3 2" xfId="13604"/>
    <cellStyle name="Normal 7 3 5 2 3 2 2" xfId="23855"/>
    <cellStyle name="Normal 7 3 5 2 3 2 2 2" xfId="49408"/>
    <cellStyle name="Normal 7 3 5 2 3 2 3" xfId="39159"/>
    <cellStyle name="Normal 7 3 5 2 3 3" xfId="10025"/>
    <cellStyle name="Normal 7 3 5 2 3 3 2" xfId="35582"/>
    <cellStyle name="Normal 7 3 5 2 3 4" xfId="18848"/>
    <cellStyle name="Normal 7 3 5 2 3 4 2" xfId="44401"/>
    <cellStyle name="Normal 7 3 5 2 3 5" xfId="30338"/>
    <cellStyle name="Normal 7 3 5 2 4" xfId="2546"/>
    <cellStyle name="Normal 7 3 5 2 4 2" xfId="11911"/>
    <cellStyle name="Normal 7 3 5 2 4 2 2" xfId="37466"/>
    <cellStyle name="Normal 7 3 5 2 4 3" xfId="21915"/>
    <cellStyle name="Normal 7 3 5 2 4 3 2" xfId="47468"/>
    <cellStyle name="Normal 7 3 5 2 4 4" xfId="28398"/>
    <cellStyle name="Normal 7 3 5 2 5" xfId="6222"/>
    <cellStyle name="Normal 7 3 5 2 5 2" xfId="15049"/>
    <cellStyle name="Normal 7 3 5 2 5 2 2" xfId="40604"/>
    <cellStyle name="Normal 7 3 5 2 5 3" xfId="25300"/>
    <cellStyle name="Normal 7 3 5 2 5 3 2" xfId="50853"/>
    <cellStyle name="Normal 7 3 5 2 5 4" xfId="31783"/>
    <cellStyle name="Normal 7 3 5 2 6" xfId="7668"/>
    <cellStyle name="Normal 7 3 5 2 6 2" xfId="20397"/>
    <cellStyle name="Normal 7 3 5 2 6 2 2" xfId="45950"/>
    <cellStyle name="Normal 7 3 5 2 6 3" xfId="33225"/>
    <cellStyle name="Normal 7 3 5 2 7" xfId="16908"/>
    <cellStyle name="Normal 7 3 5 2 7 2" xfId="42461"/>
    <cellStyle name="Normal 7 3 5 2 8" xfId="26880"/>
    <cellStyle name="Normal 7 3 5 3" xfId="1240"/>
    <cellStyle name="Normal 7 3 5 3 2" xfId="3669"/>
    <cellStyle name="Normal 7 3 5 3 2 2" xfId="12805"/>
    <cellStyle name="Normal 7 3 5 3 2 2 2" xfId="23024"/>
    <cellStyle name="Normal 7 3 5 3 2 2 2 2" xfId="48577"/>
    <cellStyle name="Normal 7 3 5 3 2 2 3" xfId="38360"/>
    <cellStyle name="Normal 7 3 5 3 2 3" xfId="9226"/>
    <cellStyle name="Normal 7 3 5 3 2 3 2" xfId="34783"/>
    <cellStyle name="Normal 7 3 5 3 2 4" xfId="18017"/>
    <cellStyle name="Normal 7 3 5 3 2 4 2" xfId="43570"/>
    <cellStyle name="Normal 7 3 5 3 2 5" xfId="29507"/>
    <cellStyle name="Normal 7 3 5 3 3" xfId="5115"/>
    <cellStyle name="Normal 7 3 5 3 3 2" xfId="13952"/>
    <cellStyle name="Normal 7 3 5 3 3 2 2" xfId="24203"/>
    <cellStyle name="Normal 7 3 5 3 3 2 2 2" xfId="49756"/>
    <cellStyle name="Normal 7 3 5 3 3 2 3" xfId="39507"/>
    <cellStyle name="Normal 7 3 5 3 3 3" xfId="10373"/>
    <cellStyle name="Normal 7 3 5 3 3 3 2" xfId="35930"/>
    <cellStyle name="Normal 7 3 5 3 3 4" xfId="19196"/>
    <cellStyle name="Normal 7 3 5 3 3 4 2" xfId="44749"/>
    <cellStyle name="Normal 7 3 5 3 3 5" xfId="30686"/>
    <cellStyle name="Normal 7 3 5 3 4" xfId="2063"/>
    <cellStyle name="Normal 7 3 5 3 4 2" xfId="11428"/>
    <cellStyle name="Normal 7 3 5 3 4 2 2" xfId="36983"/>
    <cellStyle name="Normal 7 3 5 3 4 3" xfId="21432"/>
    <cellStyle name="Normal 7 3 5 3 4 3 2" xfId="46985"/>
    <cellStyle name="Normal 7 3 5 3 4 4" xfId="27915"/>
    <cellStyle name="Normal 7 3 5 3 5" xfId="6570"/>
    <cellStyle name="Normal 7 3 5 3 5 2" xfId="15397"/>
    <cellStyle name="Normal 7 3 5 3 5 2 2" xfId="40952"/>
    <cellStyle name="Normal 7 3 5 3 5 3" xfId="25648"/>
    <cellStyle name="Normal 7 3 5 3 5 3 2" xfId="51201"/>
    <cellStyle name="Normal 7 3 5 3 5 4" xfId="32131"/>
    <cellStyle name="Normal 7 3 5 3 6" xfId="8016"/>
    <cellStyle name="Normal 7 3 5 3 6 2" xfId="20623"/>
    <cellStyle name="Normal 7 3 5 3 6 2 2" xfId="46176"/>
    <cellStyle name="Normal 7 3 5 3 6 3" xfId="33573"/>
    <cellStyle name="Normal 7 3 5 3 7" xfId="16425"/>
    <cellStyle name="Normal 7 3 5 3 7 2" xfId="41978"/>
    <cellStyle name="Normal 7 3 5 3 8" xfId="27106"/>
    <cellStyle name="Normal 7 3 5 4" xfId="2954"/>
    <cellStyle name="Normal 7 3 5 4 2" xfId="5332"/>
    <cellStyle name="Normal 7 3 5 4 2 2" xfId="14169"/>
    <cellStyle name="Normal 7 3 5 4 2 2 2" xfId="24420"/>
    <cellStyle name="Normal 7 3 5 4 2 2 2 2" xfId="49973"/>
    <cellStyle name="Normal 7 3 5 4 2 2 3" xfId="39724"/>
    <cellStyle name="Normal 7 3 5 4 2 3" xfId="10590"/>
    <cellStyle name="Normal 7 3 5 4 2 3 2" xfId="36147"/>
    <cellStyle name="Normal 7 3 5 4 2 4" xfId="19413"/>
    <cellStyle name="Normal 7 3 5 4 2 4 2" xfId="44966"/>
    <cellStyle name="Normal 7 3 5 4 2 5" xfId="30903"/>
    <cellStyle name="Normal 7 3 5 4 3" xfId="6787"/>
    <cellStyle name="Normal 7 3 5 4 3 2" xfId="15614"/>
    <cellStyle name="Normal 7 3 5 4 3 2 2" xfId="41169"/>
    <cellStyle name="Normal 7 3 5 4 3 3" xfId="25865"/>
    <cellStyle name="Normal 7 3 5 4 3 3 2" xfId="51418"/>
    <cellStyle name="Normal 7 3 5 4 3 4" xfId="32348"/>
    <cellStyle name="Normal 7 3 5 4 4" xfId="8233"/>
    <cellStyle name="Normal 7 3 5 4 4 2" xfId="22315"/>
    <cellStyle name="Normal 7 3 5 4 4 2 2" xfId="47868"/>
    <cellStyle name="Normal 7 3 5 4 4 3" xfId="33790"/>
    <cellStyle name="Normal 7 3 5 4 5" xfId="17308"/>
    <cellStyle name="Normal 7 3 5 4 5 2" xfId="42861"/>
    <cellStyle name="Normal 7 3 5 4 6" xfId="28798"/>
    <cellStyle name="Normal 7 3 5 5" xfId="4288"/>
    <cellStyle name="Normal 7 3 5 5 2" xfId="13126"/>
    <cellStyle name="Normal 7 3 5 5 2 2" xfId="23377"/>
    <cellStyle name="Normal 7 3 5 5 2 2 2" xfId="48930"/>
    <cellStyle name="Normal 7 3 5 5 2 3" xfId="38681"/>
    <cellStyle name="Normal 7 3 5 5 3" xfId="9547"/>
    <cellStyle name="Normal 7 3 5 5 3 2" xfId="35104"/>
    <cellStyle name="Normal 7 3 5 5 4" xfId="18370"/>
    <cellStyle name="Normal 7 3 5 5 4 2" xfId="43923"/>
    <cellStyle name="Normal 7 3 5 5 5" xfId="29860"/>
    <cellStyle name="Normal 7 3 5 6" xfId="1560"/>
    <cellStyle name="Normal 7 3 5 6 2" xfId="10937"/>
    <cellStyle name="Normal 7 3 5 6 2 2" xfId="36492"/>
    <cellStyle name="Normal 7 3 5 6 3" xfId="20941"/>
    <cellStyle name="Normal 7 3 5 6 3 2" xfId="46494"/>
    <cellStyle name="Normal 7 3 5 6 4" xfId="27424"/>
    <cellStyle name="Normal 7 3 5 7" xfId="5744"/>
    <cellStyle name="Normal 7 3 5 7 2" xfId="14571"/>
    <cellStyle name="Normal 7 3 5 7 2 2" xfId="40126"/>
    <cellStyle name="Normal 7 3 5 7 3" xfId="24822"/>
    <cellStyle name="Normal 7 3 5 7 3 2" xfId="50375"/>
    <cellStyle name="Normal 7 3 5 7 4" xfId="31305"/>
    <cellStyle name="Normal 7 3 5 8" xfId="7188"/>
    <cellStyle name="Normal 7 3 5 8 2" xfId="19914"/>
    <cellStyle name="Normal 7 3 5 8 2 2" xfId="45467"/>
    <cellStyle name="Normal 7 3 5 8 3" xfId="32745"/>
    <cellStyle name="Normal 7 3 5 9" xfId="15934"/>
    <cellStyle name="Normal 7 3 5 9 2" xfId="41487"/>
    <cellStyle name="Normal 7 3 5_Degree data" xfId="4067"/>
    <cellStyle name="Normal 7 3 6" xfId="340"/>
    <cellStyle name="Normal 7 3 6 10" xfId="26269"/>
    <cellStyle name="Normal 7 3 6 2" xfId="962"/>
    <cellStyle name="Normal 7 3 6 2 2" xfId="3438"/>
    <cellStyle name="Normal 7 3 6 2 2 2" xfId="12580"/>
    <cellStyle name="Normal 7 3 6 2 2 2 2" xfId="22799"/>
    <cellStyle name="Normal 7 3 6 2 2 2 2 2" xfId="48352"/>
    <cellStyle name="Normal 7 3 6 2 2 2 3" xfId="38135"/>
    <cellStyle name="Normal 7 3 6 2 2 3" xfId="9002"/>
    <cellStyle name="Normal 7 3 6 2 2 3 2" xfId="34559"/>
    <cellStyle name="Normal 7 3 6 2 2 4" xfId="17792"/>
    <cellStyle name="Normal 7 3 6 2 2 4 2" xfId="43345"/>
    <cellStyle name="Normal 7 3 6 2 2 5" xfId="29282"/>
    <cellStyle name="Normal 7 3 6 2 3" xfId="4768"/>
    <cellStyle name="Normal 7 3 6 2 3 2" xfId="13605"/>
    <cellStyle name="Normal 7 3 6 2 3 2 2" xfId="23856"/>
    <cellStyle name="Normal 7 3 6 2 3 2 2 2" xfId="49409"/>
    <cellStyle name="Normal 7 3 6 2 3 2 3" xfId="39160"/>
    <cellStyle name="Normal 7 3 6 2 3 3" xfId="10026"/>
    <cellStyle name="Normal 7 3 6 2 3 3 2" xfId="35583"/>
    <cellStyle name="Normal 7 3 6 2 3 4" xfId="18849"/>
    <cellStyle name="Normal 7 3 6 2 3 4 2" xfId="44402"/>
    <cellStyle name="Normal 7 3 6 2 3 5" xfId="30339"/>
    <cellStyle name="Normal 7 3 6 2 4" xfId="2547"/>
    <cellStyle name="Normal 7 3 6 2 4 2" xfId="11912"/>
    <cellStyle name="Normal 7 3 6 2 4 2 2" xfId="37467"/>
    <cellStyle name="Normal 7 3 6 2 4 3" xfId="21916"/>
    <cellStyle name="Normal 7 3 6 2 4 3 2" xfId="47469"/>
    <cellStyle name="Normal 7 3 6 2 4 4" xfId="28399"/>
    <cellStyle name="Normal 7 3 6 2 5" xfId="6223"/>
    <cellStyle name="Normal 7 3 6 2 5 2" xfId="15050"/>
    <cellStyle name="Normal 7 3 6 2 5 2 2" xfId="40605"/>
    <cellStyle name="Normal 7 3 6 2 5 3" xfId="25301"/>
    <cellStyle name="Normal 7 3 6 2 5 3 2" xfId="50854"/>
    <cellStyle name="Normal 7 3 6 2 5 4" xfId="31784"/>
    <cellStyle name="Normal 7 3 6 2 6" xfId="7669"/>
    <cellStyle name="Normal 7 3 6 2 6 2" xfId="20398"/>
    <cellStyle name="Normal 7 3 6 2 6 2 2" xfId="45951"/>
    <cellStyle name="Normal 7 3 6 2 6 3" xfId="33226"/>
    <cellStyle name="Normal 7 3 6 2 7" xfId="16909"/>
    <cellStyle name="Normal 7 3 6 2 7 2" xfId="42462"/>
    <cellStyle name="Normal 7 3 6 2 8" xfId="26881"/>
    <cellStyle name="Normal 7 3 6 3" xfId="1112"/>
    <cellStyle name="Normal 7 3 6 3 2" xfId="3541"/>
    <cellStyle name="Normal 7 3 6 3 2 2" xfId="12677"/>
    <cellStyle name="Normal 7 3 6 3 2 2 2" xfId="22896"/>
    <cellStyle name="Normal 7 3 6 3 2 2 2 2" xfId="48449"/>
    <cellStyle name="Normal 7 3 6 3 2 2 3" xfId="38232"/>
    <cellStyle name="Normal 7 3 6 3 2 3" xfId="9098"/>
    <cellStyle name="Normal 7 3 6 3 2 3 2" xfId="34655"/>
    <cellStyle name="Normal 7 3 6 3 2 4" xfId="17889"/>
    <cellStyle name="Normal 7 3 6 3 2 4 2" xfId="43442"/>
    <cellStyle name="Normal 7 3 6 3 2 5" xfId="29379"/>
    <cellStyle name="Normal 7 3 6 3 3" xfId="5116"/>
    <cellStyle name="Normal 7 3 6 3 3 2" xfId="13953"/>
    <cellStyle name="Normal 7 3 6 3 3 2 2" xfId="24204"/>
    <cellStyle name="Normal 7 3 6 3 3 2 2 2" xfId="49757"/>
    <cellStyle name="Normal 7 3 6 3 3 2 3" xfId="39508"/>
    <cellStyle name="Normal 7 3 6 3 3 3" xfId="10374"/>
    <cellStyle name="Normal 7 3 6 3 3 3 2" xfId="35931"/>
    <cellStyle name="Normal 7 3 6 3 3 4" xfId="19197"/>
    <cellStyle name="Normal 7 3 6 3 3 4 2" xfId="44750"/>
    <cellStyle name="Normal 7 3 6 3 3 5" xfId="30687"/>
    <cellStyle name="Normal 7 3 6 3 4" xfId="2601"/>
    <cellStyle name="Normal 7 3 6 3 4 2" xfId="11965"/>
    <cellStyle name="Normal 7 3 6 3 4 2 2" xfId="37520"/>
    <cellStyle name="Normal 7 3 6 3 4 3" xfId="21969"/>
    <cellStyle name="Normal 7 3 6 3 4 3 2" xfId="47522"/>
    <cellStyle name="Normal 7 3 6 3 4 4" xfId="28452"/>
    <cellStyle name="Normal 7 3 6 3 5" xfId="6571"/>
    <cellStyle name="Normal 7 3 6 3 5 2" xfId="15398"/>
    <cellStyle name="Normal 7 3 6 3 5 2 2" xfId="40953"/>
    <cellStyle name="Normal 7 3 6 3 5 3" xfId="25649"/>
    <cellStyle name="Normal 7 3 6 3 5 3 2" xfId="51202"/>
    <cellStyle name="Normal 7 3 6 3 5 4" xfId="32132"/>
    <cellStyle name="Normal 7 3 6 3 6" xfId="8017"/>
    <cellStyle name="Normal 7 3 6 3 6 2" xfId="20495"/>
    <cellStyle name="Normal 7 3 6 3 6 2 2" xfId="46048"/>
    <cellStyle name="Normal 7 3 6 3 6 3" xfId="33574"/>
    <cellStyle name="Normal 7 3 6 3 7" xfId="16962"/>
    <cellStyle name="Normal 7 3 6 3 7 2" xfId="42515"/>
    <cellStyle name="Normal 7 3 6 3 8" xfId="26978"/>
    <cellStyle name="Normal 7 3 6 4" xfId="2826"/>
    <cellStyle name="Normal 7 3 6 4 2" xfId="5204"/>
    <cellStyle name="Normal 7 3 6 4 2 2" xfId="14041"/>
    <cellStyle name="Normal 7 3 6 4 2 2 2" xfId="24292"/>
    <cellStyle name="Normal 7 3 6 4 2 2 2 2" xfId="49845"/>
    <cellStyle name="Normal 7 3 6 4 2 2 3" xfId="39596"/>
    <cellStyle name="Normal 7 3 6 4 2 3" xfId="10462"/>
    <cellStyle name="Normal 7 3 6 4 2 3 2" xfId="36019"/>
    <cellStyle name="Normal 7 3 6 4 2 4" xfId="19285"/>
    <cellStyle name="Normal 7 3 6 4 2 4 2" xfId="44838"/>
    <cellStyle name="Normal 7 3 6 4 2 5" xfId="30775"/>
    <cellStyle name="Normal 7 3 6 4 3" xfId="6659"/>
    <cellStyle name="Normal 7 3 6 4 3 2" xfId="15486"/>
    <cellStyle name="Normal 7 3 6 4 3 2 2" xfId="41041"/>
    <cellStyle name="Normal 7 3 6 4 3 3" xfId="25737"/>
    <cellStyle name="Normal 7 3 6 4 3 3 2" xfId="51290"/>
    <cellStyle name="Normal 7 3 6 4 3 4" xfId="32220"/>
    <cellStyle name="Normal 7 3 6 4 4" xfId="8105"/>
    <cellStyle name="Normal 7 3 6 4 4 2" xfId="22187"/>
    <cellStyle name="Normal 7 3 6 4 4 2 2" xfId="47740"/>
    <cellStyle name="Normal 7 3 6 4 4 3" xfId="33662"/>
    <cellStyle name="Normal 7 3 6 4 5" xfId="17180"/>
    <cellStyle name="Normal 7 3 6 4 5 2" xfId="42733"/>
    <cellStyle name="Normal 7 3 6 4 6" xfId="28670"/>
    <cellStyle name="Normal 7 3 6 5" xfId="4158"/>
    <cellStyle name="Normal 7 3 6 5 2" xfId="12996"/>
    <cellStyle name="Normal 7 3 6 5 2 2" xfId="23247"/>
    <cellStyle name="Normal 7 3 6 5 2 2 2" xfId="48800"/>
    <cellStyle name="Normal 7 3 6 5 2 3" xfId="38551"/>
    <cellStyle name="Normal 7 3 6 5 3" xfId="9417"/>
    <cellStyle name="Normal 7 3 6 5 3 2" xfId="34974"/>
    <cellStyle name="Normal 7 3 6 5 4" xfId="18240"/>
    <cellStyle name="Normal 7 3 6 5 4 2" xfId="43793"/>
    <cellStyle name="Normal 7 3 6 5 5" xfId="29730"/>
    <cellStyle name="Normal 7 3 6 6" xfId="1935"/>
    <cellStyle name="Normal 7 3 6 6 2" xfId="11300"/>
    <cellStyle name="Normal 7 3 6 6 2 2" xfId="36855"/>
    <cellStyle name="Normal 7 3 6 6 3" xfId="21304"/>
    <cellStyle name="Normal 7 3 6 6 3 2" xfId="46857"/>
    <cellStyle name="Normal 7 3 6 6 4" xfId="27787"/>
    <cellStyle name="Normal 7 3 6 7" xfId="5616"/>
    <cellStyle name="Normal 7 3 6 7 2" xfId="14443"/>
    <cellStyle name="Normal 7 3 6 7 2 2" xfId="39998"/>
    <cellStyle name="Normal 7 3 6 7 3" xfId="24694"/>
    <cellStyle name="Normal 7 3 6 7 3 2" xfId="50247"/>
    <cellStyle name="Normal 7 3 6 7 4" xfId="31177"/>
    <cellStyle name="Normal 7 3 6 8" xfId="7060"/>
    <cellStyle name="Normal 7 3 6 8 2" xfId="19786"/>
    <cellStyle name="Normal 7 3 6 8 2 2" xfId="45339"/>
    <cellStyle name="Normal 7 3 6 8 3" xfId="32617"/>
    <cellStyle name="Normal 7 3 6 9" xfId="16297"/>
    <cellStyle name="Normal 7 3 6 9 2" xfId="41850"/>
    <cellStyle name="Normal 7 3 6_Degree data" xfId="4068"/>
    <cellStyle name="Normal 7 3 7" xfId="953"/>
    <cellStyle name="Normal 7 3 7 2" xfId="3429"/>
    <cellStyle name="Normal 7 3 7 2 2" xfId="12571"/>
    <cellStyle name="Normal 7 3 7 2 2 2" xfId="22790"/>
    <cellStyle name="Normal 7 3 7 2 2 2 2" xfId="48343"/>
    <cellStyle name="Normal 7 3 7 2 2 3" xfId="38126"/>
    <cellStyle name="Normal 7 3 7 2 3" xfId="8993"/>
    <cellStyle name="Normal 7 3 7 2 3 2" xfId="34550"/>
    <cellStyle name="Normal 7 3 7 2 4" xfId="17783"/>
    <cellStyle name="Normal 7 3 7 2 4 2" xfId="43336"/>
    <cellStyle name="Normal 7 3 7 2 5" xfId="29273"/>
    <cellStyle name="Normal 7 3 7 3" xfId="4759"/>
    <cellStyle name="Normal 7 3 7 3 2" xfId="13596"/>
    <cellStyle name="Normal 7 3 7 3 2 2" xfId="23847"/>
    <cellStyle name="Normal 7 3 7 3 2 2 2" xfId="49400"/>
    <cellStyle name="Normal 7 3 7 3 2 3" xfId="39151"/>
    <cellStyle name="Normal 7 3 7 3 3" xfId="10017"/>
    <cellStyle name="Normal 7 3 7 3 3 2" xfId="35574"/>
    <cellStyle name="Normal 7 3 7 3 4" xfId="18840"/>
    <cellStyle name="Normal 7 3 7 3 4 2" xfId="44393"/>
    <cellStyle name="Normal 7 3 7 3 5" xfId="30330"/>
    <cellStyle name="Normal 7 3 7 4" xfId="2538"/>
    <cellStyle name="Normal 7 3 7 4 2" xfId="11903"/>
    <cellStyle name="Normal 7 3 7 4 2 2" xfId="37458"/>
    <cellStyle name="Normal 7 3 7 4 3" xfId="21907"/>
    <cellStyle name="Normal 7 3 7 4 3 2" xfId="47460"/>
    <cellStyle name="Normal 7 3 7 4 4" xfId="28390"/>
    <cellStyle name="Normal 7 3 7 5" xfId="6214"/>
    <cellStyle name="Normal 7 3 7 5 2" xfId="15041"/>
    <cellStyle name="Normal 7 3 7 5 2 2" xfId="40596"/>
    <cellStyle name="Normal 7 3 7 5 3" xfId="25292"/>
    <cellStyle name="Normal 7 3 7 5 3 2" xfId="50845"/>
    <cellStyle name="Normal 7 3 7 5 4" xfId="31775"/>
    <cellStyle name="Normal 7 3 7 6" xfId="7660"/>
    <cellStyle name="Normal 7 3 7 6 2" xfId="20389"/>
    <cellStyle name="Normal 7 3 7 6 2 2" xfId="45942"/>
    <cellStyle name="Normal 7 3 7 6 3" xfId="33217"/>
    <cellStyle name="Normal 7 3 7 7" xfId="16900"/>
    <cellStyle name="Normal 7 3 7 7 2" xfId="42453"/>
    <cellStyle name="Normal 7 3 7 8" xfId="26872"/>
    <cellStyle name="Normal 7 3 8" xfId="1067"/>
    <cellStyle name="Normal 7 3 8 2" xfId="3496"/>
    <cellStyle name="Normal 7 3 8 2 2" xfId="12632"/>
    <cellStyle name="Normal 7 3 8 2 2 2" xfId="22851"/>
    <cellStyle name="Normal 7 3 8 2 2 2 2" xfId="48404"/>
    <cellStyle name="Normal 7 3 8 2 2 3" xfId="38187"/>
    <cellStyle name="Normal 7 3 8 2 3" xfId="9054"/>
    <cellStyle name="Normal 7 3 8 2 3 2" xfId="34611"/>
    <cellStyle name="Normal 7 3 8 2 4" xfId="17844"/>
    <cellStyle name="Normal 7 3 8 2 4 2" xfId="43397"/>
    <cellStyle name="Normal 7 3 8 2 5" xfId="29334"/>
    <cellStyle name="Normal 7 3 8 3" xfId="5107"/>
    <cellStyle name="Normal 7 3 8 3 2" xfId="13944"/>
    <cellStyle name="Normal 7 3 8 3 2 2" xfId="24195"/>
    <cellStyle name="Normal 7 3 8 3 2 2 2" xfId="49748"/>
    <cellStyle name="Normal 7 3 8 3 2 3" xfId="39499"/>
    <cellStyle name="Normal 7 3 8 3 3" xfId="10365"/>
    <cellStyle name="Normal 7 3 8 3 3 2" xfId="35922"/>
    <cellStyle name="Normal 7 3 8 3 4" xfId="19188"/>
    <cellStyle name="Normal 7 3 8 3 4 2" xfId="44741"/>
    <cellStyle name="Normal 7 3 8 3 5" xfId="30678"/>
    <cellStyle name="Normal 7 3 8 4" xfId="1736"/>
    <cellStyle name="Normal 7 3 8 4 2" xfId="11110"/>
    <cellStyle name="Normal 7 3 8 4 2 2" xfId="36665"/>
    <cellStyle name="Normal 7 3 8 4 3" xfId="21114"/>
    <cellStyle name="Normal 7 3 8 4 3 2" xfId="46667"/>
    <cellStyle name="Normal 7 3 8 4 4" xfId="27597"/>
    <cellStyle name="Normal 7 3 8 5" xfId="6562"/>
    <cellStyle name="Normal 7 3 8 5 2" xfId="15389"/>
    <cellStyle name="Normal 7 3 8 5 2 2" xfId="40944"/>
    <cellStyle name="Normal 7 3 8 5 3" xfId="25640"/>
    <cellStyle name="Normal 7 3 8 5 3 2" xfId="51193"/>
    <cellStyle name="Normal 7 3 8 5 4" xfId="32123"/>
    <cellStyle name="Normal 7 3 8 6" xfId="8008"/>
    <cellStyle name="Normal 7 3 8 6 2" xfId="20450"/>
    <cellStyle name="Normal 7 3 8 6 2 2" xfId="46003"/>
    <cellStyle name="Normal 7 3 8 6 3" xfId="33565"/>
    <cellStyle name="Normal 7 3 8 7" xfId="16107"/>
    <cellStyle name="Normal 7 3 8 7 2" xfId="41660"/>
    <cellStyle name="Normal 7 3 8 8" xfId="26933"/>
    <cellStyle name="Normal 7 3 9" xfId="2636"/>
    <cellStyle name="Normal 7 3 9 2" xfId="5159"/>
    <cellStyle name="Normal 7 3 9 2 2" xfId="13996"/>
    <cellStyle name="Normal 7 3 9 2 2 2" xfId="24247"/>
    <cellStyle name="Normal 7 3 9 2 2 2 2" xfId="49800"/>
    <cellStyle name="Normal 7 3 9 2 2 3" xfId="39551"/>
    <cellStyle name="Normal 7 3 9 2 3" xfId="10417"/>
    <cellStyle name="Normal 7 3 9 2 3 2" xfId="35974"/>
    <cellStyle name="Normal 7 3 9 2 4" xfId="19240"/>
    <cellStyle name="Normal 7 3 9 2 4 2" xfId="44793"/>
    <cellStyle name="Normal 7 3 9 2 5" xfId="30730"/>
    <cellStyle name="Normal 7 3 9 3" xfId="6614"/>
    <cellStyle name="Normal 7 3 9 3 2" xfId="15441"/>
    <cellStyle name="Normal 7 3 9 3 2 2" xfId="40996"/>
    <cellStyle name="Normal 7 3 9 3 3" xfId="25692"/>
    <cellStyle name="Normal 7 3 9 3 3 2" xfId="51245"/>
    <cellStyle name="Normal 7 3 9 3 4" xfId="32175"/>
    <cellStyle name="Normal 7 3 9 4" xfId="8060"/>
    <cellStyle name="Normal 7 3 9 4 2" xfId="21998"/>
    <cellStyle name="Normal 7 3 9 4 2 2" xfId="47551"/>
    <cellStyle name="Normal 7 3 9 4 3" xfId="33617"/>
    <cellStyle name="Normal 7 3 9 5" xfId="16991"/>
    <cellStyle name="Normal 7 3 9 5 2" xfId="42544"/>
    <cellStyle name="Normal 7 3 9 6" xfId="28481"/>
    <cellStyle name="Normal 7 3_Degree data" xfId="4059"/>
    <cellStyle name="Normal 7 4" xfId="142"/>
    <cellStyle name="Normal 7 4 10" xfId="1410"/>
    <cellStyle name="Normal 7 4 10 2" xfId="10787"/>
    <cellStyle name="Normal 7 4 10 2 2" xfId="36342"/>
    <cellStyle name="Normal 7 4 10 3" xfId="20791"/>
    <cellStyle name="Normal 7 4 10 3 2" xfId="46344"/>
    <cellStyle name="Normal 7 4 10 4" xfId="27274"/>
    <cellStyle name="Normal 7 4 11" xfId="5521"/>
    <cellStyle name="Normal 7 4 11 2" xfId="14348"/>
    <cellStyle name="Normal 7 4 11 2 2" xfId="39903"/>
    <cellStyle name="Normal 7 4 11 3" xfId="24599"/>
    <cellStyle name="Normal 7 4 11 3 2" xfId="50152"/>
    <cellStyle name="Normal 7 4 11 4" xfId="31082"/>
    <cellStyle name="Normal 7 4 12" xfId="6961"/>
    <cellStyle name="Normal 7 4 12 2" xfId="19606"/>
    <cellStyle name="Normal 7 4 12 2 2" xfId="45159"/>
    <cellStyle name="Normal 7 4 12 3" xfId="32519"/>
    <cellStyle name="Normal 7 4 13" xfId="15784"/>
    <cellStyle name="Normal 7 4 13 2" xfId="41337"/>
    <cellStyle name="Normal 7 4 14" xfId="26089"/>
    <cellStyle name="Normal 7 4 2" xfId="192"/>
    <cellStyle name="Normal 7 4 2 10" xfId="7140"/>
    <cellStyle name="Normal 7 4 2 10 2" xfId="19649"/>
    <cellStyle name="Normal 7 4 2 10 2 2" xfId="45202"/>
    <cellStyle name="Normal 7 4 2 10 3" xfId="32697"/>
    <cellStyle name="Normal 7 4 2 11" xfId="15886"/>
    <cellStyle name="Normal 7 4 2 11 2" xfId="41439"/>
    <cellStyle name="Normal 7 4 2 12" xfId="26132"/>
    <cellStyle name="Normal 7 4 2 2" xfId="520"/>
    <cellStyle name="Normal 7 4 2 2 10" xfId="26449"/>
    <cellStyle name="Normal 7 4 2 2 2" xfId="965"/>
    <cellStyle name="Normal 7 4 2 2 2 2" xfId="3441"/>
    <cellStyle name="Normal 7 4 2 2 2 2 2" xfId="12583"/>
    <cellStyle name="Normal 7 4 2 2 2 2 2 2" xfId="22802"/>
    <cellStyle name="Normal 7 4 2 2 2 2 2 2 2" xfId="48355"/>
    <cellStyle name="Normal 7 4 2 2 2 2 2 3" xfId="38138"/>
    <cellStyle name="Normal 7 4 2 2 2 2 3" xfId="9005"/>
    <cellStyle name="Normal 7 4 2 2 2 2 3 2" xfId="34562"/>
    <cellStyle name="Normal 7 4 2 2 2 2 4" xfId="17795"/>
    <cellStyle name="Normal 7 4 2 2 2 2 4 2" xfId="43348"/>
    <cellStyle name="Normal 7 4 2 2 2 2 5" xfId="29285"/>
    <cellStyle name="Normal 7 4 2 2 2 3" xfId="4771"/>
    <cellStyle name="Normal 7 4 2 2 2 3 2" xfId="13608"/>
    <cellStyle name="Normal 7 4 2 2 2 3 2 2" xfId="23859"/>
    <cellStyle name="Normal 7 4 2 2 2 3 2 2 2" xfId="49412"/>
    <cellStyle name="Normal 7 4 2 2 2 3 2 3" xfId="39163"/>
    <cellStyle name="Normal 7 4 2 2 2 3 3" xfId="10029"/>
    <cellStyle name="Normal 7 4 2 2 2 3 3 2" xfId="35586"/>
    <cellStyle name="Normal 7 4 2 2 2 3 4" xfId="18852"/>
    <cellStyle name="Normal 7 4 2 2 2 3 4 2" xfId="44405"/>
    <cellStyle name="Normal 7 4 2 2 2 3 5" xfId="30342"/>
    <cellStyle name="Normal 7 4 2 2 2 4" xfId="2550"/>
    <cellStyle name="Normal 7 4 2 2 2 4 2" xfId="11915"/>
    <cellStyle name="Normal 7 4 2 2 2 4 2 2" xfId="37470"/>
    <cellStyle name="Normal 7 4 2 2 2 4 3" xfId="21919"/>
    <cellStyle name="Normal 7 4 2 2 2 4 3 2" xfId="47472"/>
    <cellStyle name="Normal 7 4 2 2 2 4 4" xfId="28402"/>
    <cellStyle name="Normal 7 4 2 2 2 5" xfId="6226"/>
    <cellStyle name="Normal 7 4 2 2 2 5 2" xfId="15053"/>
    <cellStyle name="Normal 7 4 2 2 2 5 2 2" xfId="40608"/>
    <cellStyle name="Normal 7 4 2 2 2 5 3" xfId="25304"/>
    <cellStyle name="Normal 7 4 2 2 2 5 3 2" xfId="50857"/>
    <cellStyle name="Normal 7 4 2 2 2 5 4" xfId="31787"/>
    <cellStyle name="Normal 7 4 2 2 2 6" xfId="7672"/>
    <cellStyle name="Normal 7 4 2 2 2 6 2" xfId="20401"/>
    <cellStyle name="Normal 7 4 2 2 2 6 2 2" xfId="45954"/>
    <cellStyle name="Normal 7 4 2 2 2 6 3" xfId="33229"/>
    <cellStyle name="Normal 7 4 2 2 2 7" xfId="16912"/>
    <cellStyle name="Normal 7 4 2 2 2 7 2" xfId="42465"/>
    <cellStyle name="Normal 7 4 2 2 2 8" xfId="26884"/>
    <cellStyle name="Normal 7 4 2 2 3" xfId="1292"/>
    <cellStyle name="Normal 7 4 2 2 3 2" xfId="3721"/>
    <cellStyle name="Normal 7 4 2 2 3 2 2" xfId="12857"/>
    <cellStyle name="Normal 7 4 2 2 3 2 2 2" xfId="23076"/>
    <cellStyle name="Normal 7 4 2 2 3 2 2 2 2" xfId="48629"/>
    <cellStyle name="Normal 7 4 2 2 3 2 2 3" xfId="38412"/>
    <cellStyle name="Normal 7 4 2 2 3 2 3" xfId="9278"/>
    <cellStyle name="Normal 7 4 2 2 3 2 3 2" xfId="34835"/>
    <cellStyle name="Normal 7 4 2 2 3 2 4" xfId="18069"/>
    <cellStyle name="Normal 7 4 2 2 3 2 4 2" xfId="43622"/>
    <cellStyle name="Normal 7 4 2 2 3 2 5" xfId="29559"/>
    <cellStyle name="Normal 7 4 2 2 3 3" xfId="5119"/>
    <cellStyle name="Normal 7 4 2 2 3 3 2" xfId="13956"/>
    <cellStyle name="Normal 7 4 2 2 3 3 2 2" xfId="24207"/>
    <cellStyle name="Normal 7 4 2 2 3 3 2 2 2" xfId="49760"/>
    <cellStyle name="Normal 7 4 2 2 3 3 2 3" xfId="39511"/>
    <cellStyle name="Normal 7 4 2 2 3 3 3" xfId="10377"/>
    <cellStyle name="Normal 7 4 2 2 3 3 3 2" xfId="35934"/>
    <cellStyle name="Normal 7 4 2 2 3 3 4" xfId="19200"/>
    <cellStyle name="Normal 7 4 2 2 3 3 4 2" xfId="44753"/>
    <cellStyle name="Normal 7 4 2 2 3 3 5" xfId="30690"/>
    <cellStyle name="Normal 7 4 2 2 3 4" xfId="2115"/>
    <cellStyle name="Normal 7 4 2 2 3 4 2" xfId="11480"/>
    <cellStyle name="Normal 7 4 2 2 3 4 2 2" xfId="37035"/>
    <cellStyle name="Normal 7 4 2 2 3 4 3" xfId="21484"/>
    <cellStyle name="Normal 7 4 2 2 3 4 3 2" xfId="47037"/>
    <cellStyle name="Normal 7 4 2 2 3 4 4" xfId="27967"/>
    <cellStyle name="Normal 7 4 2 2 3 5" xfId="6574"/>
    <cellStyle name="Normal 7 4 2 2 3 5 2" xfId="15401"/>
    <cellStyle name="Normal 7 4 2 2 3 5 2 2" xfId="40956"/>
    <cellStyle name="Normal 7 4 2 2 3 5 3" xfId="25652"/>
    <cellStyle name="Normal 7 4 2 2 3 5 3 2" xfId="51205"/>
    <cellStyle name="Normal 7 4 2 2 3 5 4" xfId="32135"/>
    <cellStyle name="Normal 7 4 2 2 3 6" xfId="8020"/>
    <cellStyle name="Normal 7 4 2 2 3 6 2" xfId="20675"/>
    <cellStyle name="Normal 7 4 2 2 3 6 2 2" xfId="46228"/>
    <cellStyle name="Normal 7 4 2 2 3 6 3" xfId="33577"/>
    <cellStyle name="Normal 7 4 2 2 3 7" xfId="16477"/>
    <cellStyle name="Normal 7 4 2 2 3 7 2" xfId="42030"/>
    <cellStyle name="Normal 7 4 2 2 3 8" xfId="27158"/>
    <cellStyle name="Normal 7 4 2 2 4" xfId="3006"/>
    <cellStyle name="Normal 7 4 2 2 4 2" xfId="5384"/>
    <cellStyle name="Normal 7 4 2 2 4 2 2" xfId="14221"/>
    <cellStyle name="Normal 7 4 2 2 4 2 2 2" xfId="24472"/>
    <cellStyle name="Normal 7 4 2 2 4 2 2 2 2" xfId="50025"/>
    <cellStyle name="Normal 7 4 2 2 4 2 2 3" xfId="39776"/>
    <cellStyle name="Normal 7 4 2 2 4 2 3" xfId="10642"/>
    <cellStyle name="Normal 7 4 2 2 4 2 3 2" xfId="36199"/>
    <cellStyle name="Normal 7 4 2 2 4 2 4" xfId="19465"/>
    <cellStyle name="Normal 7 4 2 2 4 2 4 2" xfId="45018"/>
    <cellStyle name="Normal 7 4 2 2 4 2 5" xfId="30955"/>
    <cellStyle name="Normal 7 4 2 2 4 3" xfId="6839"/>
    <cellStyle name="Normal 7 4 2 2 4 3 2" xfId="15666"/>
    <cellStyle name="Normal 7 4 2 2 4 3 2 2" xfId="41221"/>
    <cellStyle name="Normal 7 4 2 2 4 3 3" xfId="25917"/>
    <cellStyle name="Normal 7 4 2 2 4 3 3 2" xfId="51470"/>
    <cellStyle name="Normal 7 4 2 2 4 3 4" xfId="32400"/>
    <cellStyle name="Normal 7 4 2 2 4 4" xfId="8285"/>
    <cellStyle name="Normal 7 4 2 2 4 4 2" xfId="22367"/>
    <cellStyle name="Normal 7 4 2 2 4 4 2 2" xfId="47920"/>
    <cellStyle name="Normal 7 4 2 2 4 4 3" xfId="33842"/>
    <cellStyle name="Normal 7 4 2 2 4 5" xfId="17360"/>
    <cellStyle name="Normal 7 4 2 2 4 5 2" xfId="42913"/>
    <cellStyle name="Normal 7 4 2 2 4 6" xfId="28850"/>
    <cellStyle name="Normal 7 4 2 2 5" xfId="4340"/>
    <cellStyle name="Normal 7 4 2 2 5 2" xfId="13178"/>
    <cellStyle name="Normal 7 4 2 2 5 2 2" xfId="23429"/>
    <cellStyle name="Normal 7 4 2 2 5 2 2 2" xfId="48982"/>
    <cellStyle name="Normal 7 4 2 2 5 2 3" xfId="38733"/>
    <cellStyle name="Normal 7 4 2 2 5 3" xfId="9599"/>
    <cellStyle name="Normal 7 4 2 2 5 3 2" xfId="35156"/>
    <cellStyle name="Normal 7 4 2 2 5 4" xfId="18422"/>
    <cellStyle name="Normal 7 4 2 2 5 4 2" xfId="43975"/>
    <cellStyle name="Normal 7 4 2 2 5 5" xfId="29912"/>
    <cellStyle name="Normal 7 4 2 2 6" xfId="1612"/>
    <cellStyle name="Normal 7 4 2 2 6 2" xfId="10989"/>
    <cellStyle name="Normal 7 4 2 2 6 2 2" xfId="36544"/>
    <cellStyle name="Normal 7 4 2 2 6 3" xfId="20993"/>
    <cellStyle name="Normal 7 4 2 2 6 3 2" xfId="46546"/>
    <cellStyle name="Normal 7 4 2 2 6 4" xfId="27476"/>
    <cellStyle name="Normal 7 4 2 2 7" xfId="5796"/>
    <cellStyle name="Normal 7 4 2 2 7 2" xfId="14623"/>
    <cellStyle name="Normal 7 4 2 2 7 2 2" xfId="40178"/>
    <cellStyle name="Normal 7 4 2 2 7 3" xfId="24874"/>
    <cellStyle name="Normal 7 4 2 2 7 3 2" xfId="50427"/>
    <cellStyle name="Normal 7 4 2 2 7 4" xfId="31357"/>
    <cellStyle name="Normal 7 4 2 2 8" xfId="7240"/>
    <cellStyle name="Normal 7 4 2 2 8 2" xfId="19966"/>
    <cellStyle name="Normal 7 4 2 2 8 2 2" xfId="45519"/>
    <cellStyle name="Normal 7 4 2 2 8 3" xfId="32797"/>
    <cellStyle name="Normal 7 4 2 2 9" xfId="15986"/>
    <cellStyle name="Normal 7 4 2 2 9 2" xfId="41539"/>
    <cellStyle name="Normal 7 4 2 2_Degree data" xfId="4071"/>
    <cellStyle name="Normal 7 4 2 3" xfId="420"/>
    <cellStyle name="Normal 7 4 2 3 2" xfId="2906"/>
    <cellStyle name="Normal 7 4 2 3 2 2" xfId="12194"/>
    <cellStyle name="Normal 7 4 2 3 2 2 2" xfId="22267"/>
    <cellStyle name="Normal 7 4 2 3 2 2 2 2" xfId="47820"/>
    <cellStyle name="Normal 7 4 2 3 2 2 3" xfId="37749"/>
    <cellStyle name="Normal 7 4 2 3 2 3" xfId="8452"/>
    <cellStyle name="Normal 7 4 2 3 2 3 2" xfId="34009"/>
    <cellStyle name="Normal 7 4 2 3 2 4" xfId="17260"/>
    <cellStyle name="Normal 7 4 2 3 2 4 2" xfId="42813"/>
    <cellStyle name="Normal 7 4 2 3 2 5" xfId="28750"/>
    <cellStyle name="Normal 7 4 2 3 3" xfId="4770"/>
    <cellStyle name="Normal 7 4 2 3 3 2" xfId="13607"/>
    <cellStyle name="Normal 7 4 2 3 3 2 2" xfId="23858"/>
    <cellStyle name="Normal 7 4 2 3 3 2 2 2" xfId="49411"/>
    <cellStyle name="Normal 7 4 2 3 3 2 3" xfId="39162"/>
    <cellStyle name="Normal 7 4 2 3 3 3" xfId="10028"/>
    <cellStyle name="Normal 7 4 2 3 3 3 2" xfId="35585"/>
    <cellStyle name="Normal 7 4 2 3 3 4" xfId="18851"/>
    <cellStyle name="Normal 7 4 2 3 3 4 2" xfId="44404"/>
    <cellStyle name="Normal 7 4 2 3 3 5" xfId="30341"/>
    <cellStyle name="Normal 7 4 2 3 4" xfId="2015"/>
    <cellStyle name="Normal 7 4 2 3 4 2" xfId="11380"/>
    <cellStyle name="Normal 7 4 2 3 4 2 2" xfId="36935"/>
    <cellStyle name="Normal 7 4 2 3 4 3" xfId="21384"/>
    <cellStyle name="Normal 7 4 2 3 4 3 2" xfId="46937"/>
    <cellStyle name="Normal 7 4 2 3 4 4" xfId="27867"/>
    <cellStyle name="Normal 7 4 2 3 5" xfId="6225"/>
    <cellStyle name="Normal 7 4 2 3 5 2" xfId="15052"/>
    <cellStyle name="Normal 7 4 2 3 5 2 2" xfId="40607"/>
    <cellStyle name="Normal 7 4 2 3 5 3" xfId="25303"/>
    <cellStyle name="Normal 7 4 2 3 5 3 2" xfId="50856"/>
    <cellStyle name="Normal 7 4 2 3 5 4" xfId="31786"/>
    <cellStyle name="Normal 7 4 2 3 6" xfId="7671"/>
    <cellStyle name="Normal 7 4 2 3 6 2" xfId="19866"/>
    <cellStyle name="Normal 7 4 2 3 6 2 2" xfId="45419"/>
    <cellStyle name="Normal 7 4 2 3 6 3" xfId="33228"/>
    <cellStyle name="Normal 7 4 2 3 7" xfId="16377"/>
    <cellStyle name="Normal 7 4 2 3 7 2" xfId="41930"/>
    <cellStyle name="Normal 7 4 2 3 8" xfId="26349"/>
    <cellStyle name="Normal 7 4 2 4" xfId="964"/>
    <cellStyle name="Normal 7 4 2 4 2" xfId="3440"/>
    <cellStyle name="Normal 7 4 2 4 2 2" xfId="12582"/>
    <cellStyle name="Normal 7 4 2 4 2 2 2" xfId="22801"/>
    <cellStyle name="Normal 7 4 2 4 2 2 2 2" xfId="48354"/>
    <cellStyle name="Normal 7 4 2 4 2 2 3" xfId="38137"/>
    <cellStyle name="Normal 7 4 2 4 2 3" xfId="9004"/>
    <cellStyle name="Normal 7 4 2 4 2 3 2" xfId="34561"/>
    <cellStyle name="Normal 7 4 2 4 2 4" xfId="17794"/>
    <cellStyle name="Normal 7 4 2 4 2 4 2" xfId="43347"/>
    <cellStyle name="Normal 7 4 2 4 2 5" xfId="29284"/>
    <cellStyle name="Normal 7 4 2 4 3" xfId="5118"/>
    <cellStyle name="Normal 7 4 2 4 3 2" xfId="13955"/>
    <cellStyle name="Normal 7 4 2 4 3 2 2" xfId="24206"/>
    <cellStyle name="Normal 7 4 2 4 3 2 2 2" xfId="49759"/>
    <cellStyle name="Normal 7 4 2 4 3 2 3" xfId="39510"/>
    <cellStyle name="Normal 7 4 2 4 3 3" xfId="10376"/>
    <cellStyle name="Normal 7 4 2 4 3 3 2" xfId="35933"/>
    <cellStyle name="Normal 7 4 2 4 3 4" xfId="19199"/>
    <cellStyle name="Normal 7 4 2 4 3 4 2" xfId="44752"/>
    <cellStyle name="Normal 7 4 2 4 3 5" xfId="30689"/>
    <cellStyle name="Normal 7 4 2 4 4" xfId="2549"/>
    <cellStyle name="Normal 7 4 2 4 4 2" xfId="11914"/>
    <cellStyle name="Normal 7 4 2 4 4 2 2" xfId="37469"/>
    <cellStyle name="Normal 7 4 2 4 4 3" xfId="21918"/>
    <cellStyle name="Normal 7 4 2 4 4 3 2" xfId="47471"/>
    <cellStyle name="Normal 7 4 2 4 4 4" xfId="28401"/>
    <cellStyle name="Normal 7 4 2 4 5" xfId="6573"/>
    <cellStyle name="Normal 7 4 2 4 5 2" xfId="15400"/>
    <cellStyle name="Normal 7 4 2 4 5 2 2" xfId="40955"/>
    <cellStyle name="Normal 7 4 2 4 5 3" xfId="25651"/>
    <cellStyle name="Normal 7 4 2 4 5 3 2" xfId="51204"/>
    <cellStyle name="Normal 7 4 2 4 5 4" xfId="32134"/>
    <cellStyle name="Normal 7 4 2 4 6" xfId="8019"/>
    <cellStyle name="Normal 7 4 2 4 6 2" xfId="20400"/>
    <cellStyle name="Normal 7 4 2 4 6 2 2" xfId="45953"/>
    <cellStyle name="Normal 7 4 2 4 6 3" xfId="33576"/>
    <cellStyle name="Normal 7 4 2 4 7" xfId="16911"/>
    <cellStyle name="Normal 7 4 2 4 7 2" xfId="42464"/>
    <cellStyle name="Normal 7 4 2 4 8" xfId="26883"/>
    <cellStyle name="Normal 7 4 2 5" xfId="1192"/>
    <cellStyle name="Normal 7 4 2 5 2" xfId="3621"/>
    <cellStyle name="Normal 7 4 2 5 2 2" xfId="12757"/>
    <cellStyle name="Normal 7 4 2 5 2 2 2" xfId="22976"/>
    <cellStyle name="Normal 7 4 2 5 2 2 2 2" xfId="48529"/>
    <cellStyle name="Normal 7 4 2 5 2 2 3" xfId="38312"/>
    <cellStyle name="Normal 7 4 2 5 2 3" xfId="9178"/>
    <cellStyle name="Normal 7 4 2 5 2 3 2" xfId="34735"/>
    <cellStyle name="Normal 7 4 2 5 2 4" xfId="17969"/>
    <cellStyle name="Normal 7 4 2 5 2 4 2" xfId="43522"/>
    <cellStyle name="Normal 7 4 2 5 2 5" xfId="29459"/>
    <cellStyle name="Normal 7 4 2 5 3" xfId="5284"/>
    <cellStyle name="Normal 7 4 2 5 3 2" xfId="14121"/>
    <cellStyle name="Normal 7 4 2 5 3 2 2" xfId="24372"/>
    <cellStyle name="Normal 7 4 2 5 3 2 2 2" xfId="49925"/>
    <cellStyle name="Normal 7 4 2 5 3 2 3" xfId="39676"/>
    <cellStyle name="Normal 7 4 2 5 3 3" xfId="10542"/>
    <cellStyle name="Normal 7 4 2 5 3 3 2" xfId="36099"/>
    <cellStyle name="Normal 7 4 2 5 3 4" xfId="19365"/>
    <cellStyle name="Normal 7 4 2 5 3 4 2" xfId="44918"/>
    <cellStyle name="Normal 7 4 2 5 3 5" xfId="30855"/>
    <cellStyle name="Normal 7 4 2 5 4" xfId="1794"/>
    <cellStyle name="Normal 7 4 2 5 4 2" xfId="11163"/>
    <cellStyle name="Normal 7 4 2 5 4 2 2" xfId="36718"/>
    <cellStyle name="Normal 7 4 2 5 4 3" xfId="21167"/>
    <cellStyle name="Normal 7 4 2 5 4 3 2" xfId="46720"/>
    <cellStyle name="Normal 7 4 2 5 4 4" xfId="27650"/>
    <cellStyle name="Normal 7 4 2 5 5" xfId="6739"/>
    <cellStyle name="Normal 7 4 2 5 5 2" xfId="15566"/>
    <cellStyle name="Normal 7 4 2 5 5 2 2" xfId="41121"/>
    <cellStyle name="Normal 7 4 2 5 5 3" xfId="25817"/>
    <cellStyle name="Normal 7 4 2 5 5 3 2" xfId="51370"/>
    <cellStyle name="Normal 7 4 2 5 5 4" xfId="32300"/>
    <cellStyle name="Normal 7 4 2 5 6" xfId="8185"/>
    <cellStyle name="Normal 7 4 2 5 6 2" xfId="20575"/>
    <cellStyle name="Normal 7 4 2 5 6 2 2" xfId="46128"/>
    <cellStyle name="Normal 7 4 2 5 6 3" xfId="33742"/>
    <cellStyle name="Normal 7 4 2 5 7" xfId="16160"/>
    <cellStyle name="Normal 7 4 2 5 7 2" xfId="41713"/>
    <cellStyle name="Normal 7 4 2 5 8" xfId="27058"/>
    <cellStyle name="Normal 7 4 2 6" xfId="2689"/>
    <cellStyle name="Normal 7 4 2 6 2" xfId="12006"/>
    <cellStyle name="Normal 7 4 2 6 2 2" xfId="22050"/>
    <cellStyle name="Normal 7 4 2 6 2 2 2" xfId="47603"/>
    <cellStyle name="Normal 7 4 2 6 2 3" xfId="37561"/>
    <cellStyle name="Normal 7 4 2 6 3" xfId="8639"/>
    <cellStyle name="Normal 7 4 2 6 3 2" xfId="34196"/>
    <cellStyle name="Normal 7 4 2 6 4" xfId="17043"/>
    <cellStyle name="Normal 7 4 2 6 4 2" xfId="42596"/>
    <cellStyle name="Normal 7 4 2 6 5" xfId="28533"/>
    <cellStyle name="Normal 7 4 2 7" xfId="4240"/>
    <cellStyle name="Normal 7 4 2 7 2" xfId="13078"/>
    <cellStyle name="Normal 7 4 2 7 2 2" xfId="23329"/>
    <cellStyle name="Normal 7 4 2 7 2 2 2" xfId="48882"/>
    <cellStyle name="Normal 7 4 2 7 2 3" xfId="38633"/>
    <cellStyle name="Normal 7 4 2 7 3" xfId="9499"/>
    <cellStyle name="Normal 7 4 2 7 3 2" xfId="35056"/>
    <cellStyle name="Normal 7 4 2 7 4" xfId="18322"/>
    <cellStyle name="Normal 7 4 2 7 4 2" xfId="43875"/>
    <cellStyle name="Normal 7 4 2 7 5" xfId="29812"/>
    <cellStyle name="Normal 7 4 2 8" xfId="1512"/>
    <cellStyle name="Normal 7 4 2 8 2" xfId="10889"/>
    <cellStyle name="Normal 7 4 2 8 2 2" xfId="36444"/>
    <cellStyle name="Normal 7 4 2 8 3" xfId="20893"/>
    <cellStyle name="Normal 7 4 2 8 3 2" xfId="46446"/>
    <cellStyle name="Normal 7 4 2 8 4" xfId="27376"/>
    <cellStyle name="Normal 7 4 2 9" xfId="5696"/>
    <cellStyle name="Normal 7 4 2 9 2" xfId="14523"/>
    <cellStyle name="Normal 7 4 2 9 2 2" xfId="40078"/>
    <cellStyle name="Normal 7 4 2 9 3" xfId="24774"/>
    <cellStyle name="Normal 7 4 2 9 3 2" xfId="50327"/>
    <cellStyle name="Normal 7 4 2 9 4" xfId="31257"/>
    <cellStyle name="Normal 7 4 2_Degree data" xfId="4070"/>
    <cellStyle name="Normal 7 4 3" xfId="259"/>
    <cellStyle name="Normal 7 4 3 10" xfId="7097"/>
    <cellStyle name="Normal 7 4 3 10 2" xfId="19711"/>
    <cellStyle name="Normal 7 4 3 10 2 2" xfId="45264"/>
    <cellStyle name="Normal 7 4 3 10 3" xfId="32654"/>
    <cellStyle name="Normal 7 4 3 11" xfId="15843"/>
    <cellStyle name="Normal 7 4 3 11 2" xfId="41396"/>
    <cellStyle name="Normal 7 4 3 12" xfId="26194"/>
    <cellStyle name="Normal 7 4 3 2" xfId="582"/>
    <cellStyle name="Normal 7 4 3 2 10" xfId="26511"/>
    <cellStyle name="Normal 7 4 3 2 2" xfId="967"/>
    <cellStyle name="Normal 7 4 3 2 2 2" xfId="3443"/>
    <cellStyle name="Normal 7 4 3 2 2 2 2" xfId="12585"/>
    <cellStyle name="Normal 7 4 3 2 2 2 2 2" xfId="22804"/>
    <cellStyle name="Normal 7 4 3 2 2 2 2 2 2" xfId="48357"/>
    <cellStyle name="Normal 7 4 3 2 2 2 2 3" xfId="38140"/>
    <cellStyle name="Normal 7 4 3 2 2 2 3" xfId="9007"/>
    <cellStyle name="Normal 7 4 3 2 2 2 3 2" xfId="34564"/>
    <cellStyle name="Normal 7 4 3 2 2 2 4" xfId="17797"/>
    <cellStyle name="Normal 7 4 3 2 2 2 4 2" xfId="43350"/>
    <cellStyle name="Normal 7 4 3 2 2 2 5" xfId="29287"/>
    <cellStyle name="Normal 7 4 3 2 2 3" xfId="4773"/>
    <cellStyle name="Normal 7 4 3 2 2 3 2" xfId="13610"/>
    <cellStyle name="Normal 7 4 3 2 2 3 2 2" xfId="23861"/>
    <cellStyle name="Normal 7 4 3 2 2 3 2 2 2" xfId="49414"/>
    <cellStyle name="Normal 7 4 3 2 2 3 2 3" xfId="39165"/>
    <cellStyle name="Normal 7 4 3 2 2 3 3" xfId="10031"/>
    <cellStyle name="Normal 7 4 3 2 2 3 3 2" xfId="35588"/>
    <cellStyle name="Normal 7 4 3 2 2 3 4" xfId="18854"/>
    <cellStyle name="Normal 7 4 3 2 2 3 4 2" xfId="44407"/>
    <cellStyle name="Normal 7 4 3 2 2 3 5" xfId="30344"/>
    <cellStyle name="Normal 7 4 3 2 2 4" xfId="2552"/>
    <cellStyle name="Normal 7 4 3 2 2 4 2" xfId="11917"/>
    <cellStyle name="Normal 7 4 3 2 2 4 2 2" xfId="37472"/>
    <cellStyle name="Normal 7 4 3 2 2 4 3" xfId="21921"/>
    <cellStyle name="Normal 7 4 3 2 2 4 3 2" xfId="47474"/>
    <cellStyle name="Normal 7 4 3 2 2 4 4" xfId="28404"/>
    <cellStyle name="Normal 7 4 3 2 2 5" xfId="6228"/>
    <cellStyle name="Normal 7 4 3 2 2 5 2" xfId="15055"/>
    <cellStyle name="Normal 7 4 3 2 2 5 2 2" xfId="40610"/>
    <cellStyle name="Normal 7 4 3 2 2 5 3" xfId="25306"/>
    <cellStyle name="Normal 7 4 3 2 2 5 3 2" xfId="50859"/>
    <cellStyle name="Normal 7 4 3 2 2 5 4" xfId="31789"/>
    <cellStyle name="Normal 7 4 3 2 2 6" xfId="7674"/>
    <cellStyle name="Normal 7 4 3 2 2 6 2" xfId="20403"/>
    <cellStyle name="Normal 7 4 3 2 2 6 2 2" xfId="45956"/>
    <cellStyle name="Normal 7 4 3 2 2 6 3" xfId="33231"/>
    <cellStyle name="Normal 7 4 3 2 2 7" xfId="16914"/>
    <cellStyle name="Normal 7 4 3 2 2 7 2" xfId="42467"/>
    <cellStyle name="Normal 7 4 3 2 2 8" xfId="26886"/>
    <cellStyle name="Normal 7 4 3 2 3" xfId="1354"/>
    <cellStyle name="Normal 7 4 3 2 3 2" xfId="3783"/>
    <cellStyle name="Normal 7 4 3 2 3 2 2" xfId="12919"/>
    <cellStyle name="Normal 7 4 3 2 3 2 2 2" xfId="23138"/>
    <cellStyle name="Normal 7 4 3 2 3 2 2 2 2" xfId="48691"/>
    <cellStyle name="Normal 7 4 3 2 3 2 2 3" xfId="38474"/>
    <cellStyle name="Normal 7 4 3 2 3 2 3" xfId="9340"/>
    <cellStyle name="Normal 7 4 3 2 3 2 3 2" xfId="34897"/>
    <cellStyle name="Normal 7 4 3 2 3 2 4" xfId="18131"/>
    <cellStyle name="Normal 7 4 3 2 3 2 4 2" xfId="43684"/>
    <cellStyle name="Normal 7 4 3 2 3 2 5" xfId="29621"/>
    <cellStyle name="Normal 7 4 3 2 3 3" xfId="5121"/>
    <cellStyle name="Normal 7 4 3 2 3 3 2" xfId="13958"/>
    <cellStyle name="Normal 7 4 3 2 3 3 2 2" xfId="24209"/>
    <cellStyle name="Normal 7 4 3 2 3 3 2 2 2" xfId="49762"/>
    <cellStyle name="Normal 7 4 3 2 3 3 2 3" xfId="39513"/>
    <cellStyle name="Normal 7 4 3 2 3 3 3" xfId="10379"/>
    <cellStyle name="Normal 7 4 3 2 3 3 3 2" xfId="35936"/>
    <cellStyle name="Normal 7 4 3 2 3 3 4" xfId="19202"/>
    <cellStyle name="Normal 7 4 3 2 3 3 4 2" xfId="44755"/>
    <cellStyle name="Normal 7 4 3 2 3 3 5" xfId="30692"/>
    <cellStyle name="Normal 7 4 3 2 3 4" xfId="2177"/>
    <cellStyle name="Normal 7 4 3 2 3 4 2" xfId="11542"/>
    <cellStyle name="Normal 7 4 3 2 3 4 2 2" xfId="37097"/>
    <cellStyle name="Normal 7 4 3 2 3 4 3" xfId="21546"/>
    <cellStyle name="Normal 7 4 3 2 3 4 3 2" xfId="47099"/>
    <cellStyle name="Normal 7 4 3 2 3 4 4" xfId="28029"/>
    <cellStyle name="Normal 7 4 3 2 3 5" xfId="6576"/>
    <cellStyle name="Normal 7 4 3 2 3 5 2" xfId="15403"/>
    <cellStyle name="Normal 7 4 3 2 3 5 2 2" xfId="40958"/>
    <cellStyle name="Normal 7 4 3 2 3 5 3" xfId="25654"/>
    <cellStyle name="Normal 7 4 3 2 3 5 3 2" xfId="51207"/>
    <cellStyle name="Normal 7 4 3 2 3 5 4" xfId="32137"/>
    <cellStyle name="Normal 7 4 3 2 3 6" xfId="8022"/>
    <cellStyle name="Normal 7 4 3 2 3 6 2" xfId="20737"/>
    <cellStyle name="Normal 7 4 3 2 3 6 2 2" xfId="46290"/>
    <cellStyle name="Normal 7 4 3 2 3 6 3" xfId="33579"/>
    <cellStyle name="Normal 7 4 3 2 3 7" xfId="16539"/>
    <cellStyle name="Normal 7 4 3 2 3 7 2" xfId="42092"/>
    <cellStyle name="Normal 7 4 3 2 3 8" xfId="27220"/>
    <cellStyle name="Normal 7 4 3 2 4" xfId="3068"/>
    <cellStyle name="Normal 7 4 3 2 4 2" xfId="5446"/>
    <cellStyle name="Normal 7 4 3 2 4 2 2" xfId="14283"/>
    <cellStyle name="Normal 7 4 3 2 4 2 2 2" xfId="24534"/>
    <cellStyle name="Normal 7 4 3 2 4 2 2 2 2" xfId="50087"/>
    <cellStyle name="Normal 7 4 3 2 4 2 2 3" xfId="39838"/>
    <cellStyle name="Normal 7 4 3 2 4 2 3" xfId="10704"/>
    <cellStyle name="Normal 7 4 3 2 4 2 3 2" xfId="36261"/>
    <cellStyle name="Normal 7 4 3 2 4 2 4" xfId="19527"/>
    <cellStyle name="Normal 7 4 3 2 4 2 4 2" xfId="45080"/>
    <cellStyle name="Normal 7 4 3 2 4 2 5" xfId="31017"/>
    <cellStyle name="Normal 7 4 3 2 4 3" xfId="6901"/>
    <cellStyle name="Normal 7 4 3 2 4 3 2" xfId="15728"/>
    <cellStyle name="Normal 7 4 3 2 4 3 2 2" xfId="41283"/>
    <cellStyle name="Normal 7 4 3 2 4 3 3" xfId="25979"/>
    <cellStyle name="Normal 7 4 3 2 4 3 3 2" xfId="51532"/>
    <cellStyle name="Normal 7 4 3 2 4 3 4" xfId="32462"/>
    <cellStyle name="Normal 7 4 3 2 4 4" xfId="8347"/>
    <cellStyle name="Normal 7 4 3 2 4 4 2" xfId="22429"/>
    <cellStyle name="Normal 7 4 3 2 4 4 2 2" xfId="47982"/>
    <cellStyle name="Normal 7 4 3 2 4 4 3" xfId="33904"/>
    <cellStyle name="Normal 7 4 3 2 4 5" xfId="17422"/>
    <cellStyle name="Normal 7 4 3 2 4 5 2" xfId="42975"/>
    <cellStyle name="Normal 7 4 3 2 4 6" xfId="28912"/>
    <cellStyle name="Normal 7 4 3 2 5" xfId="4402"/>
    <cellStyle name="Normal 7 4 3 2 5 2" xfId="13240"/>
    <cellStyle name="Normal 7 4 3 2 5 2 2" xfId="23491"/>
    <cellStyle name="Normal 7 4 3 2 5 2 2 2" xfId="49044"/>
    <cellStyle name="Normal 7 4 3 2 5 2 3" xfId="38795"/>
    <cellStyle name="Normal 7 4 3 2 5 3" xfId="9661"/>
    <cellStyle name="Normal 7 4 3 2 5 3 2" xfId="35218"/>
    <cellStyle name="Normal 7 4 3 2 5 4" xfId="18484"/>
    <cellStyle name="Normal 7 4 3 2 5 4 2" xfId="44037"/>
    <cellStyle name="Normal 7 4 3 2 5 5" xfId="29974"/>
    <cellStyle name="Normal 7 4 3 2 6" xfId="1674"/>
    <cellStyle name="Normal 7 4 3 2 6 2" xfId="11051"/>
    <cellStyle name="Normal 7 4 3 2 6 2 2" xfId="36606"/>
    <cellStyle name="Normal 7 4 3 2 6 3" xfId="21055"/>
    <cellStyle name="Normal 7 4 3 2 6 3 2" xfId="46608"/>
    <cellStyle name="Normal 7 4 3 2 6 4" xfId="27538"/>
    <cellStyle name="Normal 7 4 3 2 7" xfId="5858"/>
    <cellStyle name="Normal 7 4 3 2 7 2" xfId="14685"/>
    <cellStyle name="Normal 7 4 3 2 7 2 2" xfId="40240"/>
    <cellStyle name="Normal 7 4 3 2 7 3" xfId="24936"/>
    <cellStyle name="Normal 7 4 3 2 7 3 2" xfId="50489"/>
    <cellStyle name="Normal 7 4 3 2 7 4" xfId="31419"/>
    <cellStyle name="Normal 7 4 3 2 8" xfId="7302"/>
    <cellStyle name="Normal 7 4 3 2 8 2" xfId="20028"/>
    <cellStyle name="Normal 7 4 3 2 8 2 2" xfId="45581"/>
    <cellStyle name="Normal 7 4 3 2 8 3" xfId="32859"/>
    <cellStyle name="Normal 7 4 3 2 9" xfId="16048"/>
    <cellStyle name="Normal 7 4 3 2 9 2" xfId="41601"/>
    <cellStyle name="Normal 7 4 3 2_Degree data" xfId="4073"/>
    <cellStyle name="Normal 7 4 3 3" xfId="377"/>
    <cellStyle name="Normal 7 4 3 3 2" xfId="2863"/>
    <cellStyle name="Normal 7 4 3 3 2 2" xfId="12151"/>
    <cellStyle name="Normal 7 4 3 3 2 2 2" xfId="22224"/>
    <cellStyle name="Normal 7 4 3 3 2 2 2 2" xfId="47777"/>
    <cellStyle name="Normal 7 4 3 3 2 2 3" xfId="37706"/>
    <cellStyle name="Normal 7 4 3 3 2 3" xfId="8525"/>
    <cellStyle name="Normal 7 4 3 3 2 3 2" xfId="34082"/>
    <cellStyle name="Normal 7 4 3 3 2 4" xfId="17217"/>
    <cellStyle name="Normal 7 4 3 3 2 4 2" xfId="42770"/>
    <cellStyle name="Normal 7 4 3 3 2 5" xfId="28707"/>
    <cellStyle name="Normal 7 4 3 3 3" xfId="4772"/>
    <cellStyle name="Normal 7 4 3 3 3 2" xfId="13609"/>
    <cellStyle name="Normal 7 4 3 3 3 2 2" xfId="23860"/>
    <cellStyle name="Normal 7 4 3 3 3 2 2 2" xfId="49413"/>
    <cellStyle name="Normal 7 4 3 3 3 2 3" xfId="39164"/>
    <cellStyle name="Normal 7 4 3 3 3 3" xfId="10030"/>
    <cellStyle name="Normal 7 4 3 3 3 3 2" xfId="35587"/>
    <cellStyle name="Normal 7 4 3 3 3 4" xfId="18853"/>
    <cellStyle name="Normal 7 4 3 3 3 4 2" xfId="44406"/>
    <cellStyle name="Normal 7 4 3 3 3 5" xfId="30343"/>
    <cellStyle name="Normal 7 4 3 3 4" xfId="1972"/>
    <cellStyle name="Normal 7 4 3 3 4 2" xfId="11337"/>
    <cellStyle name="Normal 7 4 3 3 4 2 2" xfId="36892"/>
    <cellStyle name="Normal 7 4 3 3 4 3" xfId="21341"/>
    <cellStyle name="Normal 7 4 3 3 4 3 2" xfId="46894"/>
    <cellStyle name="Normal 7 4 3 3 4 4" xfId="27824"/>
    <cellStyle name="Normal 7 4 3 3 5" xfId="6227"/>
    <cellStyle name="Normal 7 4 3 3 5 2" xfId="15054"/>
    <cellStyle name="Normal 7 4 3 3 5 2 2" xfId="40609"/>
    <cellStyle name="Normal 7 4 3 3 5 3" xfId="25305"/>
    <cellStyle name="Normal 7 4 3 3 5 3 2" xfId="50858"/>
    <cellStyle name="Normal 7 4 3 3 5 4" xfId="31788"/>
    <cellStyle name="Normal 7 4 3 3 6" xfId="7673"/>
    <cellStyle name="Normal 7 4 3 3 6 2" xfId="19823"/>
    <cellStyle name="Normal 7 4 3 3 6 2 2" xfId="45376"/>
    <cellStyle name="Normal 7 4 3 3 6 3" xfId="33230"/>
    <cellStyle name="Normal 7 4 3 3 7" xfId="16334"/>
    <cellStyle name="Normal 7 4 3 3 7 2" xfId="41887"/>
    <cellStyle name="Normal 7 4 3 3 8" xfId="26306"/>
    <cellStyle name="Normal 7 4 3 4" xfId="966"/>
    <cellStyle name="Normal 7 4 3 4 2" xfId="3442"/>
    <cellStyle name="Normal 7 4 3 4 2 2" xfId="12584"/>
    <cellStyle name="Normal 7 4 3 4 2 2 2" xfId="22803"/>
    <cellStyle name="Normal 7 4 3 4 2 2 2 2" xfId="48356"/>
    <cellStyle name="Normal 7 4 3 4 2 2 3" xfId="38139"/>
    <cellStyle name="Normal 7 4 3 4 2 3" xfId="9006"/>
    <cellStyle name="Normal 7 4 3 4 2 3 2" xfId="34563"/>
    <cellStyle name="Normal 7 4 3 4 2 4" xfId="17796"/>
    <cellStyle name="Normal 7 4 3 4 2 4 2" xfId="43349"/>
    <cellStyle name="Normal 7 4 3 4 2 5" xfId="29286"/>
    <cellStyle name="Normal 7 4 3 4 3" xfId="5120"/>
    <cellStyle name="Normal 7 4 3 4 3 2" xfId="13957"/>
    <cellStyle name="Normal 7 4 3 4 3 2 2" xfId="24208"/>
    <cellStyle name="Normal 7 4 3 4 3 2 2 2" xfId="49761"/>
    <cellStyle name="Normal 7 4 3 4 3 2 3" xfId="39512"/>
    <cellStyle name="Normal 7 4 3 4 3 3" xfId="10378"/>
    <cellStyle name="Normal 7 4 3 4 3 3 2" xfId="35935"/>
    <cellStyle name="Normal 7 4 3 4 3 4" xfId="19201"/>
    <cellStyle name="Normal 7 4 3 4 3 4 2" xfId="44754"/>
    <cellStyle name="Normal 7 4 3 4 3 5" xfId="30691"/>
    <cellStyle name="Normal 7 4 3 4 4" xfId="2551"/>
    <cellStyle name="Normal 7 4 3 4 4 2" xfId="11916"/>
    <cellStyle name="Normal 7 4 3 4 4 2 2" xfId="37471"/>
    <cellStyle name="Normal 7 4 3 4 4 3" xfId="21920"/>
    <cellStyle name="Normal 7 4 3 4 4 3 2" xfId="47473"/>
    <cellStyle name="Normal 7 4 3 4 4 4" xfId="28403"/>
    <cellStyle name="Normal 7 4 3 4 5" xfId="6575"/>
    <cellStyle name="Normal 7 4 3 4 5 2" xfId="15402"/>
    <cellStyle name="Normal 7 4 3 4 5 2 2" xfId="40957"/>
    <cellStyle name="Normal 7 4 3 4 5 3" xfId="25653"/>
    <cellStyle name="Normal 7 4 3 4 5 3 2" xfId="51206"/>
    <cellStyle name="Normal 7 4 3 4 5 4" xfId="32136"/>
    <cellStyle name="Normal 7 4 3 4 6" xfId="8021"/>
    <cellStyle name="Normal 7 4 3 4 6 2" xfId="20402"/>
    <cellStyle name="Normal 7 4 3 4 6 2 2" xfId="45955"/>
    <cellStyle name="Normal 7 4 3 4 6 3" xfId="33578"/>
    <cellStyle name="Normal 7 4 3 4 7" xfId="16913"/>
    <cellStyle name="Normal 7 4 3 4 7 2" xfId="42466"/>
    <cellStyle name="Normal 7 4 3 4 8" xfId="26885"/>
    <cellStyle name="Normal 7 4 3 5" xfId="1149"/>
    <cellStyle name="Normal 7 4 3 5 2" xfId="3578"/>
    <cellStyle name="Normal 7 4 3 5 2 2" xfId="12714"/>
    <cellStyle name="Normal 7 4 3 5 2 2 2" xfId="22933"/>
    <cellStyle name="Normal 7 4 3 5 2 2 2 2" xfId="48486"/>
    <cellStyle name="Normal 7 4 3 5 2 2 3" xfId="38269"/>
    <cellStyle name="Normal 7 4 3 5 2 3" xfId="9135"/>
    <cellStyle name="Normal 7 4 3 5 2 3 2" xfId="34692"/>
    <cellStyle name="Normal 7 4 3 5 2 4" xfId="17926"/>
    <cellStyle name="Normal 7 4 3 5 2 4 2" xfId="43479"/>
    <cellStyle name="Normal 7 4 3 5 2 5" xfId="29416"/>
    <cellStyle name="Normal 7 4 3 5 3" xfId="5241"/>
    <cellStyle name="Normal 7 4 3 5 3 2" xfId="14078"/>
    <cellStyle name="Normal 7 4 3 5 3 2 2" xfId="24329"/>
    <cellStyle name="Normal 7 4 3 5 3 2 2 2" xfId="49882"/>
    <cellStyle name="Normal 7 4 3 5 3 2 3" xfId="39633"/>
    <cellStyle name="Normal 7 4 3 5 3 3" xfId="10499"/>
    <cellStyle name="Normal 7 4 3 5 3 3 2" xfId="36056"/>
    <cellStyle name="Normal 7 4 3 5 3 4" xfId="19322"/>
    <cellStyle name="Normal 7 4 3 5 3 4 2" xfId="44875"/>
    <cellStyle name="Normal 7 4 3 5 3 5" xfId="30812"/>
    <cellStyle name="Normal 7 4 3 5 4" xfId="1857"/>
    <cellStyle name="Normal 7 4 3 5 4 2" xfId="11225"/>
    <cellStyle name="Normal 7 4 3 5 4 2 2" xfId="36780"/>
    <cellStyle name="Normal 7 4 3 5 4 3" xfId="21229"/>
    <cellStyle name="Normal 7 4 3 5 4 3 2" xfId="46782"/>
    <cellStyle name="Normal 7 4 3 5 4 4" xfId="27712"/>
    <cellStyle name="Normal 7 4 3 5 5" xfId="6696"/>
    <cellStyle name="Normal 7 4 3 5 5 2" xfId="15523"/>
    <cellStyle name="Normal 7 4 3 5 5 2 2" xfId="41078"/>
    <cellStyle name="Normal 7 4 3 5 5 3" xfId="25774"/>
    <cellStyle name="Normal 7 4 3 5 5 3 2" xfId="51327"/>
    <cellStyle name="Normal 7 4 3 5 5 4" xfId="32257"/>
    <cellStyle name="Normal 7 4 3 5 6" xfId="8142"/>
    <cellStyle name="Normal 7 4 3 5 6 2" xfId="20532"/>
    <cellStyle name="Normal 7 4 3 5 6 2 2" xfId="46085"/>
    <cellStyle name="Normal 7 4 3 5 6 3" xfId="33699"/>
    <cellStyle name="Normal 7 4 3 5 7" xfId="16222"/>
    <cellStyle name="Normal 7 4 3 5 7 2" xfId="41775"/>
    <cellStyle name="Normal 7 4 3 5 8" xfId="27015"/>
    <cellStyle name="Normal 7 4 3 6" xfId="2751"/>
    <cellStyle name="Normal 7 4 3 6 2" xfId="12068"/>
    <cellStyle name="Normal 7 4 3 6 2 2" xfId="22112"/>
    <cellStyle name="Normal 7 4 3 6 2 2 2" xfId="47665"/>
    <cellStyle name="Normal 7 4 3 6 2 3" xfId="37623"/>
    <cellStyle name="Normal 7 4 3 6 3" xfId="8545"/>
    <cellStyle name="Normal 7 4 3 6 3 2" xfId="34102"/>
    <cellStyle name="Normal 7 4 3 6 4" xfId="17105"/>
    <cellStyle name="Normal 7 4 3 6 4 2" xfId="42658"/>
    <cellStyle name="Normal 7 4 3 6 5" xfId="28595"/>
    <cellStyle name="Normal 7 4 3 7" xfId="4197"/>
    <cellStyle name="Normal 7 4 3 7 2" xfId="13035"/>
    <cellStyle name="Normal 7 4 3 7 2 2" xfId="23286"/>
    <cellStyle name="Normal 7 4 3 7 2 2 2" xfId="48839"/>
    <cellStyle name="Normal 7 4 3 7 2 3" xfId="38590"/>
    <cellStyle name="Normal 7 4 3 7 3" xfId="9456"/>
    <cellStyle name="Normal 7 4 3 7 3 2" xfId="35013"/>
    <cellStyle name="Normal 7 4 3 7 4" xfId="18279"/>
    <cellStyle name="Normal 7 4 3 7 4 2" xfId="43832"/>
    <cellStyle name="Normal 7 4 3 7 5" xfId="29769"/>
    <cellStyle name="Normal 7 4 3 8" xfId="1469"/>
    <cellStyle name="Normal 7 4 3 8 2" xfId="10846"/>
    <cellStyle name="Normal 7 4 3 8 2 2" xfId="36401"/>
    <cellStyle name="Normal 7 4 3 8 3" xfId="20850"/>
    <cellStyle name="Normal 7 4 3 8 3 2" xfId="46403"/>
    <cellStyle name="Normal 7 4 3 8 4" xfId="27333"/>
    <cellStyle name="Normal 7 4 3 9" xfId="5653"/>
    <cellStyle name="Normal 7 4 3 9 2" xfId="14480"/>
    <cellStyle name="Normal 7 4 3 9 2 2" xfId="40035"/>
    <cellStyle name="Normal 7 4 3 9 3" xfId="24731"/>
    <cellStyle name="Normal 7 4 3 9 3 2" xfId="50284"/>
    <cellStyle name="Normal 7 4 3 9 4" xfId="31214"/>
    <cellStyle name="Normal 7 4 3_Degree data" xfId="4072"/>
    <cellStyle name="Normal 7 4 4" xfId="477"/>
    <cellStyle name="Normal 7 4 4 10" xfId="26406"/>
    <cellStyle name="Normal 7 4 4 2" xfId="968"/>
    <cellStyle name="Normal 7 4 4 2 2" xfId="3444"/>
    <cellStyle name="Normal 7 4 4 2 2 2" xfId="12586"/>
    <cellStyle name="Normal 7 4 4 2 2 2 2" xfId="22805"/>
    <cellStyle name="Normal 7 4 4 2 2 2 2 2" xfId="48358"/>
    <cellStyle name="Normal 7 4 4 2 2 2 3" xfId="38141"/>
    <cellStyle name="Normal 7 4 4 2 2 3" xfId="9008"/>
    <cellStyle name="Normal 7 4 4 2 2 3 2" xfId="34565"/>
    <cellStyle name="Normal 7 4 4 2 2 4" xfId="17798"/>
    <cellStyle name="Normal 7 4 4 2 2 4 2" xfId="43351"/>
    <cellStyle name="Normal 7 4 4 2 2 5" xfId="29288"/>
    <cellStyle name="Normal 7 4 4 2 3" xfId="4774"/>
    <cellStyle name="Normal 7 4 4 2 3 2" xfId="13611"/>
    <cellStyle name="Normal 7 4 4 2 3 2 2" xfId="23862"/>
    <cellStyle name="Normal 7 4 4 2 3 2 2 2" xfId="49415"/>
    <cellStyle name="Normal 7 4 4 2 3 2 3" xfId="39166"/>
    <cellStyle name="Normal 7 4 4 2 3 3" xfId="10032"/>
    <cellStyle name="Normal 7 4 4 2 3 3 2" xfId="35589"/>
    <cellStyle name="Normal 7 4 4 2 3 4" xfId="18855"/>
    <cellStyle name="Normal 7 4 4 2 3 4 2" xfId="44408"/>
    <cellStyle name="Normal 7 4 4 2 3 5" xfId="30345"/>
    <cellStyle name="Normal 7 4 4 2 4" xfId="2553"/>
    <cellStyle name="Normal 7 4 4 2 4 2" xfId="11918"/>
    <cellStyle name="Normal 7 4 4 2 4 2 2" xfId="37473"/>
    <cellStyle name="Normal 7 4 4 2 4 3" xfId="21922"/>
    <cellStyle name="Normal 7 4 4 2 4 3 2" xfId="47475"/>
    <cellStyle name="Normal 7 4 4 2 4 4" xfId="28405"/>
    <cellStyle name="Normal 7 4 4 2 5" xfId="6229"/>
    <cellStyle name="Normal 7 4 4 2 5 2" xfId="15056"/>
    <cellStyle name="Normal 7 4 4 2 5 2 2" xfId="40611"/>
    <cellStyle name="Normal 7 4 4 2 5 3" xfId="25307"/>
    <cellStyle name="Normal 7 4 4 2 5 3 2" xfId="50860"/>
    <cellStyle name="Normal 7 4 4 2 5 4" xfId="31790"/>
    <cellStyle name="Normal 7 4 4 2 6" xfId="7675"/>
    <cellStyle name="Normal 7 4 4 2 6 2" xfId="20404"/>
    <cellStyle name="Normal 7 4 4 2 6 2 2" xfId="45957"/>
    <cellStyle name="Normal 7 4 4 2 6 3" xfId="33232"/>
    <cellStyle name="Normal 7 4 4 2 7" xfId="16915"/>
    <cellStyle name="Normal 7 4 4 2 7 2" xfId="42468"/>
    <cellStyle name="Normal 7 4 4 2 8" xfId="26887"/>
    <cellStyle name="Normal 7 4 4 3" xfId="1249"/>
    <cellStyle name="Normal 7 4 4 3 2" xfId="3678"/>
    <cellStyle name="Normal 7 4 4 3 2 2" xfId="12814"/>
    <cellStyle name="Normal 7 4 4 3 2 2 2" xfId="23033"/>
    <cellStyle name="Normal 7 4 4 3 2 2 2 2" xfId="48586"/>
    <cellStyle name="Normal 7 4 4 3 2 2 3" xfId="38369"/>
    <cellStyle name="Normal 7 4 4 3 2 3" xfId="9235"/>
    <cellStyle name="Normal 7 4 4 3 2 3 2" xfId="34792"/>
    <cellStyle name="Normal 7 4 4 3 2 4" xfId="18026"/>
    <cellStyle name="Normal 7 4 4 3 2 4 2" xfId="43579"/>
    <cellStyle name="Normal 7 4 4 3 2 5" xfId="29516"/>
    <cellStyle name="Normal 7 4 4 3 3" xfId="5122"/>
    <cellStyle name="Normal 7 4 4 3 3 2" xfId="13959"/>
    <cellStyle name="Normal 7 4 4 3 3 2 2" xfId="24210"/>
    <cellStyle name="Normal 7 4 4 3 3 2 2 2" xfId="49763"/>
    <cellStyle name="Normal 7 4 4 3 3 2 3" xfId="39514"/>
    <cellStyle name="Normal 7 4 4 3 3 3" xfId="10380"/>
    <cellStyle name="Normal 7 4 4 3 3 3 2" xfId="35937"/>
    <cellStyle name="Normal 7 4 4 3 3 4" xfId="19203"/>
    <cellStyle name="Normal 7 4 4 3 3 4 2" xfId="44756"/>
    <cellStyle name="Normal 7 4 4 3 3 5" xfId="30693"/>
    <cellStyle name="Normal 7 4 4 3 4" xfId="2072"/>
    <cellStyle name="Normal 7 4 4 3 4 2" xfId="11437"/>
    <cellStyle name="Normal 7 4 4 3 4 2 2" xfId="36992"/>
    <cellStyle name="Normal 7 4 4 3 4 3" xfId="21441"/>
    <cellStyle name="Normal 7 4 4 3 4 3 2" xfId="46994"/>
    <cellStyle name="Normal 7 4 4 3 4 4" xfId="27924"/>
    <cellStyle name="Normal 7 4 4 3 5" xfId="6577"/>
    <cellStyle name="Normal 7 4 4 3 5 2" xfId="15404"/>
    <cellStyle name="Normal 7 4 4 3 5 2 2" xfId="40959"/>
    <cellStyle name="Normal 7 4 4 3 5 3" xfId="25655"/>
    <cellStyle name="Normal 7 4 4 3 5 3 2" xfId="51208"/>
    <cellStyle name="Normal 7 4 4 3 5 4" xfId="32138"/>
    <cellStyle name="Normal 7 4 4 3 6" xfId="8023"/>
    <cellStyle name="Normal 7 4 4 3 6 2" xfId="20632"/>
    <cellStyle name="Normal 7 4 4 3 6 2 2" xfId="46185"/>
    <cellStyle name="Normal 7 4 4 3 6 3" xfId="33580"/>
    <cellStyle name="Normal 7 4 4 3 7" xfId="16434"/>
    <cellStyle name="Normal 7 4 4 3 7 2" xfId="41987"/>
    <cellStyle name="Normal 7 4 4 3 8" xfId="27115"/>
    <cellStyle name="Normal 7 4 4 4" xfId="2963"/>
    <cellStyle name="Normal 7 4 4 4 2" xfId="5341"/>
    <cellStyle name="Normal 7 4 4 4 2 2" xfId="14178"/>
    <cellStyle name="Normal 7 4 4 4 2 2 2" xfId="24429"/>
    <cellStyle name="Normal 7 4 4 4 2 2 2 2" xfId="49982"/>
    <cellStyle name="Normal 7 4 4 4 2 2 3" xfId="39733"/>
    <cellStyle name="Normal 7 4 4 4 2 3" xfId="10599"/>
    <cellStyle name="Normal 7 4 4 4 2 3 2" xfId="36156"/>
    <cellStyle name="Normal 7 4 4 4 2 4" xfId="19422"/>
    <cellStyle name="Normal 7 4 4 4 2 4 2" xfId="44975"/>
    <cellStyle name="Normal 7 4 4 4 2 5" xfId="30912"/>
    <cellStyle name="Normal 7 4 4 4 3" xfId="6796"/>
    <cellStyle name="Normal 7 4 4 4 3 2" xfId="15623"/>
    <cellStyle name="Normal 7 4 4 4 3 2 2" xfId="41178"/>
    <cellStyle name="Normal 7 4 4 4 3 3" xfId="25874"/>
    <cellStyle name="Normal 7 4 4 4 3 3 2" xfId="51427"/>
    <cellStyle name="Normal 7 4 4 4 3 4" xfId="32357"/>
    <cellStyle name="Normal 7 4 4 4 4" xfId="8242"/>
    <cellStyle name="Normal 7 4 4 4 4 2" xfId="22324"/>
    <cellStyle name="Normal 7 4 4 4 4 2 2" xfId="47877"/>
    <cellStyle name="Normal 7 4 4 4 4 3" xfId="33799"/>
    <cellStyle name="Normal 7 4 4 4 5" xfId="17317"/>
    <cellStyle name="Normal 7 4 4 4 5 2" xfId="42870"/>
    <cellStyle name="Normal 7 4 4 4 6" xfId="28807"/>
    <cellStyle name="Normal 7 4 4 5" xfId="4297"/>
    <cellStyle name="Normal 7 4 4 5 2" xfId="13135"/>
    <cellStyle name="Normal 7 4 4 5 2 2" xfId="23386"/>
    <cellStyle name="Normal 7 4 4 5 2 2 2" xfId="48939"/>
    <cellStyle name="Normal 7 4 4 5 2 3" xfId="38690"/>
    <cellStyle name="Normal 7 4 4 5 3" xfId="9556"/>
    <cellStyle name="Normal 7 4 4 5 3 2" xfId="35113"/>
    <cellStyle name="Normal 7 4 4 5 4" xfId="18379"/>
    <cellStyle name="Normal 7 4 4 5 4 2" xfId="43932"/>
    <cellStyle name="Normal 7 4 4 5 5" xfId="29869"/>
    <cellStyle name="Normal 7 4 4 6" xfId="1569"/>
    <cellStyle name="Normal 7 4 4 6 2" xfId="10946"/>
    <cellStyle name="Normal 7 4 4 6 2 2" xfId="36501"/>
    <cellStyle name="Normal 7 4 4 6 3" xfId="20950"/>
    <cellStyle name="Normal 7 4 4 6 3 2" xfId="46503"/>
    <cellStyle name="Normal 7 4 4 6 4" xfId="27433"/>
    <cellStyle name="Normal 7 4 4 7" xfId="5753"/>
    <cellStyle name="Normal 7 4 4 7 2" xfId="14580"/>
    <cellStyle name="Normal 7 4 4 7 2 2" xfId="40135"/>
    <cellStyle name="Normal 7 4 4 7 3" xfId="24831"/>
    <cellStyle name="Normal 7 4 4 7 3 2" xfId="50384"/>
    <cellStyle name="Normal 7 4 4 7 4" xfId="31314"/>
    <cellStyle name="Normal 7 4 4 8" xfId="7197"/>
    <cellStyle name="Normal 7 4 4 8 2" xfId="19923"/>
    <cellStyle name="Normal 7 4 4 8 2 2" xfId="45476"/>
    <cellStyle name="Normal 7 4 4 8 3" xfId="32754"/>
    <cellStyle name="Normal 7 4 4 9" xfId="15943"/>
    <cellStyle name="Normal 7 4 4 9 2" xfId="41496"/>
    <cellStyle name="Normal 7 4 4_Degree data" xfId="4074"/>
    <cellStyle name="Normal 7 4 5" xfId="318"/>
    <cellStyle name="Normal 7 4 5 2" xfId="2804"/>
    <cellStyle name="Normal 7 4 5 2 2" xfId="12108"/>
    <cellStyle name="Normal 7 4 5 2 2 2" xfId="22165"/>
    <cellStyle name="Normal 7 4 5 2 2 2 2" xfId="47718"/>
    <cellStyle name="Normal 7 4 5 2 2 3" xfId="37663"/>
    <cellStyle name="Normal 7 4 5 2 3" xfId="8425"/>
    <cellStyle name="Normal 7 4 5 2 3 2" xfId="33982"/>
    <cellStyle name="Normal 7 4 5 2 4" xfId="17158"/>
    <cellStyle name="Normal 7 4 5 2 4 2" xfId="42711"/>
    <cellStyle name="Normal 7 4 5 2 5" xfId="28648"/>
    <cellStyle name="Normal 7 4 5 3" xfId="4769"/>
    <cellStyle name="Normal 7 4 5 3 2" xfId="13606"/>
    <cellStyle name="Normal 7 4 5 3 2 2" xfId="23857"/>
    <cellStyle name="Normal 7 4 5 3 2 2 2" xfId="49410"/>
    <cellStyle name="Normal 7 4 5 3 2 3" xfId="39161"/>
    <cellStyle name="Normal 7 4 5 3 3" xfId="10027"/>
    <cellStyle name="Normal 7 4 5 3 3 2" xfId="35584"/>
    <cellStyle name="Normal 7 4 5 3 4" xfId="18850"/>
    <cellStyle name="Normal 7 4 5 3 4 2" xfId="44403"/>
    <cellStyle name="Normal 7 4 5 3 5" xfId="30340"/>
    <cellStyle name="Normal 7 4 5 4" xfId="1913"/>
    <cellStyle name="Normal 7 4 5 4 2" xfId="11278"/>
    <cellStyle name="Normal 7 4 5 4 2 2" xfId="36833"/>
    <cellStyle name="Normal 7 4 5 4 3" xfId="21282"/>
    <cellStyle name="Normal 7 4 5 4 3 2" xfId="46835"/>
    <cellStyle name="Normal 7 4 5 4 4" xfId="27765"/>
    <cellStyle name="Normal 7 4 5 5" xfId="6224"/>
    <cellStyle name="Normal 7 4 5 5 2" xfId="15051"/>
    <cellStyle name="Normal 7 4 5 5 2 2" xfId="40606"/>
    <cellStyle name="Normal 7 4 5 5 3" xfId="25302"/>
    <cellStyle name="Normal 7 4 5 5 3 2" xfId="50855"/>
    <cellStyle name="Normal 7 4 5 5 4" xfId="31785"/>
    <cellStyle name="Normal 7 4 5 6" xfId="7670"/>
    <cellStyle name="Normal 7 4 5 6 2" xfId="19764"/>
    <cellStyle name="Normal 7 4 5 6 2 2" xfId="45317"/>
    <cellStyle name="Normal 7 4 5 6 3" xfId="33227"/>
    <cellStyle name="Normal 7 4 5 7" xfId="16275"/>
    <cellStyle name="Normal 7 4 5 7 2" xfId="41828"/>
    <cellStyle name="Normal 7 4 5 8" xfId="26247"/>
    <cellStyle name="Normal 7 4 6" xfId="963"/>
    <cellStyle name="Normal 7 4 6 2" xfId="3439"/>
    <cellStyle name="Normal 7 4 6 2 2" xfId="12581"/>
    <cellStyle name="Normal 7 4 6 2 2 2" xfId="22800"/>
    <cellStyle name="Normal 7 4 6 2 2 2 2" xfId="48353"/>
    <cellStyle name="Normal 7 4 6 2 2 3" xfId="38136"/>
    <cellStyle name="Normal 7 4 6 2 3" xfId="9003"/>
    <cellStyle name="Normal 7 4 6 2 3 2" xfId="34560"/>
    <cellStyle name="Normal 7 4 6 2 4" xfId="17793"/>
    <cellStyle name="Normal 7 4 6 2 4 2" xfId="43346"/>
    <cellStyle name="Normal 7 4 6 2 5" xfId="29283"/>
    <cellStyle name="Normal 7 4 6 3" xfId="5117"/>
    <cellStyle name="Normal 7 4 6 3 2" xfId="13954"/>
    <cellStyle name="Normal 7 4 6 3 2 2" xfId="24205"/>
    <cellStyle name="Normal 7 4 6 3 2 2 2" xfId="49758"/>
    <cellStyle name="Normal 7 4 6 3 2 3" xfId="39509"/>
    <cellStyle name="Normal 7 4 6 3 3" xfId="10375"/>
    <cellStyle name="Normal 7 4 6 3 3 2" xfId="35932"/>
    <cellStyle name="Normal 7 4 6 3 4" xfId="19198"/>
    <cellStyle name="Normal 7 4 6 3 4 2" xfId="44751"/>
    <cellStyle name="Normal 7 4 6 3 5" xfId="30688"/>
    <cellStyle name="Normal 7 4 6 4" xfId="2548"/>
    <cellStyle name="Normal 7 4 6 4 2" xfId="11913"/>
    <cellStyle name="Normal 7 4 6 4 2 2" xfId="37468"/>
    <cellStyle name="Normal 7 4 6 4 3" xfId="21917"/>
    <cellStyle name="Normal 7 4 6 4 3 2" xfId="47470"/>
    <cellStyle name="Normal 7 4 6 4 4" xfId="28400"/>
    <cellStyle name="Normal 7 4 6 5" xfId="6572"/>
    <cellStyle name="Normal 7 4 6 5 2" xfId="15399"/>
    <cellStyle name="Normal 7 4 6 5 2 2" xfId="40954"/>
    <cellStyle name="Normal 7 4 6 5 3" xfId="25650"/>
    <cellStyle name="Normal 7 4 6 5 3 2" xfId="51203"/>
    <cellStyle name="Normal 7 4 6 5 4" xfId="32133"/>
    <cellStyle name="Normal 7 4 6 6" xfId="8018"/>
    <cellStyle name="Normal 7 4 6 6 2" xfId="20399"/>
    <cellStyle name="Normal 7 4 6 6 2 2" xfId="45952"/>
    <cellStyle name="Normal 7 4 6 6 3" xfId="33575"/>
    <cellStyle name="Normal 7 4 6 7" xfId="16910"/>
    <cellStyle name="Normal 7 4 6 7 2" xfId="42463"/>
    <cellStyle name="Normal 7 4 6 8" xfId="26882"/>
    <cellStyle name="Normal 7 4 7" xfId="1090"/>
    <cellStyle name="Normal 7 4 7 2" xfId="3519"/>
    <cellStyle name="Normal 7 4 7 2 2" xfId="12655"/>
    <cellStyle name="Normal 7 4 7 2 2 2" xfId="22874"/>
    <cellStyle name="Normal 7 4 7 2 2 2 2" xfId="48427"/>
    <cellStyle name="Normal 7 4 7 2 2 3" xfId="38210"/>
    <cellStyle name="Normal 7 4 7 2 3" xfId="9077"/>
    <cellStyle name="Normal 7 4 7 2 3 2" xfId="34634"/>
    <cellStyle name="Normal 7 4 7 2 4" xfId="17867"/>
    <cellStyle name="Normal 7 4 7 2 4 2" xfId="43420"/>
    <cellStyle name="Normal 7 4 7 2 5" xfId="29357"/>
    <cellStyle name="Normal 7 4 7 3" xfId="5182"/>
    <cellStyle name="Normal 7 4 7 3 2" xfId="14019"/>
    <cellStyle name="Normal 7 4 7 3 2 2" xfId="24270"/>
    <cellStyle name="Normal 7 4 7 3 2 2 2" xfId="49823"/>
    <cellStyle name="Normal 7 4 7 3 2 3" xfId="39574"/>
    <cellStyle name="Normal 7 4 7 3 3" xfId="10440"/>
    <cellStyle name="Normal 7 4 7 3 3 2" xfId="35997"/>
    <cellStyle name="Normal 7 4 7 3 4" xfId="19263"/>
    <cellStyle name="Normal 7 4 7 3 4 2" xfId="44816"/>
    <cellStyle name="Normal 7 4 7 3 5" xfId="30753"/>
    <cellStyle name="Normal 7 4 7 4" xfId="1748"/>
    <cellStyle name="Normal 7 4 7 4 2" xfId="11119"/>
    <cellStyle name="Normal 7 4 7 4 2 2" xfId="36674"/>
    <cellStyle name="Normal 7 4 7 4 3" xfId="21123"/>
    <cellStyle name="Normal 7 4 7 4 3 2" xfId="46676"/>
    <cellStyle name="Normal 7 4 7 4 4" xfId="27606"/>
    <cellStyle name="Normal 7 4 7 5" xfId="6637"/>
    <cellStyle name="Normal 7 4 7 5 2" xfId="15464"/>
    <cellStyle name="Normal 7 4 7 5 2 2" xfId="41019"/>
    <cellStyle name="Normal 7 4 7 5 3" xfId="25715"/>
    <cellStyle name="Normal 7 4 7 5 3 2" xfId="51268"/>
    <cellStyle name="Normal 7 4 7 5 4" xfId="32198"/>
    <cellStyle name="Normal 7 4 7 6" xfId="8083"/>
    <cellStyle name="Normal 7 4 7 6 2" xfId="20473"/>
    <cellStyle name="Normal 7 4 7 6 2 2" xfId="46026"/>
    <cellStyle name="Normal 7 4 7 6 3" xfId="33640"/>
    <cellStyle name="Normal 7 4 7 7" xfId="16116"/>
    <cellStyle name="Normal 7 4 7 7 2" xfId="41669"/>
    <cellStyle name="Normal 7 4 7 8" xfId="26956"/>
    <cellStyle name="Normal 7 4 8" xfId="2646"/>
    <cellStyle name="Normal 7 4 8 2" xfId="5594"/>
    <cellStyle name="Normal 7 4 8 2 2" xfId="14421"/>
    <cellStyle name="Normal 7 4 8 2 2 2" xfId="39976"/>
    <cellStyle name="Normal 7 4 8 2 3" xfId="24672"/>
    <cellStyle name="Normal 7 4 8 2 3 2" xfId="50225"/>
    <cellStyle name="Normal 7 4 8 2 4" xfId="31155"/>
    <cellStyle name="Normal 7 4 8 3" xfId="7038"/>
    <cellStyle name="Normal 7 4 8 3 2" xfId="22007"/>
    <cellStyle name="Normal 7 4 8 3 2 2" xfId="47560"/>
    <cellStyle name="Normal 7 4 8 3 3" xfId="32595"/>
    <cellStyle name="Normal 7 4 8 4" xfId="17000"/>
    <cellStyle name="Normal 7 4 8 4 2" xfId="42553"/>
    <cellStyle name="Normal 7 4 8 5" xfId="28490"/>
    <cellStyle name="Normal 7 4 9" xfId="4136"/>
    <cellStyle name="Normal 7 4 9 2" xfId="12974"/>
    <cellStyle name="Normal 7 4 9 2 2" xfId="23225"/>
    <cellStyle name="Normal 7 4 9 2 2 2" xfId="48778"/>
    <cellStyle name="Normal 7 4 9 2 3" xfId="38529"/>
    <cellStyle name="Normal 7 4 9 3" xfId="9395"/>
    <cellStyle name="Normal 7 4 9 3 2" xfId="34952"/>
    <cellStyle name="Normal 7 4 9 4" xfId="18218"/>
    <cellStyle name="Normal 7 4 9 4 2" xfId="43771"/>
    <cellStyle name="Normal 7 4 9 5" xfId="29708"/>
    <cellStyle name="Normal 7 4_Degree data" xfId="4069"/>
    <cellStyle name="Normal 7 5" xfId="175"/>
    <cellStyle name="Normal 7 5 10" xfId="7123"/>
    <cellStyle name="Normal 7 5 10 2" xfId="19632"/>
    <cellStyle name="Normal 7 5 10 2 2" xfId="45185"/>
    <cellStyle name="Normal 7 5 10 3" xfId="32680"/>
    <cellStyle name="Normal 7 5 11" xfId="15869"/>
    <cellStyle name="Normal 7 5 11 2" xfId="41422"/>
    <cellStyle name="Normal 7 5 12" xfId="26115"/>
    <cellStyle name="Normal 7 5 2" xfId="503"/>
    <cellStyle name="Normal 7 5 2 10" xfId="26432"/>
    <cellStyle name="Normal 7 5 2 2" xfId="970"/>
    <cellStyle name="Normal 7 5 2 2 2" xfId="3446"/>
    <cellStyle name="Normal 7 5 2 2 2 2" xfId="12588"/>
    <cellStyle name="Normal 7 5 2 2 2 2 2" xfId="22807"/>
    <cellStyle name="Normal 7 5 2 2 2 2 2 2" xfId="48360"/>
    <cellStyle name="Normal 7 5 2 2 2 2 3" xfId="38143"/>
    <cellStyle name="Normal 7 5 2 2 2 3" xfId="9010"/>
    <cellStyle name="Normal 7 5 2 2 2 3 2" xfId="34567"/>
    <cellStyle name="Normal 7 5 2 2 2 4" xfId="17800"/>
    <cellStyle name="Normal 7 5 2 2 2 4 2" xfId="43353"/>
    <cellStyle name="Normal 7 5 2 2 2 5" xfId="29290"/>
    <cellStyle name="Normal 7 5 2 2 3" xfId="4776"/>
    <cellStyle name="Normal 7 5 2 2 3 2" xfId="13613"/>
    <cellStyle name="Normal 7 5 2 2 3 2 2" xfId="23864"/>
    <cellStyle name="Normal 7 5 2 2 3 2 2 2" xfId="49417"/>
    <cellStyle name="Normal 7 5 2 2 3 2 3" xfId="39168"/>
    <cellStyle name="Normal 7 5 2 2 3 3" xfId="10034"/>
    <cellStyle name="Normal 7 5 2 2 3 3 2" xfId="35591"/>
    <cellStyle name="Normal 7 5 2 2 3 4" xfId="18857"/>
    <cellStyle name="Normal 7 5 2 2 3 4 2" xfId="44410"/>
    <cellStyle name="Normal 7 5 2 2 3 5" xfId="30347"/>
    <cellStyle name="Normal 7 5 2 2 4" xfId="2555"/>
    <cellStyle name="Normal 7 5 2 2 4 2" xfId="11920"/>
    <cellStyle name="Normal 7 5 2 2 4 2 2" xfId="37475"/>
    <cellStyle name="Normal 7 5 2 2 4 3" xfId="21924"/>
    <cellStyle name="Normal 7 5 2 2 4 3 2" xfId="47477"/>
    <cellStyle name="Normal 7 5 2 2 4 4" xfId="28407"/>
    <cellStyle name="Normal 7 5 2 2 5" xfId="6231"/>
    <cellStyle name="Normal 7 5 2 2 5 2" xfId="15058"/>
    <cellStyle name="Normal 7 5 2 2 5 2 2" xfId="40613"/>
    <cellStyle name="Normal 7 5 2 2 5 3" xfId="25309"/>
    <cellStyle name="Normal 7 5 2 2 5 3 2" xfId="50862"/>
    <cellStyle name="Normal 7 5 2 2 5 4" xfId="31792"/>
    <cellStyle name="Normal 7 5 2 2 6" xfId="7677"/>
    <cellStyle name="Normal 7 5 2 2 6 2" xfId="20406"/>
    <cellStyle name="Normal 7 5 2 2 6 2 2" xfId="45959"/>
    <cellStyle name="Normal 7 5 2 2 6 3" xfId="33234"/>
    <cellStyle name="Normal 7 5 2 2 7" xfId="16917"/>
    <cellStyle name="Normal 7 5 2 2 7 2" xfId="42470"/>
    <cellStyle name="Normal 7 5 2 2 8" xfId="26889"/>
    <cellStyle name="Normal 7 5 2 3" xfId="1275"/>
    <cellStyle name="Normal 7 5 2 3 2" xfId="3704"/>
    <cellStyle name="Normal 7 5 2 3 2 2" xfId="12840"/>
    <cellStyle name="Normal 7 5 2 3 2 2 2" xfId="23059"/>
    <cellStyle name="Normal 7 5 2 3 2 2 2 2" xfId="48612"/>
    <cellStyle name="Normal 7 5 2 3 2 2 3" xfId="38395"/>
    <cellStyle name="Normal 7 5 2 3 2 3" xfId="9261"/>
    <cellStyle name="Normal 7 5 2 3 2 3 2" xfId="34818"/>
    <cellStyle name="Normal 7 5 2 3 2 4" xfId="18052"/>
    <cellStyle name="Normal 7 5 2 3 2 4 2" xfId="43605"/>
    <cellStyle name="Normal 7 5 2 3 2 5" xfId="29542"/>
    <cellStyle name="Normal 7 5 2 3 3" xfId="5124"/>
    <cellStyle name="Normal 7 5 2 3 3 2" xfId="13961"/>
    <cellStyle name="Normal 7 5 2 3 3 2 2" xfId="24212"/>
    <cellStyle name="Normal 7 5 2 3 3 2 2 2" xfId="49765"/>
    <cellStyle name="Normal 7 5 2 3 3 2 3" xfId="39516"/>
    <cellStyle name="Normal 7 5 2 3 3 3" xfId="10382"/>
    <cellStyle name="Normal 7 5 2 3 3 3 2" xfId="35939"/>
    <cellStyle name="Normal 7 5 2 3 3 4" xfId="19205"/>
    <cellStyle name="Normal 7 5 2 3 3 4 2" xfId="44758"/>
    <cellStyle name="Normal 7 5 2 3 3 5" xfId="30695"/>
    <cellStyle name="Normal 7 5 2 3 4" xfId="2098"/>
    <cellStyle name="Normal 7 5 2 3 4 2" xfId="11463"/>
    <cellStyle name="Normal 7 5 2 3 4 2 2" xfId="37018"/>
    <cellStyle name="Normal 7 5 2 3 4 3" xfId="21467"/>
    <cellStyle name="Normal 7 5 2 3 4 3 2" xfId="47020"/>
    <cellStyle name="Normal 7 5 2 3 4 4" xfId="27950"/>
    <cellStyle name="Normal 7 5 2 3 5" xfId="6579"/>
    <cellStyle name="Normal 7 5 2 3 5 2" xfId="15406"/>
    <cellStyle name="Normal 7 5 2 3 5 2 2" xfId="40961"/>
    <cellStyle name="Normal 7 5 2 3 5 3" xfId="25657"/>
    <cellStyle name="Normal 7 5 2 3 5 3 2" xfId="51210"/>
    <cellStyle name="Normal 7 5 2 3 5 4" xfId="32140"/>
    <cellStyle name="Normal 7 5 2 3 6" xfId="8025"/>
    <cellStyle name="Normal 7 5 2 3 6 2" xfId="20658"/>
    <cellStyle name="Normal 7 5 2 3 6 2 2" xfId="46211"/>
    <cellStyle name="Normal 7 5 2 3 6 3" xfId="33582"/>
    <cellStyle name="Normal 7 5 2 3 7" xfId="16460"/>
    <cellStyle name="Normal 7 5 2 3 7 2" xfId="42013"/>
    <cellStyle name="Normal 7 5 2 3 8" xfId="27141"/>
    <cellStyle name="Normal 7 5 2 4" xfId="2989"/>
    <cellStyle name="Normal 7 5 2 4 2" xfId="5367"/>
    <cellStyle name="Normal 7 5 2 4 2 2" xfId="14204"/>
    <cellStyle name="Normal 7 5 2 4 2 2 2" xfId="24455"/>
    <cellStyle name="Normal 7 5 2 4 2 2 2 2" xfId="50008"/>
    <cellStyle name="Normal 7 5 2 4 2 2 3" xfId="39759"/>
    <cellStyle name="Normal 7 5 2 4 2 3" xfId="10625"/>
    <cellStyle name="Normal 7 5 2 4 2 3 2" xfId="36182"/>
    <cellStyle name="Normal 7 5 2 4 2 4" xfId="19448"/>
    <cellStyle name="Normal 7 5 2 4 2 4 2" xfId="45001"/>
    <cellStyle name="Normal 7 5 2 4 2 5" xfId="30938"/>
    <cellStyle name="Normal 7 5 2 4 3" xfId="6822"/>
    <cellStyle name="Normal 7 5 2 4 3 2" xfId="15649"/>
    <cellStyle name="Normal 7 5 2 4 3 2 2" xfId="41204"/>
    <cellStyle name="Normal 7 5 2 4 3 3" xfId="25900"/>
    <cellStyle name="Normal 7 5 2 4 3 3 2" xfId="51453"/>
    <cellStyle name="Normal 7 5 2 4 3 4" xfId="32383"/>
    <cellStyle name="Normal 7 5 2 4 4" xfId="8268"/>
    <cellStyle name="Normal 7 5 2 4 4 2" xfId="22350"/>
    <cellStyle name="Normal 7 5 2 4 4 2 2" xfId="47903"/>
    <cellStyle name="Normal 7 5 2 4 4 3" xfId="33825"/>
    <cellStyle name="Normal 7 5 2 4 5" xfId="17343"/>
    <cellStyle name="Normal 7 5 2 4 5 2" xfId="42896"/>
    <cellStyle name="Normal 7 5 2 4 6" xfId="28833"/>
    <cellStyle name="Normal 7 5 2 5" xfId="4323"/>
    <cellStyle name="Normal 7 5 2 5 2" xfId="13161"/>
    <cellStyle name="Normal 7 5 2 5 2 2" xfId="23412"/>
    <cellStyle name="Normal 7 5 2 5 2 2 2" xfId="48965"/>
    <cellStyle name="Normal 7 5 2 5 2 3" xfId="38716"/>
    <cellStyle name="Normal 7 5 2 5 3" xfId="9582"/>
    <cellStyle name="Normal 7 5 2 5 3 2" xfId="35139"/>
    <cellStyle name="Normal 7 5 2 5 4" xfId="18405"/>
    <cellStyle name="Normal 7 5 2 5 4 2" xfId="43958"/>
    <cellStyle name="Normal 7 5 2 5 5" xfId="29895"/>
    <cellStyle name="Normal 7 5 2 6" xfId="1595"/>
    <cellStyle name="Normal 7 5 2 6 2" xfId="10972"/>
    <cellStyle name="Normal 7 5 2 6 2 2" xfId="36527"/>
    <cellStyle name="Normal 7 5 2 6 3" xfId="20976"/>
    <cellStyle name="Normal 7 5 2 6 3 2" xfId="46529"/>
    <cellStyle name="Normal 7 5 2 6 4" xfId="27459"/>
    <cellStyle name="Normal 7 5 2 7" xfId="5779"/>
    <cellStyle name="Normal 7 5 2 7 2" xfId="14606"/>
    <cellStyle name="Normal 7 5 2 7 2 2" xfId="40161"/>
    <cellStyle name="Normal 7 5 2 7 3" xfId="24857"/>
    <cellStyle name="Normal 7 5 2 7 3 2" xfId="50410"/>
    <cellStyle name="Normal 7 5 2 7 4" xfId="31340"/>
    <cellStyle name="Normal 7 5 2 8" xfId="7223"/>
    <cellStyle name="Normal 7 5 2 8 2" xfId="19949"/>
    <cellStyle name="Normal 7 5 2 8 2 2" xfId="45502"/>
    <cellStyle name="Normal 7 5 2 8 3" xfId="32780"/>
    <cellStyle name="Normal 7 5 2 9" xfId="15969"/>
    <cellStyle name="Normal 7 5 2 9 2" xfId="41522"/>
    <cellStyle name="Normal 7 5 2_Degree data" xfId="4076"/>
    <cellStyle name="Normal 7 5 3" xfId="403"/>
    <cellStyle name="Normal 7 5 3 2" xfId="2889"/>
    <cellStyle name="Normal 7 5 3 2 2" xfId="12177"/>
    <cellStyle name="Normal 7 5 3 2 2 2" xfId="22250"/>
    <cellStyle name="Normal 7 5 3 2 2 2 2" xfId="47803"/>
    <cellStyle name="Normal 7 5 3 2 2 3" xfId="37732"/>
    <cellStyle name="Normal 7 5 3 2 3" xfId="8582"/>
    <cellStyle name="Normal 7 5 3 2 3 2" xfId="34139"/>
    <cellStyle name="Normal 7 5 3 2 4" xfId="17243"/>
    <cellStyle name="Normal 7 5 3 2 4 2" xfId="42796"/>
    <cellStyle name="Normal 7 5 3 2 5" xfId="28733"/>
    <cellStyle name="Normal 7 5 3 3" xfId="4775"/>
    <cellStyle name="Normal 7 5 3 3 2" xfId="13612"/>
    <cellStyle name="Normal 7 5 3 3 2 2" xfId="23863"/>
    <cellStyle name="Normal 7 5 3 3 2 2 2" xfId="49416"/>
    <cellStyle name="Normal 7 5 3 3 2 3" xfId="39167"/>
    <cellStyle name="Normal 7 5 3 3 3" xfId="10033"/>
    <cellStyle name="Normal 7 5 3 3 3 2" xfId="35590"/>
    <cellStyle name="Normal 7 5 3 3 4" xfId="18856"/>
    <cellStyle name="Normal 7 5 3 3 4 2" xfId="44409"/>
    <cellStyle name="Normal 7 5 3 3 5" xfId="30346"/>
    <cellStyle name="Normal 7 5 3 4" xfId="1998"/>
    <cellStyle name="Normal 7 5 3 4 2" xfId="11363"/>
    <cellStyle name="Normal 7 5 3 4 2 2" xfId="36918"/>
    <cellStyle name="Normal 7 5 3 4 3" xfId="21367"/>
    <cellStyle name="Normal 7 5 3 4 3 2" xfId="46920"/>
    <cellStyle name="Normal 7 5 3 4 4" xfId="27850"/>
    <cellStyle name="Normal 7 5 3 5" xfId="6230"/>
    <cellStyle name="Normal 7 5 3 5 2" xfId="15057"/>
    <cellStyle name="Normal 7 5 3 5 2 2" xfId="40612"/>
    <cellStyle name="Normal 7 5 3 5 3" xfId="25308"/>
    <cellStyle name="Normal 7 5 3 5 3 2" xfId="50861"/>
    <cellStyle name="Normal 7 5 3 5 4" xfId="31791"/>
    <cellStyle name="Normal 7 5 3 6" xfId="7676"/>
    <cellStyle name="Normal 7 5 3 6 2" xfId="19849"/>
    <cellStyle name="Normal 7 5 3 6 2 2" xfId="45402"/>
    <cellStyle name="Normal 7 5 3 6 3" xfId="33233"/>
    <cellStyle name="Normal 7 5 3 7" xfId="16360"/>
    <cellStyle name="Normal 7 5 3 7 2" xfId="41913"/>
    <cellStyle name="Normal 7 5 3 8" xfId="26332"/>
    <cellStyle name="Normal 7 5 4" xfId="969"/>
    <cellStyle name="Normal 7 5 4 2" xfId="3445"/>
    <cellStyle name="Normal 7 5 4 2 2" xfId="12587"/>
    <cellStyle name="Normal 7 5 4 2 2 2" xfId="22806"/>
    <cellStyle name="Normal 7 5 4 2 2 2 2" xfId="48359"/>
    <cellStyle name="Normal 7 5 4 2 2 3" xfId="38142"/>
    <cellStyle name="Normal 7 5 4 2 3" xfId="9009"/>
    <cellStyle name="Normal 7 5 4 2 3 2" xfId="34566"/>
    <cellStyle name="Normal 7 5 4 2 4" xfId="17799"/>
    <cellStyle name="Normal 7 5 4 2 4 2" xfId="43352"/>
    <cellStyle name="Normal 7 5 4 2 5" xfId="29289"/>
    <cellStyle name="Normal 7 5 4 3" xfId="5123"/>
    <cellStyle name="Normal 7 5 4 3 2" xfId="13960"/>
    <cellStyle name="Normal 7 5 4 3 2 2" xfId="24211"/>
    <cellStyle name="Normal 7 5 4 3 2 2 2" xfId="49764"/>
    <cellStyle name="Normal 7 5 4 3 2 3" xfId="39515"/>
    <cellStyle name="Normal 7 5 4 3 3" xfId="10381"/>
    <cellStyle name="Normal 7 5 4 3 3 2" xfId="35938"/>
    <cellStyle name="Normal 7 5 4 3 4" xfId="19204"/>
    <cellStyle name="Normal 7 5 4 3 4 2" xfId="44757"/>
    <cellStyle name="Normal 7 5 4 3 5" xfId="30694"/>
    <cellStyle name="Normal 7 5 4 4" xfId="2554"/>
    <cellStyle name="Normal 7 5 4 4 2" xfId="11919"/>
    <cellStyle name="Normal 7 5 4 4 2 2" xfId="37474"/>
    <cellStyle name="Normal 7 5 4 4 3" xfId="21923"/>
    <cellStyle name="Normal 7 5 4 4 3 2" xfId="47476"/>
    <cellStyle name="Normal 7 5 4 4 4" xfId="28406"/>
    <cellStyle name="Normal 7 5 4 5" xfId="6578"/>
    <cellStyle name="Normal 7 5 4 5 2" xfId="15405"/>
    <cellStyle name="Normal 7 5 4 5 2 2" xfId="40960"/>
    <cellStyle name="Normal 7 5 4 5 3" xfId="25656"/>
    <cellStyle name="Normal 7 5 4 5 3 2" xfId="51209"/>
    <cellStyle name="Normal 7 5 4 5 4" xfId="32139"/>
    <cellStyle name="Normal 7 5 4 6" xfId="8024"/>
    <cellStyle name="Normal 7 5 4 6 2" xfId="20405"/>
    <cellStyle name="Normal 7 5 4 6 2 2" xfId="45958"/>
    <cellStyle name="Normal 7 5 4 6 3" xfId="33581"/>
    <cellStyle name="Normal 7 5 4 7" xfId="16916"/>
    <cellStyle name="Normal 7 5 4 7 2" xfId="42469"/>
    <cellStyle name="Normal 7 5 4 8" xfId="26888"/>
    <cellStyle name="Normal 7 5 5" xfId="1175"/>
    <cellStyle name="Normal 7 5 5 2" xfId="3604"/>
    <cellStyle name="Normal 7 5 5 2 2" xfId="12740"/>
    <cellStyle name="Normal 7 5 5 2 2 2" xfId="22959"/>
    <cellStyle name="Normal 7 5 5 2 2 2 2" xfId="48512"/>
    <cellStyle name="Normal 7 5 5 2 2 3" xfId="38295"/>
    <cellStyle name="Normal 7 5 5 2 3" xfId="9161"/>
    <cellStyle name="Normal 7 5 5 2 3 2" xfId="34718"/>
    <cellStyle name="Normal 7 5 5 2 4" xfId="17952"/>
    <cellStyle name="Normal 7 5 5 2 4 2" xfId="43505"/>
    <cellStyle name="Normal 7 5 5 2 5" xfId="29442"/>
    <cellStyle name="Normal 7 5 5 3" xfId="5267"/>
    <cellStyle name="Normal 7 5 5 3 2" xfId="14104"/>
    <cellStyle name="Normal 7 5 5 3 2 2" xfId="24355"/>
    <cellStyle name="Normal 7 5 5 3 2 2 2" xfId="49908"/>
    <cellStyle name="Normal 7 5 5 3 2 3" xfId="39659"/>
    <cellStyle name="Normal 7 5 5 3 3" xfId="10525"/>
    <cellStyle name="Normal 7 5 5 3 3 2" xfId="36082"/>
    <cellStyle name="Normal 7 5 5 3 4" xfId="19348"/>
    <cellStyle name="Normal 7 5 5 3 4 2" xfId="44901"/>
    <cellStyle name="Normal 7 5 5 3 5" xfId="30838"/>
    <cellStyle name="Normal 7 5 5 4" xfId="1777"/>
    <cellStyle name="Normal 7 5 5 4 2" xfId="11146"/>
    <cellStyle name="Normal 7 5 5 4 2 2" xfId="36701"/>
    <cellStyle name="Normal 7 5 5 4 3" xfId="21150"/>
    <cellStyle name="Normal 7 5 5 4 3 2" xfId="46703"/>
    <cellStyle name="Normal 7 5 5 4 4" xfId="27633"/>
    <cellStyle name="Normal 7 5 5 5" xfId="6722"/>
    <cellStyle name="Normal 7 5 5 5 2" xfId="15549"/>
    <cellStyle name="Normal 7 5 5 5 2 2" xfId="41104"/>
    <cellStyle name="Normal 7 5 5 5 3" xfId="25800"/>
    <cellStyle name="Normal 7 5 5 5 3 2" xfId="51353"/>
    <cellStyle name="Normal 7 5 5 5 4" xfId="32283"/>
    <cellStyle name="Normal 7 5 5 6" xfId="8168"/>
    <cellStyle name="Normal 7 5 5 6 2" xfId="20558"/>
    <cellStyle name="Normal 7 5 5 6 2 2" xfId="46111"/>
    <cellStyle name="Normal 7 5 5 6 3" xfId="33725"/>
    <cellStyle name="Normal 7 5 5 7" xfId="16143"/>
    <cellStyle name="Normal 7 5 5 7 2" xfId="41696"/>
    <cellStyle name="Normal 7 5 5 8" xfId="27041"/>
    <cellStyle name="Normal 7 5 6" xfId="2672"/>
    <cellStyle name="Normal 7 5 6 2" xfId="11989"/>
    <cellStyle name="Normal 7 5 6 2 2" xfId="22033"/>
    <cellStyle name="Normal 7 5 6 2 2 2" xfId="47586"/>
    <cellStyle name="Normal 7 5 6 2 3" xfId="37544"/>
    <cellStyle name="Normal 7 5 6 3" xfId="8424"/>
    <cellStyle name="Normal 7 5 6 3 2" xfId="33981"/>
    <cellStyle name="Normal 7 5 6 4" xfId="17026"/>
    <cellStyle name="Normal 7 5 6 4 2" xfId="42579"/>
    <cellStyle name="Normal 7 5 6 5" xfId="28516"/>
    <cellStyle name="Normal 7 5 7" xfId="4223"/>
    <cellStyle name="Normal 7 5 7 2" xfId="13061"/>
    <cellStyle name="Normal 7 5 7 2 2" xfId="23312"/>
    <cellStyle name="Normal 7 5 7 2 2 2" xfId="48865"/>
    <cellStyle name="Normal 7 5 7 2 3" xfId="38616"/>
    <cellStyle name="Normal 7 5 7 3" xfId="9482"/>
    <cellStyle name="Normal 7 5 7 3 2" xfId="35039"/>
    <cellStyle name="Normal 7 5 7 4" xfId="18305"/>
    <cellStyle name="Normal 7 5 7 4 2" xfId="43858"/>
    <cellStyle name="Normal 7 5 7 5" xfId="29795"/>
    <cellStyle name="Normal 7 5 8" xfId="1495"/>
    <cellStyle name="Normal 7 5 8 2" xfId="10872"/>
    <cellStyle name="Normal 7 5 8 2 2" xfId="36427"/>
    <cellStyle name="Normal 7 5 8 3" xfId="20876"/>
    <cellStyle name="Normal 7 5 8 3 2" xfId="46429"/>
    <cellStyle name="Normal 7 5 8 4" xfId="27359"/>
    <cellStyle name="Normal 7 5 9" xfId="5679"/>
    <cellStyle name="Normal 7 5 9 2" xfId="14506"/>
    <cellStyle name="Normal 7 5 9 2 2" xfId="40061"/>
    <cellStyle name="Normal 7 5 9 3" xfId="24757"/>
    <cellStyle name="Normal 7 5 9 3 2" xfId="50310"/>
    <cellStyle name="Normal 7 5 9 4" xfId="31240"/>
    <cellStyle name="Normal 7 5_Degree data" xfId="4075"/>
    <cellStyle name="Normal 7 6" xfId="228"/>
    <cellStyle name="Normal 7 6 10" xfId="7066"/>
    <cellStyle name="Normal 7 6 10 2" xfId="19680"/>
    <cellStyle name="Normal 7 6 10 2 2" xfId="45233"/>
    <cellStyle name="Normal 7 6 10 3" xfId="32623"/>
    <cellStyle name="Normal 7 6 11" xfId="15812"/>
    <cellStyle name="Normal 7 6 11 2" xfId="41365"/>
    <cellStyle name="Normal 7 6 12" xfId="26163"/>
    <cellStyle name="Normal 7 6 2" xfId="551"/>
    <cellStyle name="Normal 7 6 2 10" xfId="26480"/>
    <cellStyle name="Normal 7 6 2 2" xfId="972"/>
    <cellStyle name="Normal 7 6 2 2 2" xfId="3448"/>
    <cellStyle name="Normal 7 6 2 2 2 2" xfId="12590"/>
    <cellStyle name="Normal 7 6 2 2 2 2 2" xfId="22809"/>
    <cellStyle name="Normal 7 6 2 2 2 2 2 2" xfId="48362"/>
    <cellStyle name="Normal 7 6 2 2 2 2 3" xfId="38145"/>
    <cellStyle name="Normal 7 6 2 2 2 3" xfId="9012"/>
    <cellStyle name="Normal 7 6 2 2 2 3 2" xfId="34569"/>
    <cellStyle name="Normal 7 6 2 2 2 4" xfId="17802"/>
    <cellStyle name="Normal 7 6 2 2 2 4 2" xfId="43355"/>
    <cellStyle name="Normal 7 6 2 2 2 5" xfId="29292"/>
    <cellStyle name="Normal 7 6 2 2 3" xfId="4778"/>
    <cellStyle name="Normal 7 6 2 2 3 2" xfId="13615"/>
    <cellStyle name="Normal 7 6 2 2 3 2 2" xfId="23866"/>
    <cellStyle name="Normal 7 6 2 2 3 2 2 2" xfId="49419"/>
    <cellStyle name="Normal 7 6 2 2 3 2 3" xfId="39170"/>
    <cellStyle name="Normal 7 6 2 2 3 3" xfId="10036"/>
    <cellStyle name="Normal 7 6 2 2 3 3 2" xfId="35593"/>
    <cellStyle name="Normal 7 6 2 2 3 4" xfId="18859"/>
    <cellStyle name="Normal 7 6 2 2 3 4 2" xfId="44412"/>
    <cellStyle name="Normal 7 6 2 2 3 5" xfId="30349"/>
    <cellStyle name="Normal 7 6 2 2 4" xfId="2557"/>
    <cellStyle name="Normal 7 6 2 2 4 2" xfId="11922"/>
    <cellStyle name="Normal 7 6 2 2 4 2 2" xfId="37477"/>
    <cellStyle name="Normal 7 6 2 2 4 3" xfId="21926"/>
    <cellStyle name="Normal 7 6 2 2 4 3 2" xfId="47479"/>
    <cellStyle name="Normal 7 6 2 2 4 4" xfId="28409"/>
    <cellStyle name="Normal 7 6 2 2 5" xfId="6233"/>
    <cellStyle name="Normal 7 6 2 2 5 2" xfId="15060"/>
    <cellStyle name="Normal 7 6 2 2 5 2 2" xfId="40615"/>
    <cellStyle name="Normal 7 6 2 2 5 3" xfId="25311"/>
    <cellStyle name="Normal 7 6 2 2 5 3 2" xfId="50864"/>
    <cellStyle name="Normal 7 6 2 2 5 4" xfId="31794"/>
    <cellStyle name="Normal 7 6 2 2 6" xfId="7679"/>
    <cellStyle name="Normal 7 6 2 2 6 2" xfId="20408"/>
    <cellStyle name="Normal 7 6 2 2 6 2 2" xfId="45961"/>
    <cellStyle name="Normal 7 6 2 2 6 3" xfId="33236"/>
    <cellStyle name="Normal 7 6 2 2 7" xfId="16919"/>
    <cellStyle name="Normal 7 6 2 2 7 2" xfId="42472"/>
    <cellStyle name="Normal 7 6 2 2 8" xfId="26891"/>
    <cellStyle name="Normal 7 6 2 3" xfId="1323"/>
    <cellStyle name="Normal 7 6 2 3 2" xfId="3752"/>
    <cellStyle name="Normal 7 6 2 3 2 2" xfId="12888"/>
    <cellStyle name="Normal 7 6 2 3 2 2 2" xfId="23107"/>
    <cellStyle name="Normal 7 6 2 3 2 2 2 2" xfId="48660"/>
    <cellStyle name="Normal 7 6 2 3 2 2 3" xfId="38443"/>
    <cellStyle name="Normal 7 6 2 3 2 3" xfId="9309"/>
    <cellStyle name="Normal 7 6 2 3 2 3 2" xfId="34866"/>
    <cellStyle name="Normal 7 6 2 3 2 4" xfId="18100"/>
    <cellStyle name="Normal 7 6 2 3 2 4 2" xfId="43653"/>
    <cellStyle name="Normal 7 6 2 3 2 5" xfId="29590"/>
    <cellStyle name="Normal 7 6 2 3 3" xfId="5126"/>
    <cellStyle name="Normal 7 6 2 3 3 2" xfId="13963"/>
    <cellStyle name="Normal 7 6 2 3 3 2 2" xfId="24214"/>
    <cellStyle name="Normal 7 6 2 3 3 2 2 2" xfId="49767"/>
    <cellStyle name="Normal 7 6 2 3 3 2 3" xfId="39518"/>
    <cellStyle name="Normal 7 6 2 3 3 3" xfId="10384"/>
    <cellStyle name="Normal 7 6 2 3 3 3 2" xfId="35941"/>
    <cellStyle name="Normal 7 6 2 3 3 4" xfId="19207"/>
    <cellStyle name="Normal 7 6 2 3 3 4 2" xfId="44760"/>
    <cellStyle name="Normal 7 6 2 3 3 5" xfId="30697"/>
    <cellStyle name="Normal 7 6 2 3 4" xfId="2146"/>
    <cellStyle name="Normal 7 6 2 3 4 2" xfId="11511"/>
    <cellStyle name="Normal 7 6 2 3 4 2 2" xfId="37066"/>
    <cellStyle name="Normal 7 6 2 3 4 3" xfId="21515"/>
    <cellStyle name="Normal 7 6 2 3 4 3 2" xfId="47068"/>
    <cellStyle name="Normal 7 6 2 3 4 4" xfId="27998"/>
    <cellStyle name="Normal 7 6 2 3 5" xfId="6581"/>
    <cellStyle name="Normal 7 6 2 3 5 2" xfId="15408"/>
    <cellStyle name="Normal 7 6 2 3 5 2 2" xfId="40963"/>
    <cellStyle name="Normal 7 6 2 3 5 3" xfId="25659"/>
    <cellStyle name="Normal 7 6 2 3 5 3 2" xfId="51212"/>
    <cellStyle name="Normal 7 6 2 3 5 4" xfId="32142"/>
    <cellStyle name="Normal 7 6 2 3 6" xfId="8027"/>
    <cellStyle name="Normal 7 6 2 3 6 2" xfId="20706"/>
    <cellStyle name="Normal 7 6 2 3 6 2 2" xfId="46259"/>
    <cellStyle name="Normal 7 6 2 3 6 3" xfId="33584"/>
    <cellStyle name="Normal 7 6 2 3 7" xfId="16508"/>
    <cellStyle name="Normal 7 6 2 3 7 2" xfId="42061"/>
    <cellStyle name="Normal 7 6 2 3 8" xfId="27189"/>
    <cellStyle name="Normal 7 6 2 4" xfId="3037"/>
    <cellStyle name="Normal 7 6 2 4 2" xfId="5415"/>
    <cellStyle name="Normal 7 6 2 4 2 2" xfId="14252"/>
    <cellStyle name="Normal 7 6 2 4 2 2 2" xfId="24503"/>
    <cellStyle name="Normal 7 6 2 4 2 2 2 2" xfId="50056"/>
    <cellStyle name="Normal 7 6 2 4 2 2 3" xfId="39807"/>
    <cellStyle name="Normal 7 6 2 4 2 3" xfId="10673"/>
    <cellStyle name="Normal 7 6 2 4 2 3 2" xfId="36230"/>
    <cellStyle name="Normal 7 6 2 4 2 4" xfId="19496"/>
    <cellStyle name="Normal 7 6 2 4 2 4 2" xfId="45049"/>
    <cellStyle name="Normal 7 6 2 4 2 5" xfId="30986"/>
    <cellStyle name="Normal 7 6 2 4 3" xfId="6870"/>
    <cellStyle name="Normal 7 6 2 4 3 2" xfId="15697"/>
    <cellStyle name="Normal 7 6 2 4 3 2 2" xfId="41252"/>
    <cellStyle name="Normal 7 6 2 4 3 3" xfId="25948"/>
    <cellStyle name="Normal 7 6 2 4 3 3 2" xfId="51501"/>
    <cellStyle name="Normal 7 6 2 4 3 4" xfId="32431"/>
    <cellStyle name="Normal 7 6 2 4 4" xfId="8316"/>
    <cellStyle name="Normal 7 6 2 4 4 2" xfId="22398"/>
    <cellStyle name="Normal 7 6 2 4 4 2 2" xfId="47951"/>
    <cellStyle name="Normal 7 6 2 4 4 3" xfId="33873"/>
    <cellStyle name="Normal 7 6 2 4 5" xfId="17391"/>
    <cellStyle name="Normal 7 6 2 4 5 2" xfId="42944"/>
    <cellStyle name="Normal 7 6 2 4 6" xfId="28881"/>
    <cellStyle name="Normal 7 6 2 5" xfId="4371"/>
    <cellStyle name="Normal 7 6 2 5 2" xfId="13209"/>
    <cellStyle name="Normal 7 6 2 5 2 2" xfId="23460"/>
    <cellStyle name="Normal 7 6 2 5 2 2 2" xfId="49013"/>
    <cellStyle name="Normal 7 6 2 5 2 3" xfId="38764"/>
    <cellStyle name="Normal 7 6 2 5 3" xfId="9630"/>
    <cellStyle name="Normal 7 6 2 5 3 2" xfId="35187"/>
    <cellStyle name="Normal 7 6 2 5 4" xfId="18453"/>
    <cellStyle name="Normal 7 6 2 5 4 2" xfId="44006"/>
    <cellStyle name="Normal 7 6 2 5 5" xfId="29943"/>
    <cellStyle name="Normal 7 6 2 6" xfId="1643"/>
    <cellStyle name="Normal 7 6 2 6 2" xfId="11020"/>
    <cellStyle name="Normal 7 6 2 6 2 2" xfId="36575"/>
    <cellStyle name="Normal 7 6 2 6 3" xfId="21024"/>
    <cellStyle name="Normal 7 6 2 6 3 2" xfId="46577"/>
    <cellStyle name="Normal 7 6 2 6 4" xfId="27507"/>
    <cellStyle name="Normal 7 6 2 7" xfId="5827"/>
    <cellStyle name="Normal 7 6 2 7 2" xfId="14654"/>
    <cellStyle name="Normal 7 6 2 7 2 2" xfId="40209"/>
    <cellStyle name="Normal 7 6 2 7 3" xfId="24905"/>
    <cellStyle name="Normal 7 6 2 7 3 2" xfId="50458"/>
    <cellStyle name="Normal 7 6 2 7 4" xfId="31388"/>
    <cellStyle name="Normal 7 6 2 8" xfId="7271"/>
    <cellStyle name="Normal 7 6 2 8 2" xfId="19997"/>
    <cellStyle name="Normal 7 6 2 8 2 2" xfId="45550"/>
    <cellStyle name="Normal 7 6 2 8 3" xfId="32828"/>
    <cellStyle name="Normal 7 6 2 9" xfId="16017"/>
    <cellStyle name="Normal 7 6 2 9 2" xfId="41570"/>
    <cellStyle name="Normal 7 6 2_Degree data" xfId="4078"/>
    <cellStyle name="Normal 7 6 3" xfId="346"/>
    <cellStyle name="Normal 7 6 3 2" xfId="2832"/>
    <cellStyle name="Normal 7 6 3 2 2" xfId="12120"/>
    <cellStyle name="Normal 7 6 3 2 2 2" xfId="22193"/>
    <cellStyle name="Normal 7 6 3 2 2 2 2" xfId="47746"/>
    <cellStyle name="Normal 7 6 3 2 2 3" xfId="37675"/>
    <cellStyle name="Normal 7 6 3 2 3" xfId="8429"/>
    <cellStyle name="Normal 7 6 3 2 3 2" xfId="33986"/>
    <cellStyle name="Normal 7 6 3 2 4" xfId="17186"/>
    <cellStyle name="Normal 7 6 3 2 4 2" xfId="42739"/>
    <cellStyle name="Normal 7 6 3 2 5" xfId="28676"/>
    <cellStyle name="Normal 7 6 3 3" xfId="4777"/>
    <cellStyle name="Normal 7 6 3 3 2" xfId="13614"/>
    <cellStyle name="Normal 7 6 3 3 2 2" xfId="23865"/>
    <cellStyle name="Normal 7 6 3 3 2 2 2" xfId="49418"/>
    <cellStyle name="Normal 7 6 3 3 2 3" xfId="39169"/>
    <cellStyle name="Normal 7 6 3 3 3" xfId="10035"/>
    <cellStyle name="Normal 7 6 3 3 3 2" xfId="35592"/>
    <cellStyle name="Normal 7 6 3 3 4" xfId="18858"/>
    <cellStyle name="Normal 7 6 3 3 4 2" xfId="44411"/>
    <cellStyle name="Normal 7 6 3 3 5" xfId="30348"/>
    <cellStyle name="Normal 7 6 3 4" xfId="1941"/>
    <cellStyle name="Normal 7 6 3 4 2" xfId="11306"/>
    <cellStyle name="Normal 7 6 3 4 2 2" xfId="36861"/>
    <cellStyle name="Normal 7 6 3 4 3" xfId="21310"/>
    <cellStyle name="Normal 7 6 3 4 3 2" xfId="46863"/>
    <cellStyle name="Normal 7 6 3 4 4" xfId="27793"/>
    <cellStyle name="Normal 7 6 3 5" xfId="6232"/>
    <cellStyle name="Normal 7 6 3 5 2" xfId="15059"/>
    <cellStyle name="Normal 7 6 3 5 2 2" xfId="40614"/>
    <cellStyle name="Normal 7 6 3 5 3" xfId="25310"/>
    <cellStyle name="Normal 7 6 3 5 3 2" xfId="50863"/>
    <cellStyle name="Normal 7 6 3 5 4" xfId="31793"/>
    <cellStyle name="Normal 7 6 3 6" xfId="7678"/>
    <cellStyle name="Normal 7 6 3 6 2" xfId="19792"/>
    <cellStyle name="Normal 7 6 3 6 2 2" xfId="45345"/>
    <cellStyle name="Normal 7 6 3 6 3" xfId="33235"/>
    <cellStyle name="Normal 7 6 3 7" xfId="16303"/>
    <cellStyle name="Normal 7 6 3 7 2" xfId="41856"/>
    <cellStyle name="Normal 7 6 3 8" xfId="26275"/>
    <cellStyle name="Normal 7 6 4" xfId="971"/>
    <cellStyle name="Normal 7 6 4 2" xfId="3447"/>
    <cellStyle name="Normal 7 6 4 2 2" xfId="12589"/>
    <cellStyle name="Normal 7 6 4 2 2 2" xfId="22808"/>
    <cellStyle name="Normal 7 6 4 2 2 2 2" xfId="48361"/>
    <cellStyle name="Normal 7 6 4 2 2 3" xfId="38144"/>
    <cellStyle name="Normal 7 6 4 2 3" xfId="9011"/>
    <cellStyle name="Normal 7 6 4 2 3 2" xfId="34568"/>
    <cellStyle name="Normal 7 6 4 2 4" xfId="17801"/>
    <cellStyle name="Normal 7 6 4 2 4 2" xfId="43354"/>
    <cellStyle name="Normal 7 6 4 2 5" xfId="29291"/>
    <cellStyle name="Normal 7 6 4 3" xfId="5125"/>
    <cellStyle name="Normal 7 6 4 3 2" xfId="13962"/>
    <cellStyle name="Normal 7 6 4 3 2 2" xfId="24213"/>
    <cellStyle name="Normal 7 6 4 3 2 2 2" xfId="49766"/>
    <cellStyle name="Normal 7 6 4 3 2 3" xfId="39517"/>
    <cellStyle name="Normal 7 6 4 3 3" xfId="10383"/>
    <cellStyle name="Normal 7 6 4 3 3 2" xfId="35940"/>
    <cellStyle name="Normal 7 6 4 3 4" xfId="19206"/>
    <cellStyle name="Normal 7 6 4 3 4 2" xfId="44759"/>
    <cellStyle name="Normal 7 6 4 3 5" xfId="30696"/>
    <cellStyle name="Normal 7 6 4 4" xfId="2556"/>
    <cellStyle name="Normal 7 6 4 4 2" xfId="11921"/>
    <cellStyle name="Normal 7 6 4 4 2 2" xfId="37476"/>
    <cellStyle name="Normal 7 6 4 4 3" xfId="21925"/>
    <cellStyle name="Normal 7 6 4 4 3 2" xfId="47478"/>
    <cellStyle name="Normal 7 6 4 4 4" xfId="28408"/>
    <cellStyle name="Normal 7 6 4 5" xfId="6580"/>
    <cellStyle name="Normal 7 6 4 5 2" xfId="15407"/>
    <cellStyle name="Normal 7 6 4 5 2 2" xfId="40962"/>
    <cellStyle name="Normal 7 6 4 5 3" xfId="25658"/>
    <cellStyle name="Normal 7 6 4 5 3 2" xfId="51211"/>
    <cellStyle name="Normal 7 6 4 5 4" xfId="32141"/>
    <cellStyle name="Normal 7 6 4 6" xfId="8026"/>
    <cellStyle name="Normal 7 6 4 6 2" xfId="20407"/>
    <cellStyle name="Normal 7 6 4 6 2 2" xfId="45960"/>
    <cellStyle name="Normal 7 6 4 6 3" xfId="33583"/>
    <cellStyle name="Normal 7 6 4 7" xfId="16918"/>
    <cellStyle name="Normal 7 6 4 7 2" xfId="42471"/>
    <cellStyle name="Normal 7 6 4 8" xfId="26890"/>
    <cellStyle name="Normal 7 6 5" xfId="1118"/>
    <cellStyle name="Normal 7 6 5 2" xfId="3547"/>
    <cellStyle name="Normal 7 6 5 2 2" xfId="12683"/>
    <cellStyle name="Normal 7 6 5 2 2 2" xfId="22902"/>
    <cellStyle name="Normal 7 6 5 2 2 2 2" xfId="48455"/>
    <cellStyle name="Normal 7 6 5 2 2 3" xfId="38238"/>
    <cellStyle name="Normal 7 6 5 2 3" xfId="9104"/>
    <cellStyle name="Normal 7 6 5 2 3 2" xfId="34661"/>
    <cellStyle name="Normal 7 6 5 2 4" xfId="17895"/>
    <cellStyle name="Normal 7 6 5 2 4 2" xfId="43448"/>
    <cellStyle name="Normal 7 6 5 2 5" xfId="29385"/>
    <cellStyle name="Normal 7 6 5 3" xfId="5210"/>
    <cellStyle name="Normal 7 6 5 3 2" xfId="14047"/>
    <cellStyle name="Normal 7 6 5 3 2 2" xfId="24298"/>
    <cellStyle name="Normal 7 6 5 3 2 2 2" xfId="49851"/>
    <cellStyle name="Normal 7 6 5 3 2 3" xfId="39602"/>
    <cellStyle name="Normal 7 6 5 3 3" xfId="10468"/>
    <cellStyle name="Normal 7 6 5 3 3 2" xfId="36025"/>
    <cellStyle name="Normal 7 6 5 3 4" xfId="19291"/>
    <cellStyle name="Normal 7 6 5 3 4 2" xfId="44844"/>
    <cellStyle name="Normal 7 6 5 3 5" xfId="30781"/>
    <cellStyle name="Normal 7 6 5 4" xfId="1826"/>
    <cellStyle name="Normal 7 6 5 4 2" xfId="11194"/>
    <cellStyle name="Normal 7 6 5 4 2 2" xfId="36749"/>
    <cellStyle name="Normal 7 6 5 4 3" xfId="21198"/>
    <cellStyle name="Normal 7 6 5 4 3 2" xfId="46751"/>
    <cellStyle name="Normal 7 6 5 4 4" xfId="27681"/>
    <cellStyle name="Normal 7 6 5 5" xfId="6665"/>
    <cellStyle name="Normal 7 6 5 5 2" xfId="15492"/>
    <cellStyle name="Normal 7 6 5 5 2 2" xfId="41047"/>
    <cellStyle name="Normal 7 6 5 5 3" xfId="25743"/>
    <cellStyle name="Normal 7 6 5 5 3 2" xfId="51296"/>
    <cellStyle name="Normal 7 6 5 5 4" xfId="32226"/>
    <cellStyle name="Normal 7 6 5 6" xfId="8111"/>
    <cellStyle name="Normal 7 6 5 6 2" xfId="20501"/>
    <cellStyle name="Normal 7 6 5 6 2 2" xfId="46054"/>
    <cellStyle name="Normal 7 6 5 6 3" xfId="33668"/>
    <cellStyle name="Normal 7 6 5 7" xfId="16191"/>
    <cellStyle name="Normal 7 6 5 7 2" xfId="41744"/>
    <cellStyle name="Normal 7 6 5 8" xfId="26984"/>
    <cellStyle name="Normal 7 6 6" xfId="2720"/>
    <cellStyle name="Normal 7 6 6 2" xfId="12037"/>
    <cellStyle name="Normal 7 6 6 2 2" xfId="22081"/>
    <cellStyle name="Normal 7 6 6 2 2 2" xfId="47634"/>
    <cellStyle name="Normal 7 6 6 2 3" xfId="37592"/>
    <cellStyle name="Normal 7 6 6 3" xfId="8595"/>
    <cellStyle name="Normal 7 6 6 3 2" xfId="34152"/>
    <cellStyle name="Normal 7 6 6 4" xfId="17074"/>
    <cellStyle name="Normal 7 6 6 4 2" xfId="42627"/>
    <cellStyle name="Normal 7 6 6 5" xfId="28564"/>
    <cellStyle name="Normal 7 6 7" xfId="4166"/>
    <cellStyle name="Normal 7 6 7 2" xfId="13004"/>
    <cellStyle name="Normal 7 6 7 2 2" xfId="23255"/>
    <cellStyle name="Normal 7 6 7 2 2 2" xfId="48808"/>
    <cellStyle name="Normal 7 6 7 2 3" xfId="38559"/>
    <cellStyle name="Normal 7 6 7 3" xfId="9425"/>
    <cellStyle name="Normal 7 6 7 3 2" xfId="34982"/>
    <cellStyle name="Normal 7 6 7 4" xfId="18248"/>
    <cellStyle name="Normal 7 6 7 4 2" xfId="43801"/>
    <cellStyle name="Normal 7 6 7 5" xfId="29738"/>
    <cellStyle name="Normal 7 6 8" xfId="1438"/>
    <cellStyle name="Normal 7 6 8 2" xfId="10815"/>
    <cellStyle name="Normal 7 6 8 2 2" xfId="36370"/>
    <cellStyle name="Normal 7 6 8 3" xfId="20819"/>
    <cellStyle name="Normal 7 6 8 3 2" xfId="46372"/>
    <cellStyle name="Normal 7 6 8 4" xfId="27302"/>
    <cellStyle name="Normal 7 6 9" xfId="5622"/>
    <cellStyle name="Normal 7 6 9 2" xfId="14449"/>
    <cellStyle name="Normal 7 6 9 2 2" xfId="40004"/>
    <cellStyle name="Normal 7 6 9 3" xfId="24700"/>
    <cellStyle name="Normal 7 6 9 3 2" xfId="50253"/>
    <cellStyle name="Normal 7 6 9 4" xfId="31183"/>
    <cellStyle name="Normal 7 6_Degree data" xfId="4077"/>
    <cellStyle name="Normal 7 7" xfId="285"/>
    <cellStyle name="Normal 7 7 10" xfId="16073"/>
    <cellStyle name="Normal 7 7 10 2" xfId="41626"/>
    <cellStyle name="Normal 7 7 11" xfId="26219"/>
    <cellStyle name="Normal 7 7 2" xfId="607"/>
    <cellStyle name="Normal 7 7 2 2" xfId="3093"/>
    <cellStyle name="Normal 7 7 2 2 2" xfId="12236"/>
    <cellStyle name="Normal 7 7 2 2 2 2" xfId="22454"/>
    <cellStyle name="Normal 7 7 2 2 2 2 2" xfId="48007"/>
    <cellStyle name="Normal 7 7 2 2 2 3" xfId="37791"/>
    <cellStyle name="Normal 7 7 2 2 3" xfId="8658"/>
    <cellStyle name="Normal 7 7 2 2 3 2" xfId="34215"/>
    <cellStyle name="Normal 7 7 2 2 4" xfId="17447"/>
    <cellStyle name="Normal 7 7 2 2 4 2" xfId="43000"/>
    <cellStyle name="Normal 7 7 2 2 5" xfId="28937"/>
    <cellStyle name="Normal 7 7 2 3" xfId="4779"/>
    <cellStyle name="Normal 7 7 2 3 2" xfId="13616"/>
    <cellStyle name="Normal 7 7 2 3 2 2" xfId="23867"/>
    <cellStyle name="Normal 7 7 2 3 2 2 2" xfId="49420"/>
    <cellStyle name="Normal 7 7 2 3 2 3" xfId="39171"/>
    <cellStyle name="Normal 7 7 2 3 3" xfId="10037"/>
    <cellStyle name="Normal 7 7 2 3 3 2" xfId="35594"/>
    <cellStyle name="Normal 7 7 2 3 4" xfId="18860"/>
    <cellStyle name="Normal 7 7 2 3 4 2" xfId="44413"/>
    <cellStyle name="Normal 7 7 2 3 5" xfId="30350"/>
    <cellStyle name="Normal 7 7 2 4" xfId="2202"/>
    <cellStyle name="Normal 7 7 2 4 2" xfId="11567"/>
    <cellStyle name="Normal 7 7 2 4 2 2" xfId="37122"/>
    <cellStyle name="Normal 7 7 2 4 3" xfId="21571"/>
    <cellStyle name="Normal 7 7 2 4 3 2" xfId="47124"/>
    <cellStyle name="Normal 7 7 2 4 4" xfId="28054"/>
    <cellStyle name="Normal 7 7 2 5" xfId="6234"/>
    <cellStyle name="Normal 7 7 2 5 2" xfId="15061"/>
    <cellStyle name="Normal 7 7 2 5 2 2" xfId="40616"/>
    <cellStyle name="Normal 7 7 2 5 3" xfId="25312"/>
    <cellStyle name="Normal 7 7 2 5 3 2" xfId="50865"/>
    <cellStyle name="Normal 7 7 2 5 4" xfId="31795"/>
    <cellStyle name="Normal 7 7 2 6" xfId="7680"/>
    <cellStyle name="Normal 7 7 2 6 2" xfId="20053"/>
    <cellStyle name="Normal 7 7 2 6 2 2" xfId="45606"/>
    <cellStyle name="Normal 7 7 2 6 3" xfId="33237"/>
    <cellStyle name="Normal 7 7 2 7" xfId="16564"/>
    <cellStyle name="Normal 7 7 2 7 2" xfId="42117"/>
    <cellStyle name="Normal 7 7 2 8" xfId="26536"/>
    <cellStyle name="Normal 7 7 3" xfId="973"/>
    <cellStyle name="Normal 7 7 3 2" xfId="3449"/>
    <cellStyle name="Normal 7 7 3 2 2" xfId="12591"/>
    <cellStyle name="Normal 7 7 3 2 2 2" xfId="22810"/>
    <cellStyle name="Normal 7 7 3 2 2 2 2" xfId="48363"/>
    <cellStyle name="Normal 7 7 3 2 2 3" xfId="38146"/>
    <cellStyle name="Normal 7 7 3 2 3" xfId="9013"/>
    <cellStyle name="Normal 7 7 3 2 3 2" xfId="34570"/>
    <cellStyle name="Normal 7 7 3 2 4" xfId="17803"/>
    <cellStyle name="Normal 7 7 3 2 4 2" xfId="43356"/>
    <cellStyle name="Normal 7 7 3 2 5" xfId="29293"/>
    <cellStyle name="Normal 7 7 3 3" xfId="5127"/>
    <cellStyle name="Normal 7 7 3 3 2" xfId="13964"/>
    <cellStyle name="Normal 7 7 3 3 2 2" xfId="24215"/>
    <cellStyle name="Normal 7 7 3 3 2 2 2" xfId="49768"/>
    <cellStyle name="Normal 7 7 3 3 2 3" xfId="39519"/>
    <cellStyle name="Normal 7 7 3 3 3" xfId="10385"/>
    <cellStyle name="Normal 7 7 3 3 3 2" xfId="35942"/>
    <cellStyle name="Normal 7 7 3 3 4" xfId="19208"/>
    <cellStyle name="Normal 7 7 3 3 4 2" xfId="44761"/>
    <cellStyle name="Normal 7 7 3 3 5" xfId="30698"/>
    <cellStyle name="Normal 7 7 3 4" xfId="2558"/>
    <cellStyle name="Normal 7 7 3 4 2" xfId="11923"/>
    <cellStyle name="Normal 7 7 3 4 2 2" xfId="37478"/>
    <cellStyle name="Normal 7 7 3 4 3" xfId="21927"/>
    <cellStyle name="Normal 7 7 3 4 3 2" xfId="47480"/>
    <cellStyle name="Normal 7 7 3 4 4" xfId="28410"/>
    <cellStyle name="Normal 7 7 3 5" xfId="6582"/>
    <cellStyle name="Normal 7 7 3 5 2" xfId="15409"/>
    <cellStyle name="Normal 7 7 3 5 2 2" xfId="40964"/>
    <cellStyle name="Normal 7 7 3 5 3" xfId="25660"/>
    <cellStyle name="Normal 7 7 3 5 3 2" xfId="51213"/>
    <cellStyle name="Normal 7 7 3 5 4" xfId="32143"/>
    <cellStyle name="Normal 7 7 3 6" xfId="8028"/>
    <cellStyle name="Normal 7 7 3 6 2" xfId="20409"/>
    <cellStyle name="Normal 7 7 3 6 2 2" xfId="45962"/>
    <cellStyle name="Normal 7 7 3 6 3" xfId="33585"/>
    <cellStyle name="Normal 7 7 3 7" xfId="16920"/>
    <cellStyle name="Normal 7 7 3 7 2" xfId="42473"/>
    <cellStyle name="Normal 7 7 3 8" xfId="26892"/>
    <cellStyle name="Normal 7 7 4" xfId="1379"/>
    <cellStyle name="Normal 7 7 4 2" xfId="3808"/>
    <cellStyle name="Normal 7 7 4 2 2" xfId="12944"/>
    <cellStyle name="Normal 7 7 4 2 2 2" xfId="23163"/>
    <cellStyle name="Normal 7 7 4 2 2 2 2" xfId="48716"/>
    <cellStyle name="Normal 7 7 4 2 2 3" xfId="38499"/>
    <cellStyle name="Normal 7 7 4 2 3" xfId="9365"/>
    <cellStyle name="Normal 7 7 4 2 3 2" xfId="34922"/>
    <cellStyle name="Normal 7 7 4 2 4" xfId="18156"/>
    <cellStyle name="Normal 7 7 4 2 4 2" xfId="43709"/>
    <cellStyle name="Normal 7 7 4 2 5" xfId="29646"/>
    <cellStyle name="Normal 7 7 4 3" xfId="5471"/>
    <cellStyle name="Normal 7 7 4 3 2" xfId="14308"/>
    <cellStyle name="Normal 7 7 4 3 2 2" xfId="24559"/>
    <cellStyle name="Normal 7 7 4 3 2 2 2" xfId="50112"/>
    <cellStyle name="Normal 7 7 4 3 2 3" xfId="39863"/>
    <cellStyle name="Normal 7 7 4 3 3" xfId="10729"/>
    <cellStyle name="Normal 7 7 4 3 3 2" xfId="36286"/>
    <cellStyle name="Normal 7 7 4 3 4" xfId="19552"/>
    <cellStyle name="Normal 7 7 4 3 4 2" xfId="45105"/>
    <cellStyle name="Normal 7 7 4 3 5" xfId="31042"/>
    <cellStyle name="Normal 7 7 4 4" xfId="1882"/>
    <cellStyle name="Normal 7 7 4 4 2" xfId="11250"/>
    <cellStyle name="Normal 7 7 4 4 2 2" xfId="36805"/>
    <cellStyle name="Normal 7 7 4 4 3" xfId="21254"/>
    <cellStyle name="Normal 7 7 4 4 3 2" xfId="46807"/>
    <cellStyle name="Normal 7 7 4 4 4" xfId="27737"/>
    <cellStyle name="Normal 7 7 4 5" xfId="6926"/>
    <cellStyle name="Normal 7 7 4 5 2" xfId="15753"/>
    <cellStyle name="Normal 7 7 4 5 2 2" xfId="41308"/>
    <cellStyle name="Normal 7 7 4 5 3" xfId="26004"/>
    <cellStyle name="Normal 7 7 4 5 3 2" xfId="51557"/>
    <cellStyle name="Normal 7 7 4 5 4" xfId="32487"/>
    <cellStyle name="Normal 7 7 4 6" xfId="8372"/>
    <cellStyle name="Normal 7 7 4 6 2" xfId="20762"/>
    <cellStyle name="Normal 7 7 4 6 2 2" xfId="46315"/>
    <cellStyle name="Normal 7 7 4 6 3" xfId="33929"/>
    <cellStyle name="Normal 7 7 4 7" xfId="16247"/>
    <cellStyle name="Normal 7 7 4 7 2" xfId="41800"/>
    <cellStyle name="Normal 7 7 4 8" xfId="27245"/>
    <cellStyle name="Normal 7 7 5" xfId="2776"/>
    <cellStyle name="Normal 7 7 5 2" xfId="12093"/>
    <cellStyle name="Normal 7 7 5 2 2" xfId="22137"/>
    <cellStyle name="Normal 7 7 5 2 2 2" xfId="47690"/>
    <cellStyle name="Normal 7 7 5 2 3" xfId="37648"/>
    <cellStyle name="Normal 7 7 5 3" xfId="8475"/>
    <cellStyle name="Normal 7 7 5 3 2" xfId="34032"/>
    <cellStyle name="Normal 7 7 5 4" xfId="17130"/>
    <cellStyle name="Normal 7 7 5 4 2" xfId="42683"/>
    <cellStyle name="Normal 7 7 5 5" xfId="28620"/>
    <cellStyle name="Normal 7 7 6" xfId="4427"/>
    <cellStyle name="Normal 7 7 6 2" xfId="13265"/>
    <cellStyle name="Normal 7 7 6 2 2" xfId="23516"/>
    <cellStyle name="Normal 7 7 6 2 2 2" xfId="49069"/>
    <cellStyle name="Normal 7 7 6 2 3" xfId="38820"/>
    <cellStyle name="Normal 7 7 6 3" xfId="9686"/>
    <cellStyle name="Normal 7 7 6 3 2" xfId="35243"/>
    <cellStyle name="Normal 7 7 6 4" xfId="18509"/>
    <cellStyle name="Normal 7 7 6 4 2" xfId="44062"/>
    <cellStyle name="Normal 7 7 6 5" xfId="29999"/>
    <cellStyle name="Normal 7 7 7" xfId="1699"/>
    <cellStyle name="Normal 7 7 7 2" xfId="11076"/>
    <cellStyle name="Normal 7 7 7 2 2" xfId="36631"/>
    <cellStyle name="Normal 7 7 7 3" xfId="21080"/>
    <cellStyle name="Normal 7 7 7 3 2" xfId="46633"/>
    <cellStyle name="Normal 7 7 7 4" xfId="27563"/>
    <cellStyle name="Normal 7 7 8" xfId="5883"/>
    <cellStyle name="Normal 7 7 8 2" xfId="14710"/>
    <cellStyle name="Normal 7 7 8 2 2" xfId="40265"/>
    <cellStyle name="Normal 7 7 8 3" xfId="24961"/>
    <cellStyle name="Normal 7 7 8 3 2" xfId="50514"/>
    <cellStyle name="Normal 7 7 8 4" xfId="31444"/>
    <cellStyle name="Normal 7 7 9" xfId="7327"/>
    <cellStyle name="Normal 7 7 9 2" xfId="19736"/>
    <cellStyle name="Normal 7 7 9 2 2" xfId="45289"/>
    <cellStyle name="Normal 7 7 9 3" xfId="32884"/>
    <cellStyle name="Normal 7 7_Degree data" xfId="4079"/>
    <cellStyle name="Normal 7 8" xfId="446"/>
    <cellStyle name="Normal 7 8 10" xfId="26375"/>
    <cellStyle name="Normal 7 8 2" xfId="974"/>
    <cellStyle name="Normal 7 8 2 2" xfId="3450"/>
    <cellStyle name="Normal 7 8 2 2 2" xfId="12592"/>
    <cellStyle name="Normal 7 8 2 2 2 2" xfId="22811"/>
    <cellStyle name="Normal 7 8 2 2 2 2 2" xfId="48364"/>
    <cellStyle name="Normal 7 8 2 2 2 3" xfId="38147"/>
    <cellStyle name="Normal 7 8 2 2 3" xfId="9014"/>
    <cellStyle name="Normal 7 8 2 2 3 2" xfId="34571"/>
    <cellStyle name="Normal 7 8 2 2 4" xfId="17804"/>
    <cellStyle name="Normal 7 8 2 2 4 2" xfId="43357"/>
    <cellStyle name="Normal 7 8 2 2 5" xfId="29294"/>
    <cellStyle name="Normal 7 8 2 3" xfId="4780"/>
    <cellStyle name="Normal 7 8 2 3 2" xfId="13617"/>
    <cellStyle name="Normal 7 8 2 3 2 2" xfId="23868"/>
    <cellStyle name="Normal 7 8 2 3 2 2 2" xfId="49421"/>
    <cellStyle name="Normal 7 8 2 3 2 3" xfId="39172"/>
    <cellStyle name="Normal 7 8 2 3 3" xfId="10038"/>
    <cellStyle name="Normal 7 8 2 3 3 2" xfId="35595"/>
    <cellStyle name="Normal 7 8 2 3 4" xfId="18861"/>
    <cellStyle name="Normal 7 8 2 3 4 2" xfId="44414"/>
    <cellStyle name="Normal 7 8 2 3 5" xfId="30351"/>
    <cellStyle name="Normal 7 8 2 4" xfId="2559"/>
    <cellStyle name="Normal 7 8 2 4 2" xfId="11924"/>
    <cellStyle name="Normal 7 8 2 4 2 2" xfId="37479"/>
    <cellStyle name="Normal 7 8 2 4 3" xfId="21928"/>
    <cellStyle name="Normal 7 8 2 4 3 2" xfId="47481"/>
    <cellStyle name="Normal 7 8 2 4 4" xfId="28411"/>
    <cellStyle name="Normal 7 8 2 5" xfId="6235"/>
    <cellStyle name="Normal 7 8 2 5 2" xfId="15062"/>
    <cellStyle name="Normal 7 8 2 5 2 2" xfId="40617"/>
    <cellStyle name="Normal 7 8 2 5 3" xfId="25313"/>
    <cellStyle name="Normal 7 8 2 5 3 2" xfId="50866"/>
    <cellStyle name="Normal 7 8 2 5 4" xfId="31796"/>
    <cellStyle name="Normal 7 8 2 6" xfId="7681"/>
    <cellStyle name="Normal 7 8 2 6 2" xfId="20410"/>
    <cellStyle name="Normal 7 8 2 6 2 2" xfId="45963"/>
    <cellStyle name="Normal 7 8 2 6 3" xfId="33238"/>
    <cellStyle name="Normal 7 8 2 7" xfId="16921"/>
    <cellStyle name="Normal 7 8 2 7 2" xfId="42474"/>
    <cellStyle name="Normal 7 8 2 8" xfId="26893"/>
    <cellStyle name="Normal 7 8 3" xfId="1218"/>
    <cellStyle name="Normal 7 8 3 2" xfId="3647"/>
    <cellStyle name="Normal 7 8 3 2 2" xfId="12783"/>
    <cellStyle name="Normal 7 8 3 2 2 2" xfId="23002"/>
    <cellStyle name="Normal 7 8 3 2 2 2 2" xfId="48555"/>
    <cellStyle name="Normal 7 8 3 2 2 3" xfId="38338"/>
    <cellStyle name="Normal 7 8 3 2 3" xfId="9204"/>
    <cellStyle name="Normal 7 8 3 2 3 2" xfId="34761"/>
    <cellStyle name="Normal 7 8 3 2 4" xfId="17995"/>
    <cellStyle name="Normal 7 8 3 2 4 2" xfId="43548"/>
    <cellStyle name="Normal 7 8 3 2 5" xfId="29485"/>
    <cellStyle name="Normal 7 8 3 3" xfId="5128"/>
    <cellStyle name="Normal 7 8 3 3 2" xfId="13965"/>
    <cellStyle name="Normal 7 8 3 3 2 2" xfId="24216"/>
    <cellStyle name="Normal 7 8 3 3 2 2 2" xfId="49769"/>
    <cellStyle name="Normal 7 8 3 3 2 3" xfId="39520"/>
    <cellStyle name="Normal 7 8 3 3 3" xfId="10386"/>
    <cellStyle name="Normal 7 8 3 3 3 2" xfId="35943"/>
    <cellStyle name="Normal 7 8 3 3 4" xfId="19209"/>
    <cellStyle name="Normal 7 8 3 3 4 2" xfId="44762"/>
    <cellStyle name="Normal 7 8 3 3 5" xfId="30699"/>
    <cellStyle name="Normal 7 8 3 4" xfId="2041"/>
    <cellStyle name="Normal 7 8 3 4 2" xfId="11406"/>
    <cellStyle name="Normal 7 8 3 4 2 2" xfId="36961"/>
    <cellStyle name="Normal 7 8 3 4 3" xfId="21410"/>
    <cellStyle name="Normal 7 8 3 4 3 2" xfId="46963"/>
    <cellStyle name="Normal 7 8 3 4 4" xfId="27893"/>
    <cellStyle name="Normal 7 8 3 5" xfId="6583"/>
    <cellStyle name="Normal 7 8 3 5 2" xfId="15410"/>
    <cellStyle name="Normal 7 8 3 5 2 2" xfId="40965"/>
    <cellStyle name="Normal 7 8 3 5 3" xfId="25661"/>
    <cellStyle name="Normal 7 8 3 5 3 2" xfId="51214"/>
    <cellStyle name="Normal 7 8 3 5 4" xfId="32144"/>
    <cellStyle name="Normal 7 8 3 6" xfId="8029"/>
    <cellStyle name="Normal 7 8 3 6 2" xfId="20601"/>
    <cellStyle name="Normal 7 8 3 6 2 2" xfId="46154"/>
    <cellStyle name="Normal 7 8 3 6 3" xfId="33586"/>
    <cellStyle name="Normal 7 8 3 7" xfId="16403"/>
    <cellStyle name="Normal 7 8 3 7 2" xfId="41956"/>
    <cellStyle name="Normal 7 8 3 8" xfId="27084"/>
    <cellStyle name="Normal 7 8 4" xfId="2932"/>
    <cellStyle name="Normal 7 8 4 2" xfId="5310"/>
    <cellStyle name="Normal 7 8 4 2 2" xfId="14147"/>
    <cellStyle name="Normal 7 8 4 2 2 2" xfId="24398"/>
    <cellStyle name="Normal 7 8 4 2 2 2 2" xfId="49951"/>
    <cellStyle name="Normal 7 8 4 2 2 3" xfId="39702"/>
    <cellStyle name="Normal 7 8 4 2 3" xfId="10568"/>
    <cellStyle name="Normal 7 8 4 2 3 2" xfId="36125"/>
    <cellStyle name="Normal 7 8 4 2 4" xfId="19391"/>
    <cellStyle name="Normal 7 8 4 2 4 2" xfId="44944"/>
    <cellStyle name="Normal 7 8 4 2 5" xfId="30881"/>
    <cellStyle name="Normal 7 8 4 3" xfId="6765"/>
    <cellStyle name="Normal 7 8 4 3 2" xfId="15592"/>
    <cellStyle name="Normal 7 8 4 3 2 2" xfId="41147"/>
    <cellStyle name="Normal 7 8 4 3 3" xfId="25843"/>
    <cellStyle name="Normal 7 8 4 3 3 2" xfId="51396"/>
    <cellStyle name="Normal 7 8 4 3 4" xfId="32326"/>
    <cellStyle name="Normal 7 8 4 4" xfId="8211"/>
    <cellStyle name="Normal 7 8 4 4 2" xfId="22293"/>
    <cellStyle name="Normal 7 8 4 4 2 2" xfId="47846"/>
    <cellStyle name="Normal 7 8 4 4 3" xfId="33768"/>
    <cellStyle name="Normal 7 8 4 5" xfId="17286"/>
    <cellStyle name="Normal 7 8 4 5 2" xfId="42839"/>
    <cellStyle name="Normal 7 8 4 6" xfId="28776"/>
    <cellStyle name="Normal 7 8 5" xfId="4266"/>
    <cellStyle name="Normal 7 8 5 2" xfId="13104"/>
    <cellStyle name="Normal 7 8 5 2 2" xfId="23355"/>
    <cellStyle name="Normal 7 8 5 2 2 2" xfId="48908"/>
    <cellStyle name="Normal 7 8 5 2 3" xfId="38659"/>
    <cellStyle name="Normal 7 8 5 3" xfId="9525"/>
    <cellStyle name="Normal 7 8 5 3 2" xfId="35082"/>
    <cellStyle name="Normal 7 8 5 4" xfId="18348"/>
    <cellStyle name="Normal 7 8 5 4 2" xfId="43901"/>
    <cellStyle name="Normal 7 8 5 5" xfId="29838"/>
    <cellStyle name="Normal 7 8 6" xfId="1538"/>
    <cellStyle name="Normal 7 8 6 2" xfId="10915"/>
    <cellStyle name="Normal 7 8 6 2 2" xfId="36470"/>
    <cellStyle name="Normal 7 8 6 3" xfId="20919"/>
    <cellStyle name="Normal 7 8 6 3 2" xfId="46472"/>
    <cellStyle name="Normal 7 8 6 4" xfId="27402"/>
    <cellStyle name="Normal 7 8 7" xfId="5722"/>
    <cellStyle name="Normal 7 8 7 2" xfId="14549"/>
    <cellStyle name="Normal 7 8 7 2 2" xfId="40104"/>
    <cellStyle name="Normal 7 8 7 3" xfId="24800"/>
    <cellStyle name="Normal 7 8 7 3 2" xfId="50353"/>
    <cellStyle name="Normal 7 8 7 4" xfId="31283"/>
    <cellStyle name="Normal 7 8 8" xfId="7166"/>
    <cellStyle name="Normal 7 8 8 2" xfId="19892"/>
    <cellStyle name="Normal 7 8 8 2 2" xfId="45445"/>
    <cellStyle name="Normal 7 8 8 3" xfId="32723"/>
    <cellStyle name="Normal 7 8 9" xfId="15912"/>
    <cellStyle name="Normal 7 8 9 2" xfId="41465"/>
    <cellStyle name="Normal 7 8_Degree data" xfId="4080"/>
    <cellStyle name="Normal 7 9" xfId="307"/>
    <cellStyle name="Normal 7 9 10" xfId="26236"/>
    <cellStyle name="Normal 7 9 2" xfId="975"/>
    <cellStyle name="Normal 7 9 2 2" xfId="3451"/>
    <cellStyle name="Normal 7 9 2 2 2" xfId="12593"/>
    <cellStyle name="Normal 7 9 2 2 2 2" xfId="22812"/>
    <cellStyle name="Normal 7 9 2 2 2 2 2" xfId="48365"/>
    <cellStyle name="Normal 7 9 2 2 2 3" xfId="38148"/>
    <cellStyle name="Normal 7 9 2 2 3" xfId="9015"/>
    <cellStyle name="Normal 7 9 2 2 3 2" xfId="34572"/>
    <cellStyle name="Normal 7 9 2 2 4" xfId="17805"/>
    <cellStyle name="Normal 7 9 2 2 4 2" xfId="43358"/>
    <cellStyle name="Normal 7 9 2 2 5" xfId="29295"/>
    <cellStyle name="Normal 7 9 2 3" xfId="4781"/>
    <cellStyle name="Normal 7 9 2 3 2" xfId="13618"/>
    <cellStyle name="Normal 7 9 2 3 2 2" xfId="23869"/>
    <cellStyle name="Normal 7 9 2 3 2 2 2" xfId="49422"/>
    <cellStyle name="Normal 7 9 2 3 2 3" xfId="39173"/>
    <cellStyle name="Normal 7 9 2 3 3" xfId="10039"/>
    <cellStyle name="Normal 7 9 2 3 3 2" xfId="35596"/>
    <cellStyle name="Normal 7 9 2 3 4" xfId="18862"/>
    <cellStyle name="Normal 7 9 2 3 4 2" xfId="44415"/>
    <cellStyle name="Normal 7 9 2 3 5" xfId="30352"/>
    <cellStyle name="Normal 7 9 2 4" xfId="2560"/>
    <cellStyle name="Normal 7 9 2 4 2" xfId="11925"/>
    <cellStyle name="Normal 7 9 2 4 2 2" xfId="37480"/>
    <cellStyle name="Normal 7 9 2 4 3" xfId="21929"/>
    <cellStyle name="Normal 7 9 2 4 3 2" xfId="47482"/>
    <cellStyle name="Normal 7 9 2 4 4" xfId="28412"/>
    <cellStyle name="Normal 7 9 2 5" xfId="6236"/>
    <cellStyle name="Normal 7 9 2 5 2" xfId="15063"/>
    <cellStyle name="Normal 7 9 2 5 2 2" xfId="40618"/>
    <cellStyle name="Normal 7 9 2 5 3" xfId="25314"/>
    <cellStyle name="Normal 7 9 2 5 3 2" xfId="50867"/>
    <cellStyle name="Normal 7 9 2 5 4" xfId="31797"/>
    <cellStyle name="Normal 7 9 2 6" xfId="7682"/>
    <cellStyle name="Normal 7 9 2 6 2" xfId="20411"/>
    <cellStyle name="Normal 7 9 2 6 2 2" xfId="45964"/>
    <cellStyle name="Normal 7 9 2 6 3" xfId="33239"/>
    <cellStyle name="Normal 7 9 2 7" xfId="16922"/>
    <cellStyle name="Normal 7 9 2 7 2" xfId="42475"/>
    <cellStyle name="Normal 7 9 2 8" xfId="26894"/>
    <cellStyle name="Normal 7 9 3" xfId="1079"/>
    <cellStyle name="Normal 7 9 3 2" xfId="3508"/>
    <cellStyle name="Normal 7 9 3 2 2" xfId="12644"/>
    <cellStyle name="Normal 7 9 3 2 2 2" xfId="22863"/>
    <cellStyle name="Normal 7 9 3 2 2 2 2" xfId="48416"/>
    <cellStyle name="Normal 7 9 3 2 2 3" xfId="38199"/>
    <cellStyle name="Normal 7 9 3 2 3" xfId="9066"/>
    <cellStyle name="Normal 7 9 3 2 3 2" xfId="34623"/>
    <cellStyle name="Normal 7 9 3 2 4" xfId="17856"/>
    <cellStyle name="Normal 7 9 3 2 4 2" xfId="43409"/>
    <cellStyle name="Normal 7 9 3 2 5" xfId="29346"/>
    <cellStyle name="Normal 7 9 3 3" xfId="5129"/>
    <cellStyle name="Normal 7 9 3 3 2" xfId="13966"/>
    <cellStyle name="Normal 7 9 3 3 2 2" xfId="24217"/>
    <cellStyle name="Normal 7 9 3 3 2 2 2" xfId="49770"/>
    <cellStyle name="Normal 7 9 3 3 2 3" xfId="39521"/>
    <cellStyle name="Normal 7 9 3 3 3" xfId="10387"/>
    <cellStyle name="Normal 7 9 3 3 3 2" xfId="35944"/>
    <cellStyle name="Normal 7 9 3 3 4" xfId="19210"/>
    <cellStyle name="Normal 7 9 3 3 4 2" xfId="44763"/>
    <cellStyle name="Normal 7 9 3 3 5" xfId="30700"/>
    <cellStyle name="Normal 7 9 3 4" xfId="2602"/>
    <cellStyle name="Normal 7 9 3 4 2" xfId="11966"/>
    <cellStyle name="Normal 7 9 3 4 2 2" xfId="37521"/>
    <cellStyle name="Normal 7 9 3 4 3" xfId="21970"/>
    <cellStyle name="Normal 7 9 3 4 3 2" xfId="47523"/>
    <cellStyle name="Normal 7 9 3 4 4" xfId="28453"/>
    <cellStyle name="Normal 7 9 3 5" xfId="6584"/>
    <cellStyle name="Normal 7 9 3 5 2" xfId="15411"/>
    <cellStyle name="Normal 7 9 3 5 2 2" xfId="40966"/>
    <cellStyle name="Normal 7 9 3 5 3" xfId="25662"/>
    <cellStyle name="Normal 7 9 3 5 3 2" xfId="51215"/>
    <cellStyle name="Normal 7 9 3 5 4" xfId="32145"/>
    <cellStyle name="Normal 7 9 3 6" xfId="8030"/>
    <cellStyle name="Normal 7 9 3 6 2" xfId="20462"/>
    <cellStyle name="Normal 7 9 3 6 2 2" xfId="46015"/>
    <cellStyle name="Normal 7 9 3 6 3" xfId="33587"/>
    <cellStyle name="Normal 7 9 3 7" xfId="16963"/>
    <cellStyle name="Normal 7 9 3 7 2" xfId="42516"/>
    <cellStyle name="Normal 7 9 3 8" xfId="26945"/>
    <cellStyle name="Normal 7 9 4" xfId="2793"/>
    <cellStyle name="Normal 7 9 4 2" xfId="5171"/>
    <cellStyle name="Normal 7 9 4 2 2" xfId="14008"/>
    <cellStyle name="Normal 7 9 4 2 2 2" xfId="24259"/>
    <cellStyle name="Normal 7 9 4 2 2 2 2" xfId="49812"/>
    <cellStyle name="Normal 7 9 4 2 2 3" xfId="39563"/>
    <cellStyle name="Normal 7 9 4 2 3" xfId="10429"/>
    <cellStyle name="Normal 7 9 4 2 3 2" xfId="35986"/>
    <cellStyle name="Normal 7 9 4 2 4" xfId="19252"/>
    <cellStyle name="Normal 7 9 4 2 4 2" xfId="44805"/>
    <cellStyle name="Normal 7 9 4 2 5" xfId="30742"/>
    <cellStyle name="Normal 7 9 4 3" xfId="6626"/>
    <cellStyle name="Normal 7 9 4 3 2" xfId="15453"/>
    <cellStyle name="Normal 7 9 4 3 2 2" xfId="41008"/>
    <cellStyle name="Normal 7 9 4 3 3" xfId="25704"/>
    <cellStyle name="Normal 7 9 4 3 3 2" xfId="51257"/>
    <cellStyle name="Normal 7 9 4 3 4" xfId="32187"/>
    <cellStyle name="Normal 7 9 4 4" xfId="8072"/>
    <cellStyle name="Normal 7 9 4 4 2" xfId="22154"/>
    <cellStyle name="Normal 7 9 4 4 2 2" xfId="47707"/>
    <cellStyle name="Normal 7 9 4 4 3" xfId="33629"/>
    <cellStyle name="Normal 7 9 4 5" xfId="17147"/>
    <cellStyle name="Normal 7 9 4 5 2" xfId="42700"/>
    <cellStyle name="Normal 7 9 4 6" xfId="28637"/>
    <cellStyle name="Normal 7 9 5" xfId="4125"/>
    <cellStyle name="Normal 7 9 5 2" xfId="12963"/>
    <cellStyle name="Normal 7 9 5 2 2" xfId="23214"/>
    <cellStyle name="Normal 7 9 5 2 2 2" xfId="48767"/>
    <cellStyle name="Normal 7 9 5 2 3" xfId="38518"/>
    <cellStyle name="Normal 7 9 5 3" xfId="9384"/>
    <cellStyle name="Normal 7 9 5 3 2" xfId="34941"/>
    <cellStyle name="Normal 7 9 5 4" xfId="18207"/>
    <cellStyle name="Normal 7 9 5 4 2" xfId="43760"/>
    <cellStyle name="Normal 7 9 5 5" xfId="29697"/>
    <cellStyle name="Normal 7 9 6" xfId="1902"/>
    <cellStyle name="Normal 7 9 6 2" xfId="11267"/>
    <cellStyle name="Normal 7 9 6 2 2" xfId="36822"/>
    <cellStyle name="Normal 7 9 6 3" xfId="21271"/>
    <cellStyle name="Normal 7 9 6 3 2" xfId="46824"/>
    <cellStyle name="Normal 7 9 6 4" xfId="27754"/>
    <cellStyle name="Normal 7 9 7" xfId="5583"/>
    <cellStyle name="Normal 7 9 7 2" xfId="14410"/>
    <cellStyle name="Normal 7 9 7 2 2" xfId="39965"/>
    <cellStyle name="Normal 7 9 7 3" xfId="24661"/>
    <cellStyle name="Normal 7 9 7 3 2" xfId="50214"/>
    <cellStyle name="Normal 7 9 7 4" xfId="31144"/>
    <cellStyle name="Normal 7 9 8" xfId="7027"/>
    <cellStyle name="Normal 7 9 8 2" xfId="19753"/>
    <cellStyle name="Normal 7 9 8 2 2" xfId="45306"/>
    <cellStyle name="Normal 7 9 8 3" xfId="32584"/>
    <cellStyle name="Normal 7 9 9" xfId="16264"/>
    <cellStyle name="Normal 7 9 9 2" xfId="41817"/>
    <cellStyle name="Normal 7 9_Degree data" xfId="4081"/>
    <cellStyle name="Normal 7_Degree data" xfId="4048"/>
    <cellStyle name="Normal 70" xfId="295"/>
    <cellStyle name="Normal 70 2" xfId="976"/>
    <cellStyle name="Normal 70 2 2" xfId="3452"/>
    <cellStyle name="Normal 70 2 2 2" xfId="12594"/>
    <cellStyle name="Normal 70 2 2 2 2" xfId="22813"/>
    <cellStyle name="Normal 70 2 2 2 2 2" xfId="48366"/>
    <cellStyle name="Normal 70 2 2 2 3" xfId="38149"/>
    <cellStyle name="Normal 70 2 2 3" xfId="9016"/>
    <cellStyle name="Normal 70 2 2 3 2" xfId="34573"/>
    <cellStyle name="Normal 70 2 2 4" xfId="17806"/>
    <cellStyle name="Normal 70 2 2 4 2" xfId="43359"/>
    <cellStyle name="Normal 70 2 2 5" xfId="29296"/>
    <cellStyle name="Normal 70 2 3" xfId="5487"/>
    <cellStyle name="Normal 70 2 3 2" xfId="14323"/>
    <cellStyle name="Normal 70 2 3 2 2" xfId="24574"/>
    <cellStyle name="Normal 70 2 3 2 2 2" xfId="50127"/>
    <cellStyle name="Normal 70 2 3 2 3" xfId="39878"/>
    <cellStyle name="Normal 70 2 3 3" xfId="10744"/>
    <cellStyle name="Normal 70 2 3 3 2" xfId="36301"/>
    <cellStyle name="Normal 70 2 3 4" xfId="19567"/>
    <cellStyle name="Normal 70 2 3 4 2" xfId="45120"/>
    <cellStyle name="Normal 70 2 3 5" xfId="31057"/>
    <cellStyle name="Normal 70 2 4" xfId="2561"/>
    <cellStyle name="Normal 70 2 4 2" xfId="11926"/>
    <cellStyle name="Normal 70 2 4 2 2" xfId="37481"/>
    <cellStyle name="Normal 70 2 4 3" xfId="21930"/>
    <cellStyle name="Normal 70 2 4 3 2" xfId="47483"/>
    <cellStyle name="Normal 70 2 4 4" xfId="28413"/>
    <cellStyle name="Normal 70 2 5" xfId="10756"/>
    <cellStyle name="Normal 70 2 5 2" xfId="20412"/>
    <cellStyle name="Normal 70 2 5 2 2" xfId="45965"/>
    <cellStyle name="Normal 70 2 5 3" xfId="36312"/>
    <cellStyle name="Normal 70 2 6" xfId="8566"/>
    <cellStyle name="Normal 70 2 6 2" xfId="34123"/>
    <cellStyle name="Normal 70 2 7" xfId="16923"/>
    <cellStyle name="Normal 70 2 7 2" xfId="42476"/>
    <cellStyle name="Normal 70 2 8" xfId="26895"/>
    <cellStyle name="Normal 70 3" xfId="1890"/>
    <cellStyle name="Normal 71" xfId="52"/>
    <cellStyle name="Normal 72" xfId="53"/>
    <cellStyle name="Normal 73" xfId="296"/>
    <cellStyle name="Normal 73 2" xfId="977"/>
    <cellStyle name="Normal 73 2 2" xfId="3453"/>
    <cellStyle name="Normal 73 2 2 2" xfId="12595"/>
    <cellStyle name="Normal 73 2 2 2 2" xfId="22814"/>
    <cellStyle name="Normal 73 2 2 2 2 2" xfId="48367"/>
    <cellStyle name="Normal 73 2 2 2 3" xfId="38150"/>
    <cellStyle name="Normal 73 2 2 3" xfId="9017"/>
    <cellStyle name="Normal 73 2 2 3 2" xfId="34574"/>
    <cellStyle name="Normal 73 2 2 4" xfId="17807"/>
    <cellStyle name="Normal 73 2 2 4 2" xfId="43360"/>
    <cellStyle name="Normal 73 2 2 5" xfId="29297"/>
    <cellStyle name="Normal 73 2 3" xfId="5485"/>
    <cellStyle name="Normal 73 2 3 2" xfId="14321"/>
    <cellStyle name="Normal 73 2 3 2 2" xfId="24572"/>
    <cellStyle name="Normal 73 2 3 2 2 2" xfId="50125"/>
    <cellStyle name="Normal 73 2 3 2 3" xfId="39876"/>
    <cellStyle name="Normal 73 2 3 3" xfId="10742"/>
    <cellStyle name="Normal 73 2 3 3 2" xfId="36299"/>
    <cellStyle name="Normal 73 2 3 4" xfId="19565"/>
    <cellStyle name="Normal 73 2 3 4 2" xfId="45118"/>
    <cellStyle name="Normal 73 2 3 5" xfId="31055"/>
    <cellStyle name="Normal 73 2 4" xfId="2562"/>
    <cellStyle name="Normal 73 2 4 2" xfId="11927"/>
    <cellStyle name="Normal 73 2 4 2 2" xfId="37482"/>
    <cellStyle name="Normal 73 2 4 3" xfId="21931"/>
    <cellStyle name="Normal 73 2 4 3 2" xfId="47484"/>
    <cellStyle name="Normal 73 2 4 4" xfId="28414"/>
    <cellStyle name="Normal 73 2 5" xfId="10757"/>
    <cellStyle name="Normal 73 2 5 2" xfId="20413"/>
    <cellStyle name="Normal 73 2 5 2 2" xfId="45966"/>
    <cellStyle name="Normal 73 2 5 3" xfId="36313"/>
    <cellStyle name="Normal 73 2 6" xfId="8505"/>
    <cellStyle name="Normal 73 2 6 2" xfId="34062"/>
    <cellStyle name="Normal 73 2 7" xfId="16924"/>
    <cellStyle name="Normal 73 2 7 2" xfId="42477"/>
    <cellStyle name="Normal 73 2 8" xfId="26896"/>
    <cellStyle name="Normal 73 3" xfId="1891"/>
    <cellStyle name="Normal 74" xfId="978"/>
    <cellStyle name="Normal 74 2" xfId="3454"/>
    <cellStyle name="Normal 74 2 2" xfId="12596"/>
    <cellStyle name="Normal 74 2 2 2" xfId="22815"/>
    <cellStyle name="Normal 74 2 2 2 2" xfId="48368"/>
    <cellStyle name="Normal 74 2 2 3" xfId="38151"/>
    <cellStyle name="Normal 74 2 3" xfId="9018"/>
    <cellStyle name="Normal 74 2 3 2" xfId="34575"/>
    <cellStyle name="Normal 74 2 4" xfId="17808"/>
    <cellStyle name="Normal 74 2 4 2" xfId="43361"/>
    <cellStyle name="Normal 74 2 5" xfId="29298"/>
    <cellStyle name="Normal 74 3" xfId="5483"/>
    <cellStyle name="Normal 74 3 2" xfId="14320"/>
    <cellStyle name="Normal 74 3 2 2" xfId="24571"/>
    <cellStyle name="Normal 74 3 2 2 2" xfId="50124"/>
    <cellStyle name="Normal 74 3 2 3" xfId="39875"/>
    <cellStyle name="Normal 74 3 3" xfId="10741"/>
    <cellStyle name="Normal 74 3 3 2" xfId="36298"/>
    <cellStyle name="Normal 74 3 4" xfId="19564"/>
    <cellStyle name="Normal 74 3 4 2" xfId="45117"/>
    <cellStyle name="Normal 74 3 5" xfId="31054"/>
    <cellStyle name="Normal 74 4" xfId="2563"/>
    <cellStyle name="Normal 74 4 2" xfId="11928"/>
    <cellStyle name="Normal 74 4 2 2" xfId="37483"/>
    <cellStyle name="Normal 74 4 3" xfId="21932"/>
    <cellStyle name="Normal 74 4 3 2" xfId="47485"/>
    <cellStyle name="Normal 74 4 4" xfId="28415"/>
    <cellStyle name="Normal 74 5" xfId="10758"/>
    <cellStyle name="Normal 74 5 2" xfId="20414"/>
    <cellStyle name="Normal 74 5 2 2" xfId="45967"/>
    <cellStyle name="Normal 74 5 3" xfId="36314"/>
    <cellStyle name="Normal 74 6" xfId="8440"/>
    <cellStyle name="Normal 74 6 2" xfId="33997"/>
    <cellStyle name="Normal 74 7" xfId="16925"/>
    <cellStyle name="Normal 74 7 2" xfId="42478"/>
    <cellStyle name="Normal 74 8" xfId="26897"/>
    <cellStyle name="Normal 75" xfId="979"/>
    <cellStyle name="Normal 75 2" xfId="3455"/>
    <cellStyle name="Normal 75 2 2" xfId="12597"/>
    <cellStyle name="Normal 75 2 2 2" xfId="22816"/>
    <cellStyle name="Normal 75 2 2 2 2" xfId="48369"/>
    <cellStyle name="Normal 75 2 2 3" xfId="38152"/>
    <cellStyle name="Normal 75 2 3" xfId="9019"/>
    <cellStyle name="Normal 75 2 3 2" xfId="34576"/>
    <cellStyle name="Normal 75 2 4" xfId="17809"/>
    <cellStyle name="Normal 75 2 4 2" xfId="43362"/>
    <cellStyle name="Normal 75 2 5" xfId="29299"/>
    <cellStyle name="Normal 75 3" xfId="5480"/>
    <cellStyle name="Normal 75 3 2" xfId="14317"/>
    <cellStyle name="Normal 75 3 2 2" xfId="24568"/>
    <cellStyle name="Normal 75 3 2 2 2" xfId="50121"/>
    <cellStyle name="Normal 75 3 2 3" xfId="39872"/>
    <cellStyle name="Normal 75 3 3" xfId="10738"/>
    <cellStyle name="Normal 75 3 3 2" xfId="36295"/>
    <cellStyle name="Normal 75 3 4" xfId="19561"/>
    <cellStyle name="Normal 75 3 4 2" xfId="45114"/>
    <cellStyle name="Normal 75 3 5" xfId="31051"/>
    <cellStyle name="Normal 75 4" xfId="2564"/>
    <cellStyle name="Normal 75 4 2" xfId="11929"/>
    <cellStyle name="Normal 75 4 2 2" xfId="37484"/>
    <cellStyle name="Normal 75 4 3" xfId="21933"/>
    <cellStyle name="Normal 75 4 3 2" xfId="47486"/>
    <cellStyle name="Normal 75 4 4" xfId="28416"/>
    <cellStyle name="Normal 75 5" xfId="10759"/>
    <cellStyle name="Normal 75 5 2" xfId="20415"/>
    <cellStyle name="Normal 75 5 2 2" xfId="45968"/>
    <cellStyle name="Normal 75 5 3" xfId="36315"/>
    <cellStyle name="Normal 75 6" xfId="8401"/>
    <cellStyle name="Normal 75 6 2" xfId="33958"/>
    <cellStyle name="Normal 75 7" xfId="16926"/>
    <cellStyle name="Normal 75 7 2" xfId="42479"/>
    <cellStyle name="Normal 75 8" xfId="26898"/>
    <cellStyle name="Normal 76" xfId="980"/>
    <cellStyle name="Normal 76 2" xfId="3456"/>
    <cellStyle name="Normal 76 2 2" xfId="12598"/>
    <cellStyle name="Normal 76 2 2 2" xfId="22817"/>
    <cellStyle name="Normal 76 2 2 2 2" xfId="48370"/>
    <cellStyle name="Normal 76 2 2 3" xfId="38153"/>
    <cellStyle name="Normal 76 2 3" xfId="9020"/>
    <cellStyle name="Normal 76 2 3 2" xfId="34577"/>
    <cellStyle name="Normal 76 2 4" xfId="17810"/>
    <cellStyle name="Normal 76 2 4 2" xfId="43363"/>
    <cellStyle name="Normal 76 2 5" xfId="29300"/>
    <cellStyle name="Normal 76 3" xfId="5479"/>
    <cellStyle name="Normal 76 3 2" xfId="14316"/>
    <cellStyle name="Normal 76 3 2 2" xfId="24567"/>
    <cellStyle name="Normal 76 3 2 2 2" xfId="50120"/>
    <cellStyle name="Normal 76 3 2 3" xfId="39871"/>
    <cellStyle name="Normal 76 3 3" xfId="10737"/>
    <cellStyle name="Normal 76 3 3 2" xfId="36294"/>
    <cellStyle name="Normal 76 3 4" xfId="19560"/>
    <cellStyle name="Normal 76 3 4 2" xfId="45113"/>
    <cellStyle name="Normal 76 3 5" xfId="31050"/>
    <cellStyle name="Normal 76 4" xfId="2565"/>
    <cellStyle name="Normal 76 4 2" xfId="11930"/>
    <cellStyle name="Normal 76 4 2 2" xfId="37485"/>
    <cellStyle name="Normal 76 4 3" xfId="21934"/>
    <cellStyle name="Normal 76 4 3 2" xfId="47487"/>
    <cellStyle name="Normal 76 4 4" xfId="28417"/>
    <cellStyle name="Normal 76 5" xfId="10760"/>
    <cellStyle name="Normal 76 5 2" xfId="20416"/>
    <cellStyle name="Normal 76 5 2 2" xfId="45969"/>
    <cellStyle name="Normal 76 5 3" xfId="36316"/>
    <cellStyle name="Normal 76 6" xfId="8596"/>
    <cellStyle name="Normal 76 6 2" xfId="34153"/>
    <cellStyle name="Normal 76 7" xfId="16927"/>
    <cellStyle name="Normal 76 7 2" xfId="42480"/>
    <cellStyle name="Normal 76 8" xfId="26899"/>
    <cellStyle name="Normal 77" xfId="615"/>
    <cellStyle name="Normal 77 2" xfId="3101"/>
    <cellStyle name="Normal 77 2 2" xfId="12244"/>
    <cellStyle name="Normal 77 2 2 2" xfId="22462"/>
    <cellStyle name="Normal 77 2 2 2 2" xfId="48015"/>
    <cellStyle name="Normal 77 2 2 3" xfId="37799"/>
    <cellStyle name="Normal 77 2 3" xfId="8666"/>
    <cellStyle name="Normal 77 2 3 2" xfId="34223"/>
    <cellStyle name="Normal 77 2 4" xfId="17455"/>
    <cellStyle name="Normal 77 2 4 2" xfId="43008"/>
    <cellStyle name="Normal 77 2 5" xfId="28945"/>
    <cellStyle name="Normal 77 3" xfId="5488"/>
    <cellStyle name="Normal 77 3 2" xfId="14324"/>
    <cellStyle name="Normal 77 3 2 2" xfId="24575"/>
    <cellStyle name="Normal 77 3 2 2 2" xfId="50128"/>
    <cellStyle name="Normal 77 3 2 3" xfId="39879"/>
    <cellStyle name="Normal 77 3 3" xfId="10745"/>
    <cellStyle name="Normal 77 3 3 2" xfId="36302"/>
    <cellStyle name="Normal 77 3 4" xfId="19568"/>
    <cellStyle name="Normal 77 3 4 2" xfId="45121"/>
    <cellStyle name="Normal 77 3 5" xfId="31058"/>
    <cellStyle name="Normal 77 4" xfId="2210"/>
    <cellStyle name="Normal 77 4 2" xfId="11575"/>
    <cellStyle name="Normal 77 4 2 2" xfId="37130"/>
    <cellStyle name="Normal 77 4 3" xfId="21579"/>
    <cellStyle name="Normal 77 4 3 2" xfId="47132"/>
    <cellStyle name="Normal 77 4 4" xfId="28062"/>
    <cellStyle name="Normal 77 5" xfId="10752"/>
    <cellStyle name="Normal 77 5 2" xfId="20061"/>
    <cellStyle name="Normal 77 5 2 2" xfId="45614"/>
    <cellStyle name="Normal 77 5 3" xfId="36308"/>
    <cellStyle name="Normal 77 6" xfId="8567"/>
    <cellStyle name="Normal 77 6 2" xfId="34124"/>
    <cellStyle name="Normal 77 7" xfId="16572"/>
    <cellStyle name="Normal 77 7 2" xfId="42125"/>
    <cellStyle name="Normal 77 8" xfId="26544"/>
    <cellStyle name="Normal 78" xfId="981"/>
    <cellStyle name="Normal 78 2" xfId="3457"/>
    <cellStyle name="Normal 78 2 2" xfId="12599"/>
    <cellStyle name="Normal 78 2 2 2" xfId="22818"/>
    <cellStyle name="Normal 78 2 2 2 2" xfId="48371"/>
    <cellStyle name="Normal 78 2 2 3" xfId="38154"/>
    <cellStyle name="Normal 78 2 3" xfId="9021"/>
    <cellStyle name="Normal 78 2 3 2" xfId="34578"/>
    <cellStyle name="Normal 78 2 4" xfId="17811"/>
    <cellStyle name="Normal 78 2 4 2" xfId="43364"/>
    <cellStyle name="Normal 78 2 5" xfId="29301"/>
    <cellStyle name="Normal 78 3" xfId="4161"/>
    <cellStyle name="Normal 78 3 2" xfId="12999"/>
    <cellStyle name="Normal 78 3 2 2" xfId="23250"/>
    <cellStyle name="Normal 78 3 2 2 2" xfId="48803"/>
    <cellStyle name="Normal 78 3 2 3" xfId="38554"/>
    <cellStyle name="Normal 78 3 3" xfId="9420"/>
    <cellStyle name="Normal 78 3 3 2" xfId="34977"/>
    <cellStyle name="Normal 78 3 4" xfId="18243"/>
    <cellStyle name="Normal 78 3 4 2" xfId="43796"/>
    <cellStyle name="Normal 78 3 5" xfId="29733"/>
    <cellStyle name="Normal 78 4" xfId="2566"/>
    <cellStyle name="Normal 78 4 2" xfId="11931"/>
    <cellStyle name="Normal 78 4 2 2" xfId="37486"/>
    <cellStyle name="Normal 78 4 3" xfId="21935"/>
    <cellStyle name="Normal 78 4 3 2" xfId="47488"/>
    <cellStyle name="Normal 78 4 4" xfId="28418"/>
    <cellStyle name="Normal 78 5" xfId="10761"/>
    <cellStyle name="Normal 78 5 2" xfId="20417"/>
    <cellStyle name="Normal 78 5 2 2" xfId="45970"/>
    <cellStyle name="Normal 78 5 3" xfId="36317"/>
    <cellStyle name="Normal 78 6" xfId="8609"/>
    <cellStyle name="Normal 78 6 2" xfId="34166"/>
    <cellStyle name="Normal 78 7" xfId="16928"/>
    <cellStyle name="Normal 78 7 2" xfId="42481"/>
    <cellStyle name="Normal 78 8" xfId="26900"/>
    <cellStyle name="Normal 79" xfId="616"/>
    <cellStyle name="Normal 79 2" xfId="3102"/>
    <cellStyle name="Normal 79 2 2" xfId="12245"/>
    <cellStyle name="Normal 79 2 2 2" xfId="22463"/>
    <cellStyle name="Normal 79 2 2 2 2" xfId="48016"/>
    <cellStyle name="Normal 79 2 2 3" xfId="37800"/>
    <cellStyle name="Normal 79 2 3" xfId="8667"/>
    <cellStyle name="Normal 79 2 3 2" xfId="34224"/>
    <cellStyle name="Normal 79 2 4" xfId="17456"/>
    <cellStyle name="Normal 79 2 4 2" xfId="43009"/>
    <cellStyle name="Normal 79 2 5" xfId="28946"/>
    <cellStyle name="Normal 79 3" xfId="5486"/>
    <cellStyle name="Normal 79 3 2" xfId="14322"/>
    <cellStyle name="Normal 79 3 2 2" xfId="24573"/>
    <cellStyle name="Normal 79 3 2 2 2" xfId="50126"/>
    <cellStyle name="Normal 79 3 2 3" xfId="39877"/>
    <cellStyle name="Normal 79 3 3" xfId="10743"/>
    <cellStyle name="Normal 79 3 3 2" xfId="36300"/>
    <cellStyle name="Normal 79 3 4" xfId="19566"/>
    <cellStyle name="Normal 79 3 4 2" xfId="45119"/>
    <cellStyle name="Normal 79 3 5" xfId="31056"/>
    <cellStyle name="Normal 79 4" xfId="2211"/>
    <cellStyle name="Normal 79 4 2" xfId="11576"/>
    <cellStyle name="Normal 79 4 2 2" xfId="37131"/>
    <cellStyle name="Normal 79 4 3" xfId="21580"/>
    <cellStyle name="Normal 79 4 3 2" xfId="47133"/>
    <cellStyle name="Normal 79 4 4" xfId="28063"/>
    <cellStyle name="Normal 79 5" xfId="10753"/>
    <cellStyle name="Normal 79 5 2" xfId="20062"/>
    <cellStyle name="Normal 79 5 2 2" xfId="45615"/>
    <cellStyle name="Normal 79 5 3" xfId="36309"/>
    <cellStyle name="Normal 79 6" xfId="8506"/>
    <cellStyle name="Normal 79 6 2" xfId="34063"/>
    <cellStyle name="Normal 79 7" xfId="16573"/>
    <cellStyle name="Normal 79 7 2" xfId="42126"/>
    <cellStyle name="Normal 79 8" xfId="26545"/>
    <cellStyle name="Normal 8" xfId="16"/>
    <cellStyle name="Normal 8 2" xfId="32"/>
    <cellStyle name="Normal 8 3" xfId="152"/>
    <cellStyle name="Normal 80" xfId="617"/>
    <cellStyle name="Normal 80 2" xfId="3103"/>
    <cellStyle name="Normal 80 2 2" xfId="12246"/>
    <cellStyle name="Normal 80 2 2 2" xfId="22464"/>
    <cellStyle name="Normal 80 2 2 2 2" xfId="48017"/>
    <cellStyle name="Normal 80 2 2 3" xfId="37801"/>
    <cellStyle name="Normal 80 2 3" xfId="8668"/>
    <cellStyle name="Normal 80 2 3 2" xfId="34225"/>
    <cellStyle name="Normal 80 2 4" xfId="17457"/>
    <cellStyle name="Normal 80 2 4 2" xfId="43010"/>
    <cellStyle name="Normal 80 2 5" xfId="28947"/>
    <cellStyle name="Normal 80 3" xfId="5482"/>
    <cellStyle name="Normal 80 3 2" xfId="14319"/>
    <cellStyle name="Normal 80 3 2 2" xfId="24570"/>
    <cellStyle name="Normal 80 3 2 2 2" xfId="50123"/>
    <cellStyle name="Normal 80 3 2 3" xfId="39874"/>
    <cellStyle name="Normal 80 3 3" xfId="10740"/>
    <cellStyle name="Normal 80 3 3 2" xfId="36297"/>
    <cellStyle name="Normal 80 3 4" xfId="19563"/>
    <cellStyle name="Normal 80 3 4 2" xfId="45116"/>
    <cellStyle name="Normal 80 3 5" xfId="31053"/>
    <cellStyle name="Normal 80 4" xfId="2212"/>
    <cellStyle name="Normal 80 4 2" xfId="11577"/>
    <cellStyle name="Normal 80 4 2 2" xfId="37132"/>
    <cellStyle name="Normal 80 4 3" xfId="21581"/>
    <cellStyle name="Normal 80 4 3 2" xfId="47134"/>
    <cellStyle name="Normal 80 4 4" xfId="28064"/>
    <cellStyle name="Normal 80 5" xfId="10754"/>
    <cellStyle name="Normal 80 5 2" xfId="20063"/>
    <cellStyle name="Normal 80 5 2 2" xfId="45616"/>
    <cellStyle name="Normal 80 5 3" xfId="36310"/>
    <cellStyle name="Normal 80 6" xfId="8572"/>
    <cellStyle name="Normal 80 6 2" xfId="34129"/>
    <cellStyle name="Normal 80 7" xfId="16574"/>
    <cellStyle name="Normal 80 7 2" xfId="42127"/>
    <cellStyle name="Normal 80 8" xfId="26546"/>
    <cellStyle name="Normal 80 9" xfId="26012"/>
    <cellStyle name="Normal 80 9 2" xfId="51565"/>
    <cellStyle name="Normal 81" xfId="982"/>
    <cellStyle name="Normal 81 2" xfId="3458"/>
    <cellStyle name="Normal 81 2 2" xfId="12600"/>
    <cellStyle name="Normal 81 2 2 2" xfId="22819"/>
    <cellStyle name="Normal 81 2 2 2 2" xfId="48372"/>
    <cellStyle name="Normal 81 2 2 3" xfId="38155"/>
    <cellStyle name="Normal 81 2 3" xfId="9022"/>
    <cellStyle name="Normal 81 2 3 2" xfId="34579"/>
    <cellStyle name="Normal 81 2 4" xfId="17812"/>
    <cellStyle name="Normal 81 2 4 2" xfId="43365"/>
    <cellStyle name="Normal 81 2 5" xfId="29302"/>
    <cellStyle name="Normal 81 3" xfId="4089"/>
    <cellStyle name="Normal 81 3 2" xfId="12952"/>
    <cellStyle name="Normal 81 3 2 2" xfId="23178"/>
    <cellStyle name="Normal 81 3 2 2 2" xfId="48731"/>
    <cellStyle name="Normal 81 3 2 3" xfId="38507"/>
    <cellStyle name="Normal 81 3 3" xfId="9373"/>
    <cellStyle name="Normal 81 3 3 2" xfId="34930"/>
    <cellStyle name="Normal 81 3 4" xfId="18171"/>
    <cellStyle name="Normal 81 3 4 2" xfId="43724"/>
    <cellStyle name="Normal 81 3 5" xfId="29661"/>
    <cellStyle name="Normal 81 4" xfId="2567"/>
    <cellStyle name="Normal 81 4 2" xfId="11932"/>
    <cellStyle name="Normal 81 4 2 2" xfId="37487"/>
    <cellStyle name="Normal 81 4 3" xfId="21936"/>
    <cellStyle name="Normal 81 4 3 2" xfId="47489"/>
    <cellStyle name="Normal 81 4 4" xfId="28419"/>
    <cellStyle name="Normal 81 5" xfId="10762"/>
    <cellStyle name="Normal 81 5 2" xfId="20418"/>
    <cellStyle name="Normal 81 5 2 2" xfId="45971"/>
    <cellStyle name="Normal 81 5 3" xfId="36318"/>
    <cellStyle name="Normal 81 6" xfId="8565"/>
    <cellStyle name="Normal 81 6 2" xfId="34122"/>
    <cellStyle name="Normal 81 7" xfId="16929"/>
    <cellStyle name="Normal 81 7 2" xfId="42482"/>
    <cellStyle name="Normal 81 8" xfId="26901"/>
    <cellStyle name="Normal 82" xfId="983"/>
    <cellStyle name="Normal 82 2" xfId="3459"/>
    <cellStyle name="Normal 82 2 2" xfId="12601"/>
    <cellStyle name="Normal 82 2 2 2" xfId="22820"/>
    <cellStyle name="Normal 82 2 2 2 2" xfId="48373"/>
    <cellStyle name="Normal 82 2 2 3" xfId="38156"/>
    <cellStyle name="Normal 82 2 3" xfId="9023"/>
    <cellStyle name="Normal 82 2 3 2" xfId="34580"/>
    <cellStyle name="Normal 82 2 4" xfId="17813"/>
    <cellStyle name="Normal 82 2 4 2" xfId="43366"/>
    <cellStyle name="Normal 82 2 5" xfId="29303"/>
    <cellStyle name="Normal 82 3" xfId="5489"/>
    <cellStyle name="Normal 82 3 2" xfId="14325"/>
    <cellStyle name="Normal 82 3 2 2" xfId="24576"/>
    <cellStyle name="Normal 82 3 2 2 2" xfId="50129"/>
    <cellStyle name="Normal 82 3 2 3" xfId="39880"/>
    <cellStyle name="Normal 82 3 3" xfId="10746"/>
    <cellStyle name="Normal 82 3 3 2" xfId="36303"/>
    <cellStyle name="Normal 82 3 4" xfId="19569"/>
    <cellStyle name="Normal 82 3 4 2" xfId="45122"/>
    <cellStyle name="Normal 82 3 5" xfId="31059"/>
    <cellStyle name="Normal 82 4" xfId="2568"/>
    <cellStyle name="Normal 82 4 2" xfId="11933"/>
    <cellStyle name="Normal 82 4 2 2" xfId="37488"/>
    <cellStyle name="Normal 82 4 3" xfId="21937"/>
    <cellStyle name="Normal 82 4 3 2" xfId="47490"/>
    <cellStyle name="Normal 82 4 4" xfId="28420"/>
    <cellStyle name="Normal 82 5" xfId="10763"/>
    <cellStyle name="Normal 82 5 2" xfId="20419"/>
    <cellStyle name="Normal 82 5 2 2" xfId="45972"/>
    <cellStyle name="Normal 82 5 3" xfId="36319"/>
    <cellStyle name="Normal 82 6" xfId="8504"/>
    <cellStyle name="Normal 82 6 2" xfId="34061"/>
    <cellStyle name="Normal 82 7" xfId="16930"/>
    <cellStyle name="Normal 82 7 2" xfId="42483"/>
    <cellStyle name="Normal 82 8" xfId="26902"/>
    <cellStyle name="Normal 83" xfId="54"/>
    <cellStyle name="Normal 84" xfId="55"/>
    <cellStyle name="Normal 85" xfId="618"/>
    <cellStyle name="Normal 85 2" xfId="3104"/>
    <cellStyle name="Normal 85 2 2" xfId="12247"/>
    <cellStyle name="Normal 85 2 2 2" xfId="22465"/>
    <cellStyle name="Normal 85 2 2 2 2" xfId="48018"/>
    <cellStyle name="Normal 85 2 2 3" xfId="37802"/>
    <cellStyle name="Normal 85 2 3" xfId="8669"/>
    <cellStyle name="Normal 85 2 3 2" xfId="34226"/>
    <cellStyle name="Normal 85 2 4" xfId="17458"/>
    <cellStyle name="Normal 85 2 4 2" xfId="43011"/>
    <cellStyle name="Normal 85 2 5" xfId="28948"/>
    <cellStyle name="Normal 85 3" xfId="5481"/>
    <cellStyle name="Normal 85 3 2" xfId="14318"/>
    <cellStyle name="Normal 85 3 2 2" xfId="24569"/>
    <cellStyle name="Normal 85 3 2 2 2" xfId="50122"/>
    <cellStyle name="Normal 85 3 2 3" xfId="39873"/>
    <cellStyle name="Normal 85 3 3" xfId="10739"/>
    <cellStyle name="Normal 85 3 3 2" xfId="36296"/>
    <cellStyle name="Normal 85 3 4" xfId="19562"/>
    <cellStyle name="Normal 85 3 4 2" xfId="45115"/>
    <cellStyle name="Normal 85 3 5" xfId="31052"/>
    <cellStyle name="Normal 85 4" xfId="2213"/>
    <cellStyle name="Normal 85 4 2" xfId="11578"/>
    <cellStyle name="Normal 85 4 2 2" xfId="37133"/>
    <cellStyle name="Normal 85 4 3" xfId="21582"/>
    <cellStyle name="Normal 85 4 3 2" xfId="47135"/>
    <cellStyle name="Normal 85 4 4" xfId="28065"/>
    <cellStyle name="Normal 85 5" xfId="10755"/>
    <cellStyle name="Normal 85 5 2" xfId="20064"/>
    <cellStyle name="Normal 85 5 2 2" xfId="45617"/>
    <cellStyle name="Normal 85 5 3" xfId="36311"/>
    <cellStyle name="Normal 85 6" xfId="8633"/>
    <cellStyle name="Normal 85 6 2" xfId="34190"/>
    <cellStyle name="Normal 85 7" xfId="16575"/>
    <cellStyle name="Normal 85 7 2" xfId="42128"/>
    <cellStyle name="Normal 85 8" xfId="26547"/>
    <cellStyle name="Normal 86" xfId="56"/>
    <cellStyle name="Normal 87" xfId="614"/>
    <cellStyle name="Normal 87 2" xfId="3100"/>
    <cellStyle name="Normal 87 2 2" xfId="12243"/>
    <cellStyle name="Normal 87 2 2 2" xfId="22461"/>
    <cellStyle name="Normal 87 2 2 2 2" xfId="48014"/>
    <cellStyle name="Normal 87 2 2 3" xfId="37798"/>
    <cellStyle name="Normal 87 2 3" xfId="8665"/>
    <cellStyle name="Normal 87 2 3 2" xfId="34222"/>
    <cellStyle name="Normal 87 2 4" xfId="17454"/>
    <cellStyle name="Normal 87 2 4 2" xfId="43007"/>
    <cellStyle name="Normal 87 2 5" xfId="28944"/>
    <cellStyle name="Normal 87 3" xfId="5490"/>
    <cellStyle name="Normal 87 3 2" xfId="14326"/>
    <cellStyle name="Normal 87 3 2 2" xfId="24577"/>
    <cellStyle name="Normal 87 3 2 2 2" xfId="50130"/>
    <cellStyle name="Normal 87 3 2 3" xfId="39881"/>
    <cellStyle name="Normal 87 3 3" xfId="10747"/>
    <cellStyle name="Normal 87 3 3 2" xfId="36304"/>
    <cellStyle name="Normal 87 3 4" xfId="19570"/>
    <cellStyle name="Normal 87 3 4 2" xfId="45123"/>
    <cellStyle name="Normal 87 3 5" xfId="31060"/>
    <cellStyle name="Normal 87 4" xfId="2209"/>
    <cellStyle name="Normal 87 4 2" xfId="11574"/>
    <cellStyle name="Normal 87 4 2 2" xfId="37129"/>
    <cellStyle name="Normal 87 4 3" xfId="21578"/>
    <cellStyle name="Normal 87 4 3 2" xfId="47131"/>
    <cellStyle name="Normal 87 4 4" xfId="28061"/>
    <cellStyle name="Normal 87 5" xfId="10751"/>
    <cellStyle name="Normal 87 5 2" xfId="20060"/>
    <cellStyle name="Normal 87 5 2 2" xfId="45613"/>
    <cellStyle name="Normal 87 5 3" xfId="36307"/>
    <cellStyle name="Normal 87 6" xfId="8592"/>
    <cellStyle name="Normal 87 6 2" xfId="34149"/>
    <cellStyle name="Normal 87 7" xfId="16571"/>
    <cellStyle name="Normal 87 7 2" xfId="42124"/>
    <cellStyle name="Normal 87 8" xfId="26543"/>
    <cellStyle name="Normal 88" xfId="1038"/>
    <cellStyle name="Normal 89" xfId="4083"/>
    <cellStyle name="Normal 9" xfId="17"/>
    <cellStyle name="Normal 9 2" xfId="291"/>
    <cellStyle name="Normal 9 2 10" xfId="16077"/>
    <cellStyle name="Normal 9 2 10 2" xfId="41630"/>
    <cellStyle name="Normal 9 2 11" xfId="26223"/>
    <cellStyle name="Normal 9 2 2" xfId="611"/>
    <cellStyle name="Normal 9 2 2 2" xfId="3097"/>
    <cellStyle name="Normal 9 2 2 2 2" xfId="12240"/>
    <cellStyle name="Normal 9 2 2 2 2 2" xfId="22458"/>
    <cellStyle name="Normal 9 2 2 2 2 2 2" xfId="48011"/>
    <cellStyle name="Normal 9 2 2 2 2 3" xfId="37795"/>
    <cellStyle name="Normal 9 2 2 2 3" xfId="8662"/>
    <cellStyle name="Normal 9 2 2 2 3 2" xfId="34219"/>
    <cellStyle name="Normal 9 2 2 2 4" xfId="17451"/>
    <cellStyle name="Normal 9 2 2 2 4 2" xfId="43004"/>
    <cellStyle name="Normal 9 2 2 2 5" xfId="28941"/>
    <cellStyle name="Normal 9 2 2 3" xfId="4782"/>
    <cellStyle name="Normal 9 2 2 3 2" xfId="13619"/>
    <cellStyle name="Normal 9 2 2 3 2 2" xfId="23870"/>
    <cellStyle name="Normal 9 2 2 3 2 2 2" xfId="49423"/>
    <cellStyle name="Normal 9 2 2 3 2 3" xfId="39174"/>
    <cellStyle name="Normal 9 2 2 3 3" xfId="10040"/>
    <cellStyle name="Normal 9 2 2 3 3 2" xfId="35597"/>
    <cellStyle name="Normal 9 2 2 3 4" xfId="18863"/>
    <cellStyle name="Normal 9 2 2 3 4 2" xfId="44416"/>
    <cellStyle name="Normal 9 2 2 3 5" xfId="30353"/>
    <cellStyle name="Normal 9 2 2 4" xfId="2206"/>
    <cellStyle name="Normal 9 2 2 4 2" xfId="11571"/>
    <cellStyle name="Normal 9 2 2 4 2 2" xfId="37126"/>
    <cellStyle name="Normal 9 2 2 4 3" xfId="21575"/>
    <cellStyle name="Normal 9 2 2 4 3 2" xfId="47128"/>
    <cellStyle name="Normal 9 2 2 4 4" xfId="28058"/>
    <cellStyle name="Normal 9 2 2 5" xfId="6237"/>
    <cellStyle name="Normal 9 2 2 5 2" xfId="15064"/>
    <cellStyle name="Normal 9 2 2 5 2 2" xfId="40619"/>
    <cellStyle name="Normal 9 2 2 5 3" xfId="25315"/>
    <cellStyle name="Normal 9 2 2 5 3 2" xfId="50868"/>
    <cellStyle name="Normal 9 2 2 5 4" xfId="31798"/>
    <cellStyle name="Normal 9 2 2 6" xfId="7683"/>
    <cellStyle name="Normal 9 2 2 6 2" xfId="20057"/>
    <cellStyle name="Normal 9 2 2 6 2 2" xfId="45610"/>
    <cellStyle name="Normal 9 2 2 6 3" xfId="33240"/>
    <cellStyle name="Normal 9 2 2 7" xfId="16568"/>
    <cellStyle name="Normal 9 2 2 7 2" xfId="42121"/>
    <cellStyle name="Normal 9 2 2 8" xfId="26540"/>
    <cellStyle name="Normal 9 2 3" xfId="984"/>
    <cellStyle name="Normal 9 2 3 2" xfId="3460"/>
    <cellStyle name="Normal 9 2 3 2 2" xfId="12602"/>
    <cellStyle name="Normal 9 2 3 2 2 2" xfId="22821"/>
    <cellStyle name="Normal 9 2 3 2 2 2 2" xfId="48374"/>
    <cellStyle name="Normal 9 2 3 2 2 3" xfId="38157"/>
    <cellStyle name="Normal 9 2 3 2 3" xfId="9024"/>
    <cellStyle name="Normal 9 2 3 2 3 2" xfId="34581"/>
    <cellStyle name="Normal 9 2 3 2 4" xfId="17814"/>
    <cellStyle name="Normal 9 2 3 2 4 2" xfId="43367"/>
    <cellStyle name="Normal 9 2 3 2 5" xfId="29304"/>
    <cellStyle name="Normal 9 2 3 3" xfId="5130"/>
    <cellStyle name="Normal 9 2 3 3 2" xfId="13967"/>
    <cellStyle name="Normal 9 2 3 3 2 2" xfId="24218"/>
    <cellStyle name="Normal 9 2 3 3 2 2 2" xfId="49771"/>
    <cellStyle name="Normal 9 2 3 3 2 3" xfId="39522"/>
    <cellStyle name="Normal 9 2 3 3 3" xfId="10388"/>
    <cellStyle name="Normal 9 2 3 3 3 2" xfId="35945"/>
    <cellStyle name="Normal 9 2 3 3 4" xfId="19211"/>
    <cellStyle name="Normal 9 2 3 3 4 2" xfId="44764"/>
    <cellStyle name="Normal 9 2 3 3 5" xfId="30701"/>
    <cellStyle name="Normal 9 2 3 4" xfId="2569"/>
    <cellStyle name="Normal 9 2 3 4 2" xfId="11934"/>
    <cellStyle name="Normal 9 2 3 4 2 2" xfId="37489"/>
    <cellStyle name="Normal 9 2 3 4 3" xfId="21938"/>
    <cellStyle name="Normal 9 2 3 4 3 2" xfId="47491"/>
    <cellStyle name="Normal 9 2 3 4 4" xfId="28421"/>
    <cellStyle name="Normal 9 2 3 5" xfId="6585"/>
    <cellStyle name="Normal 9 2 3 5 2" xfId="15412"/>
    <cellStyle name="Normal 9 2 3 5 2 2" xfId="40967"/>
    <cellStyle name="Normal 9 2 3 5 3" xfId="25663"/>
    <cellStyle name="Normal 9 2 3 5 3 2" xfId="51216"/>
    <cellStyle name="Normal 9 2 3 5 4" xfId="32146"/>
    <cellStyle name="Normal 9 2 3 6" xfId="8031"/>
    <cellStyle name="Normal 9 2 3 6 2" xfId="20420"/>
    <cellStyle name="Normal 9 2 3 6 2 2" xfId="45973"/>
    <cellStyle name="Normal 9 2 3 6 3" xfId="33588"/>
    <cellStyle name="Normal 9 2 3 7" xfId="16931"/>
    <cellStyle name="Normal 9 2 3 7 2" xfId="42484"/>
    <cellStyle name="Normal 9 2 3 8" xfId="26903"/>
    <cellStyle name="Normal 9 2 4" xfId="1383"/>
    <cellStyle name="Normal 9 2 4 2" xfId="3812"/>
    <cellStyle name="Normal 9 2 4 2 2" xfId="12948"/>
    <cellStyle name="Normal 9 2 4 2 2 2" xfId="23167"/>
    <cellStyle name="Normal 9 2 4 2 2 2 2" xfId="48720"/>
    <cellStyle name="Normal 9 2 4 2 2 3" xfId="38503"/>
    <cellStyle name="Normal 9 2 4 2 3" xfId="9369"/>
    <cellStyle name="Normal 9 2 4 2 3 2" xfId="34926"/>
    <cellStyle name="Normal 9 2 4 2 4" xfId="18160"/>
    <cellStyle name="Normal 9 2 4 2 4 2" xfId="43713"/>
    <cellStyle name="Normal 9 2 4 2 5" xfId="29650"/>
    <cellStyle name="Normal 9 2 4 3" xfId="5475"/>
    <cellStyle name="Normal 9 2 4 3 2" xfId="14312"/>
    <cellStyle name="Normal 9 2 4 3 2 2" xfId="24563"/>
    <cellStyle name="Normal 9 2 4 3 2 2 2" xfId="50116"/>
    <cellStyle name="Normal 9 2 4 3 2 3" xfId="39867"/>
    <cellStyle name="Normal 9 2 4 3 3" xfId="10733"/>
    <cellStyle name="Normal 9 2 4 3 3 2" xfId="36290"/>
    <cellStyle name="Normal 9 2 4 3 4" xfId="19556"/>
    <cellStyle name="Normal 9 2 4 3 4 2" xfId="45109"/>
    <cellStyle name="Normal 9 2 4 3 5" xfId="31046"/>
    <cellStyle name="Normal 9 2 4 4" xfId="1887"/>
    <cellStyle name="Normal 9 2 4 4 2" xfId="11254"/>
    <cellStyle name="Normal 9 2 4 4 2 2" xfId="36809"/>
    <cellStyle name="Normal 9 2 4 4 3" xfId="21258"/>
    <cellStyle name="Normal 9 2 4 4 3 2" xfId="46811"/>
    <cellStyle name="Normal 9 2 4 4 4" xfId="27741"/>
    <cellStyle name="Normal 9 2 4 5" xfId="6930"/>
    <cellStyle name="Normal 9 2 4 5 2" xfId="15757"/>
    <cellStyle name="Normal 9 2 4 5 2 2" xfId="41312"/>
    <cellStyle name="Normal 9 2 4 5 3" xfId="26008"/>
    <cellStyle name="Normal 9 2 4 5 3 2" xfId="51561"/>
    <cellStyle name="Normal 9 2 4 5 4" xfId="32491"/>
    <cellStyle name="Normal 9 2 4 6" xfId="8376"/>
    <cellStyle name="Normal 9 2 4 6 2" xfId="20766"/>
    <cellStyle name="Normal 9 2 4 6 2 2" xfId="46319"/>
    <cellStyle name="Normal 9 2 4 6 3" xfId="33933"/>
    <cellStyle name="Normal 9 2 4 7" xfId="16251"/>
    <cellStyle name="Normal 9 2 4 7 2" xfId="41804"/>
    <cellStyle name="Normal 9 2 4 8" xfId="27249"/>
    <cellStyle name="Normal 9 2 5" xfId="2780"/>
    <cellStyle name="Normal 9 2 5 2" xfId="12097"/>
    <cellStyle name="Normal 9 2 5 2 2" xfId="22141"/>
    <cellStyle name="Normal 9 2 5 2 2 2" xfId="47694"/>
    <cellStyle name="Normal 9 2 5 2 3" xfId="37652"/>
    <cellStyle name="Normal 9 2 5 3" xfId="8422"/>
    <cellStyle name="Normal 9 2 5 3 2" xfId="33979"/>
    <cellStyle name="Normal 9 2 5 4" xfId="17134"/>
    <cellStyle name="Normal 9 2 5 4 2" xfId="42687"/>
    <cellStyle name="Normal 9 2 5 5" xfId="28624"/>
    <cellStyle name="Normal 9 2 6" xfId="4431"/>
    <cellStyle name="Normal 9 2 6 2" xfId="13269"/>
    <cellStyle name="Normal 9 2 6 2 2" xfId="23520"/>
    <cellStyle name="Normal 9 2 6 2 2 2" xfId="49073"/>
    <cellStyle name="Normal 9 2 6 2 3" xfId="38824"/>
    <cellStyle name="Normal 9 2 6 3" xfId="9690"/>
    <cellStyle name="Normal 9 2 6 3 2" xfId="35247"/>
    <cellStyle name="Normal 9 2 6 4" xfId="18513"/>
    <cellStyle name="Normal 9 2 6 4 2" xfId="44066"/>
    <cellStyle name="Normal 9 2 6 5" xfId="30003"/>
    <cellStyle name="Normal 9 2 7" xfId="1703"/>
    <cellStyle name="Normal 9 2 7 2" xfId="11080"/>
    <cellStyle name="Normal 9 2 7 2 2" xfId="36635"/>
    <cellStyle name="Normal 9 2 7 3" xfId="21084"/>
    <cellStyle name="Normal 9 2 7 3 2" xfId="46637"/>
    <cellStyle name="Normal 9 2 7 4" xfId="27567"/>
    <cellStyle name="Normal 9 2 8" xfId="5887"/>
    <cellStyle name="Normal 9 2 8 2" xfId="14714"/>
    <cellStyle name="Normal 9 2 8 2 2" xfId="40269"/>
    <cellStyle name="Normal 9 2 8 3" xfId="24965"/>
    <cellStyle name="Normal 9 2 8 3 2" xfId="50518"/>
    <cellStyle name="Normal 9 2 8 4" xfId="31448"/>
    <cellStyle name="Normal 9 2 9" xfId="7331"/>
    <cellStyle name="Normal 9 2 9 2" xfId="19740"/>
    <cellStyle name="Normal 9 2 9 2 2" xfId="45293"/>
    <cellStyle name="Normal 9 2 9 3" xfId="32888"/>
    <cellStyle name="Normal 9 2_Degree data" xfId="4082"/>
    <cellStyle name="Normal 90" xfId="4747"/>
    <cellStyle name="Normal 91" xfId="5484"/>
    <cellStyle name="Normal 92" xfId="1387"/>
    <cellStyle name="Normal 93" xfId="2571"/>
    <cellStyle name="Normal 94" xfId="5492"/>
    <cellStyle name="Normal 95" xfId="5491"/>
    <cellStyle name="Normal 96" xfId="5496"/>
    <cellStyle name="Normal 97" xfId="5497"/>
    <cellStyle name="Normal 98" xfId="57"/>
    <cellStyle name="Normal 99" xfId="5499"/>
    <cellStyle name="Normal_04SCH-FTE09mastersurvey" xfId="51603"/>
    <cellStyle name="Normal_Degree02 Form 3" xfId="51606"/>
    <cellStyle name="Normal_Degrees02 Form" xfId="51605"/>
    <cellStyle name="Normal_Degrees02 Form 2" xfId="51604"/>
    <cellStyle name="Normal_Degrees02 Form 3" xfId="51607"/>
    <cellStyle name="Normal_SCH&amp;FTE02 Form" xfId="3"/>
    <cellStyle name="Normal_SCH&amp;FTE03 Form" xfId="4"/>
    <cellStyle name="Note 2" xfId="985"/>
    <cellStyle name="Note 2 10" xfId="26904"/>
    <cellStyle name="Note 2 2" xfId="1025"/>
    <cellStyle name="Note 2 3" xfId="1032"/>
    <cellStyle name="Note 2 4" xfId="3461"/>
    <cellStyle name="Note 2 4 2" xfId="12603"/>
    <cellStyle name="Note 2 4 2 2" xfId="22822"/>
    <cellStyle name="Note 2 4 2 2 2" xfId="48375"/>
    <cellStyle name="Note 2 4 2 3" xfId="38158"/>
    <cellStyle name="Note 2 4 3" xfId="9025"/>
    <cellStyle name="Note 2 4 3 2" xfId="34582"/>
    <cellStyle name="Note 2 4 4" xfId="17815"/>
    <cellStyle name="Note 2 4 4 2" xfId="43368"/>
    <cellStyle name="Note 2 4 5" xfId="29305"/>
    <cellStyle name="Note 2 5" xfId="4160"/>
    <cellStyle name="Note 2 5 2" xfId="12998"/>
    <cellStyle name="Note 2 5 2 2" xfId="23249"/>
    <cellStyle name="Note 2 5 2 2 2" xfId="48802"/>
    <cellStyle name="Note 2 5 2 3" xfId="38553"/>
    <cellStyle name="Note 2 5 3" xfId="9419"/>
    <cellStyle name="Note 2 5 3 2" xfId="34976"/>
    <cellStyle name="Note 2 5 4" xfId="18242"/>
    <cellStyle name="Note 2 5 4 2" xfId="43795"/>
    <cellStyle name="Note 2 5 5" xfId="29732"/>
    <cellStyle name="Note 2 6" xfId="2570"/>
    <cellStyle name="Note 2 6 2" xfId="11935"/>
    <cellStyle name="Note 2 6 2 2" xfId="37490"/>
    <cellStyle name="Note 2 6 3" xfId="21939"/>
    <cellStyle name="Note 2 6 3 2" xfId="47492"/>
    <cellStyle name="Note 2 6 4" xfId="28422"/>
    <cellStyle name="Note 2 7" xfId="10764"/>
    <cellStyle name="Note 2 7 2" xfId="20421"/>
    <cellStyle name="Note 2 7 2 2" xfId="45974"/>
    <cellStyle name="Note 2 7 3" xfId="36320"/>
    <cellStyle name="Note 2 8" xfId="8627"/>
    <cellStyle name="Note 2 8 2" xfId="34184"/>
    <cellStyle name="Note 2 9" xfId="16932"/>
    <cellStyle name="Note 2 9 2" xfId="42485"/>
    <cellStyle name="Note 3" xfId="1024"/>
    <cellStyle name="Note 4" xfId="1033"/>
    <cellStyle name="Output 2" xfId="1026"/>
    <cellStyle name="Output 3" xfId="1036"/>
    <cellStyle name="Percent 2" xfId="25"/>
    <cellStyle name="Percent 2 2" xfId="61"/>
    <cellStyle name="Percent 2 2 2" xfId="122"/>
    <cellStyle name="Percent 2 2 3" xfId="221"/>
    <cellStyle name="Percent 2 3" xfId="1028"/>
    <cellStyle name="Percent 3" xfId="26"/>
    <cellStyle name="Percent 4" xfId="30"/>
    <cellStyle name="Percent 5" xfId="110"/>
    <cellStyle name="Percent 6" xfId="1027"/>
    <cellStyle name="questionable" xfId="5"/>
    <cellStyle name="questionable 2" xfId="98"/>
    <cellStyle name="review" xfId="6"/>
    <cellStyle name="Title 2" xfId="1029"/>
    <cellStyle name="Total 2" xfId="1030"/>
    <cellStyle name="Total 3" xfId="1037"/>
    <cellStyle name="Warning Text 2" xfId="1031"/>
  </cellStyles>
  <dxfs count="27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72" formatCode="0.0%"/>
    </dxf>
    <dxf>
      <numFmt numFmtId="172" formatCode="0.0%"/>
    </dxf>
    <dxf>
      <numFmt numFmtId="172" formatCode="0.0%"/>
    </dxf>
    <dxf>
      <numFmt numFmtId="172" formatCode="0.0%"/>
    </dxf>
    <dxf>
      <numFmt numFmtId="172" formatCode="0.0%"/>
    </dxf>
    <dxf>
      <numFmt numFmtId="172" formatCode="0.0%"/>
    </dxf>
    <dxf>
      <numFmt numFmtId="172" formatCode="0.0%"/>
    </dxf>
    <dxf>
      <numFmt numFmtId="172" formatCode="0.0%"/>
    </dxf>
    <dxf>
      <fill>
        <patternFill patternType="none">
          <bgColor auto="1"/>
        </patternFill>
      </fill>
    </dxf>
    <dxf>
      <fill>
        <patternFill patternType="none">
          <bgColor auto="1"/>
        </patternFill>
      </fill>
    </dxf>
    <dxf>
      <fill>
        <patternFill patternType="solid">
          <bgColor theme="0" tint="-0.249977111117893"/>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numFmt numFmtId="172" formatCode="0.0%"/>
    </dxf>
    <dxf>
      <numFmt numFmtId="172" formatCode="0.0%"/>
    </dxf>
    <dxf>
      <numFmt numFmtId="172" formatCode="0.0%"/>
    </dxf>
    <dxf>
      <numFmt numFmtId="172" formatCode="0.0%"/>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ill>
        <patternFill patternType="none">
          <bgColor auto="1"/>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numFmt numFmtId="14" formatCode="0.00%"/>
    </dxf>
    <dxf>
      <numFmt numFmtId="14" formatCode="0.00%"/>
    </dxf>
    <dxf>
      <numFmt numFmtId="14" formatCode="0.00%"/>
    </dxf>
    <dxf>
      <numFmt numFmtId="14" formatCode="0.00%"/>
    </dxf>
    <dxf>
      <font>
        <b/>
      </font>
    </dxf>
    <dxf>
      <font>
        <b/>
      </font>
    </dxf>
    <dxf>
      <font>
        <b/>
      </font>
    </dxf>
    <dxf>
      <font>
        <b/>
      </font>
    </dxf>
    <dxf>
      <font>
        <b/>
      </font>
    </dxf>
    <dxf>
      <font>
        <b/>
      </font>
    </dxf>
    <dxf>
      <font>
        <b/>
      </font>
    </dxf>
    <dxf>
      <font>
        <b/>
      </font>
      <numFmt numFmtId="172" formatCode="0.0%"/>
    </dxf>
    <dxf>
      <font>
        <b/>
      </font>
      <numFmt numFmtId="172" formatCode="0.0%"/>
    </dxf>
    <dxf>
      <font>
        <b/>
      </font>
    </dxf>
    <dxf>
      <numFmt numFmtId="172" formatCode="0.0%"/>
    </dxf>
    <dxf>
      <font>
        <b/>
        <sz val="10"/>
      </font>
      <numFmt numFmtId="172" formatCode="0.0%"/>
    </dxf>
    <dxf>
      <font>
        <b/>
        <sz val="10"/>
      </font>
      <numFmt numFmtId="172" formatCode="0.0%"/>
    </dxf>
    <dxf>
      <font>
        <sz val="10"/>
      </font>
    </dxf>
    <dxf>
      <font>
        <sz val="10"/>
      </font>
    </dxf>
    <dxf>
      <font>
        <b/>
      </font>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s>
  <tableStyles count="0" defaultTableStyle="TableStyleMedium9" defaultPivotStyle="PivotStyleLight16"/>
  <colors>
    <mruColors>
      <color rgb="FF008000"/>
      <color rgb="FF0000FF"/>
      <color rgb="FF00FF00"/>
      <color rgb="FFCCFFCC"/>
      <color rgb="FF00FFFF"/>
      <color rgb="FFFFFFCC"/>
      <color rgb="FFB2A1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Christiana Datubo-Brown" refreshedDate="43172.516967476855" createdVersion="6" refreshedVersion="6" minRefreshableVersion="3" recordCount="677">
  <cacheSource type="worksheet">
    <worksheetSource ref="A6:BA683" sheet="04SCH_FTE"/>
  </cacheSource>
  <cacheFields count="58">
    <cacheField name="State" numFmtId="49">
      <sharedItems count="16">
        <s v="AL"/>
        <s v="AR"/>
        <s v="DE"/>
        <s v="FL"/>
        <s v="GA"/>
        <s v="KY"/>
        <s v="LA"/>
        <s v="MD"/>
        <s v="MS"/>
        <s v="NC"/>
        <s v="OK"/>
        <s v="SC"/>
        <s v="TN"/>
        <s v="TX"/>
        <s v="VA"/>
        <s v="WV"/>
      </sharedItems>
    </cacheField>
    <cacheField name="Institution" numFmtId="0">
      <sharedItems containsBlank="1"/>
    </cacheField>
    <cacheField name="Note" numFmtId="0">
      <sharedItems containsBlank="1"/>
    </cacheField>
    <cacheField name="IPEDS ID #" numFmtId="0">
      <sharedItems containsBlank="1" containsMixedTypes="1" containsNumber="1" containsInteger="1" minValue="100654" maxValue="870501"/>
    </cacheField>
    <cacheField name="Category" numFmtId="0">
      <sharedItems containsMixedTypes="1" containsNumber="1" containsInteger="1" minValue="1" maxValue="99" count="17">
        <n v="1"/>
        <n v="2"/>
        <n v="3"/>
        <n v="4"/>
        <n v="5"/>
        <n v="6"/>
        <n v="8"/>
        <n v="9"/>
        <n v="10"/>
        <n v="12"/>
        <n v="13"/>
        <n v="7"/>
        <n v="11"/>
        <n v="99"/>
        <s v="08b"/>
        <s v="09b"/>
        <s v="10b"/>
      </sharedItems>
      <fieldGroup par="54"/>
    </cacheField>
    <cacheField name="Old-Term Code" numFmtId="165">
      <sharedItems/>
    </cacheField>
    <cacheField name="New-Term Code" numFmtId="0">
      <sharedItems containsBlank="1"/>
    </cacheField>
    <cacheField name="old-Winter Undg SCH" numFmtId="0">
      <sharedItems containsString="0" containsBlank="1" containsNumber="1" minValue="0" maxValue="550686"/>
    </cacheField>
    <cacheField name="new-Winter Undg SCH" numFmtId="0">
      <sharedItems containsString="0" containsBlank="1" containsNumber="1" containsInteger="1" minValue="0" maxValue="549668"/>
    </cacheField>
    <cacheField name="old-Spring Undg SCH" numFmtId="0">
      <sharedItems containsString="0" containsBlank="1" containsNumber="1" minValue="0" maxValue="1460345.5"/>
    </cacheField>
    <cacheField name="new-Spring Undg SCH" numFmtId="0">
      <sharedItems containsString="0" containsBlank="1" containsNumber="1" minValue="0" maxValue="1406247"/>
    </cacheField>
    <cacheField name="old-Summer Undg SCH" numFmtId="0">
      <sharedItems containsString="0" containsBlank="1" containsNumber="1" minValue="0" maxValue="443495"/>
    </cacheField>
    <cacheField name="new-Summer Undg SCH" numFmtId="0">
      <sharedItems containsString="0" containsBlank="1" containsNumber="1" minValue="0" maxValue="434940.5"/>
    </cacheField>
    <cacheField name="old-Fall Undg SCH" numFmtId="0">
      <sharedItems containsString="0" containsBlank="1" containsNumber="1" minValue="1219" maxValue="1519453"/>
    </cacheField>
    <cacheField name="new-Fall Undg SCH" numFmtId="0">
      <sharedItems containsString="0" containsBlank="1" containsNumber="1" minValue="1141" maxValue="1474565"/>
    </cacheField>
    <cacheField name="Old-Total Undg SCH" numFmtId="3">
      <sharedItems containsSemiMixedTypes="0" containsString="0" containsNumber="1" minValue="0" maxValue="3423293.5"/>
    </cacheField>
    <cacheField name="Old-Total Undg SCH FTE" numFmtId="3">
      <sharedItems containsSemiMixedTypes="0" containsString="0" containsNumber="1" minValue="0" maxValue="114109.78333333334"/>
    </cacheField>
    <cacheField name="New-Total Undg SCH" numFmtId="3">
      <sharedItems containsSemiMixedTypes="0" containsString="0" containsNumber="1" minValue="0" maxValue="3315752.5"/>
    </cacheField>
    <cacheField name="New-Total Undg SCH FTE" numFmtId="3">
      <sharedItems containsSemiMixedTypes="0" containsString="0" containsNumber="1" minValue="0" maxValue="110525.08333333333"/>
    </cacheField>
    <cacheField name="Old-Total HS SCH" numFmtId="0">
      <sharedItems containsString="0" containsBlank="1" containsNumber="1" minValue="0" maxValue="693481"/>
    </cacheField>
    <cacheField name="New-Total HS SCH" numFmtId="0">
      <sharedItems containsString="0" containsBlank="1" containsNumber="1" minValue="0" maxValue="757256"/>
    </cacheField>
    <cacheField name="Old-Total Undg SCH2" numFmtId="3">
      <sharedItems containsSemiMixedTypes="0" containsString="0" containsNumber="1" minValue="0" maxValue="3423293.5"/>
    </cacheField>
    <cacheField name="New-Total Undg SCH2" numFmtId="3">
      <sharedItems containsSemiMixedTypes="0" containsString="0" containsNumber="1" minValue="0" maxValue="3315752.5"/>
    </cacheField>
    <cacheField name="old-Winter Undg CH" numFmtId="0">
      <sharedItems containsString="0" containsBlank="1" containsNumber="1" containsInteger="1" minValue="0" maxValue="737303"/>
    </cacheField>
    <cacheField name="new-Winter Undg CH" numFmtId="0">
      <sharedItems containsString="0" containsBlank="1" containsNumber="1" containsInteger="1" minValue="0" maxValue="778165"/>
    </cacheField>
    <cacheField name="old-Spring Undg CH" numFmtId="0">
      <sharedItems containsString="0" containsBlank="1" containsNumber="1" containsInteger="1" minValue="0" maxValue="1286127"/>
    </cacheField>
    <cacheField name="new-Spring Undg CH" numFmtId="0">
      <sharedItems containsString="0" containsBlank="1" containsNumber="1" containsInteger="1" minValue="0" maxValue="1250559"/>
    </cacheField>
    <cacheField name="old-Summer Undg CH" numFmtId="0">
      <sharedItems containsString="0" containsBlank="1" containsNumber="1" containsInteger="1" minValue="0" maxValue="1112401"/>
    </cacheField>
    <cacheField name="new-Summer Undg CH" numFmtId="0">
      <sharedItems containsString="0" containsBlank="1" containsNumber="1" containsInteger="1" minValue="0" maxValue="847617"/>
    </cacheField>
    <cacheField name="old-Fall Undg CH" numFmtId="0">
      <sharedItems containsString="0" containsBlank="1" containsNumber="1" minValue="0" maxValue="1635128.74"/>
    </cacheField>
    <cacheField name="new-Fall Undg CH" numFmtId="0">
      <sharedItems containsString="0" containsBlank="1" containsNumber="1" minValue="0" maxValue="1646011.5"/>
    </cacheField>
    <cacheField name="Old-Total Undg CH" numFmtId="3">
      <sharedItems containsSemiMixedTypes="0" containsString="0" containsNumber="1" minValue="0" maxValue="3663881"/>
    </cacheField>
    <cacheField name="Old-Total Undg CH FTE" numFmtId="3">
      <sharedItems containsSemiMixedTypes="0" containsString="0" containsNumber="1" minValue="0" maxValue="4070.9788888888888"/>
    </cacheField>
    <cacheField name="New-Total Undg CH" numFmtId="3">
      <sharedItems containsSemiMixedTypes="0" containsString="0" containsNumber="1" minValue="0" maxValue="3023235"/>
    </cacheField>
    <cacheField name="New-Total Undg CH FTE" numFmtId="3">
      <sharedItems containsSemiMixedTypes="0" containsString="0" containsNumber="1" minValue="0" maxValue="3359.15"/>
    </cacheField>
    <cacheField name="Old-Total HS CH" numFmtId="0">
      <sharedItems containsString="0" containsBlank="1" containsNumber="1" containsInteger="1" minValue="0" maxValue="59870"/>
    </cacheField>
    <cacheField name="New-Total HS CH" numFmtId="0">
      <sharedItems containsString="0" containsBlank="1" containsNumber="1" containsInteger="1" minValue="0" maxValue="64769"/>
    </cacheField>
    <cacheField name="Old-Total Undg CH2" numFmtId="3">
      <sharedItems containsSemiMixedTypes="0" containsString="0" containsNumber="1" containsInteger="1" minValue="0" maxValue="3663881"/>
    </cacheField>
    <cacheField name="New-Total Undg CH2" numFmtId="3">
      <sharedItems containsSemiMixedTypes="0" containsString="0" containsNumber="1" containsInteger="1" minValue="0" maxValue="3023235"/>
    </cacheField>
    <cacheField name="old-Winter Grad SCH" numFmtId="0">
      <sharedItems containsString="0" containsBlank="1" containsNumber="1" minValue="0" maxValue="6939"/>
    </cacheField>
    <cacheField name="new-Winter Grad SCH" numFmtId="0">
      <sharedItems containsString="0" containsBlank="1" containsNumber="1" containsInteger="1" minValue="0" maxValue="6373"/>
    </cacheField>
    <cacheField name="old-Spring Grad SCH" numFmtId="0">
      <sharedItems containsString="0" containsBlank="1" containsNumber="1" minValue="0" maxValue="135541"/>
    </cacheField>
    <cacheField name="new-Spring Grad SCH" numFmtId="0">
      <sharedItems containsString="0" containsBlank="1" containsNumber="1" minValue="0" maxValue="140236"/>
    </cacheField>
    <cacheField name="old-Summer Grad SCH" numFmtId="0">
      <sharedItems containsString="0" containsBlank="1" containsNumber="1" minValue="0" maxValue="57724"/>
    </cacheField>
    <cacheField name="new-Summer Grad SCH" numFmtId="0">
      <sharedItems containsString="0" containsBlank="1" containsNumber="1" minValue="0" maxValue="60825"/>
    </cacheField>
    <cacheField name="old-Fall Grad SCH" numFmtId="0">
      <sharedItems containsString="0" containsBlank="1" containsNumber="1" minValue="0" maxValue="148385"/>
    </cacheField>
    <cacheField name="new-Fall Grad SCH" numFmtId="0">
      <sharedItems containsString="0" containsBlank="1" containsNumber="1" minValue="0" maxValue="152526"/>
    </cacheField>
    <cacheField name="Old-Total Grad SCH" numFmtId="3">
      <sharedItems containsSemiMixedTypes="0" containsString="0" containsNumber="1" minValue="0" maxValue="341650"/>
    </cacheField>
    <cacheField name="Old-Total Grad FTE" numFmtId="3">
      <sharedItems containsSemiMixedTypes="0" containsString="0" containsNumber="1" minValue="0" maxValue="14235.416666666666"/>
    </cacheField>
    <cacheField name="New-Total Grad SCH" numFmtId="3">
      <sharedItems containsSemiMixedTypes="0" containsString="0" containsNumber="1" minValue="0" maxValue="353587"/>
    </cacheField>
    <cacheField name="New-Total Grad FTE" numFmtId="3">
      <sharedItems containsSemiMixedTypes="0" containsString="0" containsNumber="1" minValue="0" maxValue="14732.791666666666"/>
    </cacheField>
    <cacheField name="Old Grand Total FTE" numFmtId="3">
      <sharedItems containsSemiMixedTypes="0" containsString="0" containsNumber="1" minValue="0" maxValue="114109.78333333334"/>
    </cacheField>
    <cacheField name="New Grand Total FTE" numFmtId="3">
      <sharedItems containsSemiMixedTypes="0" containsString="0" containsNumber="1" minValue="13.765555555555556" maxValue="110525.08333333333"/>
    </cacheField>
    <cacheField name="% Change Grand Total FTE" numFmtId="0" formula="IF('Old Grand Total FTE'&gt;0, ((('New Grand Total FTE'-'Old Grand Total FTE')/'Old Grand Total FTE')))" databaseField="0"/>
    <cacheField name="Category2" numFmtId="0" databaseField="0">
      <fieldGroup base="4">
        <discretePr count="17">
          <x v="5"/>
          <x v="5"/>
          <x v="5"/>
          <x v="5"/>
          <x v="5"/>
          <x v="5"/>
          <x v="6"/>
          <x v="6"/>
          <x v="6"/>
          <x v="7"/>
          <x v="7"/>
          <x v="6"/>
          <x v="0"/>
          <x v="1"/>
          <x v="2"/>
          <x v="3"/>
          <x v="4"/>
        </discretePr>
        <groupItems count="8">
          <n v="11"/>
          <n v="99"/>
          <s v="08b"/>
          <s v="09b"/>
          <s v="10b"/>
          <s v="Group1"/>
          <s v="Group2"/>
          <s v="Group3"/>
        </groupItems>
      </fieldGroup>
    </cacheField>
    <cacheField name="% Change Graduate FTE" numFmtId="0" formula="IF('Old-Total Grad FTE'&gt;0, ((('New-Total Grad FTE'-'Old-Total Grad FTE')/'Old-Total Grad FTE')))" databaseField="0"/>
    <cacheField name="% Change Undergrad CH FTE" numFmtId="0" formula="IF('Old-Total Undg CH FTE'&gt;0,((('New-Total Undg CH FTE'-'Old-Total Undg CH FTE')/'Old-Total Undg CH FTE')))" databaseField="0"/>
    <cacheField name="% Change Undergrad SCH FTE" numFmtId="0" formula="IF('Old-Total Undg SCH FTE'&gt;0,((('New-Total Undg SCH FTE'-'Old-Total Undg SCH FTE')/'Old-Total Undg SCH FTE')))"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Christiana Datubo-Brown" refreshedDate="43172.517140625001" createdVersion="6" refreshedVersion="6" minRefreshableVersion="3" recordCount="677">
  <cacheSource type="worksheet">
    <worksheetSource ref="A6:AM683" sheet="04SCH_FTE"/>
  </cacheSource>
  <cacheFields count="47">
    <cacheField name="State" numFmtId="49">
      <sharedItems count="16">
        <s v="AL"/>
        <s v="AR"/>
        <s v="DE"/>
        <s v="FL"/>
        <s v="GA"/>
        <s v="KY"/>
        <s v="LA"/>
        <s v="MD"/>
        <s v="MS"/>
        <s v="NC"/>
        <s v="OK"/>
        <s v="SC"/>
        <s v="TN"/>
        <s v="TX"/>
        <s v="VA"/>
        <s v="WV"/>
      </sharedItems>
    </cacheField>
    <cacheField name="Institution" numFmtId="0">
      <sharedItems containsBlank="1"/>
    </cacheField>
    <cacheField name="Note" numFmtId="0">
      <sharedItems containsBlank="1"/>
    </cacheField>
    <cacheField name="IPEDS ID #" numFmtId="0">
      <sharedItems containsBlank="1" containsMixedTypes="1" containsNumber="1" containsInteger="1" minValue="100654" maxValue="870501"/>
    </cacheField>
    <cacheField name="Category" numFmtId="0">
      <sharedItems containsMixedTypes="1" containsNumber="1" containsInteger="1" minValue="1" maxValue="99" count="19">
        <n v="1"/>
        <n v="2"/>
        <n v="3"/>
        <n v="4"/>
        <n v="5"/>
        <n v="6"/>
        <n v="8"/>
        <n v="9"/>
        <n v="10"/>
        <n v="12"/>
        <n v="13"/>
        <n v="7"/>
        <n v="11"/>
        <n v="99"/>
        <s v="08b"/>
        <s v="09b"/>
        <s v="10b"/>
        <n v="14" u="1"/>
        <n v="15" u="1"/>
      </sharedItems>
      <fieldGroup par="43"/>
    </cacheField>
    <cacheField name="Old-Term Code" numFmtId="165">
      <sharedItems/>
    </cacheField>
    <cacheField name="New-Term Code" numFmtId="0">
      <sharedItems containsBlank="1"/>
    </cacheField>
    <cacheField name="old-Winter Undg SCH" numFmtId="0">
      <sharedItems containsString="0" containsBlank="1" containsNumber="1" minValue="0" maxValue="550686"/>
    </cacheField>
    <cacheField name="new-Winter Undg SCH" numFmtId="0">
      <sharedItems containsString="0" containsBlank="1" containsNumber="1" containsInteger="1" minValue="0" maxValue="549668"/>
    </cacheField>
    <cacheField name="old-Spring Undg SCH" numFmtId="0">
      <sharedItems containsString="0" containsBlank="1" containsNumber="1" minValue="0" maxValue="1460345.5"/>
    </cacheField>
    <cacheField name="new-Spring Undg SCH" numFmtId="0">
      <sharedItems containsString="0" containsBlank="1" containsNumber="1" minValue="0" maxValue="1406247"/>
    </cacheField>
    <cacheField name="old-Summer Undg SCH" numFmtId="0">
      <sharedItems containsString="0" containsBlank="1" containsNumber="1" minValue="0" maxValue="443495"/>
    </cacheField>
    <cacheField name="new-Summer Undg SCH" numFmtId="0">
      <sharedItems containsString="0" containsBlank="1" containsNumber="1" minValue="0" maxValue="434940.5"/>
    </cacheField>
    <cacheField name="old-Fall Undg SCH" numFmtId="0">
      <sharedItems containsString="0" containsBlank="1" containsNumber="1" minValue="1219" maxValue="1519453"/>
    </cacheField>
    <cacheField name="new-Fall Undg SCH" numFmtId="0">
      <sharedItems containsString="0" containsBlank="1" containsNumber="1" minValue="1141" maxValue="1474565"/>
    </cacheField>
    <cacheField name="Old-Total Undg SCH" numFmtId="3">
      <sharedItems containsSemiMixedTypes="0" containsString="0" containsNumber="1" minValue="0" maxValue="3423293.5"/>
    </cacheField>
    <cacheField name="Old-Total Undg SCH FTE" numFmtId="3">
      <sharedItems containsSemiMixedTypes="0" containsString="0" containsNumber="1" minValue="0" maxValue="114109.78333333334"/>
    </cacheField>
    <cacheField name="New-Total Undg SCH" numFmtId="3">
      <sharedItems containsSemiMixedTypes="0" containsString="0" containsNumber="1" minValue="0" maxValue="3315752.5"/>
    </cacheField>
    <cacheField name="New-Total Undg SCH FTE" numFmtId="3">
      <sharedItems containsSemiMixedTypes="0" containsString="0" containsNumber="1" minValue="0" maxValue="110525.08333333333"/>
    </cacheField>
    <cacheField name="Old-Total HS SCH" numFmtId="0">
      <sharedItems containsString="0" containsBlank="1" containsNumber="1" minValue="0" maxValue="693481"/>
    </cacheField>
    <cacheField name="New-Total HS SCH" numFmtId="0">
      <sharedItems containsString="0" containsBlank="1" containsNumber="1" minValue="0" maxValue="757256"/>
    </cacheField>
    <cacheField name="Old-Total Undg SCH2" numFmtId="3">
      <sharedItems containsSemiMixedTypes="0" containsString="0" containsNumber="1" minValue="0" maxValue="3423293.5"/>
    </cacheField>
    <cacheField name="New-Total Undg SCH2" numFmtId="3">
      <sharedItems containsSemiMixedTypes="0" containsString="0" containsNumber="1" minValue="0" maxValue="3315752.5"/>
    </cacheField>
    <cacheField name="old-Winter Undg CH" numFmtId="0">
      <sharedItems containsString="0" containsBlank="1" containsNumber="1" containsInteger="1" minValue="0" maxValue="737303"/>
    </cacheField>
    <cacheField name="new-Winter Undg CH" numFmtId="0">
      <sharedItems containsString="0" containsBlank="1" containsNumber="1" containsInteger="1" minValue="0" maxValue="778165"/>
    </cacheField>
    <cacheField name="old-Spring Undg CH" numFmtId="0">
      <sharedItems containsString="0" containsBlank="1" containsNumber="1" containsInteger="1" minValue="0" maxValue="1286127"/>
    </cacheField>
    <cacheField name="new-Spring Undg CH" numFmtId="0">
      <sharedItems containsString="0" containsBlank="1" containsNumber="1" containsInteger="1" minValue="0" maxValue="1250559"/>
    </cacheField>
    <cacheField name="old-Summer Undg CH" numFmtId="0">
      <sharedItems containsString="0" containsBlank="1" containsNumber="1" containsInteger="1" minValue="0" maxValue="1112401"/>
    </cacheField>
    <cacheField name="new-Summer Undg CH" numFmtId="0">
      <sharedItems containsString="0" containsBlank="1" containsNumber="1" containsInteger="1" minValue="0" maxValue="847617"/>
    </cacheField>
    <cacheField name="old-Fall Undg CH" numFmtId="0">
      <sharedItems containsString="0" containsBlank="1" containsNumber="1" minValue="0" maxValue="1635128.74"/>
    </cacheField>
    <cacheField name="new-Fall Undg CH" numFmtId="0">
      <sharedItems containsString="0" containsBlank="1" containsNumber="1" minValue="0" maxValue="1646011.5"/>
    </cacheField>
    <cacheField name="Old-Total Undg CH" numFmtId="3">
      <sharedItems containsSemiMixedTypes="0" containsString="0" containsNumber="1" minValue="0" maxValue="3663881"/>
    </cacheField>
    <cacheField name="Old-Total Undg CH FTE" numFmtId="3">
      <sharedItems containsSemiMixedTypes="0" containsString="0" containsNumber="1" minValue="0" maxValue="4070.9788888888888"/>
    </cacheField>
    <cacheField name="New-Total Undg CH" numFmtId="3">
      <sharedItems containsSemiMixedTypes="0" containsString="0" containsNumber="1" minValue="0" maxValue="3023235"/>
    </cacheField>
    <cacheField name="New-Total Undg CH FTE" numFmtId="3">
      <sharedItems containsSemiMixedTypes="0" containsString="0" containsNumber="1" minValue="0" maxValue="3359.15"/>
    </cacheField>
    <cacheField name="Old-Total HS CH" numFmtId="0">
      <sharedItems containsString="0" containsBlank="1" containsNumber="1" containsInteger="1" minValue="0" maxValue="59870"/>
    </cacheField>
    <cacheField name="New-Total HS CH" numFmtId="0">
      <sharedItems containsString="0" containsBlank="1" containsNumber="1" containsInteger="1" minValue="0" maxValue="64769"/>
    </cacheField>
    <cacheField name="Old-Total Undg CH2" numFmtId="3">
      <sharedItems containsSemiMixedTypes="0" containsString="0" containsNumber="1" containsInteger="1" minValue="0" maxValue="3663881"/>
    </cacheField>
    <cacheField name="New-Total Undg CH2" numFmtId="3">
      <sharedItems containsSemiMixedTypes="0" containsString="0" containsNumber="1" containsInteger="1" minValue="0" maxValue="3023235"/>
    </cacheField>
    <cacheField name="New-Total HSH" numFmtId="0" formula="'New-Total HS SCH'+'New-Total HS CH'" databaseField="0"/>
    <cacheField name="New-Total UGH" numFmtId="0" formula="'New-Total Undg SCH2'+'New-Total Undg CH2'" databaseField="0"/>
    <cacheField name="New-HS % of Total" numFmtId="0" formula="IF('New-Total UGH'&gt;0,('New-Total HSH'/'New-Total UGH'))" databaseField="0"/>
    <cacheField name="Old-HS % of Total" numFmtId="0" formula="IF('Old-Total UGH'&gt;0,('Old-Total HSH'/'Old-Total UGH'),)" databaseField="0"/>
    <cacheField name="Category2" numFmtId="0" databaseField="0">
      <fieldGroup base="4">
        <discretePr count="19">
          <x v="2"/>
          <x v="2"/>
          <x v="2"/>
          <x v="2"/>
          <x v="2"/>
          <x v="2"/>
          <x v="3"/>
          <x v="3"/>
          <x v="3"/>
          <x v="4"/>
          <x v="4"/>
          <x v="3"/>
          <x v="1"/>
          <x v="5"/>
          <x v="6"/>
          <x v="7"/>
          <x v="8"/>
          <x v="4"/>
          <x v="0"/>
        </discretePr>
        <groupItems count="9">
          <n v="15"/>
          <n v="11"/>
          <s v="Group1"/>
          <s v="Group2"/>
          <s v="Group3"/>
          <n v="99"/>
          <s v="08b"/>
          <s v="09b"/>
          <s v="10b"/>
        </groupItems>
      </fieldGroup>
    </cacheField>
    <cacheField name="Old-Total UGH" numFmtId="0" formula="'Old-Total Undg SCH2'+'Old-Total Undg CH2'" databaseField="0"/>
    <cacheField name="Old-Total HSH" numFmtId="0" formula="'Old-Total HS SCH'+'Old-Total HS CH'" databaseField="0"/>
    <cacheField name="HS % Change" numFmtId="0" formula="'New-HS % of Total'-'Old-HS % of Total'"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77">
  <r>
    <x v="0"/>
    <s v="Auburn University"/>
    <m/>
    <n v="100858"/>
    <x v="0"/>
    <s v="sem"/>
    <m/>
    <m/>
    <m/>
    <n v="268440"/>
    <n v="282499"/>
    <n v="51741"/>
    <n v="53683"/>
    <n v="302489"/>
    <n v="315484"/>
    <n v="622670"/>
    <n v="20755.666666666668"/>
    <n v="651666"/>
    <n v="21722.2"/>
    <n v="61"/>
    <n v="57"/>
    <n v="622670"/>
    <n v="651666"/>
    <m/>
    <m/>
    <m/>
    <m/>
    <m/>
    <m/>
    <m/>
    <m/>
    <n v="0"/>
    <n v="0"/>
    <n v="0"/>
    <n v="0"/>
    <m/>
    <m/>
    <n v="0"/>
    <n v="0"/>
    <m/>
    <m/>
    <n v="39459"/>
    <n v="40026"/>
    <n v="20650"/>
    <n v="21350"/>
    <n v="41441"/>
    <n v="42064"/>
    <n v="101550"/>
    <n v="4231.25"/>
    <n v="103440"/>
    <n v="4310"/>
    <n v="24986.916666666668"/>
    <n v="26032.2"/>
  </r>
  <r>
    <x v="0"/>
    <s v="University of Alabama "/>
    <m/>
    <n v="100751"/>
    <x v="0"/>
    <s v="sem"/>
    <m/>
    <m/>
    <m/>
    <n v="386563"/>
    <n v="403250"/>
    <n v="67656"/>
    <n v="65716"/>
    <n v="430243"/>
    <n v="440877"/>
    <n v="884462"/>
    <n v="29482.066666666666"/>
    <n v="909843"/>
    <n v="30328.1"/>
    <n v="5593"/>
    <n v="6160"/>
    <n v="884462"/>
    <n v="909843"/>
    <m/>
    <m/>
    <m/>
    <m/>
    <m/>
    <m/>
    <m/>
    <m/>
    <n v="0"/>
    <n v="0"/>
    <n v="0"/>
    <n v="0"/>
    <m/>
    <m/>
    <n v="0"/>
    <n v="0"/>
    <m/>
    <m/>
    <n v="42143"/>
    <n v="43122"/>
    <n v="11721"/>
    <n v="11420"/>
    <n v="43177"/>
    <n v="42370"/>
    <n v="97041"/>
    <n v="4043.375"/>
    <n v="96912"/>
    <n v="4038"/>
    <n v="33525.441666666666"/>
    <n v="34366.1"/>
  </r>
  <r>
    <x v="0"/>
    <s v="University of Alabama at Birmingham"/>
    <s v="Met the criteria for Four-Year 1 in 2016-17."/>
    <n v="100663"/>
    <x v="1"/>
    <s v="sem"/>
    <m/>
    <m/>
    <m/>
    <n v="112991"/>
    <n v="112871"/>
    <n v="26100"/>
    <n v="27708"/>
    <n v="123892"/>
    <n v="132973"/>
    <n v="262983"/>
    <n v="8766.1"/>
    <n v="273552"/>
    <n v="9118.4"/>
    <n v="31"/>
    <n v="170"/>
    <n v="262983"/>
    <n v="273552"/>
    <m/>
    <m/>
    <m/>
    <m/>
    <m/>
    <m/>
    <m/>
    <m/>
    <n v="0"/>
    <n v="0"/>
    <n v="0"/>
    <n v="0"/>
    <m/>
    <m/>
    <n v="0"/>
    <n v="0"/>
    <m/>
    <m/>
    <n v="16232"/>
    <n v="15530"/>
    <n v="11030"/>
    <n v="10975"/>
    <n v="15886"/>
    <n v="16825"/>
    <n v="43148"/>
    <n v="1797.8333333333333"/>
    <n v="43330"/>
    <n v="1805.4166666666667"/>
    <n v="10563.933333333334"/>
    <n v="10923.816666666666"/>
  </r>
  <r>
    <x v="0"/>
    <s v="University of Alabama in Huntsville"/>
    <m/>
    <n v="100706"/>
    <x v="1"/>
    <s v="sem"/>
    <m/>
    <m/>
    <m/>
    <n v="64786"/>
    <n v="70191"/>
    <n v="13914"/>
    <n v="13171"/>
    <n v="75343"/>
    <n v="82944"/>
    <n v="154043"/>
    <n v="5134.7666666666664"/>
    <n v="166306"/>
    <n v="5543.5333333333338"/>
    <n v="511"/>
    <n v="640"/>
    <n v="154043"/>
    <n v="166306"/>
    <m/>
    <m/>
    <m/>
    <m/>
    <m/>
    <m/>
    <m/>
    <m/>
    <n v="0"/>
    <n v="0"/>
    <n v="0"/>
    <n v="0"/>
    <m/>
    <m/>
    <n v="0"/>
    <n v="0"/>
    <m/>
    <m/>
    <n v="10519"/>
    <n v="11246"/>
    <n v="4510"/>
    <n v="4935"/>
    <n v="12387"/>
    <n v="13325"/>
    <n v="27416"/>
    <n v="1142.3333333333333"/>
    <n v="29506"/>
    <n v="1229.4166666666667"/>
    <n v="6277.0999999999995"/>
    <n v="6772.9500000000007"/>
  </r>
  <r>
    <x v="0"/>
    <s v="Alabama Agricultural &amp; Mechanical University"/>
    <m/>
    <n v="100654"/>
    <x v="2"/>
    <s v="sem"/>
    <m/>
    <m/>
    <m/>
    <n v="48321"/>
    <n v="51436"/>
    <n v="4202"/>
    <n v="4209"/>
    <n v="65574"/>
    <n v="71575"/>
    <n v="118097"/>
    <n v="3936.5666666666666"/>
    <n v="127220"/>
    <n v="4240.666666666667"/>
    <n v="0"/>
    <n v="0"/>
    <n v="118097"/>
    <n v="127220"/>
    <m/>
    <m/>
    <m/>
    <m/>
    <m/>
    <m/>
    <m/>
    <m/>
    <n v="0"/>
    <n v="0"/>
    <n v="0"/>
    <n v="0"/>
    <m/>
    <m/>
    <n v="0"/>
    <n v="0"/>
    <m/>
    <m/>
    <n v="8228"/>
    <n v="7709"/>
    <n v="3673"/>
    <n v="3205"/>
    <n v="9039"/>
    <n v="8028"/>
    <n v="20940"/>
    <n v="872.5"/>
    <n v="18942"/>
    <n v="789.25"/>
    <n v="4809.0666666666666"/>
    <n v="5029.916666666667"/>
  </r>
  <r>
    <x v="0"/>
    <s v="Jacksonville State University "/>
    <m/>
    <n v="101480"/>
    <x v="2"/>
    <s v="sem"/>
    <m/>
    <m/>
    <m/>
    <n v="83498"/>
    <n v="81171"/>
    <n v="17065"/>
    <n v="17221"/>
    <n v="87002"/>
    <n v="88712"/>
    <n v="187565"/>
    <n v="6252.166666666667"/>
    <n v="187104"/>
    <n v="6236.8"/>
    <n v="3573"/>
    <n v="5067"/>
    <n v="187565"/>
    <n v="187104"/>
    <m/>
    <m/>
    <m/>
    <m/>
    <m/>
    <m/>
    <m/>
    <m/>
    <n v="0"/>
    <n v="0"/>
    <n v="0"/>
    <n v="0"/>
    <m/>
    <m/>
    <n v="0"/>
    <n v="0"/>
    <m/>
    <m/>
    <n v="5640"/>
    <n v="5638"/>
    <n v="3462"/>
    <n v="3238"/>
    <n v="5679"/>
    <n v="6110"/>
    <n v="14781"/>
    <n v="615.875"/>
    <n v="14986"/>
    <n v="624.41666666666663"/>
    <n v="6868.041666666667"/>
    <n v="6861.2166666666672"/>
  </r>
  <r>
    <x v="0"/>
    <s v="Troy University"/>
    <m/>
    <n v="102368"/>
    <x v="2"/>
    <s v="sem"/>
    <m/>
    <m/>
    <m/>
    <n v="116695"/>
    <n v="118926"/>
    <n v="20021"/>
    <n v="19382"/>
    <n v="127244"/>
    <n v="134033"/>
    <n v="263960"/>
    <n v="8798.6666666666661"/>
    <n v="272341"/>
    <n v="9078.0333333333328"/>
    <n v="1531"/>
    <n v="1997"/>
    <n v="263960"/>
    <n v="272341"/>
    <m/>
    <m/>
    <m/>
    <m/>
    <m/>
    <m/>
    <m/>
    <m/>
    <n v="0"/>
    <n v="0"/>
    <n v="0"/>
    <n v="0"/>
    <m/>
    <m/>
    <n v="0"/>
    <n v="0"/>
    <m/>
    <m/>
    <n v="14671"/>
    <n v="15280"/>
    <n v="5405"/>
    <n v="5844"/>
    <n v="15119"/>
    <n v="15379"/>
    <n v="35195"/>
    <n v="1466.4583333333333"/>
    <n v="36503"/>
    <n v="1520.9583333333333"/>
    <n v="10265.125"/>
    <n v="10598.991666666667"/>
  </r>
  <r>
    <x v="0"/>
    <s v="University of South Alabama"/>
    <s v="Met the criteria for Four-Year 2 in 2016-17."/>
    <n v="102094"/>
    <x v="2"/>
    <s v="sem"/>
    <m/>
    <m/>
    <m/>
    <n v="121008"/>
    <n v="128650"/>
    <n v="23609"/>
    <n v="25714"/>
    <n v="137096"/>
    <n v="141442"/>
    <n v="281713"/>
    <n v="9390.4333333333325"/>
    <n v="295806"/>
    <n v="9860.2000000000007"/>
    <n v="712"/>
    <n v="816"/>
    <n v="281713"/>
    <n v="295806"/>
    <m/>
    <m/>
    <m/>
    <m/>
    <m/>
    <m/>
    <m/>
    <m/>
    <n v="0"/>
    <n v="0"/>
    <n v="0"/>
    <n v="0"/>
    <m/>
    <m/>
    <n v="0"/>
    <n v="0"/>
    <m/>
    <m/>
    <n v="7822"/>
    <n v="7493"/>
    <n v="5043"/>
    <n v="4889"/>
    <n v="8032"/>
    <n v="7321"/>
    <n v="20897"/>
    <n v="870.70833333333337"/>
    <n v="19703"/>
    <n v="820.95833333333337"/>
    <n v="10261.141666666666"/>
    <n v="10681.158333333335"/>
  </r>
  <r>
    <x v="0"/>
    <s v="Alabama State University "/>
    <m/>
    <n v="100724"/>
    <x v="3"/>
    <s v="sem"/>
    <m/>
    <m/>
    <m/>
    <n v="66828"/>
    <n v="63470"/>
    <n v="10100"/>
    <n v="11537"/>
    <n v="72910"/>
    <n v="71475"/>
    <n v="149838"/>
    <n v="4994.6000000000004"/>
    <n v="146482"/>
    <n v="4882.7333333333336"/>
    <n v="120"/>
    <n v="399"/>
    <n v="149838"/>
    <n v="146482"/>
    <m/>
    <m/>
    <m/>
    <m/>
    <m/>
    <m/>
    <m/>
    <m/>
    <n v="0"/>
    <n v="0"/>
    <n v="0"/>
    <n v="0"/>
    <m/>
    <m/>
    <n v="0"/>
    <n v="0"/>
    <m/>
    <m/>
    <n v="6183"/>
    <n v="5472"/>
    <n v="2937"/>
    <n v="2488"/>
    <n v="5951"/>
    <n v="6215"/>
    <n v="15071"/>
    <n v="627.95833333333337"/>
    <n v="14175"/>
    <n v="590.625"/>
    <n v="5622.5583333333334"/>
    <n v="5473.3583333333336"/>
  </r>
  <r>
    <x v="0"/>
    <s v="Auburn University at Montgomery"/>
    <s v="Met the criteria for Four-Year 3 in 2016-17."/>
    <n v="100830"/>
    <x v="3"/>
    <s v="sem"/>
    <m/>
    <m/>
    <m/>
    <n v="45597"/>
    <n v="44602"/>
    <n v="10864"/>
    <n v="10284"/>
    <n v="50202"/>
    <n v="50643"/>
    <n v="106663"/>
    <n v="3555.4333333333334"/>
    <n v="105529"/>
    <n v="3517.6333333333332"/>
    <n v="108"/>
    <n v="120"/>
    <n v="106663"/>
    <n v="105529"/>
    <m/>
    <m/>
    <m/>
    <m/>
    <m/>
    <m/>
    <m/>
    <m/>
    <n v="0"/>
    <n v="0"/>
    <n v="0"/>
    <n v="0"/>
    <m/>
    <m/>
    <n v="0"/>
    <n v="0"/>
    <m/>
    <m/>
    <n v="4185"/>
    <n v="3970"/>
    <n v="2152"/>
    <n v="2007"/>
    <n v="4362"/>
    <n v="3986"/>
    <n v="10699"/>
    <n v="445.79166666666669"/>
    <n v="9963"/>
    <n v="415.125"/>
    <n v="4001.2249999999999"/>
    <n v="3932.7583333333332"/>
  </r>
  <r>
    <x v="0"/>
    <s v="University of North Alabama"/>
    <s v="Reclassified: Met the criteria for Four-Year 3 in 2014-15 and 2015-16 and 2016-17."/>
    <n v="101879"/>
    <x v="2"/>
    <s v="sem"/>
    <m/>
    <m/>
    <m/>
    <n v="65539"/>
    <n v="69435"/>
    <n v="11357"/>
    <n v="12579"/>
    <n v="74779"/>
    <n v="78234"/>
    <n v="151675"/>
    <n v="5055.833333333333"/>
    <n v="160248"/>
    <n v="5341.6"/>
    <n v="1905"/>
    <n v="2084"/>
    <n v="151675"/>
    <n v="160248"/>
    <m/>
    <m/>
    <m/>
    <m/>
    <m/>
    <m/>
    <m/>
    <m/>
    <n v="0"/>
    <n v="0"/>
    <n v="0"/>
    <n v="0"/>
    <m/>
    <m/>
    <n v="0"/>
    <n v="0"/>
    <m/>
    <m/>
    <n v="5192"/>
    <n v="5613"/>
    <n v="3143"/>
    <n v="3939"/>
    <n v="5760"/>
    <n v="6902"/>
    <n v="14095"/>
    <n v="587.29166666666663"/>
    <n v="16454"/>
    <n v="685.58333333333337"/>
    <n v="5643.125"/>
    <n v="6027.1833333333334"/>
  </r>
  <r>
    <x v="0"/>
    <s v="University of Montevallo"/>
    <m/>
    <n v="101709"/>
    <x v="4"/>
    <s v="sem"/>
    <m/>
    <m/>
    <m/>
    <n v="32692"/>
    <n v="31118"/>
    <n v="3960"/>
    <n v="3748"/>
    <n v="34467"/>
    <n v="32828"/>
    <n v="71119"/>
    <n v="2370.6333333333332"/>
    <n v="67694"/>
    <n v="2256.4666666666667"/>
    <n v="79"/>
    <n v="67"/>
    <n v="71119"/>
    <n v="67694"/>
    <m/>
    <m/>
    <m/>
    <m/>
    <m/>
    <m/>
    <m/>
    <m/>
    <n v="0"/>
    <n v="0"/>
    <n v="0"/>
    <n v="0"/>
    <m/>
    <m/>
    <n v="0"/>
    <n v="0"/>
    <m/>
    <m/>
    <n v="3015"/>
    <n v="3024"/>
    <n v="2003"/>
    <n v="2068"/>
    <n v="3451"/>
    <n v="2822"/>
    <n v="8469"/>
    <n v="352.875"/>
    <n v="7914"/>
    <n v="329.75"/>
    <n v="2723.5083333333332"/>
    <n v="2586.2166666666667"/>
  </r>
  <r>
    <x v="0"/>
    <s v="University of West Alabama"/>
    <m/>
    <n v="101587"/>
    <x v="4"/>
    <s v="sem"/>
    <m/>
    <m/>
    <m/>
    <n v="23194"/>
    <n v="24240"/>
    <n v="3417"/>
    <n v="3517"/>
    <n v="26347"/>
    <n v="27398"/>
    <n v="52958"/>
    <n v="1765.2666666666667"/>
    <n v="55155"/>
    <n v="1838.5"/>
    <n v="538"/>
    <n v="459"/>
    <n v="52958"/>
    <n v="55155"/>
    <m/>
    <m/>
    <m/>
    <m/>
    <m/>
    <m/>
    <m/>
    <m/>
    <n v="0"/>
    <n v="0"/>
    <n v="0"/>
    <n v="0"/>
    <m/>
    <m/>
    <n v="0"/>
    <n v="0"/>
    <m/>
    <m/>
    <n v="12677"/>
    <n v="12927"/>
    <n v="7202"/>
    <n v="10778"/>
    <n v="12664"/>
    <n v="11999"/>
    <n v="32543"/>
    <n v="1355.9583333333333"/>
    <n v="35704"/>
    <n v="1487.6666666666667"/>
    <n v="3121.2249999999999"/>
    <n v="3326.166666666667"/>
  </r>
  <r>
    <x v="0"/>
    <s v="Athens State University"/>
    <m/>
    <s v="100812"/>
    <x v="5"/>
    <s v="sem"/>
    <m/>
    <m/>
    <m/>
    <n v="27909"/>
    <n v="27438"/>
    <n v="13925"/>
    <n v="13758"/>
    <n v="28582"/>
    <n v="28322"/>
    <n v="70416"/>
    <n v="2347.1999999999998"/>
    <n v="69518"/>
    <n v="2317.2666666666669"/>
    <n v="0"/>
    <n v="0"/>
    <n v="70416"/>
    <n v="69518"/>
    <m/>
    <m/>
    <m/>
    <m/>
    <m/>
    <m/>
    <m/>
    <m/>
    <n v="0"/>
    <n v="0"/>
    <n v="0"/>
    <n v="0"/>
    <m/>
    <m/>
    <n v="0"/>
    <n v="0"/>
    <m/>
    <m/>
    <m/>
    <n v="48"/>
    <m/>
    <n v="36"/>
    <m/>
    <n v="225"/>
    <n v="0"/>
    <n v="0"/>
    <n v="309"/>
    <n v="12.875"/>
    <n v="2347.1999999999998"/>
    <n v="2330.1416666666669"/>
  </r>
  <r>
    <x v="0"/>
    <s v="Jefferson State Community College"/>
    <m/>
    <n v="101505"/>
    <x v="6"/>
    <s v="sem"/>
    <m/>
    <m/>
    <m/>
    <n v="63475"/>
    <n v="63108"/>
    <n v="34347"/>
    <n v="33576"/>
    <n v="72520"/>
    <n v="72945"/>
    <n v="170342"/>
    <n v="5678.0666666666666"/>
    <n v="169629"/>
    <n v="5654.3"/>
    <n v="8099"/>
    <n v="9603"/>
    <n v="170342"/>
    <n v="169629"/>
    <m/>
    <m/>
    <m/>
    <m/>
    <m/>
    <m/>
    <m/>
    <m/>
    <n v="0"/>
    <n v="0"/>
    <n v="0"/>
    <n v="0"/>
    <m/>
    <m/>
    <n v="0"/>
    <n v="0"/>
    <m/>
    <m/>
    <m/>
    <m/>
    <m/>
    <m/>
    <m/>
    <m/>
    <n v="0"/>
    <n v="0"/>
    <n v="0"/>
    <n v="0"/>
    <n v="5678.0666666666666"/>
    <n v="5654.3"/>
  </r>
  <r>
    <x v="0"/>
    <s v="John C. Calhoun State Community College "/>
    <m/>
    <n v="101514"/>
    <x v="6"/>
    <s v="sem"/>
    <m/>
    <m/>
    <m/>
    <n v="88381"/>
    <n v="81719"/>
    <n v="39190"/>
    <n v="36350"/>
    <n v="89515"/>
    <n v="88103"/>
    <n v="217086"/>
    <n v="7236.2"/>
    <n v="206172"/>
    <n v="6872.4"/>
    <n v="8700"/>
    <n v="9765"/>
    <n v="217086"/>
    <n v="206172"/>
    <m/>
    <m/>
    <m/>
    <m/>
    <m/>
    <m/>
    <m/>
    <m/>
    <n v="0"/>
    <n v="0"/>
    <n v="0"/>
    <n v="0"/>
    <m/>
    <m/>
    <n v="0"/>
    <n v="0"/>
    <m/>
    <m/>
    <m/>
    <m/>
    <m/>
    <m/>
    <m/>
    <m/>
    <n v="0"/>
    <n v="0"/>
    <n v="0"/>
    <n v="0"/>
    <n v="7236.2"/>
    <n v="6872.4"/>
  </r>
  <r>
    <x v="0"/>
    <s v="Bevill State Community College"/>
    <m/>
    <n v="102429"/>
    <x v="7"/>
    <s v="sem"/>
    <m/>
    <m/>
    <m/>
    <n v="33070"/>
    <n v="34096"/>
    <n v="15523"/>
    <n v="16188"/>
    <n v="35895"/>
    <n v="36363"/>
    <n v="84488"/>
    <n v="2816.2666666666669"/>
    <n v="86647"/>
    <n v="2888.2333333333331"/>
    <n v="4969"/>
    <n v="5606"/>
    <n v="84488"/>
    <n v="86647"/>
    <m/>
    <m/>
    <m/>
    <m/>
    <m/>
    <m/>
    <m/>
    <m/>
    <n v="0"/>
    <n v="0"/>
    <n v="0"/>
    <n v="0"/>
    <m/>
    <m/>
    <n v="0"/>
    <n v="0"/>
    <m/>
    <m/>
    <m/>
    <m/>
    <m/>
    <m/>
    <m/>
    <m/>
    <n v="0"/>
    <n v="0"/>
    <n v="0"/>
    <n v="0"/>
    <n v="2816.2666666666669"/>
    <n v="2888.2333333333331"/>
  </r>
  <r>
    <x v="0"/>
    <s v="Bishop State Community College"/>
    <m/>
    <n v="102030"/>
    <x v="7"/>
    <s v="sem"/>
    <m/>
    <m/>
    <m/>
    <n v="30950"/>
    <n v="29366"/>
    <n v="10858"/>
    <n v="10188"/>
    <n v="30316"/>
    <n v="29533"/>
    <n v="72124"/>
    <n v="2404.1333333333332"/>
    <n v="69087"/>
    <n v="2302.9"/>
    <n v="3022"/>
    <n v="3488"/>
    <n v="72124"/>
    <n v="69087"/>
    <m/>
    <m/>
    <m/>
    <m/>
    <m/>
    <m/>
    <m/>
    <m/>
    <n v="0"/>
    <n v="0"/>
    <n v="0"/>
    <n v="0"/>
    <m/>
    <m/>
    <n v="0"/>
    <n v="0"/>
    <m/>
    <m/>
    <m/>
    <m/>
    <m/>
    <m/>
    <m/>
    <m/>
    <n v="0"/>
    <n v="0"/>
    <n v="0"/>
    <n v="0"/>
    <n v="2404.1333333333332"/>
    <n v="2302.9"/>
  </r>
  <r>
    <x v="0"/>
    <s v="Enterprise-Ozark Community College"/>
    <s v="Reclassified: Met the criteria for Two-Year 3 in 2014-15, 2015-16, and 2016-17."/>
    <n v="101143"/>
    <x v="8"/>
    <s v="sem"/>
    <m/>
    <m/>
    <m/>
    <n v="18637"/>
    <n v="17337"/>
    <n v="6708"/>
    <n v="5827"/>
    <n v="19300"/>
    <n v="17619"/>
    <n v="44645"/>
    <n v="1488.1666666666667"/>
    <n v="40783"/>
    <n v="1359.4333333333334"/>
    <n v="3899"/>
    <n v="4549.5"/>
    <n v="44645"/>
    <n v="40783"/>
    <m/>
    <m/>
    <m/>
    <m/>
    <m/>
    <m/>
    <m/>
    <m/>
    <n v="0"/>
    <n v="0"/>
    <n v="0"/>
    <n v="0"/>
    <m/>
    <m/>
    <n v="0"/>
    <n v="0"/>
    <m/>
    <m/>
    <m/>
    <m/>
    <m/>
    <m/>
    <m/>
    <m/>
    <n v="0"/>
    <n v="0"/>
    <n v="0"/>
    <n v="0"/>
    <n v="1488.1666666666667"/>
    <n v="1359.4333333333334"/>
  </r>
  <r>
    <x v="0"/>
    <s v="Gadsden State Community College"/>
    <m/>
    <n v="101240"/>
    <x v="7"/>
    <s v="sem"/>
    <m/>
    <m/>
    <m/>
    <n v="48967"/>
    <n v="46880"/>
    <n v="19473"/>
    <n v="20126"/>
    <n v="50607"/>
    <n v="50963"/>
    <n v="119047"/>
    <n v="3968.2333333333331"/>
    <n v="117969"/>
    <n v="3932.3"/>
    <n v="3356"/>
    <n v="4713"/>
    <n v="119047"/>
    <n v="117969"/>
    <m/>
    <m/>
    <m/>
    <m/>
    <m/>
    <m/>
    <m/>
    <m/>
    <n v="0"/>
    <n v="0"/>
    <n v="0"/>
    <n v="0"/>
    <m/>
    <m/>
    <n v="0"/>
    <n v="0"/>
    <m/>
    <m/>
    <m/>
    <m/>
    <m/>
    <m/>
    <m/>
    <m/>
    <n v="0"/>
    <n v="0"/>
    <n v="0"/>
    <n v="0"/>
    <n v="3968.2333333333331"/>
    <n v="3932.3"/>
  </r>
  <r>
    <x v="0"/>
    <s v="George C. Wallace State Community College - Dothan"/>
    <m/>
    <n v="101286"/>
    <x v="7"/>
    <s v="sem"/>
    <m/>
    <m/>
    <m/>
    <n v="43238"/>
    <n v="40110"/>
    <n v="19161"/>
    <n v="17372"/>
    <n v="45555"/>
    <n v="42446"/>
    <n v="107954"/>
    <n v="3598.4666666666667"/>
    <n v="99928"/>
    <n v="3330.9333333333334"/>
    <n v="5240"/>
    <n v="5542"/>
    <n v="107954"/>
    <n v="99928"/>
    <m/>
    <m/>
    <m/>
    <m/>
    <m/>
    <m/>
    <m/>
    <m/>
    <n v="0"/>
    <n v="0"/>
    <n v="0"/>
    <n v="0"/>
    <m/>
    <m/>
    <n v="0"/>
    <n v="0"/>
    <m/>
    <m/>
    <m/>
    <m/>
    <m/>
    <m/>
    <m/>
    <m/>
    <n v="0"/>
    <n v="0"/>
    <n v="0"/>
    <n v="0"/>
    <n v="3598.4666666666667"/>
    <n v="3330.9333333333334"/>
  </r>
  <r>
    <x v="0"/>
    <s v="James H. Faulkner State Community College"/>
    <m/>
    <n v="101161"/>
    <x v="7"/>
    <s v="sem"/>
    <m/>
    <m/>
    <m/>
    <n v="45677"/>
    <n v="45876"/>
    <n v="19322"/>
    <n v="18866"/>
    <n v="49973"/>
    <n v="50261"/>
    <n v="114972"/>
    <n v="3832.4"/>
    <n v="115003"/>
    <n v="3833.4333333333334"/>
    <n v="3028"/>
    <n v="2051"/>
    <n v="114972"/>
    <n v="115003"/>
    <m/>
    <m/>
    <m/>
    <m/>
    <m/>
    <m/>
    <m/>
    <m/>
    <n v="0"/>
    <n v="0"/>
    <n v="0"/>
    <n v="0"/>
    <m/>
    <m/>
    <n v="0"/>
    <n v="0"/>
    <m/>
    <m/>
    <m/>
    <m/>
    <m/>
    <m/>
    <m/>
    <m/>
    <n v="0"/>
    <n v="0"/>
    <n v="0"/>
    <n v="0"/>
    <n v="3832.4"/>
    <n v="3833.4333333333334"/>
  </r>
  <r>
    <x v="0"/>
    <s v="Lawson State Community College "/>
    <m/>
    <n v="101569"/>
    <x v="7"/>
    <s v="sem"/>
    <m/>
    <m/>
    <m/>
    <n v="29363"/>
    <n v="30199"/>
    <n v="11150"/>
    <n v="11234"/>
    <n v="33450"/>
    <n v="32929"/>
    <n v="73963"/>
    <n v="2465.4333333333334"/>
    <n v="74362"/>
    <n v="2478.7333333333331"/>
    <n v="1283"/>
    <n v="2166"/>
    <n v="73963"/>
    <n v="74362"/>
    <m/>
    <m/>
    <m/>
    <m/>
    <m/>
    <m/>
    <m/>
    <m/>
    <n v="0"/>
    <n v="0"/>
    <n v="0"/>
    <n v="0"/>
    <m/>
    <m/>
    <n v="0"/>
    <n v="0"/>
    <m/>
    <m/>
    <m/>
    <m/>
    <m/>
    <m/>
    <m/>
    <m/>
    <n v="0"/>
    <n v="0"/>
    <n v="0"/>
    <n v="0"/>
    <n v="2465.4333333333334"/>
    <n v="2478.7333333333331"/>
  </r>
  <r>
    <x v="0"/>
    <s v="Northeast Alabama State Community College "/>
    <s v="Met the criteria for Two-Year 3 in 2015-16 and 2016-17."/>
    <n v="101897"/>
    <x v="7"/>
    <s v="sem"/>
    <m/>
    <m/>
    <m/>
    <n v="22853"/>
    <n v="22693"/>
    <n v="9114"/>
    <n v="9856"/>
    <n v="25274"/>
    <n v="24625"/>
    <n v="57241"/>
    <n v="1908.0333333333333"/>
    <n v="57174"/>
    <n v="1905.8"/>
    <n v="5915"/>
    <n v="6188"/>
    <n v="57241"/>
    <n v="57174"/>
    <m/>
    <m/>
    <m/>
    <m/>
    <m/>
    <m/>
    <m/>
    <m/>
    <n v="0"/>
    <n v="0"/>
    <n v="0"/>
    <n v="0"/>
    <m/>
    <m/>
    <n v="0"/>
    <n v="0"/>
    <m/>
    <m/>
    <m/>
    <m/>
    <m/>
    <m/>
    <m/>
    <m/>
    <n v="0"/>
    <n v="0"/>
    <n v="0"/>
    <n v="0"/>
    <n v="1908.0333333333333"/>
    <n v="1905.8"/>
  </r>
  <r>
    <x v="0"/>
    <s v="Northwest-Shoals Community College"/>
    <m/>
    <n v="101736"/>
    <x v="7"/>
    <s v="sem"/>
    <m/>
    <m/>
    <m/>
    <n v="32099"/>
    <n v="29500"/>
    <n v="12217"/>
    <n v="11564"/>
    <n v="33729"/>
    <n v="33313"/>
    <n v="78045"/>
    <n v="2601.5"/>
    <n v="74377"/>
    <n v="2479.2333333333331"/>
    <n v="5282"/>
    <n v="5438"/>
    <n v="78045"/>
    <n v="74377"/>
    <m/>
    <m/>
    <m/>
    <m/>
    <m/>
    <m/>
    <m/>
    <m/>
    <n v="0"/>
    <n v="0"/>
    <n v="0"/>
    <n v="0"/>
    <m/>
    <m/>
    <n v="0"/>
    <n v="0"/>
    <m/>
    <m/>
    <m/>
    <m/>
    <m/>
    <m/>
    <m/>
    <m/>
    <n v="0"/>
    <n v="0"/>
    <n v="0"/>
    <n v="0"/>
    <n v="2601.5"/>
    <n v="2479.2333333333331"/>
  </r>
  <r>
    <x v="0"/>
    <s v="Shelton State Community College"/>
    <m/>
    <n v="102067"/>
    <x v="7"/>
    <s v="sem"/>
    <m/>
    <m/>
    <m/>
    <n v="43730"/>
    <n v="40846"/>
    <n v="20194"/>
    <n v="21217"/>
    <n v="47297"/>
    <n v="46389"/>
    <n v="111221"/>
    <n v="3707.3666666666668"/>
    <n v="108452"/>
    <n v="3615.0666666666666"/>
    <n v="1713"/>
    <n v="1774"/>
    <n v="111221"/>
    <n v="108452"/>
    <m/>
    <m/>
    <m/>
    <m/>
    <m/>
    <m/>
    <m/>
    <m/>
    <n v="0"/>
    <n v="0"/>
    <n v="0"/>
    <n v="0"/>
    <m/>
    <m/>
    <n v="0"/>
    <n v="0"/>
    <m/>
    <m/>
    <m/>
    <m/>
    <m/>
    <m/>
    <m/>
    <m/>
    <n v="0"/>
    <n v="0"/>
    <n v="0"/>
    <n v="0"/>
    <n v="3707.3666666666668"/>
    <n v="3615.0666666666666"/>
  </r>
  <r>
    <x v="0"/>
    <s v="Southern Union State Community College"/>
    <m/>
    <n v="251260"/>
    <x v="7"/>
    <s v="sem"/>
    <m/>
    <m/>
    <m/>
    <n v="47479"/>
    <n v="46483"/>
    <n v="20187"/>
    <n v="19741"/>
    <n v="50250"/>
    <n v="49024"/>
    <n v="117916"/>
    <n v="3930.5333333333333"/>
    <n v="115248"/>
    <n v="3841.6"/>
    <n v="1443"/>
    <n v="2055"/>
    <n v="117916"/>
    <n v="115248"/>
    <m/>
    <m/>
    <m/>
    <m/>
    <m/>
    <m/>
    <m/>
    <m/>
    <n v="0"/>
    <n v="0"/>
    <n v="0"/>
    <n v="0"/>
    <m/>
    <m/>
    <n v="0"/>
    <n v="0"/>
    <m/>
    <m/>
    <m/>
    <m/>
    <m/>
    <m/>
    <m/>
    <m/>
    <n v="0"/>
    <n v="0"/>
    <n v="0"/>
    <n v="0"/>
    <n v="3930.5333333333333"/>
    <n v="3841.6"/>
  </r>
  <r>
    <x v="0"/>
    <s v="Wallace Community College - Hanceville"/>
    <m/>
    <n v="101295"/>
    <x v="7"/>
    <s v="sem"/>
    <m/>
    <m/>
    <m/>
    <n v="51463"/>
    <n v="50671"/>
    <n v="21595"/>
    <n v="21620"/>
    <n v="56467"/>
    <n v="56916"/>
    <n v="129525"/>
    <n v="4317.5"/>
    <n v="129207"/>
    <n v="4306.8999999999996"/>
    <n v="7022"/>
    <n v="5387"/>
    <n v="129525"/>
    <n v="129207"/>
    <m/>
    <m/>
    <m/>
    <m/>
    <m/>
    <m/>
    <m/>
    <m/>
    <n v="0"/>
    <n v="0"/>
    <n v="0"/>
    <n v="0"/>
    <m/>
    <m/>
    <n v="0"/>
    <n v="0"/>
    <m/>
    <m/>
    <m/>
    <m/>
    <m/>
    <m/>
    <m/>
    <m/>
    <n v="0"/>
    <n v="0"/>
    <n v="0"/>
    <n v="0"/>
    <n v="4317.5"/>
    <n v="4306.8999999999996"/>
  </r>
  <r>
    <x v="0"/>
    <s v="Alabama Southern Community College"/>
    <m/>
    <n v="101949"/>
    <x v="8"/>
    <s v="sem"/>
    <m/>
    <m/>
    <m/>
    <n v="14544"/>
    <n v="13603"/>
    <n v="4295"/>
    <n v="4794"/>
    <n v="14742"/>
    <n v="14255"/>
    <n v="33581"/>
    <n v="1119.3666666666666"/>
    <n v="32652"/>
    <n v="1088.4000000000001"/>
    <n v="2127"/>
    <n v="2125"/>
    <n v="33581"/>
    <n v="32652"/>
    <m/>
    <m/>
    <m/>
    <m/>
    <m/>
    <m/>
    <m/>
    <m/>
    <n v="0"/>
    <n v="0"/>
    <n v="0"/>
    <n v="0"/>
    <m/>
    <m/>
    <n v="0"/>
    <n v="0"/>
    <m/>
    <m/>
    <m/>
    <m/>
    <m/>
    <m/>
    <m/>
    <m/>
    <n v="0"/>
    <n v="0"/>
    <n v="0"/>
    <n v="0"/>
    <n v="1119.3666666666666"/>
    <n v="1088.4000000000001"/>
  </r>
  <r>
    <x v="0"/>
    <s v="Central Alabama Community College"/>
    <m/>
    <n v="100760"/>
    <x v="8"/>
    <s v="sem"/>
    <m/>
    <m/>
    <m/>
    <n v="17716"/>
    <n v="16720"/>
    <n v="6577"/>
    <n v="6157"/>
    <n v="18575"/>
    <n v="18080"/>
    <n v="42868"/>
    <n v="1428.9333333333334"/>
    <n v="40957"/>
    <n v="1365.2333333333333"/>
    <n v="1489"/>
    <n v="2248"/>
    <n v="42868"/>
    <n v="40957"/>
    <m/>
    <m/>
    <m/>
    <m/>
    <m/>
    <m/>
    <m/>
    <m/>
    <n v="0"/>
    <n v="0"/>
    <n v="0"/>
    <n v="0"/>
    <m/>
    <m/>
    <n v="0"/>
    <n v="0"/>
    <m/>
    <m/>
    <m/>
    <m/>
    <m/>
    <m/>
    <m/>
    <m/>
    <n v="0"/>
    <n v="0"/>
    <n v="0"/>
    <n v="0"/>
    <n v="1428.9333333333334"/>
    <n v="1365.2333333333333"/>
  </r>
  <r>
    <x v="0"/>
    <s v="Chattahoochee Valley State Community College "/>
    <m/>
    <n v="101028"/>
    <x v="8"/>
    <s v="sem"/>
    <m/>
    <m/>
    <m/>
    <n v="17771"/>
    <n v="16745"/>
    <n v="6812"/>
    <n v="6066"/>
    <n v="17259"/>
    <n v="15709"/>
    <n v="41842"/>
    <n v="1394.7333333333333"/>
    <n v="38520"/>
    <n v="1284"/>
    <n v="748"/>
    <n v="1070"/>
    <n v="41842"/>
    <n v="38520"/>
    <m/>
    <m/>
    <m/>
    <m/>
    <m/>
    <m/>
    <m/>
    <m/>
    <n v="0"/>
    <n v="0"/>
    <n v="0"/>
    <n v="0"/>
    <m/>
    <m/>
    <n v="0"/>
    <n v="0"/>
    <m/>
    <m/>
    <m/>
    <m/>
    <m/>
    <m/>
    <m/>
    <m/>
    <n v="0"/>
    <n v="0"/>
    <n v="0"/>
    <n v="0"/>
    <n v="1394.7333333333333"/>
    <n v="1284"/>
  </r>
  <r>
    <x v="0"/>
    <s v="George Corley Wallace State Community College - Selma"/>
    <m/>
    <n v="101301"/>
    <x v="8"/>
    <s v="sem"/>
    <m/>
    <m/>
    <m/>
    <n v="17041"/>
    <n v="15830"/>
    <n v="9634"/>
    <n v="10898"/>
    <n v="16887"/>
    <n v="17187"/>
    <n v="43562"/>
    <n v="1452.0666666666666"/>
    <n v="43915"/>
    <n v="1463.8333333333333"/>
    <n v="2893"/>
    <n v="2488"/>
    <n v="43562"/>
    <n v="43915"/>
    <m/>
    <m/>
    <m/>
    <m/>
    <m/>
    <m/>
    <m/>
    <m/>
    <n v="0"/>
    <n v="0"/>
    <n v="0"/>
    <n v="0"/>
    <m/>
    <m/>
    <n v="0"/>
    <n v="0"/>
    <m/>
    <m/>
    <m/>
    <m/>
    <m/>
    <m/>
    <m/>
    <m/>
    <n v="0"/>
    <n v="0"/>
    <n v="0"/>
    <n v="0"/>
    <n v="1452.0666666666666"/>
    <n v="1463.8333333333333"/>
  </r>
  <r>
    <x v="0"/>
    <s v="Jefferson Davis Community College"/>
    <m/>
    <n v="101499"/>
    <x v="8"/>
    <s v="sem"/>
    <m/>
    <m/>
    <m/>
    <n v="11210"/>
    <n v="11750"/>
    <n v="4765"/>
    <n v="4951"/>
    <n v="12093"/>
    <n v="10899"/>
    <n v="28068"/>
    <n v="935.6"/>
    <n v="27600"/>
    <n v="920"/>
    <n v="376"/>
    <n v="275"/>
    <n v="28068"/>
    <n v="27600"/>
    <m/>
    <m/>
    <m/>
    <m/>
    <m/>
    <m/>
    <m/>
    <m/>
    <n v="0"/>
    <n v="0"/>
    <n v="0"/>
    <n v="0"/>
    <m/>
    <m/>
    <n v="0"/>
    <n v="0"/>
    <m/>
    <m/>
    <m/>
    <m/>
    <m/>
    <m/>
    <m/>
    <m/>
    <n v="0"/>
    <n v="0"/>
    <n v="0"/>
    <n v="0"/>
    <n v="935.6"/>
    <n v="920"/>
  </r>
  <r>
    <x v="0"/>
    <s v="Lurleen B. Wallace Community College "/>
    <m/>
    <n v="101602"/>
    <x v="8"/>
    <s v="sem"/>
    <m/>
    <m/>
    <m/>
    <n v="14667"/>
    <n v="16503"/>
    <n v="7250"/>
    <n v="7100"/>
    <n v="17982"/>
    <n v="18189"/>
    <n v="39899"/>
    <n v="1329.9666666666667"/>
    <n v="41792"/>
    <n v="1393.0666666666666"/>
    <n v="2537"/>
    <n v="2450"/>
    <n v="39899"/>
    <n v="41792"/>
    <m/>
    <m/>
    <m/>
    <m/>
    <m/>
    <m/>
    <m/>
    <m/>
    <n v="0"/>
    <n v="0"/>
    <n v="0"/>
    <n v="0"/>
    <m/>
    <m/>
    <n v="0"/>
    <n v="0"/>
    <m/>
    <m/>
    <m/>
    <m/>
    <m/>
    <m/>
    <m/>
    <m/>
    <n v="0"/>
    <n v="0"/>
    <n v="0"/>
    <n v="0"/>
    <n v="1329.9666666666667"/>
    <n v="1393.0666666666666"/>
  </r>
  <r>
    <x v="0"/>
    <s v="Snead State Community College "/>
    <s v="Met the criteria for Two-Year 2 in 2015-16 and 2016-17."/>
    <n v="102076"/>
    <x v="8"/>
    <s v="sem"/>
    <m/>
    <m/>
    <m/>
    <n v="25199"/>
    <n v="25795"/>
    <n v="8981"/>
    <n v="9897"/>
    <n v="28862"/>
    <n v="26251"/>
    <n v="63042"/>
    <n v="2101.4"/>
    <n v="61943"/>
    <n v="2064.7666666666669"/>
    <n v="2241"/>
    <n v="2326"/>
    <n v="63042"/>
    <n v="61943"/>
    <m/>
    <m/>
    <m/>
    <m/>
    <m/>
    <m/>
    <m/>
    <m/>
    <n v="0"/>
    <n v="0"/>
    <n v="0"/>
    <n v="0"/>
    <m/>
    <m/>
    <n v="0"/>
    <n v="0"/>
    <m/>
    <m/>
    <m/>
    <m/>
    <m/>
    <m/>
    <m/>
    <m/>
    <n v="0"/>
    <n v="0"/>
    <n v="0"/>
    <n v="0"/>
    <n v="2101.4"/>
    <n v="2064.7666666666669"/>
  </r>
  <r>
    <x v="0"/>
    <s v="Trenholm State Technical College "/>
    <m/>
    <n v="102313"/>
    <x v="9"/>
    <s v="sem"/>
    <m/>
    <m/>
    <m/>
    <n v="13213"/>
    <n v="14750"/>
    <n v="8511"/>
    <n v="8319"/>
    <n v="14363"/>
    <n v="15487"/>
    <n v="36087"/>
    <n v="1202.9000000000001"/>
    <n v="38556"/>
    <n v="1285.2"/>
    <n v="1100"/>
    <n v="1985"/>
    <n v="36087"/>
    <n v="38556"/>
    <m/>
    <m/>
    <m/>
    <m/>
    <m/>
    <m/>
    <m/>
    <m/>
    <n v="0"/>
    <n v="0"/>
    <n v="0"/>
    <n v="0"/>
    <m/>
    <m/>
    <n v="0"/>
    <n v="0"/>
    <m/>
    <m/>
    <m/>
    <m/>
    <m/>
    <m/>
    <m/>
    <m/>
    <n v="0"/>
    <n v="0"/>
    <n v="0"/>
    <n v="0"/>
    <n v="1202.9000000000001"/>
    <n v="1285.2"/>
  </r>
  <r>
    <x v="0"/>
    <s v="J.F. Drake State Technical College "/>
    <m/>
    <n v="101462"/>
    <x v="10"/>
    <s v="sem"/>
    <m/>
    <m/>
    <m/>
    <n v="9324"/>
    <n v="8249"/>
    <n v="4358"/>
    <n v="3909"/>
    <n v="9187"/>
    <n v="8374"/>
    <n v="22869"/>
    <n v="762.3"/>
    <n v="20532"/>
    <n v="684.4"/>
    <n v="974"/>
    <n v="320"/>
    <n v="22869"/>
    <n v="20532"/>
    <m/>
    <m/>
    <m/>
    <m/>
    <m/>
    <m/>
    <m/>
    <m/>
    <n v="0"/>
    <n v="0"/>
    <n v="0"/>
    <n v="0"/>
    <m/>
    <m/>
    <n v="0"/>
    <n v="0"/>
    <m/>
    <m/>
    <m/>
    <m/>
    <m/>
    <m/>
    <m/>
    <m/>
    <n v="0"/>
    <n v="0"/>
    <n v="0"/>
    <n v="0"/>
    <n v="762.3"/>
    <n v="684.4"/>
  </r>
  <r>
    <x v="0"/>
    <s v="J.F. Ingram State Technical College "/>
    <m/>
    <n v="101471"/>
    <x v="10"/>
    <s v="sem"/>
    <m/>
    <m/>
    <m/>
    <n v="6408"/>
    <n v="5665"/>
    <n v="5621"/>
    <n v="6664"/>
    <n v="5555"/>
    <n v="5995"/>
    <n v="17584"/>
    <n v="586.13333333333333"/>
    <n v="18324"/>
    <n v="610.79999999999995"/>
    <n v="0"/>
    <n v="0"/>
    <n v="17584"/>
    <n v="18324"/>
    <m/>
    <m/>
    <m/>
    <m/>
    <m/>
    <m/>
    <m/>
    <m/>
    <n v="0"/>
    <n v="0"/>
    <n v="0"/>
    <n v="0"/>
    <m/>
    <m/>
    <n v="0"/>
    <n v="0"/>
    <m/>
    <m/>
    <m/>
    <m/>
    <m/>
    <m/>
    <m/>
    <m/>
    <n v="0"/>
    <n v="0"/>
    <n v="0"/>
    <n v="0"/>
    <n v="586.13333333333333"/>
    <n v="610.79999999999995"/>
  </r>
  <r>
    <x v="0"/>
    <s v="Reid State Technical College "/>
    <m/>
    <n v="101994"/>
    <x v="10"/>
    <s v="sem"/>
    <m/>
    <m/>
    <m/>
    <n v="4265"/>
    <n v="4321"/>
    <n v="3166"/>
    <n v="2588"/>
    <n v="5351"/>
    <n v="4596"/>
    <n v="12782"/>
    <n v="426.06666666666666"/>
    <n v="11505"/>
    <n v="383.5"/>
    <n v="1466"/>
    <n v="1077"/>
    <n v="12782"/>
    <n v="11505"/>
    <m/>
    <m/>
    <m/>
    <m/>
    <m/>
    <m/>
    <m/>
    <m/>
    <n v="0"/>
    <n v="0"/>
    <n v="0"/>
    <n v="0"/>
    <m/>
    <m/>
    <n v="0"/>
    <n v="0"/>
    <m/>
    <m/>
    <m/>
    <m/>
    <m/>
    <m/>
    <m/>
    <m/>
    <n v="0"/>
    <n v="0"/>
    <n v="0"/>
    <n v="0"/>
    <n v="426.06666666666666"/>
    <n v="383.5"/>
  </r>
  <r>
    <x v="1"/>
    <s v="University of Arkansas, Fayetteville"/>
    <m/>
    <n v="106397"/>
    <x v="0"/>
    <s v="sem"/>
    <s v="sem"/>
    <m/>
    <m/>
    <n v="278945"/>
    <n v="284249"/>
    <n v="42509"/>
    <n v="42737"/>
    <n v="307647"/>
    <n v="311746"/>
    <n v="629101"/>
    <n v="20970.033333333333"/>
    <n v="638732"/>
    <n v="21291.066666666666"/>
    <n v="4956"/>
    <n v="2313"/>
    <n v="629101"/>
    <n v="638732"/>
    <m/>
    <m/>
    <m/>
    <m/>
    <m/>
    <m/>
    <m/>
    <m/>
    <n v="0"/>
    <n v="0"/>
    <n v="0"/>
    <n v="0"/>
    <m/>
    <m/>
    <n v="0"/>
    <n v="0"/>
    <m/>
    <m/>
    <n v="33245"/>
    <n v="33661"/>
    <n v="11879"/>
    <n v="12163"/>
    <n v="35111"/>
    <n v="35370"/>
    <n v="80235"/>
    <n v="3343.125"/>
    <n v="81194"/>
    <n v="3383.0833333333335"/>
    <n v="24313.158333333333"/>
    <n v="24674.149999999998"/>
  </r>
  <r>
    <x v="1"/>
    <s v="University of Arkansas at Little Rock"/>
    <m/>
    <n v="106245"/>
    <x v="1"/>
    <s v="sem"/>
    <s v="sem"/>
    <m/>
    <m/>
    <n v="91192"/>
    <n v="90564"/>
    <n v="20591"/>
    <n v="18671"/>
    <n v="100883"/>
    <n v="99705"/>
    <n v="212666"/>
    <n v="7088.8666666666668"/>
    <n v="208940"/>
    <n v="6964.666666666667"/>
    <n v="18674"/>
    <n v="20891"/>
    <n v="212666"/>
    <n v="208940"/>
    <m/>
    <m/>
    <m/>
    <m/>
    <m/>
    <m/>
    <m/>
    <m/>
    <n v="0"/>
    <n v="0"/>
    <n v="0"/>
    <n v="0"/>
    <m/>
    <m/>
    <n v="0"/>
    <n v="0"/>
    <m/>
    <m/>
    <n v="18619"/>
    <n v="18504"/>
    <n v="5192"/>
    <n v="4601"/>
    <n v="19379"/>
    <n v="19615"/>
    <n v="43190"/>
    <n v="1799.5833333333333"/>
    <n v="42720"/>
    <n v="1780"/>
    <n v="8888.4500000000007"/>
    <n v="8744.6666666666679"/>
  </r>
  <r>
    <x v="1"/>
    <s v="Arkansas State University"/>
    <m/>
    <n v="106458"/>
    <x v="2"/>
    <s v="sem"/>
    <s v="sem"/>
    <m/>
    <m/>
    <n v="118647"/>
    <n v="118628"/>
    <n v="20368"/>
    <n v="20790"/>
    <n v="126257"/>
    <n v="129184"/>
    <n v="265272"/>
    <n v="8842.4"/>
    <n v="268602"/>
    <n v="8953.4"/>
    <n v="3769"/>
    <n v="5801"/>
    <n v="265272"/>
    <n v="268602"/>
    <m/>
    <m/>
    <m/>
    <m/>
    <m/>
    <m/>
    <m/>
    <m/>
    <n v="0"/>
    <n v="0"/>
    <n v="0"/>
    <n v="0"/>
    <m/>
    <m/>
    <n v="0"/>
    <n v="0"/>
    <m/>
    <m/>
    <n v="26764"/>
    <n v="31222"/>
    <n v="23767"/>
    <n v="27592"/>
    <n v="29652"/>
    <n v="33323"/>
    <n v="80183"/>
    <n v="3340.9583333333335"/>
    <n v="92137"/>
    <n v="3839.0416666666665"/>
    <n v="12183.358333333334"/>
    <n v="12792.441666666666"/>
  </r>
  <r>
    <x v="1"/>
    <s v="Arkansas Tech University"/>
    <m/>
    <n v="106467"/>
    <x v="2"/>
    <s v="sem"/>
    <s v="sem"/>
    <m/>
    <m/>
    <n v="103407"/>
    <n v="100720"/>
    <n v="12561"/>
    <n v="11465"/>
    <n v="114789"/>
    <n v="111424"/>
    <n v="230757"/>
    <n v="7691.9"/>
    <n v="223609"/>
    <n v="7453.6333333333332"/>
    <n v="11586"/>
    <n v="12620"/>
    <n v="230757"/>
    <n v="223609"/>
    <m/>
    <m/>
    <m/>
    <m/>
    <m/>
    <m/>
    <m/>
    <m/>
    <n v="0"/>
    <n v="0"/>
    <n v="0"/>
    <n v="0"/>
    <m/>
    <m/>
    <n v="0"/>
    <n v="0"/>
    <m/>
    <m/>
    <n v="5162"/>
    <n v="5190"/>
    <n v="5718"/>
    <n v="5074"/>
    <n v="5193"/>
    <n v="5142"/>
    <n v="16073"/>
    <n v="669.70833333333337"/>
    <n v="15406"/>
    <n v="641.91666666666663"/>
    <n v="8361.6083333333336"/>
    <n v="8095.55"/>
  </r>
  <r>
    <x v="1"/>
    <s v="University of Central Arkansas "/>
    <m/>
    <n v="106704"/>
    <x v="2"/>
    <s v="sem"/>
    <s v="sem"/>
    <m/>
    <m/>
    <n v="120885"/>
    <n v="121281"/>
    <n v="17934"/>
    <n v="19371"/>
    <n v="134060"/>
    <n v="129803"/>
    <n v="272879"/>
    <n v="9095.9666666666672"/>
    <n v="270455"/>
    <n v="9015.1666666666661"/>
    <n v="2592"/>
    <n v="2750"/>
    <n v="272879"/>
    <n v="270455"/>
    <m/>
    <m/>
    <m/>
    <m/>
    <m/>
    <m/>
    <m/>
    <m/>
    <n v="0"/>
    <n v="0"/>
    <n v="0"/>
    <n v="0"/>
    <m/>
    <m/>
    <n v="0"/>
    <n v="0"/>
    <m/>
    <m/>
    <n v="13680"/>
    <n v="12998"/>
    <n v="9572"/>
    <n v="10070"/>
    <n v="14366"/>
    <n v="14419"/>
    <n v="37618"/>
    <n v="1567.4166666666667"/>
    <n v="37487"/>
    <n v="1561.9583333333333"/>
    <n v="10663.383333333333"/>
    <n v="10577.125"/>
  </r>
  <r>
    <x v="1"/>
    <s v="Henderson State University"/>
    <m/>
    <n v="107071"/>
    <x v="3"/>
    <s v="sem"/>
    <s v="sem"/>
    <m/>
    <m/>
    <n v="40270"/>
    <n v="40143"/>
    <n v="5167"/>
    <n v="5172"/>
    <n v="43649"/>
    <n v="43523"/>
    <n v="89086"/>
    <n v="2969.5333333333333"/>
    <n v="88838"/>
    <n v="2961.2666666666669"/>
    <n v="40"/>
    <n v="166"/>
    <n v="89086"/>
    <n v="88838"/>
    <m/>
    <m/>
    <m/>
    <m/>
    <m/>
    <m/>
    <m/>
    <m/>
    <n v="0"/>
    <n v="0"/>
    <n v="0"/>
    <n v="0"/>
    <m/>
    <m/>
    <n v="0"/>
    <n v="0"/>
    <m/>
    <m/>
    <n v="2290"/>
    <n v="2634"/>
    <n v="1563"/>
    <n v="1974"/>
    <n v="2460"/>
    <n v="2882"/>
    <n v="6313"/>
    <n v="263.04166666666669"/>
    <n v="7490"/>
    <n v="312.08333333333331"/>
    <n v="3232.5749999999998"/>
    <n v="3273.3500000000004"/>
  </r>
  <r>
    <x v="1"/>
    <s v="Southern Arkansas University"/>
    <m/>
    <n v="107983"/>
    <x v="3"/>
    <s v="sem"/>
    <s v="sem"/>
    <m/>
    <m/>
    <n v="37408"/>
    <n v="40633"/>
    <n v="4817"/>
    <n v="4738"/>
    <n v="44073"/>
    <n v="46293"/>
    <n v="86298"/>
    <n v="2876.6"/>
    <n v="91664"/>
    <n v="3055.4666666666667"/>
    <n v="1276"/>
    <n v="2029"/>
    <n v="86298"/>
    <n v="91664"/>
    <m/>
    <m/>
    <m/>
    <m/>
    <m/>
    <m/>
    <m/>
    <m/>
    <n v="0"/>
    <n v="0"/>
    <n v="0"/>
    <n v="0"/>
    <m/>
    <m/>
    <n v="0"/>
    <n v="0"/>
    <m/>
    <m/>
    <n v="3831"/>
    <n v="9243"/>
    <n v="3639"/>
    <n v="9462"/>
    <n v="6519"/>
    <n v="10596"/>
    <n v="13989"/>
    <n v="582.875"/>
    <n v="29301"/>
    <n v="1220.875"/>
    <n v="3459.4749999999999"/>
    <n v="4276.3416666666672"/>
  </r>
  <r>
    <x v="1"/>
    <s v="University of Arkansas at Monticello"/>
    <m/>
    <n v="106485"/>
    <x v="4"/>
    <s v="sem"/>
    <s v="sem"/>
    <m/>
    <m/>
    <n v="31377"/>
    <n v="29710"/>
    <n v="3838"/>
    <n v="4029"/>
    <n v="32940"/>
    <n v="33939"/>
    <n v="68155"/>
    <n v="2271.8333333333335"/>
    <n v="67678"/>
    <n v="2255.9333333333334"/>
    <n v="6126"/>
    <n v="6769"/>
    <n v="68155"/>
    <n v="67678"/>
    <m/>
    <m/>
    <m/>
    <m/>
    <m/>
    <m/>
    <m/>
    <m/>
    <n v="0"/>
    <n v="0"/>
    <n v="0"/>
    <n v="0"/>
    <m/>
    <m/>
    <n v="0"/>
    <n v="0"/>
    <m/>
    <m/>
    <n v="1076"/>
    <n v="1255"/>
    <n v="1276"/>
    <n v="1644"/>
    <n v="1158"/>
    <n v="1638"/>
    <n v="3510"/>
    <n v="146.25"/>
    <n v="4537"/>
    <n v="189.04166666666666"/>
    <n v="2418.0833333333335"/>
    <n v="2444.9749999999999"/>
  </r>
  <r>
    <x v="1"/>
    <s v="University of Arkansas at Fort Smith"/>
    <m/>
    <n v="108092"/>
    <x v="5"/>
    <s v="sem"/>
    <s v="sem"/>
    <m/>
    <m/>
    <n v="76417"/>
    <n v="72626"/>
    <n v="8422"/>
    <n v="7698"/>
    <n v="81335"/>
    <n v="78210"/>
    <n v="166174"/>
    <n v="5539.1333333333332"/>
    <n v="158534"/>
    <n v="5284.4666666666662"/>
    <n v="11956"/>
    <n v="12315"/>
    <n v="166174"/>
    <n v="158534"/>
    <m/>
    <m/>
    <m/>
    <m/>
    <m/>
    <m/>
    <m/>
    <m/>
    <n v="0"/>
    <n v="0"/>
    <n v="0"/>
    <n v="0"/>
    <m/>
    <m/>
    <n v="0"/>
    <n v="0"/>
    <m/>
    <m/>
    <n v="0"/>
    <n v="99"/>
    <n v="0"/>
    <n v="9"/>
    <n v="36"/>
    <n v="102"/>
    <n v="36"/>
    <n v="1.5"/>
    <n v="210"/>
    <n v="8.75"/>
    <n v="5540.6333333333332"/>
    <n v="5293.2166666666662"/>
  </r>
  <r>
    <x v="1"/>
    <s v="University of Arkansas at Pine Bluff"/>
    <s v="Met the criteria for Four-Year 5 in 2016-17."/>
    <n v="106412"/>
    <x v="5"/>
    <s v="sem"/>
    <s v="sem"/>
    <m/>
    <m/>
    <n v="29717"/>
    <n v="31943"/>
    <n v="5052"/>
    <n v="4489"/>
    <n v="36067"/>
    <n v="38805"/>
    <n v="70836"/>
    <n v="2361.1999999999998"/>
    <n v="75237"/>
    <n v="2507.9"/>
    <n v="3"/>
    <n v="0"/>
    <n v="70836"/>
    <n v="75237"/>
    <m/>
    <m/>
    <m/>
    <m/>
    <m/>
    <m/>
    <m/>
    <m/>
    <n v="0"/>
    <n v="0"/>
    <n v="0"/>
    <n v="0"/>
    <m/>
    <m/>
    <n v="0"/>
    <n v="0"/>
    <m/>
    <m/>
    <n v="775"/>
    <n v="655"/>
    <n v="383"/>
    <n v="253"/>
    <n v="732"/>
    <n v="619"/>
    <n v="1890"/>
    <n v="78.75"/>
    <n v="1527"/>
    <n v="63.625"/>
    <n v="2439.9499999999998"/>
    <n v="2571.5250000000001"/>
  </r>
  <r>
    <x v="1"/>
    <s v="Northwest Arkansas Community College "/>
    <s v="Met the criteria for Two-Year 2 in 2015-16 and 2016-17. "/>
    <n v="367459"/>
    <x v="6"/>
    <s v="sem"/>
    <s v="sem"/>
    <m/>
    <m/>
    <n v="65320"/>
    <n v="62602"/>
    <n v="14583"/>
    <n v="14597"/>
    <n v="69268"/>
    <n v="70033"/>
    <n v="149171"/>
    <n v="4972.3666666666668"/>
    <n v="147232"/>
    <n v="4907.7333333333336"/>
    <n v="15089"/>
    <n v="17624"/>
    <n v="149171"/>
    <n v="147232"/>
    <m/>
    <m/>
    <m/>
    <m/>
    <m/>
    <m/>
    <m/>
    <m/>
    <n v="0"/>
    <n v="0"/>
    <n v="0"/>
    <n v="0"/>
    <m/>
    <m/>
    <n v="0"/>
    <n v="0"/>
    <m/>
    <m/>
    <m/>
    <m/>
    <m/>
    <m/>
    <m/>
    <m/>
    <n v="0"/>
    <n v="0"/>
    <n v="0"/>
    <n v="0"/>
    <n v="4972.3666666666668"/>
    <n v="4907.7333333333336"/>
  </r>
  <r>
    <x v="1"/>
    <s v="Pulaski Technical College"/>
    <s v="Met the criteria for Two-Year 2 in 2016-17. "/>
    <n v="107664"/>
    <x v="6"/>
    <s v="sem"/>
    <s v="sem"/>
    <m/>
    <m/>
    <n v="81915"/>
    <n v="67566"/>
    <n v="14732"/>
    <n v="12726"/>
    <n v="73881"/>
    <n v="63785"/>
    <n v="170528"/>
    <n v="5684.2666666666664"/>
    <n v="144077"/>
    <n v="4802.5666666666666"/>
    <n v="5180"/>
    <n v="5982"/>
    <n v="170528"/>
    <n v="144077"/>
    <m/>
    <m/>
    <m/>
    <m/>
    <m/>
    <m/>
    <m/>
    <m/>
    <n v="0"/>
    <n v="0"/>
    <n v="0"/>
    <n v="0"/>
    <m/>
    <m/>
    <n v="0"/>
    <n v="0"/>
    <m/>
    <m/>
    <m/>
    <m/>
    <m/>
    <m/>
    <m/>
    <m/>
    <n v="0"/>
    <n v="0"/>
    <n v="0"/>
    <n v="0"/>
    <n v="5684.2666666666664"/>
    <n v="4802.5666666666666"/>
  </r>
  <r>
    <x v="1"/>
    <s v="Arkansas State University-Beebe"/>
    <m/>
    <n v="106449"/>
    <x v="7"/>
    <s v="sem"/>
    <s v="sem"/>
    <m/>
    <m/>
    <n v="39417"/>
    <n v="37244"/>
    <n v="8153"/>
    <n v="7503"/>
    <n v="41906"/>
    <n v="41854"/>
    <n v="89476"/>
    <n v="2982.5333333333333"/>
    <n v="86601"/>
    <n v="2886.7"/>
    <n v="8243"/>
    <n v="8674"/>
    <n v="89476"/>
    <n v="86601"/>
    <m/>
    <m/>
    <m/>
    <m/>
    <m/>
    <m/>
    <m/>
    <m/>
    <n v="0"/>
    <n v="0"/>
    <n v="0"/>
    <n v="0"/>
    <m/>
    <m/>
    <n v="0"/>
    <n v="0"/>
    <m/>
    <m/>
    <m/>
    <m/>
    <m/>
    <m/>
    <m/>
    <m/>
    <n v="0"/>
    <n v="0"/>
    <n v="0"/>
    <n v="0"/>
    <n v="2982.5333333333333"/>
    <n v="2886.7"/>
  </r>
  <r>
    <x v="1"/>
    <s v="National Park College"/>
    <s v="Met the criteria for Two-Year 3 in 2015-16 and 2016-17. "/>
    <n v="106980"/>
    <x v="7"/>
    <s v="sem"/>
    <s v="sem"/>
    <m/>
    <m/>
    <n v="24727"/>
    <n v="24163"/>
    <n v="3677"/>
    <n v="3405"/>
    <n v="29680"/>
    <n v="28110"/>
    <n v="58084"/>
    <n v="1936.1333333333334"/>
    <n v="55678"/>
    <n v="1855.9333333333334"/>
    <n v="6979"/>
    <n v="6880"/>
    <n v="58084"/>
    <n v="55678"/>
    <m/>
    <m/>
    <m/>
    <m/>
    <m/>
    <m/>
    <m/>
    <m/>
    <n v="0"/>
    <n v="0"/>
    <n v="0"/>
    <n v="0"/>
    <m/>
    <m/>
    <n v="0"/>
    <n v="0"/>
    <m/>
    <m/>
    <m/>
    <m/>
    <m/>
    <m/>
    <m/>
    <m/>
    <n v="0"/>
    <n v="0"/>
    <n v="0"/>
    <n v="0"/>
    <n v="1936.1333333333334"/>
    <n v="1855.9333333333334"/>
  </r>
  <r>
    <x v="1"/>
    <s v="Arkansas Northeastern College"/>
    <m/>
    <n v="107327"/>
    <x v="8"/>
    <s v="sem"/>
    <s v="sem"/>
    <m/>
    <m/>
    <n v="12276"/>
    <n v="11883"/>
    <n v="2476"/>
    <n v="2658"/>
    <n v="12918"/>
    <n v="13497"/>
    <n v="27670"/>
    <n v="922.33333333333337"/>
    <n v="28038"/>
    <n v="934.6"/>
    <n v="2208"/>
    <n v="2431"/>
    <n v="27670"/>
    <n v="28038"/>
    <m/>
    <m/>
    <m/>
    <m/>
    <m/>
    <m/>
    <m/>
    <m/>
    <n v="0"/>
    <n v="0"/>
    <n v="0"/>
    <n v="0"/>
    <m/>
    <m/>
    <n v="0"/>
    <n v="0"/>
    <m/>
    <m/>
    <m/>
    <m/>
    <m/>
    <m/>
    <m/>
    <m/>
    <n v="0"/>
    <n v="0"/>
    <n v="0"/>
    <n v="0"/>
    <n v="922.33333333333337"/>
    <n v="934.6"/>
  </r>
  <r>
    <x v="1"/>
    <s v="Arkansas State University Mid-South"/>
    <m/>
    <n v="107318"/>
    <x v="8"/>
    <s v="sem"/>
    <s v="sem"/>
    <m/>
    <m/>
    <n v="13838"/>
    <n v="14013"/>
    <n v="2055"/>
    <n v="2105"/>
    <n v="15950"/>
    <n v="15246"/>
    <n v="31843"/>
    <n v="1061.4333333333334"/>
    <n v="31364"/>
    <n v="1045.4666666666667"/>
    <n v="8238"/>
    <n v="8935"/>
    <n v="31843"/>
    <n v="31364"/>
    <m/>
    <m/>
    <m/>
    <m/>
    <m/>
    <m/>
    <m/>
    <m/>
    <n v="0"/>
    <n v="0"/>
    <n v="0"/>
    <n v="0"/>
    <m/>
    <m/>
    <n v="0"/>
    <n v="0"/>
    <m/>
    <m/>
    <m/>
    <m/>
    <m/>
    <m/>
    <m/>
    <m/>
    <n v="0"/>
    <n v="0"/>
    <n v="0"/>
    <n v="0"/>
    <n v="1061.4333333333334"/>
    <n v="1045.4666666666667"/>
  </r>
  <r>
    <x v="1"/>
    <s v="Arkansas State University Mountain Home"/>
    <m/>
    <n v="420538"/>
    <x v="8"/>
    <s v="sem"/>
    <s v="sem"/>
    <m/>
    <m/>
    <n v="13873"/>
    <n v="13930"/>
    <n v="3161"/>
    <n v="2909"/>
    <n v="15539"/>
    <n v="15196"/>
    <n v="32573"/>
    <n v="1085.7666666666667"/>
    <n v="32035"/>
    <n v="1067.8333333333333"/>
    <n v="1796"/>
    <n v="2168"/>
    <n v="32573"/>
    <n v="32035"/>
    <m/>
    <m/>
    <m/>
    <m/>
    <m/>
    <m/>
    <m/>
    <m/>
    <n v="0"/>
    <n v="0"/>
    <n v="0"/>
    <n v="0"/>
    <m/>
    <m/>
    <n v="0"/>
    <n v="0"/>
    <m/>
    <m/>
    <m/>
    <m/>
    <m/>
    <m/>
    <m/>
    <m/>
    <n v="0"/>
    <n v="0"/>
    <n v="0"/>
    <n v="0"/>
    <n v="1085.7666666666667"/>
    <n v="1067.8333333333333"/>
  </r>
  <r>
    <x v="1"/>
    <s v="Arkansas State University-Newport"/>
    <m/>
    <n v="440402"/>
    <x v="8"/>
    <s v="sem"/>
    <s v="sem"/>
    <m/>
    <m/>
    <n v="21194"/>
    <n v="22182"/>
    <n v="8845"/>
    <n v="9579"/>
    <n v="23364"/>
    <n v="23512"/>
    <n v="53403"/>
    <n v="1780.1"/>
    <n v="55273"/>
    <n v="1842.4333333333334"/>
    <n v="12939"/>
    <n v="14358"/>
    <n v="53403"/>
    <n v="55273"/>
    <m/>
    <m/>
    <m/>
    <m/>
    <m/>
    <m/>
    <m/>
    <m/>
    <n v="0"/>
    <n v="0"/>
    <n v="0"/>
    <n v="0"/>
    <m/>
    <m/>
    <n v="0"/>
    <n v="0"/>
    <m/>
    <m/>
    <m/>
    <m/>
    <m/>
    <m/>
    <m/>
    <m/>
    <n v="0"/>
    <n v="0"/>
    <n v="0"/>
    <n v="0"/>
    <n v="1780.1"/>
    <n v="1842.4333333333334"/>
  </r>
  <r>
    <x v="1"/>
    <s v="Black River Technical College"/>
    <m/>
    <n v="106625"/>
    <x v="8"/>
    <s v="sem"/>
    <s v="sem"/>
    <m/>
    <m/>
    <n v="19008"/>
    <n v="16789"/>
    <n v="2756"/>
    <n v="2646"/>
    <n v="18567"/>
    <n v="17644"/>
    <n v="40331"/>
    <n v="1344.3666666666666"/>
    <n v="37079"/>
    <n v="1235.9666666666667"/>
    <n v="4252"/>
    <n v="4208"/>
    <n v="40331"/>
    <n v="37079"/>
    <m/>
    <m/>
    <m/>
    <m/>
    <m/>
    <m/>
    <m/>
    <m/>
    <n v="0"/>
    <n v="0"/>
    <n v="0"/>
    <n v="0"/>
    <m/>
    <m/>
    <n v="0"/>
    <n v="0"/>
    <m/>
    <m/>
    <m/>
    <m/>
    <m/>
    <m/>
    <m/>
    <m/>
    <n v="0"/>
    <n v="0"/>
    <n v="0"/>
    <n v="0"/>
    <n v="1344.3666666666666"/>
    <n v="1235.9666666666667"/>
  </r>
  <r>
    <x v="1"/>
    <s v="College of the Ouachitas"/>
    <m/>
    <n v="107521"/>
    <x v="8"/>
    <s v="sem"/>
    <s v="sem"/>
    <m/>
    <m/>
    <n v="11830"/>
    <n v="9997"/>
    <n v="2925"/>
    <n v="2993"/>
    <n v="11110"/>
    <n v="10721"/>
    <n v="25865"/>
    <n v="862.16666666666663"/>
    <n v="23711"/>
    <n v="790.36666666666667"/>
    <n v="4796"/>
    <n v="4410"/>
    <n v="25865"/>
    <n v="23711"/>
    <m/>
    <m/>
    <m/>
    <m/>
    <m/>
    <m/>
    <m/>
    <m/>
    <n v="0"/>
    <n v="0"/>
    <n v="0"/>
    <n v="0"/>
    <m/>
    <m/>
    <n v="0"/>
    <n v="0"/>
    <m/>
    <m/>
    <m/>
    <m/>
    <m/>
    <m/>
    <m/>
    <m/>
    <n v="0"/>
    <n v="0"/>
    <n v="0"/>
    <n v="0"/>
    <n v="862.16666666666663"/>
    <n v="790.36666666666667"/>
  </r>
  <r>
    <x v="1"/>
    <s v="Cossatot Community College of the University of Arkansas"/>
    <m/>
    <n v="106795"/>
    <x v="8"/>
    <s v="sem"/>
    <s v="sem"/>
    <m/>
    <m/>
    <n v="12880"/>
    <n v="12797"/>
    <n v="2421"/>
    <n v="2568"/>
    <n v="13589"/>
    <n v="13088"/>
    <n v="28890"/>
    <n v="963"/>
    <n v="28453"/>
    <n v="948.43333333333328"/>
    <n v="5520"/>
    <n v="6528"/>
    <n v="28890"/>
    <n v="28453"/>
    <m/>
    <m/>
    <m/>
    <m/>
    <m/>
    <m/>
    <m/>
    <m/>
    <n v="0"/>
    <n v="0"/>
    <n v="0"/>
    <n v="0"/>
    <m/>
    <m/>
    <n v="0"/>
    <n v="0"/>
    <m/>
    <m/>
    <m/>
    <m/>
    <m/>
    <m/>
    <m/>
    <m/>
    <n v="0"/>
    <n v="0"/>
    <n v="0"/>
    <n v="0"/>
    <n v="963"/>
    <n v="948.43333333333328"/>
  </r>
  <r>
    <x v="1"/>
    <s v="East Arkansas Community College "/>
    <m/>
    <n v="106883"/>
    <x v="8"/>
    <s v="sem"/>
    <s v="sem"/>
    <m/>
    <m/>
    <n v="9915"/>
    <n v="9036"/>
    <n v="3224"/>
    <n v="3064"/>
    <n v="10351"/>
    <n v="9529"/>
    <n v="23490"/>
    <n v="783"/>
    <n v="21629"/>
    <n v="720.9666666666667"/>
    <n v="3669"/>
    <n v="4084"/>
    <n v="23490"/>
    <n v="21629"/>
    <m/>
    <m/>
    <m/>
    <m/>
    <m/>
    <m/>
    <m/>
    <m/>
    <n v="0"/>
    <n v="0"/>
    <n v="0"/>
    <n v="0"/>
    <m/>
    <m/>
    <n v="0"/>
    <n v="0"/>
    <m/>
    <m/>
    <m/>
    <m/>
    <m/>
    <m/>
    <m/>
    <m/>
    <n v="0"/>
    <n v="0"/>
    <n v="0"/>
    <n v="0"/>
    <n v="783"/>
    <n v="720.9666666666667"/>
  </r>
  <r>
    <x v="1"/>
    <s v="North Arkansas College"/>
    <m/>
    <n v="107460"/>
    <x v="8"/>
    <s v="sem"/>
    <s v="sem"/>
    <m/>
    <m/>
    <n v="19094"/>
    <n v="17511"/>
    <n v="2324"/>
    <n v="2239"/>
    <n v="19636"/>
    <n v="20055"/>
    <n v="41054"/>
    <n v="1368.4666666666667"/>
    <n v="39805"/>
    <n v="1326.8333333333333"/>
    <n v="2529"/>
    <n v="2734"/>
    <n v="41054"/>
    <n v="39805"/>
    <m/>
    <m/>
    <m/>
    <m/>
    <m/>
    <m/>
    <m/>
    <m/>
    <n v="0"/>
    <n v="0"/>
    <n v="0"/>
    <n v="0"/>
    <m/>
    <m/>
    <n v="0"/>
    <n v="0"/>
    <m/>
    <m/>
    <m/>
    <m/>
    <m/>
    <m/>
    <m/>
    <m/>
    <n v="0"/>
    <n v="0"/>
    <n v="0"/>
    <n v="0"/>
    <n v="1368.4666666666667"/>
    <n v="1326.8333333333333"/>
  </r>
  <r>
    <x v="1"/>
    <s v="Ozarka College "/>
    <m/>
    <n v="107549"/>
    <x v="8"/>
    <s v="sem"/>
    <s v="sem"/>
    <m/>
    <m/>
    <n v="11959"/>
    <n v="10729"/>
    <n v="2572"/>
    <n v="2277"/>
    <n v="11257"/>
    <n v="11768"/>
    <n v="25788"/>
    <n v="859.6"/>
    <n v="24774"/>
    <n v="825.8"/>
    <n v="2648"/>
    <n v="2967"/>
    <n v="25788"/>
    <n v="24774"/>
    <m/>
    <m/>
    <m/>
    <m/>
    <m/>
    <m/>
    <m/>
    <m/>
    <n v="0"/>
    <n v="0"/>
    <n v="0"/>
    <n v="0"/>
    <m/>
    <m/>
    <n v="0"/>
    <n v="0"/>
    <m/>
    <m/>
    <m/>
    <m/>
    <m/>
    <m/>
    <m/>
    <m/>
    <n v="0"/>
    <n v="0"/>
    <n v="0"/>
    <n v="0"/>
    <n v="859.6"/>
    <n v="825.8"/>
  </r>
  <r>
    <x v="1"/>
    <s v="Phillips Community College of the Univ of Arkansas"/>
    <m/>
    <n v="107619"/>
    <x v="8"/>
    <s v="sem"/>
    <s v="sem"/>
    <m/>
    <m/>
    <n v="12722"/>
    <n v="12030"/>
    <n v="1941"/>
    <n v="2348"/>
    <n v="13850"/>
    <n v="14883"/>
    <n v="28513"/>
    <n v="950.43333333333328"/>
    <n v="29261"/>
    <n v="975.36666666666667"/>
    <n v="7344"/>
    <n v="7819"/>
    <n v="28513"/>
    <n v="29261"/>
    <m/>
    <m/>
    <m/>
    <m/>
    <m/>
    <m/>
    <m/>
    <m/>
    <n v="0"/>
    <n v="0"/>
    <n v="0"/>
    <n v="0"/>
    <m/>
    <m/>
    <n v="0"/>
    <n v="0"/>
    <m/>
    <m/>
    <m/>
    <m/>
    <m/>
    <m/>
    <m/>
    <m/>
    <n v="0"/>
    <n v="0"/>
    <n v="0"/>
    <n v="0"/>
    <n v="950.43333333333328"/>
    <n v="975.36666666666667"/>
  </r>
  <r>
    <x v="1"/>
    <s v="Rich Mountain Community College "/>
    <m/>
    <n v="107743"/>
    <x v="8"/>
    <s v="sem"/>
    <s v="sem"/>
    <m/>
    <m/>
    <n v="7084"/>
    <n v="7195"/>
    <n v="1390"/>
    <n v="1334"/>
    <n v="7943"/>
    <n v="7509"/>
    <n v="16417"/>
    <n v="547.23333333333335"/>
    <n v="16038"/>
    <n v="534.6"/>
    <n v="2973"/>
    <n v="2881"/>
    <n v="16417"/>
    <n v="16038"/>
    <m/>
    <m/>
    <m/>
    <m/>
    <m/>
    <m/>
    <m/>
    <m/>
    <n v="0"/>
    <n v="0"/>
    <n v="0"/>
    <n v="0"/>
    <m/>
    <m/>
    <n v="0"/>
    <n v="0"/>
    <m/>
    <m/>
    <m/>
    <m/>
    <m/>
    <m/>
    <m/>
    <m/>
    <n v="0"/>
    <n v="0"/>
    <n v="0"/>
    <n v="0"/>
    <n v="547.23333333333335"/>
    <n v="534.6"/>
  </r>
  <r>
    <x v="1"/>
    <s v="South Arkansas Community College"/>
    <m/>
    <n v="107974"/>
    <x v="8"/>
    <s v="sem"/>
    <s v="sem"/>
    <m/>
    <m/>
    <n v="14359"/>
    <n v="13116"/>
    <n v="5007"/>
    <n v="4636"/>
    <n v="14458"/>
    <n v="13528"/>
    <n v="33824"/>
    <n v="1127.4666666666667"/>
    <n v="31280"/>
    <n v="1042.6666666666667"/>
    <n v="2742"/>
    <n v="2298"/>
    <n v="33824"/>
    <n v="31280"/>
    <m/>
    <m/>
    <m/>
    <m/>
    <m/>
    <m/>
    <m/>
    <m/>
    <n v="0"/>
    <n v="0"/>
    <n v="0"/>
    <n v="0"/>
    <m/>
    <m/>
    <n v="0"/>
    <n v="0"/>
    <m/>
    <m/>
    <m/>
    <m/>
    <m/>
    <m/>
    <m/>
    <m/>
    <n v="0"/>
    <n v="0"/>
    <n v="0"/>
    <n v="0"/>
    <n v="1127.4666666666667"/>
    <n v="1042.6666666666667"/>
  </r>
  <r>
    <x v="1"/>
    <s v="Southeast Arkansas College"/>
    <m/>
    <n v="107637"/>
    <x v="8"/>
    <s v="sem"/>
    <s v="sem"/>
    <m/>
    <m/>
    <n v="13275"/>
    <n v="13200"/>
    <n v="3755"/>
    <n v="3429"/>
    <n v="14298"/>
    <n v="13465"/>
    <n v="31328"/>
    <n v="1044.2666666666667"/>
    <n v="30094"/>
    <n v="1003.1333333333333"/>
    <n v="814"/>
    <n v="1210"/>
    <n v="31328"/>
    <n v="30094"/>
    <m/>
    <m/>
    <m/>
    <m/>
    <m/>
    <m/>
    <m/>
    <m/>
    <n v="0"/>
    <n v="0"/>
    <n v="0"/>
    <n v="0"/>
    <m/>
    <m/>
    <n v="0"/>
    <n v="0"/>
    <m/>
    <m/>
    <m/>
    <m/>
    <m/>
    <m/>
    <m/>
    <m/>
    <n v="0"/>
    <n v="0"/>
    <n v="0"/>
    <n v="0"/>
    <n v="1044.2666666666667"/>
    <n v="1003.1333333333333"/>
  </r>
  <r>
    <x v="1"/>
    <s v="Southern Arkansas University Tech"/>
    <m/>
    <n v="107992"/>
    <x v="8"/>
    <s v="sem"/>
    <s v="sem"/>
    <m/>
    <m/>
    <n v="15991"/>
    <n v="17200"/>
    <n v="4977"/>
    <n v="5029"/>
    <n v="13000"/>
    <n v="11370"/>
    <n v="33968"/>
    <n v="1132.2666666666667"/>
    <n v="33599"/>
    <n v="1119.9666666666667"/>
    <n v="9741"/>
    <n v="8329"/>
    <n v="33968"/>
    <n v="33599"/>
    <m/>
    <m/>
    <m/>
    <m/>
    <m/>
    <m/>
    <m/>
    <m/>
    <n v="0"/>
    <n v="0"/>
    <n v="0"/>
    <n v="0"/>
    <m/>
    <m/>
    <n v="0"/>
    <n v="0"/>
    <m/>
    <m/>
    <m/>
    <m/>
    <m/>
    <m/>
    <m/>
    <m/>
    <n v="0"/>
    <n v="0"/>
    <n v="0"/>
    <n v="0"/>
    <n v="1132.2666666666667"/>
    <n v="1119.9666666666667"/>
  </r>
  <r>
    <x v="1"/>
    <s v="University of Arkansas Community College at Batesville"/>
    <m/>
    <n v="106999"/>
    <x v="8"/>
    <s v="sem"/>
    <s v="sem"/>
    <m/>
    <m/>
    <n v="12008"/>
    <n v="12187"/>
    <n v="2471"/>
    <n v="2331"/>
    <n v="14299"/>
    <n v="13296"/>
    <n v="28778"/>
    <n v="959.26666666666665"/>
    <n v="27814"/>
    <n v="927.13333333333333"/>
    <n v="2226"/>
    <n v="3059"/>
    <n v="28778"/>
    <n v="27814"/>
    <m/>
    <m/>
    <m/>
    <m/>
    <m/>
    <m/>
    <m/>
    <m/>
    <n v="0"/>
    <n v="0"/>
    <n v="0"/>
    <n v="0"/>
    <m/>
    <m/>
    <n v="0"/>
    <n v="0"/>
    <m/>
    <m/>
    <m/>
    <m/>
    <m/>
    <m/>
    <m/>
    <m/>
    <n v="0"/>
    <n v="0"/>
    <n v="0"/>
    <n v="0"/>
    <n v="959.26666666666665"/>
    <n v="927.13333333333333"/>
  </r>
  <r>
    <x v="1"/>
    <s v="University of Arkansas Community College at Hope"/>
    <m/>
    <n v="107725"/>
    <x v="8"/>
    <s v="sem"/>
    <s v="sem"/>
    <m/>
    <m/>
    <n v="11897"/>
    <n v="12864"/>
    <n v="2150"/>
    <n v="2224"/>
    <n v="13359"/>
    <n v="14324"/>
    <n v="27406"/>
    <n v="913.5333333333333"/>
    <n v="29412"/>
    <n v="980.4"/>
    <n v="2830"/>
    <n v="3668"/>
    <n v="27406"/>
    <n v="29412"/>
    <m/>
    <m/>
    <m/>
    <m/>
    <m/>
    <m/>
    <m/>
    <m/>
    <n v="0"/>
    <n v="0"/>
    <n v="0"/>
    <n v="0"/>
    <m/>
    <m/>
    <n v="0"/>
    <n v="0"/>
    <m/>
    <m/>
    <m/>
    <m/>
    <m/>
    <m/>
    <m/>
    <m/>
    <n v="0"/>
    <n v="0"/>
    <n v="0"/>
    <n v="0"/>
    <n v="913.5333333333333"/>
    <n v="980.4"/>
  </r>
  <r>
    <x v="1"/>
    <s v="University of Arkansas Community College at Morrilton"/>
    <m/>
    <n v="107585"/>
    <x v="8"/>
    <s v="sem"/>
    <s v="sem"/>
    <m/>
    <m/>
    <n v="19624"/>
    <n v="19997"/>
    <n v="3565"/>
    <n v="3080"/>
    <n v="23090"/>
    <n v="22963"/>
    <n v="46279"/>
    <n v="1542.6333333333334"/>
    <n v="46040"/>
    <n v="1534.6666666666667"/>
    <n v="1033"/>
    <n v="1258"/>
    <n v="46279"/>
    <n v="46040"/>
    <m/>
    <m/>
    <m/>
    <m/>
    <m/>
    <m/>
    <m/>
    <m/>
    <n v="0"/>
    <n v="0"/>
    <n v="0"/>
    <n v="0"/>
    <m/>
    <m/>
    <n v="0"/>
    <n v="0"/>
    <m/>
    <m/>
    <m/>
    <m/>
    <m/>
    <m/>
    <m/>
    <m/>
    <n v="0"/>
    <n v="0"/>
    <n v="0"/>
    <n v="0"/>
    <n v="1542.6333333333334"/>
    <n v="1534.6666666666667"/>
  </r>
  <r>
    <x v="2"/>
    <s v="University of Delaware"/>
    <m/>
    <s v="130943"/>
    <x v="0"/>
    <s v="sem"/>
    <m/>
    <n v="32196"/>
    <n v="32196"/>
    <n v="251621"/>
    <n v="255095"/>
    <n v="12918"/>
    <n v="17815"/>
    <n v="270598"/>
    <n v="272742"/>
    <n v="567333"/>
    <n v="18911.099999999999"/>
    <n v="577848"/>
    <n v="19261.599999999999"/>
    <m/>
    <m/>
    <n v="0"/>
    <n v="0"/>
    <m/>
    <m/>
    <m/>
    <m/>
    <m/>
    <m/>
    <m/>
    <m/>
    <n v="0"/>
    <n v="0"/>
    <n v="0"/>
    <n v="0"/>
    <m/>
    <m/>
    <n v="0"/>
    <n v="0"/>
    <n v="1769"/>
    <n v="2068"/>
    <n v="21892"/>
    <n v="22835"/>
    <n v="5261"/>
    <n v="6578"/>
    <n v="25185"/>
    <n v="26428"/>
    <n v="54107"/>
    <n v="2254.4583333333335"/>
    <n v="57909"/>
    <n v="2412.875"/>
    <n v="21165.558333333331"/>
    <n v="21674.474999999999"/>
  </r>
  <r>
    <x v="2"/>
    <s v="Delaware State University"/>
    <m/>
    <s v="130934"/>
    <x v="2"/>
    <s v="sem"/>
    <m/>
    <m/>
    <m/>
    <n v="54611"/>
    <n v="56310"/>
    <n v="7146"/>
    <n v="16328"/>
    <n v="60195"/>
    <n v="59619"/>
    <n v="121952"/>
    <n v="4065.0666666666666"/>
    <n v="132257"/>
    <n v="4408.5666666666666"/>
    <m/>
    <m/>
    <n v="0"/>
    <n v="0"/>
    <m/>
    <m/>
    <m/>
    <m/>
    <m/>
    <m/>
    <m/>
    <m/>
    <n v="0"/>
    <n v="0"/>
    <n v="0"/>
    <n v="0"/>
    <m/>
    <m/>
    <n v="0"/>
    <n v="0"/>
    <m/>
    <m/>
    <n v="2394"/>
    <n v="2348"/>
    <n v="461"/>
    <n v="1325"/>
    <n v="2622"/>
    <n v="2479"/>
    <n v="5477"/>
    <n v="228.20833333333334"/>
    <n v="6152"/>
    <n v="256.33333333333331"/>
    <n v="4293.2749999999996"/>
    <n v="4664.8999999999996"/>
  </r>
  <r>
    <x v="2"/>
    <s v="Delaware Technical and Community College--Terry"/>
    <s v="Met the criteria for Two-Year 1 in 2015-16. Now meeting criteria for Technical Instituition or College 1 in 2016-17"/>
    <s v="130907"/>
    <x v="7"/>
    <s v="sem"/>
    <m/>
    <m/>
    <m/>
    <n v="116621"/>
    <n v="115568"/>
    <n v="30852"/>
    <n v="30143"/>
    <n v="125587"/>
    <n v="130346"/>
    <n v="273060"/>
    <n v="9102"/>
    <n v="276057"/>
    <n v="9201.9"/>
    <m/>
    <m/>
    <n v="0"/>
    <n v="0"/>
    <m/>
    <m/>
    <m/>
    <m/>
    <m/>
    <m/>
    <m/>
    <m/>
    <n v="0"/>
    <n v="0"/>
    <n v="0"/>
    <n v="0"/>
    <m/>
    <m/>
    <n v="0"/>
    <n v="0"/>
    <m/>
    <m/>
    <m/>
    <m/>
    <m/>
    <m/>
    <m/>
    <m/>
    <n v="0"/>
    <n v="0"/>
    <n v="0"/>
    <n v="0"/>
    <n v="9102"/>
    <n v="9201.9"/>
  </r>
  <r>
    <x v="3"/>
    <s v="Florida Atlantic University "/>
    <m/>
    <n v="133669"/>
    <x v="0"/>
    <s v="sem"/>
    <m/>
    <m/>
    <m/>
    <n v="254455"/>
    <n v="261773"/>
    <n v="98605"/>
    <n v="103463"/>
    <n v="278849"/>
    <n v="279034"/>
    <n v="631909"/>
    <n v="21063.633333333335"/>
    <n v="644270"/>
    <n v="21475.666666666668"/>
    <n v="15947"/>
    <n v="14993"/>
    <n v="631909"/>
    <n v="644270"/>
    <m/>
    <m/>
    <m/>
    <m/>
    <m/>
    <m/>
    <m/>
    <m/>
    <n v="0"/>
    <n v="0"/>
    <n v="0"/>
    <n v="0"/>
    <m/>
    <m/>
    <n v="0"/>
    <n v="0"/>
    <m/>
    <m/>
    <n v="29597.5"/>
    <n v="30084"/>
    <n v="15341"/>
    <n v="16431"/>
    <n v="30907.4"/>
    <n v="33004"/>
    <n v="75845.899999999994"/>
    <n v="3160.2458333333329"/>
    <n v="79519"/>
    <n v="3313.2916666666665"/>
    <n v="24223.879166666669"/>
    <n v="24788.958333333336"/>
  </r>
  <r>
    <x v="3"/>
    <s v="Florida International University"/>
    <m/>
    <n v="133951"/>
    <x v="0"/>
    <s v="sem"/>
    <m/>
    <m/>
    <m/>
    <n v="440310"/>
    <n v="441139"/>
    <n v="184125"/>
    <n v="190548"/>
    <n v="470100"/>
    <n v="475545"/>
    <n v="1094535"/>
    <n v="36484.5"/>
    <n v="1107232"/>
    <n v="36907.73333333333"/>
    <n v="37000"/>
    <n v="32756"/>
    <n v="1094535"/>
    <n v="1107232"/>
    <m/>
    <m/>
    <m/>
    <m/>
    <m/>
    <m/>
    <m/>
    <m/>
    <n v="0"/>
    <n v="0"/>
    <n v="0"/>
    <n v="0"/>
    <m/>
    <m/>
    <n v="0"/>
    <n v="0"/>
    <m/>
    <m/>
    <n v="75305"/>
    <n v="76557"/>
    <n v="40460"/>
    <n v="40667"/>
    <n v="78081"/>
    <n v="82248"/>
    <n v="193846"/>
    <n v="8076.916666666667"/>
    <n v="199472"/>
    <n v="8311.3333333333339"/>
    <n v="44561.416666666664"/>
    <n v="45219.066666666666"/>
  </r>
  <r>
    <x v="3"/>
    <s v="Florida State University "/>
    <m/>
    <n v="134097"/>
    <x v="0"/>
    <s v="sem"/>
    <m/>
    <m/>
    <m/>
    <n v="404136"/>
    <n v="403575"/>
    <n v="126209"/>
    <n v="126943"/>
    <n v="418565"/>
    <n v="428007"/>
    <n v="948910"/>
    <n v="31630.333333333332"/>
    <n v="958525"/>
    <n v="31950.833333333332"/>
    <n v="503"/>
    <n v="447"/>
    <n v="948910"/>
    <n v="958525"/>
    <m/>
    <m/>
    <m/>
    <m/>
    <m/>
    <m/>
    <m/>
    <m/>
    <n v="0"/>
    <n v="0"/>
    <n v="0"/>
    <n v="0"/>
    <m/>
    <m/>
    <n v="0"/>
    <n v="0"/>
    <m/>
    <m/>
    <n v="67849"/>
    <n v="68792"/>
    <n v="37003"/>
    <n v="38455"/>
    <n v="69790"/>
    <n v="71358"/>
    <n v="174642"/>
    <n v="7276.75"/>
    <n v="178605"/>
    <n v="7441.875"/>
    <n v="38907.083333333328"/>
    <n v="39392.708333333328"/>
  </r>
  <r>
    <x v="3"/>
    <s v="University of Central Florida "/>
    <m/>
    <n v="132903"/>
    <x v="0"/>
    <s v="sem"/>
    <m/>
    <m/>
    <m/>
    <n v="578497"/>
    <n v="592549"/>
    <n v="207206"/>
    <n v="217710"/>
    <n v="618644"/>
    <n v="633764"/>
    <n v="1404347"/>
    <n v="46811.566666666666"/>
    <n v="1444023"/>
    <n v="48134.1"/>
    <n v="644"/>
    <n v="407"/>
    <n v="1404347"/>
    <n v="1444023"/>
    <m/>
    <m/>
    <m/>
    <m/>
    <m/>
    <m/>
    <m/>
    <m/>
    <n v="0"/>
    <n v="0"/>
    <n v="0"/>
    <n v="0"/>
    <m/>
    <m/>
    <n v="0"/>
    <n v="0"/>
    <m/>
    <m/>
    <n v="51108"/>
    <n v="51657"/>
    <n v="26259"/>
    <n v="26659"/>
    <n v="54914.5"/>
    <n v="56311"/>
    <n v="132281.5"/>
    <n v="5511.729166666667"/>
    <n v="134627"/>
    <n v="5609.458333333333"/>
    <n v="52323.29583333333"/>
    <n v="53743.558333333334"/>
  </r>
  <r>
    <x v="3"/>
    <s v="University of Florida"/>
    <m/>
    <n v="134130"/>
    <x v="0"/>
    <s v="sem"/>
    <m/>
    <m/>
    <m/>
    <n v="422884"/>
    <n v="434964"/>
    <n v="126853"/>
    <n v="129610"/>
    <n v="448638"/>
    <n v="468165"/>
    <n v="998375"/>
    <n v="33279.166666666664"/>
    <n v="1032739"/>
    <n v="34424.633333333331"/>
    <n v="1352"/>
    <n v="1232"/>
    <n v="998375"/>
    <n v="1032739"/>
    <m/>
    <m/>
    <m/>
    <m/>
    <m/>
    <m/>
    <m/>
    <m/>
    <n v="0"/>
    <n v="0"/>
    <n v="0"/>
    <n v="0"/>
    <m/>
    <m/>
    <n v="0"/>
    <n v="0"/>
    <m/>
    <m/>
    <n v="135541"/>
    <n v="140236"/>
    <n v="57724"/>
    <n v="60825"/>
    <n v="148385"/>
    <n v="152526"/>
    <n v="341650"/>
    <n v="14235.416666666666"/>
    <n v="353587"/>
    <n v="14732.791666666666"/>
    <n v="47514.583333333328"/>
    <n v="49157.424999999996"/>
  </r>
  <r>
    <x v="3"/>
    <s v="University of South Florida "/>
    <m/>
    <n v="137351"/>
    <x v="0"/>
    <s v="sem"/>
    <m/>
    <m/>
    <m/>
    <n v="415901"/>
    <n v="425861"/>
    <n v="153949"/>
    <n v="151664"/>
    <n v="446747"/>
    <n v="449729"/>
    <n v="1016597"/>
    <n v="33886.566666666666"/>
    <n v="1027254"/>
    <n v="34241.800000000003"/>
    <n v="298"/>
    <n v="266"/>
    <n v="1016597"/>
    <n v="1027254"/>
    <m/>
    <m/>
    <m/>
    <m/>
    <m/>
    <m/>
    <m/>
    <m/>
    <n v="0"/>
    <n v="0"/>
    <n v="0"/>
    <n v="0"/>
    <m/>
    <m/>
    <n v="0"/>
    <n v="0"/>
    <m/>
    <m/>
    <n v="82356"/>
    <n v="84327"/>
    <n v="37180"/>
    <n v="36239"/>
    <n v="86973"/>
    <n v="89127"/>
    <n v="206509"/>
    <n v="8604.5416666666661"/>
    <n v="209693"/>
    <n v="8737.2083333333339"/>
    <n v="42491.10833333333"/>
    <n v="42979.008333333339"/>
  </r>
  <r>
    <x v="3"/>
    <s v="Florida Agricultural &amp; Mechanical University "/>
    <s v="Met the criteria for Four-Year 2 in 2015-16 and 2016-17."/>
    <n v="133650"/>
    <x v="2"/>
    <s v="sem"/>
    <m/>
    <m/>
    <m/>
    <n v="102835"/>
    <n v="98945"/>
    <n v="25481"/>
    <n v="25117"/>
    <n v="109153"/>
    <n v="103893"/>
    <n v="237469"/>
    <n v="7915.6333333333332"/>
    <n v="227955"/>
    <n v="7598.5"/>
    <n v="2722"/>
    <n v="2236"/>
    <n v="237469"/>
    <n v="227955"/>
    <m/>
    <m/>
    <m/>
    <m/>
    <m/>
    <m/>
    <m/>
    <m/>
    <n v="0"/>
    <n v="0"/>
    <n v="0"/>
    <n v="0"/>
    <m/>
    <m/>
    <n v="0"/>
    <n v="0"/>
    <m/>
    <m/>
    <n v="17422"/>
    <n v="17879"/>
    <n v="7155"/>
    <n v="7672"/>
    <n v="18931"/>
    <n v="20017"/>
    <n v="43508"/>
    <n v="1812.8333333333333"/>
    <n v="45568"/>
    <n v="1898.6666666666667"/>
    <n v="9728.4666666666672"/>
    <n v="9497.1666666666661"/>
  </r>
  <r>
    <x v="3"/>
    <s v="University of North Florida"/>
    <m/>
    <n v="136172"/>
    <x v="2"/>
    <s v="sem"/>
    <m/>
    <m/>
    <m/>
    <n v="152285"/>
    <n v="147554"/>
    <n v="53345"/>
    <n v="54291"/>
    <n v="158874"/>
    <n v="163215"/>
    <n v="364504"/>
    <n v="12150.133333333333"/>
    <n v="365060"/>
    <n v="12168.666666666666"/>
    <n v="133"/>
    <n v="138"/>
    <n v="364504"/>
    <n v="365060"/>
    <m/>
    <m/>
    <m/>
    <m/>
    <m/>
    <m/>
    <m/>
    <m/>
    <n v="0"/>
    <n v="0"/>
    <n v="0"/>
    <n v="0"/>
    <m/>
    <m/>
    <n v="0"/>
    <n v="0"/>
    <m/>
    <m/>
    <n v="12219"/>
    <n v="12781"/>
    <n v="7311"/>
    <n v="7629"/>
    <n v="13671"/>
    <n v="14395"/>
    <n v="33201"/>
    <n v="1383.375"/>
    <n v="34805"/>
    <n v="1450.2083333333333"/>
    <n v="13533.508333333333"/>
    <n v="13618.875"/>
  </r>
  <r>
    <x v="3"/>
    <s v="University of West Florida"/>
    <m/>
    <n v="138354"/>
    <x v="2"/>
    <s v="sem"/>
    <m/>
    <m/>
    <m/>
    <n v="106681"/>
    <n v="107283"/>
    <n v="34065"/>
    <n v="36410"/>
    <n v="114385"/>
    <n v="113066"/>
    <n v="255131"/>
    <n v="8504.3666666666668"/>
    <n v="256759"/>
    <n v="8558.6333333333332"/>
    <n v="959"/>
    <n v="1129"/>
    <n v="255131"/>
    <n v="256759"/>
    <m/>
    <m/>
    <m/>
    <m/>
    <m/>
    <m/>
    <m/>
    <m/>
    <n v="0"/>
    <n v="0"/>
    <n v="0"/>
    <n v="0"/>
    <m/>
    <m/>
    <n v="0"/>
    <n v="0"/>
    <m/>
    <m/>
    <n v="14054"/>
    <n v="17085"/>
    <n v="9510.5"/>
    <n v="11295"/>
    <n v="14854.5"/>
    <n v="16464"/>
    <n v="38419"/>
    <n v="1600.7916666666667"/>
    <n v="44844"/>
    <n v="1868.5"/>
    <n v="10105.158333333333"/>
    <n v="10427.133333333333"/>
  </r>
  <r>
    <x v="3"/>
    <s v="Florida Gulf Coast University"/>
    <m/>
    <n v="433660"/>
    <x v="3"/>
    <s v="sem"/>
    <m/>
    <m/>
    <m/>
    <n v="149831"/>
    <n v="152756"/>
    <n v="33283"/>
    <n v="34092"/>
    <n v="165828"/>
    <n v="167621"/>
    <n v="348942"/>
    <n v="11631.4"/>
    <n v="354469"/>
    <n v="11815.633333333333"/>
    <n v="520"/>
    <n v="1424"/>
    <n v="348942"/>
    <n v="354469"/>
    <m/>
    <m/>
    <m/>
    <m/>
    <m/>
    <m/>
    <m/>
    <m/>
    <n v="0"/>
    <n v="0"/>
    <n v="0"/>
    <n v="0"/>
    <m/>
    <m/>
    <n v="0"/>
    <n v="0"/>
    <m/>
    <m/>
    <n v="7821"/>
    <n v="7733"/>
    <n v="4069"/>
    <n v="3959"/>
    <n v="7922"/>
    <n v="8207"/>
    <n v="19812"/>
    <n v="825.5"/>
    <n v="19899"/>
    <n v="829.125"/>
    <n v="12456.9"/>
    <n v="12644.758333333333"/>
  </r>
  <r>
    <x v="3"/>
    <s v="New College of Florida"/>
    <m/>
    <n v="262129"/>
    <x v="5"/>
    <s v="sem"/>
    <m/>
    <m/>
    <m/>
    <n v="12800"/>
    <n v="12328"/>
    <m/>
    <m/>
    <n v="16448"/>
    <n v="16280"/>
    <n v="29248"/>
    <n v="974.93333333333328"/>
    <n v="28608"/>
    <n v="953.6"/>
    <m/>
    <m/>
    <n v="0"/>
    <n v="0"/>
    <m/>
    <m/>
    <m/>
    <m/>
    <m/>
    <m/>
    <m/>
    <m/>
    <n v="0"/>
    <n v="0"/>
    <n v="0"/>
    <n v="0"/>
    <m/>
    <m/>
    <n v="0"/>
    <n v="0"/>
    <m/>
    <m/>
    <m/>
    <n v="104"/>
    <m/>
    <m/>
    <m/>
    <n v="147"/>
    <n v="0"/>
    <n v="0"/>
    <n v="251"/>
    <n v="10.458333333333334"/>
    <n v="974.93333333333328"/>
    <n v="964.05833333333339"/>
  </r>
  <r>
    <x v="3"/>
    <s v="Eastern Florida State College"/>
    <s v="Met the criteria for Two-Year with Bachelor's in 2015-16 and 2016-17. "/>
    <n v="132693"/>
    <x v="6"/>
    <s v="sem"/>
    <m/>
    <m/>
    <m/>
    <n v="126412"/>
    <n v="127571"/>
    <n v="42722"/>
    <n v="45475"/>
    <n v="135242"/>
    <n v="135979"/>
    <n v="304376"/>
    <n v="10145.866666666667"/>
    <n v="309025"/>
    <n v="10300.833333333334"/>
    <n v="49607"/>
    <n v="53939"/>
    <n v="304376"/>
    <n v="309025"/>
    <m/>
    <m/>
    <n v="280902"/>
    <n v="162802"/>
    <n v="34806"/>
    <n v="24358"/>
    <n v="157443"/>
    <n v="196745"/>
    <n v="473151"/>
    <n v="525.72333333333336"/>
    <n v="383905"/>
    <n v="426.56111111111113"/>
    <n v="37522"/>
    <n v="33765"/>
    <n v="473151"/>
    <n v="383905"/>
    <m/>
    <m/>
    <m/>
    <m/>
    <m/>
    <m/>
    <m/>
    <m/>
    <n v="0"/>
    <n v="0"/>
    <n v="0"/>
    <n v="0"/>
    <n v="10671.59"/>
    <n v="10727.394444444446"/>
  </r>
  <r>
    <x v="3"/>
    <s v="Broward College "/>
    <m/>
    <n v="132709"/>
    <x v="11"/>
    <s v="sem"/>
    <m/>
    <m/>
    <m/>
    <n v="342870"/>
    <n v="349722"/>
    <n v="165391"/>
    <n v="163882"/>
    <n v="352881"/>
    <n v="366228"/>
    <n v="861142"/>
    <n v="28704.733333333334"/>
    <n v="879832"/>
    <n v="29327.733333333334"/>
    <n v="42346"/>
    <n v="52914"/>
    <n v="861142"/>
    <n v="879832"/>
    <m/>
    <m/>
    <n v="175851"/>
    <n v="176907"/>
    <n v="74492"/>
    <n v="94114"/>
    <n v="164023"/>
    <n v="154892"/>
    <n v="414366"/>
    <n v="460.40666666666669"/>
    <n v="425913"/>
    <n v="473.23666666666668"/>
    <n v="0"/>
    <n v="0"/>
    <n v="414366"/>
    <n v="425913"/>
    <m/>
    <m/>
    <m/>
    <m/>
    <m/>
    <m/>
    <m/>
    <m/>
    <n v="0"/>
    <n v="0"/>
    <n v="0"/>
    <n v="0"/>
    <n v="29165.14"/>
    <n v="29800.97"/>
  </r>
  <r>
    <x v="3"/>
    <s v="College of Central Florida"/>
    <m/>
    <n v="132851"/>
    <x v="11"/>
    <s v="sem"/>
    <m/>
    <m/>
    <m/>
    <n v="71601"/>
    <n v="62253"/>
    <n v="23846"/>
    <n v="22034"/>
    <n v="67274"/>
    <n v="66353"/>
    <n v="162721"/>
    <n v="5424.0333333333338"/>
    <n v="150640"/>
    <n v="5021.333333333333"/>
    <n v="16442"/>
    <n v="18366"/>
    <n v="162721"/>
    <n v="150640"/>
    <m/>
    <m/>
    <n v="68992"/>
    <n v="59005"/>
    <n v="35499"/>
    <n v="45119"/>
    <n v="80553"/>
    <n v="85333"/>
    <n v="185044"/>
    <n v="205.60444444444445"/>
    <n v="189457"/>
    <n v="210.50777777777779"/>
    <n v="5310"/>
    <n v="2700"/>
    <n v="185044"/>
    <n v="189457"/>
    <m/>
    <m/>
    <m/>
    <m/>
    <m/>
    <m/>
    <m/>
    <m/>
    <n v="0"/>
    <n v="0"/>
    <n v="0"/>
    <n v="0"/>
    <n v="5629.637777777778"/>
    <n v="5231.8411111111109"/>
  </r>
  <r>
    <x v="3"/>
    <s v="Chipola College "/>
    <m/>
    <n v="133021"/>
    <x v="11"/>
    <s v="sem"/>
    <m/>
    <m/>
    <m/>
    <n v="16453"/>
    <n v="16465"/>
    <n v="5253"/>
    <n v="5061"/>
    <n v="18483"/>
    <n v="19177"/>
    <n v="40189"/>
    <n v="1339.6333333333334"/>
    <n v="40703"/>
    <n v="1356.7666666666667"/>
    <n v="6225"/>
    <n v="6878"/>
    <n v="40189"/>
    <n v="40703"/>
    <m/>
    <m/>
    <n v="39717"/>
    <n v="39706"/>
    <n v="17334"/>
    <n v="20996"/>
    <n v="38961"/>
    <n v="63495"/>
    <n v="96012"/>
    <n v="106.68"/>
    <n v="124197"/>
    <n v="137.99666666666667"/>
    <n v="240"/>
    <n v="2610"/>
    <n v="96012"/>
    <n v="124197"/>
    <m/>
    <m/>
    <m/>
    <m/>
    <m/>
    <m/>
    <m/>
    <m/>
    <n v="0"/>
    <n v="0"/>
    <n v="0"/>
    <n v="0"/>
    <n v="1446.3133333333335"/>
    <n v="1494.7633333333333"/>
  </r>
  <r>
    <x v="3"/>
    <s v="Daytona State College "/>
    <m/>
    <n v="133386"/>
    <x v="11"/>
    <s v="sem"/>
    <m/>
    <m/>
    <m/>
    <n v="119818"/>
    <n v="122735"/>
    <n v="43624"/>
    <n v="41058"/>
    <n v="131403"/>
    <n v="122709"/>
    <n v="294845"/>
    <n v="9828.1666666666661"/>
    <n v="286502"/>
    <n v="9550.0666666666675"/>
    <n v="30118"/>
    <n v="30017"/>
    <n v="294845"/>
    <n v="286502"/>
    <m/>
    <m/>
    <n v="803574"/>
    <n v="663966"/>
    <n v="371776"/>
    <n v="333222"/>
    <n v="669019"/>
    <n v="776898"/>
    <n v="1844369"/>
    <n v="2049.298888888889"/>
    <n v="1774086"/>
    <n v="1971.2066666666667"/>
    <n v="510"/>
    <n v="2298"/>
    <n v="1844369"/>
    <n v="1774086"/>
    <m/>
    <m/>
    <m/>
    <m/>
    <m/>
    <m/>
    <m/>
    <m/>
    <n v="0"/>
    <n v="0"/>
    <n v="0"/>
    <n v="0"/>
    <n v="11877.465555555555"/>
    <n v="11521.273333333334"/>
  </r>
  <r>
    <x v="3"/>
    <s v="Florida SouthWestern State College"/>
    <m/>
    <n v="133508"/>
    <x v="11"/>
    <s v="sem"/>
    <m/>
    <m/>
    <m/>
    <n v="124821"/>
    <n v="129379"/>
    <n v="43376"/>
    <n v="41929"/>
    <n v="138212"/>
    <n v="145982"/>
    <n v="306409"/>
    <n v="10213.633333333333"/>
    <n v="317290"/>
    <n v="10576.333333333334"/>
    <n v="38559"/>
    <n v="42640"/>
    <n v="306409"/>
    <n v="317290"/>
    <m/>
    <m/>
    <n v="3570"/>
    <n v="7357"/>
    <n v="7380"/>
    <n v="12030"/>
    <n v="3600"/>
    <n v="8648"/>
    <n v="14550"/>
    <n v="16.166666666666668"/>
    <n v="28035"/>
    <n v="31.15"/>
    <n v="0"/>
    <n v="0"/>
    <n v="14550"/>
    <n v="28035"/>
    <m/>
    <m/>
    <m/>
    <m/>
    <m/>
    <m/>
    <m/>
    <m/>
    <n v="0"/>
    <n v="0"/>
    <n v="0"/>
    <n v="0"/>
    <n v="10229.799999999999"/>
    <n v="10607.483333333334"/>
  </r>
  <r>
    <x v="3"/>
    <s v="Florida State College at Jacksonville"/>
    <m/>
    <n v="133702"/>
    <x v="11"/>
    <s v="sem"/>
    <s v="sem"/>
    <m/>
    <m/>
    <n v="216565"/>
    <n v="209302"/>
    <n v="115792"/>
    <n v="113783"/>
    <n v="214555"/>
    <n v="208427"/>
    <n v="546912"/>
    <n v="18230.400000000001"/>
    <n v="531512"/>
    <n v="17717.066666666666"/>
    <n v="34852"/>
    <n v="33292"/>
    <n v="546912"/>
    <n v="531512"/>
    <m/>
    <m/>
    <n v="636537"/>
    <n v="484178"/>
    <n v="503133"/>
    <n v="374330"/>
    <n v="514381"/>
    <n v="495961"/>
    <n v="1654051"/>
    <n v="1837.8344444444444"/>
    <n v="1354469"/>
    <n v="1504.9655555555555"/>
    <n v="8042"/>
    <n v="3430"/>
    <n v="1654051"/>
    <n v="1354469"/>
    <m/>
    <m/>
    <m/>
    <m/>
    <m/>
    <m/>
    <m/>
    <m/>
    <n v="0"/>
    <n v="0"/>
    <n v="0"/>
    <n v="0"/>
    <n v="20068.234444444446"/>
    <n v="19222.03222222222"/>
  </r>
  <r>
    <x v="3"/>
    <s v="Florida Keys Community College "/>
    <m/>
    <n v="133960"/>
    <x v="8"/>
    <s v="sem"/>
    <s v="sem"/>
    <m/>
    <m/>
    <n v="8179"/>
    <n v="8085"/>
    <n v="2984"/>
    <n v="3000"/>
    <n v="9083"/>
    <n v="8950"/>
    <n v="20246"/>
    <n v="674.86666666666667"/>
    <n v="20035"/>
    <n v="667.83333333333337"/>
    <n v="1296"/>
    <n v="1487"/>
    <n v="20246"/>
    <n v="20035"/>
    <m/>
    <m/>
    <n v="12642"/>
    <n v="17251"/>
    <n v="6406"/>
    <n v="6807"/>
    <n v="15156"/>
    <n v="12634"/>
    <n v="34204"/>
    <n v="38.004444444444445"/>
    <n v="36692"/>
    <n v="40.768888888888888"/>
    <n v="0"/>
    <n v="0"/>
    <n v="34204"/>
    <n v="36692"/>
    <m/>
    <m/>
    <m/>
    <m/>
    <m/>
    <m/>
    <m/>
    <m/>
    <n v="0"/>
    <n v="0"/>
    <n v="0"/>
    <n v="0"/>
    <n v="712.87111111111108"/>
    <n v="708.60222222222228"/>
  </r>
  <r>
    <x v="3"/>
    <s v="Gulf Coast State College "/>
    <m/>
    <n v="134343"/>
    <x v="11"/>
    <s v="sem"/>
    <s v="sem"/>
    <m/>
    <m/>
    <n v="48288"/>
    <n v="46430"/>
    <n v="13709"/>
    <n v="12651"/>
    <n v="50913"/>
    <n v="49269"/>
    <n v="112910"/>
    <n v="3763.6666666666665"/>
    <n v="108350"/>
    <n v="3611.6666666666665"/>
    <n v="13881"/>
    <n v="14769"/>
    <n v="112910"/>
    <n v="108350"/>
    <m/>
    <m/>
    <n v="54022"/>
    <n v="49269"/>
    <n v="39604"/>
    <n v="38099"/>
    <n v="48809"/>
    <n v="34209"/>
    <n v="142435"/>
    <n v="158.26111111111112"/>
    <n v="121577"/>
    <n v="135.08555555555554"/>
    <n v="0"/>
    <n v="0"/>
    <n v="142435"/>
    <n v="121577"/>
    <m/>
    <m/>
    <m/>
    <m/>
    <m/>
    <m/>
    <m/>
    <m/>
    <n v="0"/>
    <n v="0"/>
    <n v="0"/>
    <n v="0"/>
    <n v="3921.9277777777775"/>
    <n v="3746.7522222222219"/>
  </r>
  <r>
    <x v="3"/>
    <s v="Hillsborough Community College "/>
    <m/>
    <n v="134495"/>
    <x v="6"/>
    <s v="sem"/>
    <s v="sem"/>
    <m/>
    <m/>
    <n v="230530"/>
    <n v="224631"/>
    <n v="82496"/>
    <n v="83721"/>
    <n v="238404"/>
    <n v="247826"/>
    <n v="551430"/>
    <n v="18381"/>
    <n v="556178"/>
    <n v="18539.266666666666"/>
    <n v="29835"/>
    <n v="39798"/>
    <n v="551430"/>
    <n v="556178"/>
    <m/>
    <m/>
    <n v="739004"/>
    <n v="817949"/>
    <n v="143088"/>
    <n v="117277"/>
    <n v="807136"/>
    <n v="821432"/>
    <n v="1689228"/>
    <n v="1876.92"/>
    <n v="1756658"/>
    <n v="1951.8422222222223"/>
    <n v="0"/>
    <n v="0"/>
    <n v="1689228"/>
    <n v="1756658"/>
    <m/>
    <m/>
    <m/>
    <m/>
    <m/>
    <m/>
    <m/>
    <m/>
    <n v="0"/>
    <n v="0"/>
    <n v="0"/>
    <n v="0"/>
    <n v="20257.919999999998"/>
    <n v="20491.108888888888"/>
  </r>
  <r>
    <x v="3"/>
    <s v="Indian River State College "/>
    <m/>
    <n v="134608"/>
    <x v="11"/>
    <s v="sem"/>
    <s v="sem"/>
    <m/>
    <m/>
    <n v="132017"/>
    <n v="136046"/>
    <n v="62131"/>
    <n v="67030"/>
    <n v="146582"/>
    <n v="148817"/>
    <n v="340730"/>
    <n v="11357.666666666666"/>
    <n v="351893"/>
    <n v="11729.766666666666"/>
    <n v="55499"/>
    <n v="63818"/>
    <n v="340730"/>
    <n v="351893"/>
    <m/>
    <m/>
    <n v="731271"/>
    <n v="710491"/>
    <n v="541249"/>
    <n v="493248"/>
    <n v="764207"/>
    <n v="737124"/>
    <n v="2036727"/>
    <n v="2263.0300000000002"/>
    <n v="1940863"/>
    <n v="2156.5144444444445"/>
    <n v="19307"/>
    <n v="13725"/>
    <n v="2036727"/>
    <n v="1940863"/>
    <m/>
    <m/>
    <m/>
    <m/>
    <m/>
    <m/>
    <m/>
    <m/>
    <n v="0"/>
    <n v="0"/>
    <n v="0"/>
    <n v="0"/>
    <n v="13620.696666666667"/>
    <n v="13886.281111111111"/>
  </r>
  <r>
    <x v="3"/>
    <s v="Florida Gateway College"/>
    <s v="Reclassified: Met the criteria for Two-Year with Bachelor's in 2014-15, 2015-16, and 2016-17."/>
    <n v="135160"/>
    <x v="11"/>
    <s v="sem"/>
    <s v="sem"/>
    <m/>
    <m/>
    <n v="20165"/>
    <n v="21754"/>
    <n v="8312"/>
    <n v="9160"/>
    <n v="21586"/>
    <n v="24999"/>
    <n v="50063"/>
    <n v="1668.7666666666667"/>
    <n v="55913"/>
    <n v="1863.7666666666667"/>
    <n v="13042"/>
    <n v="15823"/>
    <n v="50063"/>
    <n v="55913"/>
    <m/>
    <m/>
    <n v="81314"/>
    <n v="86352"/>
    <n v="53049"/>
    <n v="49840"/>
    <n v="94578"/>
    <n v="86607"/>
    <n v="228941"/>
    <n v="254.37888888888889"/>
    <n v="222799"/>
    <n v="247.55444444444444"/>
    <n v="12417"/>
    <n v="7255"/>
    <n v="228941"/>
    <n v="222799"/>
    <m/>
    <m/>
    <m/>
    <m/>
    <m/>
    <m/>
    <m/>
    <m/>
    <n v="0"/>
    <n v="0"/>
    <n v="0"/>
    <n v="0"/>
    <n v="1923.1455555555556"/>
    <n v="2111.3211111111109"/>
  </r>
  <r>
    <x v="3"/>
    <s v="Lake-Sumter State College "/>
    <s v="Met the criteria for Two-Year with Bachelor's in 2015-16 and 2016-17."/>
    <n v="135188"/>
    <x v="7"/>
    <s v="sem"/>
    <s v="sem"/>
    <m/>
    <m/>
    <n v="34488"/>
    <n v="34871"/>
    <n v="12581"/>
    <n v="14324"/>
    <n v="38919"/>
    <n v="39082"/>
    <n v="85988"/>
    <n v="2866.2666666666669"/>
    <n v="88277"/>
    <n v="2942.5666666666666"/>
    <n v="9386"/>
    <n v="12476"/>
    <n v="85988"/>
    <n v="88277"/>
    <m/>
    <m/>
    <n v="904"/>
    <n v="903"/>
    <n v="0"/>
    <n v="0"/>
    <n v="634"/>
    <n v="690"/>
    <n v="1538"/>
    <n v="1.7088888888888889"/>
    <n v="1593"/>
    <n v="1.77"/>
    <n v="0"/>
    <n v="0"/>
    <n v="1538"/>
    <n v="1593"/>
    <m/>
    <m/>
    <m/>
    <m/>
    <m/>
    <m/>
    <m/>
    <m/>
    <n v="0"/>
    <n v="0"/>
    <n v="0"/>
    <n v="0"/>
    <n v="2867.9755555555557"/>
    <n v="2944.3366666666666"/>
  </r>
  <r>
    <x v="3"/>
    <s v="State College of Florida, Manatee-Sarasota"/>
    <m/>
    <n v="135391"/>
    <x v="11"/>
    <s v="sem"/>
    <s v="sem"/>
    <m/>
    <m/>
    <n v="94868"/>
    <n v="93091"/>
    <n v="29945"/>
    <n v="28984"/>
    <n v="99308"/>
    <n v="96248"/>
    <n v="224121"/>
    <n v="7470.7"/>
    <n v="218323"/>
    <n v="7277.4333333333334"/>
    <n v="22271"/>
    <n v="23469"/>
    <n v="224121"/>
    <n v="218323"/>
    <m/>
    <m/>
    <n v="0"/>
    <n v="0"/>
    <n v="0"/>
    <n v="0"/>
    <n v="0"/>
    <n v="0"/>
    <n v="0"/>
    <n v="0"/>
    <n v="0"/>
    <n v="0"/>
    <n v="0"/>
    <n v="0"/>
    <n v="0"/>
    <n v="0"/>
    <m/>
    <m/>
    <m/>
    <m/>
    <m/>
    <m/>
    <m/>
    <m/>
    <n v="0"/>
    <n v="0"/>
    <n v="0"/>
    <n v="0"/>
    <n v="7470.7"/>
    <n v="7277.4333333333334"/>
  </r>
  <r>
    <x v="3"/>
    <s v="Miami Dade College "/>
    <m/>
    <n v="135717"/>
    <x v="11"/>
    <s v="sem"/>
    <s v="sem"/>
    <m/>
    <m/>
    <n v="593082"/>
    <n v="562901"/>
    <n v="259832"/>
    <n v="246889"/>
    <n v="603926"/>
    <n v="554330"/>
    <n v="1456840"/>
    <n v="48561.333333333336"/>
    <n v="1364120"/>
    <n v="45470.666666666664"/>
    <n v="42954"/>
    <n v="48267"/>
    <n v="1456840"/>
    <n v="1364120"/>
    <m/>
    <m/>
    <n v="1286127"/>
    <n v="1250559"/>
    <n v="1112401"/>
    <n v="847617"/>
    <n v="1265353"/>
    <n v="925059"/>
    <n v="3663881"/>
    <n v="4070.9788888888888"/>
    <n v="3023235"/>
    <n v="3359.15"/>
    <n v="0"/>
    <n v="0"/>
    <n v="3663881"/>
    <n v="3023235"/>
    <m/>
    <m/>
    <m/>
    <m/>
    <m/>
    <m/>
    <m/>
    <m/>
    <n v="0"/>
    <n v="0"/>
    <n v="0"/>
    <n v="0"/>
    <n v="52632.312222222223"/>
    <n v="48829.816666666666"/>
  </r>
  <r>
    <x v="3"/>
    <s v="North Florida Community College "/>
    <m/>
    <n v="136145"/>
    <x v="8"/>
    <s v="sem"/>
    <s v="sem"/>
    <m/>
    <m/>
    <n v="8579"/>
    <n v="8476"/>
    <n v="3067"/>
    <n v="3269"/>
    <n v="9358"/>
    <n v="9885"/>
    <n v="21004"/>
    <n v="700.13333333333333"/>
    <n v="21630"/>
    <n v="721"/>
    <n v="4984"/>
    <n v="5495"/>
    <n v="21004"/>
    <n v="21630"/>
    <m/>
    <m/>
    <n v="41802"/>
    <n v="43572"/>
    <n v="14160"/>
    <n v="11910"/>
    <n v="50642"/>
    <n v="51718"/>
    <n v="106604"/>
    <n v="118.44888888888889"/>
    <n v="107200"/>
    <n v="119.11111111111111"/>
    <n v="0"/>
    <n v="2400"/>
    <n v="106604"/>
    <n v="107200"/>
    <m/>
    <m/>
    <m/>
    <m/>
    <m/>
    <m/>
    <m/>
    <m/>
    <n v="0"/>
    <n v="0"/>
    <n v="0"/>
    <n v="0"/>
    <n v="818.58222222222219"/>
    <n v="840.11111111111109"/>
  </r>
  <r>
    <x v="3"/>
    <s v="Northwest Florida State College"/>
    <m/>
    <n v="136233"/>
    <x v="11"/>
    <s v="sem"/>
    <s v="sem"/>
    <m/>
    <m/>
    <n v="54351"/>
    <n v="45832"/>
    <n v="22853"/>
    <n v="18001"/>
    <n v="50987"/>
    <n v="49722"/>
    <n v="128191"/>
    <n v="4273.0333333333338"/>
    <n v="113555"/>
    <n v="3785.1666666666665"/>
    <n v="12354"/>
    <n v="13710"/>
    <n v="128191"/>
    <n v="113555"/>
    <m/>
    <m/>
    <n v="135077"/>
    <n v="111931"/>
    <n v="51528"/>
    <n v="52120"/>
    <n v="117697"/>
    <n v="126278"/>
    <n v="304302"/>
    <n v="338.11333333333334"/>
    <n v="290329"/>
    <n v="322.58777777777777"/>
    <n v="0"/>
    <n v="0"/>
    <n v="304302"/>
    <n v="290329"/>
    <m/>
    <m/>
    <m/>
    <m/>
    <m/>
    <m/>
    <m/>
    <m/>
    <n v="0"/>
    <n v="0"/>
    <n v="0"/>
    <n v="0"/>
    <n v="4611.1466666666674"/>
    <n v="4107.7544444444447"/>
  </r>
  <r>
    <x v="3"/>
    <s v="Palm Beach State College "/>
    <m/>
    <n v="136358"/>
    <x v="11"/>
    <s v="sem"/>
    <s v="sem"/>
    <m/>
    <m/>
    <n v="222195"/>
    <n v="221542"/>
    <n v="95699"/>
    <n v="100718"/>
    <n v="241752"/>
    <n v="246902"/>
    <n v="559646"/>
    <n v="18654.866666666665"/>
    <n v="569162"/>
    <n v="18972.066666666666"/>
    <n v="23176"/>
    <n v="26835"/>
    <n v="559646"/>
    <n v="569162"/>
    <m/>
    <m/>
    <n v="516465"/>
    <n v="482049"/>
    <n v="284670"/>
    <n v="292192"/>
    <n v="526949"/>
    <n v="535953"/>
    <n v="1328084"/>
    <n v="1475.6488888888889"/>
    <n v="1310194"/>
    <n v="1455.7711111111112"/>
    <n v="0"/>
    <n v="0"/>
    <n v="1328084"/>
    <n v="1310194"/>
    <m/>
    <m/>
    <m/>
    <m/>
    <m/>
    <m/>
    <m/>
    <m/>
    <n v="0"/>
    <n v="0"/>
    <n v="0"/>
    <n v="0"/>
    <n v="20130.515555555554"/>
    <n v="20427.837777777779"/>
  </r>
  <r>
    <x v="3"/>
    <s v="Pasco-Hernando State College "/>
    <s v="Met the criteria for Two-Year with Bachelor's in 2016-17. "/>
    <n v="136400"/>
    <x v="6"/>
    <s v="sem"/>
    <s v="sem"/>
    <m/>
    <m/>
    <n v="93520"/>
    <n v="92755"/>
    <n v="28196"/>
    <n v="26685"/>
    <n v="100624"/>
    <n v="103201"/>
    <n v="222340"/>
    <n v="7411.333333333333"/>
    <n v="222641"/>
    <n v="7421.3666666666668"/>
    <n v="23423"/>
    <n v="27159"/>
    <n v="222340"/>
    <n v="222641"/>
    <m/>
    <m/>
    <n v="167173"/>
    <n v="150402"/>
    <n v="80330"/>
    <n v="78662"/>
    <n v="132546"/>
    <n v="120235"/>
    <n v="380049"/>
    <n v="422.27666666666664"/>
    <n v="349299"/>
    <n v="388.11"/>
    <n v="445"/>
    <n v="1420"/>
    <n v="380049"/>
    <n v="349299"/>
    <m/>
    <m/>
    <m/>
    <m/>
    <m/>
    <m/>
    <m/>
    <m/>
    <n v="0"/>
    <n v="0"/>
    <n v="0"/>
    <n v="0"/>
    <n v="7833.61"/>
    <n v="7809.4766666666665"/>
  </r>
  <r>
    <x v="3"/>
    <s v="Pensacola State College "/>
    <m/>
    <n v="136473"/>
    <x v="11"/>
    <s v="sem"/>
    <s v="sem"/>
    <m/>
    <m/>
    <n v="81860"/>
    <n v="75512"/>
    <n v="30511"/>
    <n v="28915"/>
    <n v="81997"/>
    <n v="82479"/>
    <n v="194368"/>
    <n v="6478.9333333333334"/>
    <n v="186906"/>
    <n v="6230.2"/>
    <n v="22935"/>
    <n v="21343"/>
    <n v="194368"/>
    <n v="186906"/>
    <m/>
    <m/>
    <n v="297005"/>
    <n v="279154"/>
    <n v="156156"/>
    <n v="146526"/>
    <n v="286915"/>
    <n v="269181"/>
    <n v="740076"/>
    <n v="822.30666666666662"/>
    <n v="694861"/>
    <n v="772.06777777777779"/>
    <n v="0"/>
    <n v="0"/>
    <n v="740076"/>
    <n v="694861"/>
    <m/>
    <m/>
    <m/>
    <m/>
    <m/>
    <m/>
    <m/>
    <m/>
    <n v="0"/>
    <n v="0"/>
    <n v="0"/>
    <n v="0"/>
    <n v="7301.24"/>
    <n v="7002.2677777777772"/>
  </r>
  <r>
    <x v="3"/>
    <s v="Polk State College "/>
    <m/>
    <n v="136516"/>
    <x v="11"/>
    <s v="sem"/>
    <s v="sem"/>
    <m/>
    <m/>
    <n v="91347"/>
    <n v="88627"/>
    <n v="31414"/>
    <n v="31844"/>
    <n v="93794"/>
    <n v="95490"/>
    <n v="216555"/>
    <n v="7218.5"/>
    <n v="215961"/>
    <n v="7198.7"/>
    <n v="34600"/>
    <n v="39153"/>
    <n v="216555"/>
    <n v="215961"/>
    <m/>
    <m/>
    <n v="33882"/>
    <n v="28172"/>
    <n v="22002"/>
    <n v="23185"/>
    <n v="26050"/>
    <n v="24550"/>
    <n v="81934"/>
    <n v="91.037777777777777"/>
    <n v="75907"/>
    <n v="84.341111111111104"/>
    <n v="0"/>
    <n v="0"/>
    <n v="81934"/>
    <n v="75907"/>
    <m/>
    <m/>
    <m/>
    <m/>
    <m/>
    <m/>
    <m/>
    <m/>
    <n v="0"/>
    <n v="0"/>
    <n v="0"/>
    <n v="0"/>
    <n v="7309.5377777777776"/>
    <n v="7283.0411111111107"/>
  </r>
  <r>
    <x v="3"/>
    <s v="St. Johns River State College "/>
    <m/>
    <n v="137281"/>
    <x v="11"/>
    <s v="sem"/>
    <s v="sem"/>
    <m/>
    <m/>
    <n v="55459"/>
    <n v="52369"/>
    <n v="20424"/>
    <n v="18816"/>
    <n v="58232"/>
    <n v="57892"/>
    <n v="134115"/>
    <n v="4470.5"/>
    <n v="129077"/>
    <n v="4302.5666666666666"/>
    <n v="22539"/>
    <n v="23858"/>
    <n v="134115"/>
    <n v="129077"/>
    <m/>
    <m/>
    <n v="80088"/>
    <n v="50254"/>
    <n v="38340"/>
    <n v="18463"/>
    <n v="75728"/>
    <n v="68827"/>
    <n v="194156"/>
    <n v="215.72888888888889"/>
    <n v="137544"/>
    <n v="152.82666666666665"/>
    <n v="0"/>
    <n v="0"/>
    <n v="194156"/>
    <n v="137544"/>
    <m/>
    <m/>
    <m/>
    <m/>
    <m/>
    <m/>
    <m/>
    <m/>
    <n v="0"/>
    <n v="0"/>
    <n v="0"/>
    <n v="0"/>
    <n v="4686.2288888888888"/>
    <n v="4455.3933333333334"/>
  </r>
  <r>
    <x v="3"/>
    <s v="St. Petersburg College "/>
    <m/>
    <n v="137078"/>
    <x v="11"/>
    <s v="sem"/>
    <s v="sem"/>
    <m/>
    <m/>
    <n v="259243"/>
    <n v="249392"/>
    <n v="87666"/>
    <n v="82359"/>
    <n v="263336"/>
    <n v="250952"/>
    <n v="610245"/>
    <n v="20341.5"/>
    <n v="582703"/>
    <n v="19423.433333333334"/>
    <n v="37922"/>
    <n v="38562"/>
    <n v="610245"/>
    <n v="582703"/>
    <m/>
    <m/>
    <n v="63812"/>
    <n v="60214"/>
    <n v="27956"/>
    <n v="22533"/>
    <n v="50394"/>
    <n v="54526"/>
    <n v="142162"/>
    <n v="157.95777777777778"/>
    <n v="137273"/>
    <n v="152.52555555555554"/>
    <n v="0"/>
    <n v="0"/>
    <n v="142162"/>
    <n v="137273"/>
    <m/>
    <m/>
    <m/>
    <m/>
    <m/>
    <m/>
    <m/>
    <m/>
    <n v="0"/>
    <n v="0"/>
    <n v="0"/>
    <n v="0"/>
    <n v="20499.457777777778"/>
    <n v="19575.95888888889"/>
  </r>
  <r>
    <x v="3"/>
    <s v="Santa Fe College "/>
    <m/>
    <n v="137096"/>
    <x v="11"/>
    <s v="sem"/>
    <s v="sem"/>
    <m/>
    <m/>
    <n v="124028"/>
    <n v="121830"/>
    <n v="53581"/>
    <n v="53205"/>
    <n v="135101"/>
    <n v="140792"/>
    <n v="312710"/>
    <n v="10423.666666666666"/>
    <n v="315827"/>
    <n v="10527.566666666668"/>
    <n v="15516"/>
    <n v="17359"/>
    <n v="312710"/>
    <n v="315827"/>
    <m/>
    <m/>
    <n v="199512"/>
    <n v="242126"/>
    <n v="142883"/>
    <n v="160119"/>
    <n v="267081"/>
    <n v="292227"/>
    <n v="609476"/>
    <n v="677.19555555555553"/>
    <n v="694472"/>
    <n v="771.63555555555558"/>
    <n v="3666"/>
    <n v="2397"/>
    <n v="609476"/>
    <n v="694472"/>
    <m/>
    <m/>
    <m/>
    <m/>
    <m/>
    <m/>
    <m/>
    <m/>
    <n v="0"/>
    <n v="0"/>
    <n v="0"/>
    <n v="0"/>
    <n v="11100.862222222222"/>
    <n v="11299.202222222222"/>
  </r>
  <r>
    <x v="3"/>
    <s v="Seminole State College of Florida"/>
    <m/>
    <n v="137209"/>
    <x v="11"/>
    <s v="sem"/>
    <s v="sem"/>
    <m/>
    <m/>
    <n v="140599"/>
    <n v="131385"/>
    <n v="57678"/>
    <n v="57148"/>
    <n v="147834"/>
    <n v="147005"/>
    <n v="346111"/>
    <n v="11537.033333333333"/>
    <n v="335538"/>
    <n v="11184.6"/>
    <n v="10613"/>
    <n v="12078"/>
    <n v="346111"/>
    <n v="335538"/>
    <m/>
    <m/>
    <n v="459501"/>
    <n v="445639"/>
    <n v="284434"/>
    <n v="300569"/>
    <n v="476727"/>
    <n v="514222"/>
    <n v="1220662"/>
    <n v="1356.2911111111111"/>
    <n v="1260430"/>
    <n v="1400.4777777777779"/>
    <n v="4013"/>
    <n v="2186"/>
    <n v="1220662"/>
    <n v="1260430"/>
    <m/>
    <m/>
    <m/>
    <m/>
    <m/>
    <m/>
    <m/>
    <m/>
    <n v="0"/>
    <n v="0"/>
    <n v="0"/>
    <n v="0"/>
    <n v="12893.324444444444"/>
    <n v="12585.077777777778"/>
  </r>
  <r>
    <x v="3"/>
    <s v="South Florida State College "/>
    <s v="Met the criteria for Two-Year with Bachelor's in 2015-16 and 2016-17. "/>
    <n v="137315"/>
    <x v="7"/>
    <s v="sem"/>
    <s v="sem"/>
    <m/>
    <m/>
    <n v="19280"/>
    <n v="18541"/>
    <n v="5827"/>
    <n v="5712"/>
    <n v="20766"/>
    <n v="21362"/>
    <n v="45873"/>
    <n v="1529.1"/>
    <n v="45615"/>
    <n v="1520.5"/>
    <n v="5961"/>
    <n v="5998"/>
    <n v="45873"/>
    <n v="45615"/>
    <m/>
    <m/>
    <n v="231671"/>
    <n v="224266"/>
    <n v="104101"/>
    <n v="105524"/>
    <n v="272714"/>
    <n v="264896"/>
    <n v="608486"/>
    <n v="676.09555555555551"/>
    <n v="594686"/>
    <n v="660.76222222222225"/>
    <n v="59870"/>
    <n v="64769"/>
    <n v="608486"/>
    <n v="594686"/>
    <m/>
    <m/>
    <m/>
    <m/>
    <m/>
    <m/>
    <m/>
    <m/>
    <n v="0"/>
    <n v="0"/>
    <n v="0"/>
    <n v="0"/>
    <n v="2205.1955555555555"/>
    <n v="2181.2622222222221"/>
  </r>
  <r>
    <x v="3"/>
    <s v="Tallahassee Community College "/>
    <m/>
    <n v="137759"/>
    <x v="6"/>
    <s v="sem"/>
    <s v="sem"/>
    <m/>
    <m/>
    <n v="108414"/>
    <n v="104580"/>
    <n v="45031"/>
    <n v="44178"/>
    <n v="117184"/>
    <n v="117219"/>
    <n v="270629"/>
    <n v="9020.9666666666672"/>
    <n v="265977"/>
    <n v="8865.9"/>
    <n v="6545"/>
    <n v="7239"/>
    <n v="270629"/>
    <n v="265977"/>
    <m/>
    <m/>
    <n v="134840"/>
    <n v="187126"/>
    <n v="43398"/>
    <n v="38931"/>
    <n v="141124"/>
    <n v="140527"/>
    <n v="319362"/>
    <n v="354.84666666666669"/>
    <n v="366584"/>
    <n v="407.31555555555553"/>
    <n v="0"/>
    <n v="0"/>
    <n v="319362"/>
    <n v="366584"/>
    <m/>
    <m/>
    <m/>
    <m/>
    <m/>
    <m/>
    <m/>
    <m/>
    <n v="0"/>
    <n v="0"/>
    <n v="0"/>
    <n v="0"/>
    <n v="9375.8133333333335"/>
    <n v="9273.2155555555546"/>
  </r>
  <r>
    <x v="3"/>
    <s v="Valencia College "/>
    <m/>
    <n v="138187"/>
    <x v="11"/>
    <s v="sem"/>
    <s v="sem"/>
    <m/>
    <m/>
    <n v="351731"/>
    <n v="353690"/>
    <n v="156432"/>
    <n v="157126"/>
    <n v="386381"/>
    <n v="390091"/>
    <n v="894544"/>
    <n v="29818.133333333335"/>
    <n v="900907"/>
    <n v="30030.233333333334"/>
    <n v="38054"/>
    <n v="45656"/>
    <n v="894544"/>
    <n v="900907"/>
    <m/>
    <m/>
    <n v="125458"/>
    <n v="120522"/>
    <n v="66883"/>
    <n v="60187"/>
    <n v="69339"/>
    <n v="56200"/>
    <n v="261680"/>
    <n v="290.75555555555553"/>
    <n v="236909"/>
    <n v="263.23222222222222"/>
    <n v="0"/>
    <n v="0"/>
    <n v="261680"/>
    <n v="236909"/>
    <m/>
    <m/>
    <m/>
    <m/>
    <m/>
    <m/>
    <m/>
    <m/>
    <n v="0"/>
    <n v="0"/>
    <n v="0"/>
    <n v="0"/>
    <n v="30108.888888888891"/>
    <n v="30293.465555555555"/>
  </r>
  <r>
    <x v="4"/>
    <s v="Georgia State University (for Fall 2016 and the Dual Enrollment column, the credit hours reported are for GSU +GPC)"/>
    <m/>
    <s v="139940"/>
    <x v="0"/>
    <s v="sem"/>
    <m/>
    <m/>
    <m/>
    <n v="289080.5"/>
    <n v="292434"/>
    <n v="67683"/>
    <n v="66299"/>
    <n v="310230.5"/>
    <n v="487186.5"/>
    <n v="666994"/>
    <n v="22233.133333333335"/>
    <n v="845919.5"/>
    <n v="28197.316666666666"/>
    <n v="3088"/>
    <n v="23215"/>
    <n v="666994"/>
    <n v="845919.5"/>
    <m/>
    <m/>
    <m/>
    <m/>
    <m/>
    <m/>
    <m/>
    <m/>
    <n v="0"/>
    <n v="0"/>
    <n v="0"/>
    <n v="0"/>
    <m/>
    <m/>
    <n v="0"/>
    <n v="0"/>
    <m/>
    <m/>
    <n v="88486"/>
    <n v="86395"/>
    <n v="48777"/>
    <n v="47291.5"/>
    <n v="90132"/>
    <n v="92210.5"/>
    <n v="227395"/>
    <n v="9474.7916666666661"/>
    <n v="225897"/>
    <n v="9412.375"/>
    <n v="31707.925000000003"/>
    <n v="37609.691666666666"/>
  </r>
  <r>
    <x v="4"/>
    <s v="University of Georgia"/>
    <m/>
    <s v="139959"/>
    <x v="0"/>
    <s v="sem"/>
    <m/>
    <m/>
    <m/>
    <n v="354588.5"/>
    <n v="358179.6"/>
    <n v="54676"/>
    <n v="62376"/>
    <n v="376144.5"/>
    <n v="382078.8"/>
    <n v="785409"/>
    <n v="26180.3"/>
    <n v="802634.39999999991"/>
    <n v="26754.479999999996"/>
    <n v="512"/>
    <n v="366"/>
    <n v="785409"/>
    <n v="802634.39999999991"/>
    <m/>
    <m/>
    <m/>
    <m/>
    <m/>
    <m/>
    <m/>
    <m/>
    <n v="0"/>
    <n v="0"/>
    <n v="0"/>
    <n v="0"/>
    <m/>
    <m/>
    <n v="0"/>
    <n v="0"/>
    <m/>
    <m/>
    <n v="102207"/>
    <n v="108242.1"/>
    <n v="40915.199999999997"/>
    <n v="43965.1"/>
    <n v="108858"/>
    <n v="109562.6"/>
    <n v="251980.2"/>
    <n v="10499.175000000001"/>
    <n v="261769.80000000002"/>
    <n v="10907.075000000001"/>
    <n v="36679.474999999999"/>
    <n v="37661.554999999993"/>
  </r>
  <r>
    <x v="4"/>
    <s v="Georgia Institute of Technology"/>
    <m/>
    <s v="139755"/>
    <x v="1"/>
    <s v="sem"/>
    <m/>
    <m/>
    <m/>
    <n v="185478.33"/>
    <n v="188965"/>
    <n v="43114"/>
    <n v="42003"/>
    <n v="205026.66"/>
    <n v="206677"/>
    <n v="433618.99"/>
    <n v="14453.966333333334"/>
    <n v="437645"/>
    <n v="14588.166666666666"/>
    <n v="3637"/>
    <n v="3728"/>
    <n v="433618.99"/>
    <n v="437645"/>
    <m/>
    <m/>
    <m/>
    <m/>
    <m/>
    <m/>
    <m/>
    <m/>
    <n v="0"/>
    <n v="0"/>
    <n v="0"/>
    <n v="0"/>
    <m/>
    <m/>
    <n v="0"/>
    <n v="0"/>
    <m/>
    <m/>
    <n v="104184.14"/>
    <n v="108051.5"/>
    <n v="46005"/>
    <n v="47645.5"/>
    <n v="112239"/>
    <n v="122888.5"/>
    <n v="262428.14"/>
    <n v="10934.505833333335"/>
    <n v="278585.5"/>
    <n v="11607.729166666666"/>
    <n v="25388.472166666666"/>
    <n v="26195.895833333332"/>
  </r>
  <r>
    <x v="4"/>
    <s v="Georgia Southern University"/>
    <m/>
    <s v="139931"/>
    <x v="2"/>
    <s v="sem"/>
    <m/>
    <m/>
    <m/>
    <n v="218486"/>
    <n v="218839"/>
    <n v="57466"/>
    <n v="58637.83"/>
    <n v="238084"/>
    <n v="242099.39"/>
    <n v="514036"/>
    <n v="17134.533333333333"/>
    <n v="519576.22000000003"/>
    <n v="17319.207333333336"/>
    <n v="2946"/>
    <n v="3624"/>
    <n v="514036"/>
    <n v="519576.22000000003"/>
    <m/>
    <m/>
    <m/>
    <m/>
    <m/>
    <m/>
    <m/>
    <m/>
    <n v="0"/>
    <n v="0"/>
    <n v="0"/>
    <n v="0"/>
    <m/>
    <m/>
    <n v="0"/>
    <n v="0"/>
    <m/>
    <m/>
    <n v="16110"/>
    <n v="16461"/>
    <n v="10390"/>
    <n v="10716"/>
    <n v="17301"/>
    <n v="19003"/>
    <n v="43801"/>
    <n v="1825.0416666666667"/>
    <n v="46180"/>
    <n v="1924.1666666666667"/>
    <n v="18959.575000000001"/>
    <n v="19243.374000000003"/>
  </r>
  <r>
    <x v="4"/>
    <s v="Kennesaw State University"/>
    <m/>
    <s v="140164"/>
    <x v="2"/>
    <s v="sem"/>
    <m/>
    <m/>
    <m/>
    <n v="338269"/>
    <n v="352073.82"/>
    <n v="78439"/>
    <n v="78832.83"/>
    <n v="371171"/>
    <n v="394911.39"/>
    <n v="787879"/>
    <n v="26262.633333333335"/>
    <n v="825818.04"/>
    <n v="27527.268"/>
    <n v="7853"/>
    <n v="7789"/>
    <n v="787879"/>
    <n v="825818.04"/>
    <m/>
    <m/>
    <m/>
    <m/>
    <m/>
    <m/>
    <m/>
    <m/>
    <n v="0"/>
    <n v="0"/>
    <n v="0"/>
    <n v="0"/>
    <m/>
    <m/>
    <n v="0"/>
    <n v="0"/>
    <m/>
    <m/>
    <n v="19225"/>
    <n v="18069"/>
    <n v="12942"/>
    <n v="11852"/>
    <n v="19794"/>
    <n v="19598"/>
    <n v="51961"/>
    <n v="2165.0416666666665"/>
    <n v="49519"/>
    <n v="2063.2916666666665"/>
    <n v="28427.675000000003"/>
    <n v="29590.559666666668"/>
  </r>
  <r>
    <x v="4"/>
    <s v="University of West Georgia"/>
    <m/>
    <s v="141334"/>
    <x v="2"/>
    <s v="sem"/>
    <m/>
    <m/>
    <m/>
    <n v="122644"/>
    <n v="128292.82"/>
    <n v="24552"/>
    <n v="26774.83"/>
    <n v="139253"/>
    <n v="143926.39000000001"/>
    <n v="286449"/>
    <n v="9548.2999999999993"/>
    <n v="298994.04000000004"/>
    <n v="9966.4680000000008"/>
    <n v="4895"/>
    <n v="7230"/>
    <n v="286449"/>
    <n v="298994.04000000004"/>
    <m/>
    <m/>
    <m/>
    <m/>
    <m/>
    <m/>
    <m/>
    <m/>
    <n v="0"/>
    <n v="0"/>
    <n v="0"/>
    <n v="0"/>
    <m/>
    <m/>
    <n v="0"/>
    <n v="0"/>
    <m/>
    <m/>
    <n v="12574"/>
    <n v="12776"/>
    <n v="8862"/>
    <n v="9791"/>
    <n v="13872"/>
    <n v="13888"/>
    <n v="35308"/>
    <n v="1471.1666666666667"/>
    <n v="36455"/>
    <n v="1518.9583333333333"/>
    <n v="11019.466666666665"/>
    <n v="11485.426333333335"/>
  </r>
  <r>
    <x v="4"/>
    <s v="Valdosta State University "/>
    <m/>
    <s v="141264"/>
    <x v="2"/>
    <s v="sem"/>
    <m/>
    <m/>
    <m/>
    <n v="111907"/>
    <n v="106238.82"/>
    <n v="21211"/>
    <n v="21240.83"/>
    <n v="112712"/>
    <n v="112512.39"/>
    <n v="245830"/>
    <n v="8194.3333333333339"/>
    <n v="239992.04"/>
    <n v="7999.7346666666672"/>
    <n v="529"/>
    <n v="1481"/>
    <n v="245830"/>
    <n v="239992.04"/>
    <m/>
    <m/>
    <m/>
    <m/>
    <m/>
    <m/>
    <m/>
    <m/>
    <n v="0"/>
    <n v="0"/>
    <n v="0"/>
    <n v="0"/>
    <m/>
    <m/>
    <n v="0"/>
    <n v="0"/>
    <m/>
    <m/>
    <n v="15128"/>
    <n v="17160"/>
    <n v="11346"/>
    <n v="12492"/>
    <n v="17197"/>
    <n v="17419"/>
    <n v="43671"/>
    <n v="1819.625"/>
    <n v="47071"/>
    <n v="1961.2916666666667"/>
    <n v="10013.958333333334"/>
    <n v="9961.0263333333332"/>
  </r>
  <r>
    <x v="4"/>
    <s v="Albany State University "/>
    <m/>
    <s v="138716"/>
    <x v="3"/>
    <s v="sem"/>
    <m/>
    <m/>
    <m/>
    <n v="39934"/>
    <n v="34832.82"/>
    <n v="6486"/>
    <n v="5205.83"/>
    <n v="39613"/>
    <n v="34169.39"/>
    <n v="86033"/>
    <n v="2867.7666666666669"/>
    <n v="74208.040000000008"/>
    <n v="2473.6013333333335"/>
    <n v="527"/>
    <n v="435"/>
    <n v="86033"/>
    <n v="74208.040000000008"/>
    <m/>
    <m/>
    <m/>
    <m/>
    <m/>
    <m/>
    <m/>
    <m/>
    <n v="0"/>
    <n v="0"/>
    <n v="0"/>
    <n v="0"/>
    <m/>
    <m/>
    <n v="0"/>
    <n v="0"/>
    <m/>
    <m/>
    <n v="3658"/>
    <n v="3223"/>
    <n v="1640"/>
    <n v="1877"/>
    <n v="3470"/>
    <n v="3369"/>
    <n v="8768"/>
    <n v="365.33333333333331"/>
    <n v="8469"/>
    <n v="352.875"/>
    <n v="3233.1000000000004"/>
    <n v="2826.4763333333335"/>
  </r>
  <r>
    <x v="4"/>
    <s v="Armstrong State University"/>
    <m/>
    <s v="138789"/>
    <x v="3"/>
    <s v="sem"/>
    <m/>
    <m/>
    <m/>
    <n v="71814"/>
    <n v="71785"/>
    <n v="16602"/>
    <n v="16976"/>
    <n v="77062"/>
    <n v="77381"/>
    <n v="165478"/>
    <n v="5515.9333333333334"/>
    <n v="166142"/>
    <n v="5538.0666666666666"/>
    <n v="843"/>
    <n v="1387"/>
    <n v="165478"/>
    <n v="166142"/>
    <m/>
    <m/>
    <m/>
    <m/>
    <m/>
    <m/>
    <m/>
    <m/>
    <n v="0"/>
    <n v="0"/>
    <n v="0"/>
    <n v="0"/>
    <m/>
    <m/>
    <n v="0"/>
    <n v="0"/>
    <m/>
    <m/>
    <n v="5628"/>
    <n v="6049"/>
    <n v="3519"/>
    <n v="3703"/>
    <n v="6075"/>
    <n v="5946"/>
    <n v="15222"/>
    <n v="634.25"/>
    <n v="15698"/>
    <n v="654.08333333333337"/>
    <n v="6150.1833333333334"/>
    <n v="6192.15"/>
  </r>
  <r>
    <x v="4"/>
    <s v="Clayton State University"/>
    <m/>
    <s v="139311"/>
    <x v="3"/>
    <s v="sem"/>
    <m/>
    <m/>
    <m/>
    <n v="67632"/>
    <n v="66334.820000000007"/>
    <n v="16106"/>
    <n v="18411.830000000002"/>
    <n v="70234"/>
    <n v="70150.39"/>
    <n v="153972"/>
    <n v="5132.3999999999996"/>
    <n v="154897.04"/>
    <n v="5163.2346666666672"/>
    <n v="8272"/>
    <n v="10825"/>
    <n v="153972"/>
    <n v="154897.04"/>
    <m/>
    <m/>
    <m/>
    <m/>
    <m/>
    <m/>
    <m/>
    <m/>
    <n v="0"/>
    <n v="0"/>
    <n v="0"/>
    <n v="0"/>
    <m/>
    <m/>
    <n v="0"/>
    <n v="0"/>
    <m/>
    <m/>
    <n v="2927"/>
    <n v="3027"/>
    <n v="1544"/>
    <n v="1822"/>
    <n v="2808"/>
    <n v="3139"/>
    <n v="7279"/>
    <n v="303.29166666666669"/>
    <n v="7988"/>
    <n v="332.83333333333331"/>
    <n v="5435.6916666666666"/>
    <n v="5496.0680000000002"/>
  </r>
  <r>
    <x v="4"/>
    <s v="Columbus State University"/>
    <m/>
    <s v="139366"/>
    <x v="3"/>
    <s v="sem"/>
    <m/>
    <m/>
    <m/>
    <n v="78134"/>
    <n v="78482.820000000007"/>
    <n v="17339"/>
    <n v="15623.83"/>
    <n v="83882"/>
    <n v="81974.39"/>
    <n v="179355"/>
    <n v="5978.5"/>
    <n v="176081.04"/>
    <n v="5869.3680000000004"/>
    <n v="2413"/>
    <n v="3025"/>
    <n v="179355"/>
    <n v="176081.04"/>
    <m/>
    <m/>
    <m/>
    <m/>
    <m/>
    <m/>
    <m/>
    <m/>
    <n v="0"/>
    <n v="0"/>
    <n v="0"/>
    <n v="0"/>
    <m/>
    <m/>
    <n v="0"/>
    <n v="0"/>
    <m/>
    <m/>
    <n v="9151"/>
    <n v="10712"/>
    <n v="5327"/>
    <n v="5759"/>
    <n v="10184"/>
    <n v="11116"/>
    <n v="24662"/>
    <n v="1027.5833333333333"/>
    <n v="27587"/>
    <n v="1149.4583333333333"/>
    <n v="7006.083333333333"/>
    <n v="7018.8263333333334"/>
  </r>
  <r>
    <x v="4"/>
    <s v="Fort Valley State University"/>
    <m/>
    <s v="139719"/>
    <x v="3"/>
    <s v="sem"/>
    <m/>
    <m/>
    <m/>
    <n v="28532"/>
    <n v="28650.82"/>
    <n v="5295"/>
    <n v="5095.83"/>
    <n v="30970"/>
    <n v="30541.39"/>
    <n v="64797"/>
    <n v="2159.9"/>
    <n v="64288.04"/>
    <n v="2142.9346666666665"/>
    <n v="461"/>
    <n v="443"/>
    <n v="64797"/>
    <n v="64288.04"/>
    <m/>
    <m/>
    <m/>
    <m/>
    <m/>
    <m/>
    <m/>
    <m/>
    <n v="0"/>
    <n v="0"/>
    <n v="0"/>
    <n v="0"/>
    <m/>
    <m/>
    <n v="0"/>
    <n v="0"/>
    <m/>
    <m/>
    <n v="2833"/>
    <n v="3013"/>
    <n v="1235"/>
    <n v="1148"/>
    <n v="2909"/>
    <n v="2913"/>
    <n v="6977"/>
    <n v="290.70833333333331"/>
    <n v="7074"/>
    <n v="294.75"/>
    <n v="2450.6083333333336"/>
    <n v="2437.6846666666665"/>
  </r>
  <r>
    <x v="4"/>
    <s v="Georgia College and State University"/>
    <m/>
    <s v="139861"/>
    <x v="3"/>
    <s v="sem"/>
    <m/>
    <m/>
    <m/>
    <n v="78683.5"/>
    <n v="79159"/>
    <n v="16730"/>
    <n v="18109"/>
    <n v="84128.5"/>
    <n v="84340"/>
    <n v="179542"/>
    <n v="5984.7333333333336"/>
    <n v="181608"/>
    <n v="6053.6"/>
    <n v="835"/>
    <n v="1044"/>
    <n v="179542"/>
    <n v="181608"/>
    <m/>
    <m/>
    <m/>
    <m/>
    <m/>
    <m/>
    <m/>
    <m/>
    <n v="0"/>
    <n v="0"/>
    <n v="0"/>
    <n v="0"/>
    <m/>
    <m/>
    <n v="0"/>
    <n v="0"/>
    <m/>
    <m/>
    <n v="6267"/>
    <n v="6336"/>
    <n v="4774"/>
    <n v="4638"/>
    <n v="6594"/>
    <n v="6510"/>
    <n v="17635"/>
    <n v="734.79166666666663"/>
    <n v="17484"/>
    <n v="728.5"/>
    <n v="6719.5250000000005"/>
    <n v="6782.1"/>
  </r>
  <r>
    <x v="4"/>
    <s v="Georgia Regents University"/>
    <m/>
    <s v="482149"/>
    <x v="3"/>
    <s v="sem"/>
    <m/>
    <m/>
    <m/>
    <n v="60688"/>
    <n v="61148"/>
    <n v="10675"/>
    <n v="10573"/>
    <n v="65189"/>
    <n v="67183"/>
    <n v="136552"/>
    <n v="4551.7333333333336"/>
    <n v="138904"/>
    <n v="4630.1333333333332"/>
    <n v="1594"/>
    <n v="2041"/>
    <n v="136552"/>
    <n v="138904"/>
    <m/>
    <m/>
    <m/>
    <m/>
    <m/>
    <m/>
    <m/>
    <m/>
    <n v="0"/>
    <n v="0"/>
    <n v="0"/>
    <n v="0"/>
    <m/>
    <m/>
    <n v="0"/>
    <n v="0"/>
    <m/>
    <m/>
    <n v="14743"/>
    <n v="14620"/>
    <n v="11416"/>
    <n v="11436"/>
    <n v="16856"/>
    <n v="17445"/>
    <n v="43015"/>
    <n v="1792.2916666666667"/>
    <n v="43501"/>
    <n v="1812.5416666666667"/>
    <n v="6344.0250000000005"/>
    <n v="6442.6750000000002"/>
  </r>
  <r>
    <x v="4"/>
    <s v="University of North Georgia"/>
    <m/>
    <n v="482680"/>
    <x v="3"/>
    <s v="sem"/>
    <m/>
    <m/>
    <m/>
    <n v="170466"/>
    <n v="185924.82"/>
    <n v="34179"/>
    <n v="34087.83"/>
    <n v="197268"/>
    <n v="209650.39"/>
    <n v="401913"/>
    <n v="13397.1"/>
    <n v="429663.04000000004"/>
    <n v="14322.101333333334"/>
    <n v="8632"/>
    <n v="12108"/>
    <n v="401913"/>
    <n v="429663.04000000004"/>
    <m/>
    <m/>
    <m/>
    <m/>
    <m/>
    <m/>
    <m/>
    <m/>
    <n v="0"/>
    <n v="0"/>
    <n v="0"/>
    <n v="0"/>
    <m/>
    <m/>
    <n v="0"/>
    <n v="0"/>
    <m/>
    <m/>
    <n v="4196"/>
    <n v="3861"/>
    <n v="3053"/>
    <n v="2842"/>
    <n v="3777"/>
    <n v="3880"/>
    <n v="11026"/>
    <n v="459.41666666666669"/>
    <n v="10583"/>
    <n v="440.95833333333331"/>
    <n v="13856.516666666666"/>
    <n v="14763.059666666668"/>
  </r>
  <r>
    <x v="4"/>
    <s v="Georgia Southwestern State University"/>
    <s v="Met the criteria for Four-Year 4 in 2015-16 and 2016-17."/>
    <s v="139764"/>
    <x v="4"/>
    <s v="sem"/>
    <m/>
    <m/>
    <m/>
    <n v="26530"/>
    <n v="25996.82"/>
    <n v="7816"/>
    <n v="7862.83"/>
    <n v="28529"/>
    <n v="30157.39"/>
    <n v="62875"/>
    <n v="2095.8333333333335"/>
    <n v="64017.04"/>
    <n v="2133.9013333333332"/>
    <n v="706"/>
    <n v="1254"/>
    <n v="62875"/>
    <n v="64017.04"/>
    <m/>
    <m/>
    <m/>
    <m/>
    <m/>
    <m/>
    <m/>
    <m/>
    <n v="0"/>
    <n v="0"/>
    <n v="0"/>
    <n v="0"/>
    <m/>
    <m/>
    <n v="0"/>
    <n v="0"/>
    <m/>
    <m/>
    <n v="789"/>
    <n v="2229"/>
    <n v="2436"/>
    <n v="3541"/>
    <n v="2529"/>
    <n v="2952"/>
    <n v="5754"/>
    <n v="239.75"/>
    <n v="8722"/>
    <n v="363.41666666666669"/>
    <n v="2335.5833333333335"/>
    <n v="2497.3179999999998"/>
  </r>
  <r>
    <x v="4"/>
    <s v="Savannah State University"/>
    <m/>
    <s v="140960"/>
    <x v="4"/>
    <s v="sem"/>
    <m/>
    <m/>
    <m/>
    <n v="58201"/>
    <n v="58230.82"/>
    <n v="6851"/>
    <n v="6494.83"/>
    <n v="63250"/>
    <n v="65625.39"/>
    <n v="128302"/>
    <n v="4276.7333333333336"/>
    <n v="130351.04000000001"/>
    <n v="4345.0346666666674"/>
    <n v="1299"/>
    <n v="1708"/>
    <n v="128302"/>
    <n v="130351.04000000001"/>
    <m/>
    <m/>
    <m/>
    <m/>
    <m/>
    <m/>
    <m/>
    <m/>
    <n v="0"/>
    <n v="0"/>
    <n v="0"/>
    <n v="0"/>
    <m/>
    <m/>
    <n v="0"/>
    <n v="0"/>
    <m/>
    <m/>
    <n v="1682"/>
    <n v="1559"/>
    <n v="366"/>
    <n v="387"/>
    <n v="1641"/>
    <n v="1873"/>
    <n v="3689"/>
    <n v="153.70833333333334"/>
    <n v="3819"/>
    <n v="159.125"/>
    <n v="4430.4416666666666"/>
    <n v="4504.1596666666674"/>
  </r>
  <r>
    <x v="4"/>
    <s v="Dalton State College "/>
    <m/>
    <s v="139463"/>
    <x v="5"/>
    <s v="sem"/>
    <m/>
    <m/>
    <m/>
    <n v="49654"/>
    <n v="51502.82"/>
    <n v="9428"/>
    <n v="10130.83"/>
    <n v="57481"/>
    <n v="58847.39"/>
    <n v="116563"/>
    <n v="3885.4333333333334"/>
    <n v="120481.04000000001"/>
    <n v="4016.0346666666669"/>
    <n v="3119"/>
    <n v="5287"/>
    <n v="116563"/>
    <n v="120481.04000000001"/>
    <m/>
    <m/>
    <m/>
    <m/>
    <m/>
    <m/>
    <m/>
    <m/>
    <n v="0"/>
    <n v="0"/>
    <n v="0"/>
    <n v="0"/>
    <m/>
    <m/>
    <n v="0"/>
    <n v="0"/>
    <m/>
    <m/>
    <m/>
    <m/>
    <m/>
    <m/>
    <m/>
    <n v="0"/>
    <n v="0"/>
    <n v="0"/>
    <n v="0"/>
    <n v="0"/>
    <n v="3885.4333333333334"/>
    <n v="4016.0346666666669"/>
  </r>
  <r>
    <x v="4"/>
    <s v="Georgia Gwinnett College"/>
    <m/>
    <s v="447689"/>
    <x v="5"/>
    <s v="sem"/>
    <m/>
    <m/>
    <m/>
    <n v="125461"/>
    <n v="129621.82"/>
    <n v="22310"/>
    <n v="23936.83"/>
    <n v="133658"/>
    <n v="140009.39000000001"/>
    <n v="281429"/>
    <n v="9380.9666666666672"/>
    <n v="293568.04000000004"/>
    <n v="9785.601333333334"/>
    <n v="6465"/>
    <n v="7349"/>
    <n v="281429"/>
    <n v="293568.04000000004"/>
    <m/>
    <m/>
    <m/>
    <m/>
    <m/>
    <m/>
    <m/>
    <m/>
    <n v="0"/>
    <n v="0"/>
    <n v="0"/>
    <n v="0"/>
    <m/>
    <m/>
    <n v="0"/>
    <n v="0"/>
    <m/>
    <m/>
    <m/>
    <m/>
    <m/>
    <m/>
    <m/>
    <n v="0"/>
    <n v="0"/>
    <n v="0"/>
    <n v="0"/>
    <n v="0"/>
    <n v="9380.9666666666672"/>
    <n v="9785.601333333334"/>
  </r>
  <r>
    <x v="4"/>
    <s v="Middle Georgia State College"/>
    <m/>
    <n v="482158"/>
    <x v="5"/>
    <s v="sem"/>
    <m/>
    <m/>
    <m/>
    <n v="78770"/>
    <n v="80078.820000000007"/>
    <n v="19627"/>
    <n v="19293.830000000002"/>
    <n v="84658"/>
    <n v="83925.39"/>
    <n v="183055"/>
    <n v="6101.833333333333"/>
    <n v="183298.04"/>
    <n v="6109.934666666667"/>
    <n v="5156"/>
    <n v="6736"/>
    <n v="183055"/>
    <n v="183298.04"/>
    <m/>
    <m/>
    <m/>
    <m/>
    <m/>
    <m/>
    <m/>
    <m/>
    <n v="0"/>
    <n v="0"/>
    <n v="0"/>
    <n v="0"/>
    <m/>
    <m/>
    <n v="0"/>
    <n v="0"/>
    <m/>
    <m/>
    <m/>
    <n v="405"/>
    <m/>
    <n v="240"/>
    <m/>
    <n v="558"/>
    <n v="0"/>
    <n v="0"/>
    <n v="1203"/>
    <n v="50.125"/>
    <n v="6101.833333333333"/>
    <n v="6160.059666666667"/>
  </r>
  <r>
    <x v="4"/>
    <s v="Abraham Baldwin Agricultural College "/>
    <m/>
    <s v="138558"/>
    <x v="11"/>
    <s v="sem"/>
    <m/>
    <m/>
    <m/>
    <n v="36783"/>
    <n v="37135.82"/>
    <n v="5853"/>
    <n v="6024.83"/>
    <n v="41577"/>
    <n v="42325.39"/>
    <n v="84213"/>
    <n v="2807.1"/>
    <n v="85486.040000000008"/>
    <n v="2849.5346666666669"/>
    <n v="2360"/>
    <n v="2860"/>
    <n v="84213"/>
    <n v="85486.040000000008"/>
    <m/>
    <m/>
    <m/>
    <m/>
    <m/>
    <m/>
    <m/>
    <m/>
    <n v="0"/>
    <n v="0"/>
    <n v="0"/>
    <n v="0"/>
    <m/>
    <m/>
    <n v="0"/>
    <n v="0"/>
    <m/>
    <m/>
    <m/>
    <m/>
    <m/>
    <m/>
    <m/>
    <n v="0"/>
    <n v="0"/>
    <n v="0"/>
    <n v="0"/>
    <n v="0"/>
    <n v="2807.1"/>
    <n v="2849.5346666666669"/>
  </r>
  <r>
    <x v="4"/>
    <s v="College of Coastal Georgia "/>
    <s v="Reclassified: Met the criteria for Four-Year 6 in 2014-15, 2015-16, and 2016-17. "/>
    <s v="139250"/>
    <x v="5"/>
    <s v="sem"/>
    <m/>
    <m/>
    <m/>
    <n v="31585"/>
    <n v="33308.82"/>
    <n v="6089"/>
    <n v="6779.83"/>
    <n v="35461"/>
    <n v="39404.39"/>
    <n v="73135"/>
    <n v="2437.8333333333335"/>
    <n v="79493.040000000008"/>
    <n v="2649.7680000000005"/>
    <n v="2572"/>
    <n v="3726"/>
    <n v="73135"/>
    <n v="79493.040000000008"/>
    <m/>
    <m/>
    <m/>
    <m/>
    <m/>
    <m/>
    <m/>
    <m/>
    <n v="0"/>
    <n v="0"/>
    <n v="0"/>
    <n v="0"/>
    <m/>
    <m/>
    <n v="0"/>
    <n v="0"/>
    <m/>
    <m/>
    <m/>
    <m/>
    <m/>
    <m/>
    <m/>
    <n v="0"/>
    <n v="0"/>
    <n v="0"/>
    <n v="0"/>
    <n v="0"/>
    <n v="2437.8333333333335"/>
    <n v="2649.7680000000005"/>
  </r>
  <r>
    <x v="4"/>
    <s v="Gordon State College "/>
    <m/>
    <s v="139968"/>
    <x v="11"/>
    <s v="sem"/>
    <m/>
    <m/>
    <m/>
    <n v="41434"/>
    <n v="41472.82"/>
    <n v="5449"/>
    <n v="5132.83"/>
    <n v="47686"/>
    <n v="44897.39"/>
    <n v="94569"/>
    <n v="3152.3"/>
    <n v="91503.040000000008"/>
    <n v="3050.1013333333335"/>
    <n v="2696"/>
    <n v="3792"/>
    <n v="94569"/>
    <n v="91503.040000000008"/>
    <m/>
    <m/>
    <m/>
    <m/>
    <m/>
    <m/>
    <m/>
    <m/>
    <n v="0"/>
    <n v="0"/>
    <n v="0"/>
    <n v="0"/>
    <m/>
    <m/>
    <n v="0"/>
    <n v="0"/>
    <m/>
    <m/>
    <m/>
    <m/>
    <m/>
    <m/>
    <m/>
    <n v="0"/>
    <n v="0"/>
    <n v="0"/>
    <n v="0"/>
    <n v="0"/>
    <n v="3152.3"/>
    <n v="3050.1013333333335"/>
  </r>
  <r>
    <x v="4"/>
    <s v="Georgia Perimeter College "/>
    <m/>
    <s v="244437"/>
    <x v="6"/>
    <s v="sem"/>
    <m/>
    <m/>
    <m/>
    <n v="196273"/>
    <n v="186368.82"/>
    <n v="70381"/>
    <n v="61398.83"/>
    <n v="188565"/>
    <m/>
    <n v="455219"/>
    <n v="15173.966666666667"/>
    <n v="247767.65000000002"/>
    <n v="8258.9216666666671"/>
    <n v="16133"/>
    <m/>
    <n v="455219"/>
    <n v="0"/>
    <m/>
    <m/>
    <m/>
    <m/>
    <m/>
    <m/>
    <m/>
    <m/>
    <n v="0"/>
    <n v="0"/>
    <n v="0"/>
    <n v="0"/>
    <m/>
    <m/>
    <n v="0"/>
    <n v="0"/>
    <m/>
    <m/>
    <m/>
    <m/>
    <m/>
    <m/>
    <m/>
    <n v="0"/>
    <n v="0"/>
    <n v="0"/>
    <n v="0"/>
    <n v="0"/>
    <n v="15173.966666666667"/>
    <n v="8258.9216666666671"/>
  </r>
  <r>
    <x v="4"/>
    <s v="Atlanta Metropolitan State College"/>
    <s v="Reclassified: Met the criteria for Two-Year with Bachelor's in 2014-15 and 2015-16 and 2016-17. "/>
    <s v="138901"/>
    <x v="11"/>
    <s v="sem"/>
    <m/>
    <m/>
    <m/>
    <n v="30181"/>
    <n v="27356.82"/>
    <n v="9688"/>
    <n v="8509.83"/>
    <n v="30282"/>
    <n v="26739.39"/>
    <n v="70151"/>
    <n v="2338.3666666666668"/>
    <n v="62606.04"/>
    <n v="2086.8679999999999"/>
    <n v="2539"/>
    <n v="3452"/>
    <n v="70151"/>
    <n v="62606.04"/>
    <m/>
    <m/>
    <m/>
    <m/>
    <m/>
    <m/>
    <m/>
    <m/>
    <n v="0"/>
    <n v="0"/>
    <n v="0"/>
    <n v="0"/>
    <m/>
    <m/>
    <n v="0"/>
    <n v="0"/>
    <m/>
    <m/>
    <m/>
    <m/>
    <m/>
    <m/>
    <m/>
    <n v="0"/>
    <n v="0"/>
    <n v="0"/>
    <n v="0"/>
    <n v="0"/>
    <n v="2338.3666666666668"/>
    <n v="2086.8679999999999"/>
  </r>
  <r>
    <x v="4"/>
    <s v="Bainbridge State College "/>
    <s v="Reclassified: Met the criteria for Two-Year 3 in 2014-15 and 2015-16 and 2016-17."/>
    <s v="139010"/>
    <x v="8"/>
    <s v="sem"/>
    <m/>
    <m/>
    <m/>
    <n v="19564"/>
    <n v="20535.82"/>
    <n v="7965"/>
    <n v="8414.83"/>
    <n v="22530"/>
    <n v="22529.39"/>
    <n v="50059"/>
    <n v="1668.6333333333334"/>
    <n v="51480.04"/>
    <n v="1716.0013333333334"/>
    <n v="4703"/>
    <n v="9222"/>
    <n v="50059"/>
    <n v="51480.04"/>
    <m/>
    <m/>
    <m/>
    <m/>
    <m/>
    <m/>
    <m/>
    <m/>
    <n v="0"/>
    <n v="0"/>
    <n v="0"/>
    <n v="0"/>
    <m/>
    <m/>
    <n v="0"/>
    <n v="0"/>
    <m/>
    <m/>
    <m/>
    <m/>
    <m/>
    <m/>
    <m/>
    <n v="0"/>
    <n v="0"/>
    <n v="0"/>
    <n v="0"/>
    <n v="0"/>
    <n v="1668.6333333333334"/>
    <n v="1716.0013333333334"/>
  </r>
  <r>
    <x v="4"/>
    <s v="Darton State College "/>
    <s v="Reclassified: Met the criteria for Two-Year with Bachelor's in 2014-15 and 2015-16 and 2016-17. "/>
    <s v="138691"/>
    <x v="11"/>
    <s v="sem"/>
    <m/>
    <m/>
    <m/>
    <n v="52603"/>
    <n v="48929.32"/>
    <n v="20341.5"/>
    <n v="18338.830000000002"/>
    <n v="56129"/>
    <n v="40813.89"/>
    <n v="129073.5"/>
    <n v="4302.45"/>
    <n v="108082.04"/>
    <n v="3602.7346666666663"/>
    <n v="3628"/>
    <n v="4552"/>
    <n v="129073.5"/>
    <n v="108082.04"/>
    <m/>
    <m/>
    <m/>
    <m/>
    <m/>
    <m/>
    <m/>
    <m/>
    <n v="0"/>
    <n v="0"/>
    <n v="0"/>
    <n v="0"/>
    <m/>
    <m/>
    <n v="0"/>
    <n v="0"/>
    <m/>
    <m/>
    <m/>
    <m/>
    <m/>
    <m/>
    <m/>
    <n v="0"/>
    <n v="0"/>
    <n v="0"/>
    <n v="0"/>
    <n v="0"/>
    <n v="4302.45"/>
    <n v="3602.7346666666663"/>
  </r>
  <r>
    <x v="4"/>
    <s v="East Georgia State College"/>
    <s v="Reclassified: Met the criteria for Two-Year with Bachelor's in 2014-15 and 2015-16 and 2016-17. "/>
    <s v="139621"/>
    <x v="11"/>
    <s v="sem"/>
    <m/>
    <m/>
    <m/>
    <n v="29894"/>
    <n v="31141.82"/>
    <n v="5020"/>
    <n v="5559.83"/>
    <n v="35159"/>
    <n v="35741.39"/>
    <n v="70073"/>
    <n v="2335.7666666666669"/>
    <n v="72443.040000000008"/>
    <n v="2414.7680000000005"/>
    <n v="981"/>
    <n v="3286"/>
    <n v="70073"/>
    <n v="72443.040000000008"/>
    <m/>
    <m/>
    <m/>
    <m/>
    <m/>
    <m/>
    <m/>
    <m/>
    <n v="0"/>
    <n v="0"/>
    <n v="0"/>
    <n v="0"/>
    <m/>
    <m/>
    <n v="0"/>
    <n v="0"/>
    <m/>
    <m/>
    <m/>
    <m/>
    <m/>
    <m/>
    <m/>
    <n v="0"/>
    <n v="0"/>
    <n v="0"/>
    <n v="0"/>
    <n v="0"/>
    <n v="2335.7666666666669"/>
    <n v="2414.7680000000005"/>
  </r>
  <r>
    <x v="4"/>
    <s v="Georgia Highlands College"/>
    <s v="Met the criteria for Two-Year with Bachelor's in 2015-16 and 2016-17. "/>
    <s v="139700"/>
    <x v="7"/>
    <s v="sem"/>
    <m/>
    <m/>
    <m/>
    <n v="51441"/>
    <n v="54707.82"/>
    <n v="11658"/>
    <n v="12956.83"/>
    <n v="57851"/>
    <n v="60860.39"/>
    <n v="120950"/>
    <n v="4031.6666666666665"/>
    <n v="128525.04"/>
    <n v="4284.1679999999997"/>
    <n v="2855"/>
    <n v="4464"/>
    <n v="120950"/>
    <n v="128525.04"/>
    <m/>
    <m/>
    <m/>
    <m/>
    <m/>
    <m/>
    <m/>
    <m/>
    <n v="0"/>
    <n v="0"/>
    <n v="0"/>
    <n v="0"/>
    <m/>
    <m/>
    <n v="0"/>
    <n v="0"/>
    <m/>
    <m/>
    <m/>
    <m/>
    <m/>
    <m/>
    <m/>
    <n v="0"/>
    <n v="0"/>
    <n v="0"/>
    <n v="0"/>
    <n v="0"/>
    <n v="4031.6666666666665"/>
    <n v="4284.1679999999997"/>
  </r>
  <r>
    <x v="4"/>
    <s v="South Georgia State College"/>
    <s v="Reclassified: Met the criteria for Two-Year with Bachelor's in 2014-15 and 2015-16 and 2016-17. "/>
    <n v="482699"/>
    <x v="11"/>
    <s v="sem"/>
    <m/>
    <m/>
    <m/>
    <n v="27784"/>
    <n v="28334"/>
    <n v="4539"/>
    <n v="4698"/>
    <n v="31624"/>
    <n v="29225"/>
    <n v="63947"/>
    <n v="2131.5666666666666"/>
    <n v="62257"/>
    <n v="2075.2333333333331"/>
    <n v="4317"/>
    <n v="5523"/>
    <n v="63947"/>
    <n v="62257"/>
    <m/>
    <m/>
    <m/>
    <m/>
    <m/>
    <m/>
    <m/>
    <m/>
    <n v="0"/>
    <n v="0"/>
    <n v="0"/>
    <n v="0"/>
    <m/>
    <m/>
    <n v="0"/>
    <n v="0"/>
    <m/>
    <m/>
    <m/>
    <m/>
    <m/>
    <m/>
    <m/>
    <n v="0"/>
    <n v="0"/>
    <n v="0"/>
    <n v="0"/>
    <n v="0"/>
    <n v="2131.5666666666666"/>
    <n v="2075.2333333333331"/>
  </r>
  <r>
    <x v="4"/>
    <s v="Albany Technical College"/>
    <m/>
    <n v="138682"/>
    <x v="9"/>
    <s v="sem"/>
    <s v="sem"/>
    <m/>
    <m/>
    <n v="35931"/>
    <n v="30423"/>
    <n v="27774"/>
    <n v="22780"/>
    <n v="33583"/>
    <n v="32026"/>
    <n v="97288"/>
    <n v="3242.9333333333334"/>
    <n v="85229"/>
    <n v="2840.9666666666667"/>
    <n v="3873.2"/>
    <n v="5298"/>
    <n v="97288"/>
    <n v="85229"/>
    <m/>
    <m/>
    <m/>
    <m/>
    <m/>
    <m/>
    <m/>
    <m/>
    <n v="0"/>
    <n v="0"/>
    <n v="0"/>
    <n v="0"/>
    <m/>
    <m/>
    <n v="0"/>
    <n v="0"/>
    <m/>
    <m/>
    <m/>
    <m/>
    <m/>
    <m/>
    <m/>
    <m/>
    <n v="0"/>
    <n v="0"/>
    <n v="0"/>
    <n v="0"/>
    <n v="3242.9333333333334"/>
    <n v="2840.9666666666667"/>
  </r>
  <r>
    <x v="4"/>
    <s v="Athens Technical College"/>
    <m/>
    <n v="246813"/>
    <x v="9"/>
    <s v="sem"/>
    <s v="sem"/>
    <m/>
    <m/>
    <n v="32050"/>
    <n v="30143"/>
    <n v="13898"/>
    <n v="13823"/>
    <n v="34079"/>
    <n v="34503"/>
    <n v="80027"/>
    <n v="2667.5666666666666"/>
    <n v="78469"/>
    <n v="2615.6333333333332"/>
    <n v="3859"/>
    <n v="5343"/>
    <n v="80027"/>
    <n v="78469"/>
    <m/>
    <m/>
    <m/>
    <m/>
    <m/>
    <m/>
    <m/>
    <m/>
    <n v="0"/>
    <n v="0"/>
    <n v="0"/>
    <n v="0"/>
    <m/>
    <m/>
    <n v="0"/>
    <n v="0"/>
    <m/>
    <m/>
    <m/>
    <m/>
    <m/>
    <m/>
    <m/>
    <m/>
    <n v="0"/>
    <n v="0"/>
    <n v="0"/>
    <n v="0"/>
    <n v="2667.5666666666666"/>
    <n v="2615.6333333333332"/>
  </r>
  <r>
    <x v="4"/>
    <s v="Atlanta Technical College"/>
    <m/>
    <n v="138840"/>
    <x v="9"/>
    <s v="sem"/>
    <s v="sem"/>
    <m/>
    <m/>
    <n v="40337"/>
    <n v="36097"/>
    <n v="28371"/>
    <n v="23972"/>
    <n v="36243"/>
    <n v="36450"/>
    <n v="104951"/>
    <n v="3498.3666666666668"/>
    <n v="96519"/>
    <n v="3217.3"/>
    <n v="3378"/>
    <n v="3336"/>
    <n v="104951"/>
    <n v="96519"/>
    <m/>
    <m/>
    <m/>
    <m/>
    <m/>
    <m/>
    <m/>
    <m/>
    <n v="0"/>
    <n v="0"/>
    <n v="0"/>
    <n v="0"/>
    <m/>
    <m/>
    <n v="0"/>
    <n v="0"/>
    <m/>
    <m/>
    <m/>
    <m/>
    <m/>
    <m/>
    <m/>
    <m/>
    <n v="0"/>
    <n v="0"/>
    <n v="0"/>
    <n v="0"/>
    <n v="3498.3666666666668"/>
    <n v="3217.3"/>
  </r>
  <r>
    <x v="4"/>
    <s v="Augusta Technical College"/>
    <m/>
    <n v="138956"/>
    <x v="9"/>
    <s v="sem"/>
    <s v="sem"/>
    <m/>
    <m/>
    <n v="37040"/>
    <n v="36252"/>
    <n v="21382"/>
    <n v="20692"/>
    <n v="41988"/>
    <n v="40968"/>
    <n v="100410"/>
    <n v="3347"/>
    <n v="97912"/>
    <n v="3263.7333333333331"/>
    <n v="2557.3000000000002"/>
    <n v="4191.3999999999996"/>
    <n v="100410"/>
    <n v="97912"/>
    <m/>
    <m/>
    <m/>
    <m/>
    <m/>
    <m/>
    <m/>
    <m/>
    <n v="0"/>
    <n v="0"/>
    <n v="0"/>
    <n v="0"/>
    <m/>
    <m/>
    <n v="0"/>
    <n v="0"/>
    <m/>
    <m/>
    <m/>
    <m/>
    <m/>
    <m/>
    <m/>
    <m/>
    <n v="0"/>
    <n v="0"/>
    <n v="0"/>
    <n v="0"/>
    <n v="3347"/>
    <n v="3263.7333333333331"/>
  </r>
  <r>
    <x v="4"/>
    <s v="Central Georgia Technical College"/>
    <m/>
    <n v="483045"/>
    <x v="9"/>
    <s v="sem"/>
    <s v="sem"/>
    <m/>
    <m/>
    <n v="69317"/>
    <n v="64577"/>
    <n v="42799"/>
    <n v="37112"/>
    <n v="71886"/>
    <n v="69666"/>
    <n v="184002"/>
    <n v="6133.4"/>
    <n v="171355"/>
    <n v="5711.833333333333"/>
    <n v="11965"/>
    <n v="12455"/>
    <n v="184002"/>
    <n v="171355"/>
    <m/>
    <m/>
    <m/>
    <m/>
    <m/>
    <m/>
    <m/>
    <m/>
    <n v="0"/>
    <n v="0"/>
    <n v="0"/>
    <n v="0"/>
    <m/>
    <m/>
    <n v="0"/>
    <n v="0"/>
    <m/>
    <m/>
    <m/>
    <m/>
    <m/>
    <m/>
    <m/>
    <m/>
    <n v="0"/>
    <n v="0"/>
    <n v="0"/>
    <n v="0"/>
    <n v="6133.4"/>
    <n v="5711.833333333333"/>
  </r>
  <r>
    <x v="4"/>
    <s v="Chattahoochee Technical College"/>
    <m/>
    <n v="140331"/>
    <x v="9"/>
    <s v="sem"/>
    <s v="sem"/>
    <m/>
    <m/>
    <n v="82675"/>
    <n v="77389"/>
    <n v="33540"/>
    <n v="31699"/>
    <n v="83725"/>
    <n v="83826"/>
    <n v="199940"/>
    <n v="6664.666666666667"/>
    <n v="192914"/>
    <n v="6430.4666666666662"/>
    <n v="8596"/>
    <n v="14417.3"/>
    <n v="199940"/>
    <n v="192914"/>
    <m/>
    <m/>
    <m/>
    <m/>
    <m/>
    <m/>
    <m/>
    <m/>
    <n v="0"/>
    <n v="0"/>
    <n v="0"/>
    <n v="0"/>
    <m/>
    <m/>
    <n v="0"/>
    <n v="0"/>
    <m/>
    <m/>
    <m/>
    <m/>
    <m/>
    <m/>
    <m/>
    <m/>
    <n v="0"/>
    <n v="0"/>
    <n v="0"/>
    <n v="0"/>
    <n v="6664.666666666667"/>
    <n v="6430.4666666666662"/>
  </r>
  <r>
    <x v="4"/>
    <s v="Coastal Pines Technical College"/>
    <m/>
    <n v="485458"/>
    <x v="9"/>
    <s v="sem"/>
    <s v="sem"/>
    <m/>
    <m/>
    <n v="19824"/>
    <n v="18482"/>
    <n v="10093"/>
    <n v="9242"/>
    <n v="19993"/>
    <n v="21867"/>
    <n v="49910"/>
    <n v="1663.6666666666667"/>
    <n v="49591"/>
    <n v="1653.0333333333333"/>
    <n v="8489"/>
    <n v="11339"/>
    <n v="49910"/>
    <n v="49591"/>
    <m/>
    <m/>
    <m/>
    <m/>
    <m/>
    <m/>
    <m/>
    <m/>
    <n v="0"/>
    <n v="0"/>
    <n v="0"/>
    <n v="0"/>
    <m/>
    <m/>
    <n v="0"/>
    <n v="0"/>
    <m/>
    <m/>
    <m/>
    <m/>
    <m/>
    <m/>
    <m/>
    <m/>
    <n v="0"/>
    <n v="0"/>
    <n v="0"/>
    <n v="0"/>
    <n v="1663.6666666666667"/>
    <n v="1653.0333333333333"/>
  </r>
  <r>
    <x v="4"/>
    <s v="Columbus Technical College"/>
    <m/>
    <n v="139357"/>
    <x v="9"/>
    <s v="sem"/>
    <s v="sem"/>
    <m/>
    <m/>
    <n v="28967"/>
    <n v="27799.1"/>
    <n v="15894"/>
    <n v="13835.3"/>
    <n v="30659"/>
    <n v="27110.9"/>
    <n v="75520"/>
    <n v="2517.3333333333335"/>
    <n v="68745.299999999988"/>
    <n v="2291.5099999999998"/>
    <n v="7381"/>
    <n v="8214.2999999999993"/>
    <n v="75520"/>
    <n v="68745.299999999988"/>
    <m/>
    <m/>
    <m/>
    <m/>
    <m/>
    <m/>
    <m/>
    <m/>
    <n v="0"/>
    <n v="0"/>
    <n v="0"/>
    <n v="0"/>
    <m/>
    <m/>
    <n v="0"/>
    <n v="0"/>
    <m/>
    <m/>
    <m/>
    <m/>
    <m/>
    <m/>
    <m/>
    <m/>
    <n v="0"/>
    <n v="0"/>
    <n v="0"/>
    <n v="0"/>
    <n v="2517.3333333333335"/>
    <n v="2291.5099999999998"/>
  </r>
  <r>
    <x v="4"/>
    <s v="Georgia Northwestern Technical College"/>
    <m/>
    <n v="139384"/>
    <x v="9"/>
    <s v="sem"/>
    <s v="sem"/>
    <m/>
    <m/>
    <n v="48221"/>
    <n v="49784"/>
    <n v="21118"/>
    <n v="17128"/>
    <n v="51948"/>
    <n v="52258"/>
    <n v="121287"/>
    <n v="4042.9"/>
    <n v="119170"/>
    <n v="3972.3333333333335"/>
    <n v="14681"/>
    <n v="21650"/>
    <n v="121287"/>
    <n v="119170"/>
    <m/>
    <m/>
    <m/>
    <m/>
    <m/>
    <m/>
    <m/>
    <m/>
    <n v="0"/>
    <n v="0"/>
    <n v="0"/>
    <n v="0"/>
    <m/>
    <m/>
    <n v="0"/>
    <n v="0"/>
    <m/>
    <m/>
    <m/>
    <m/>
    <m/>
    <m/>
    <m/>
    <m/>
    <n v="0"/>
    <n v="0"/>
    <n v="0"/>
    <n v="0"/>
    <n v="4042.9"/>
    <n v="3972.3333333333335"/>
  </r>
  <r>
    <x v="4"/>
    <s v="Georgia Piedmont Technical College"/>
    <m/>
    <n v="244446"/>
    <x v="9"/>
    <s v="sem"/>
    <s v="sem"/>
    <m/>
    <m/>
    <n v="34781"/>
    <n v="31721.5"/>
    <n v="20930"/>
    <n v="20681"/>
    <n v="32736"/>
    <n v="33930.5"/>
    <n v="88447"/>
    <n v="2948.2333333333331"/>
    <n v="86333"/>
    <n v="2877.7666666666669"/>
    <n v="6567.4"/>
    <n v="8297.2000000000007"/>
    <n v="88447"/>
    <n v="86333"/>
    <m/>
    <m/>
    <m/>
    <m/>
    <m/>
    <m/>
    <m/>
    <m/>
    <n v="0"/>
    <n v="0"/>
    <n v="0"/>
    <n v="0"/>
    <m/>
    <m/>
    <n v="0"/>
    <n v="0"/>
    <m/>
    <m/>
    <m/>
    <m/>
    <m/>
    <m/>
    <m/>
    <m/>
    <n v="0"/>
    <n v="0"/>
    <n v="0"/>
    <n v="0"/>
    <n v="2948.2333333333331"/>
    <n v="2877.7666666666669"/>
  </r>
  <r>
    <x v="4"/>
    <s v="Gwinnett Technical College"/>
    <m/>
    <n v="140012"/>
    <x v="9"/>
    <s v="sem"/>
    <s v="sem"/>
    <m/>
    <m/>
    <n v="60814"/>
    <n v="58128"/>
    <n v="22814"/>
    <n v="22468"/>
    <n v="58037"/>
    <n v="60665"/>
    <n v="141665"/>
    <n v="4722.166666666667"/>
    <n v="141261"/>
    <n v="4708.7"/>
    <n v="5367"/>
    <n v="10801"/>
    <n v="141665"/>
    <n v="141261"/>
    <m/>
    <m/>
    <m/>
    <m/>
    <m/>
    <m/>
    <m/>
    <m/>
    <n v="0"/>
    <n v="0"/>
    <n v="0"/>
    <n v="0"/>
    <m/>
    <m/>
    <n v="0"/>
    <n v="0"/>
    <m/>
    <m/>
    <m/>
    <m/>
    <m/>
    <m/>
    <m/>
    <m/>
    <n v="0"/>
    <n v="0"/>
    <n v="0"/>
    <n v="0"/>
    <n v="4722.166666666667"/>
    <n v="4708.7"/>
  </r>
  <r>
    <x v="4"/>
    <s v="Lanier Technical College"/>
    <m/>
    <n v="140243"/>
    <x v="9"/>
    <s v="sem"/>
    <s v="sem"/>
    <m/>
    <m/>
    <n v="28989"/>
    <n v="27543"/>
    <n v="14323"/>
    <n v="14048"/>
    <n v="31149"/>
    <n v="30993"/>
    <n v="74461"/>
    <n v="2482.0333333333333"/>
    <n v="72584"/>
    <n v="2419.4666666666667"/>
    <n v="3075"/>
    <n v="4387"/>
    <n v="74461"/>
    <n v="72584"/>
    <m/>
    <m/>
    <m/>
    <m/>
    <m/>
    <m/>
    <m/>
    <m/>
    <n v="0"/>
    <n v="0"/>
    <n v="0"/>
    <n v="0"/>
    <m/>
    <m/>
    <n v="0"/>
    <n v="0"/>
    <m/>
    <m/>
    <m/>
    <m/>
    <m/>
    <m/>
    <m/>
    <m/>
    <n v="0"/>
    <n v="0"/>
    <n v="0"/>
    <n v="0"/>
    <n v="2482.0333333333333"/>
    <n v="2419.4666666666667"/>
  </r>
  <r>
    <x v="4"/>
    <s v="North Georgia Technical College"/>
    <m/>
    <n v="140678"/>
    <x v="9"/>
    <s v="sem"/>
    <s v="sem"/>
    <m/>
    <m/>
    <n v="23426"/>
    <n v="23149"/>
    <n v="9467"/>
    <n v="10056"/>
    <n v="24876"/>
    <n v="25466"/>
    <n v="57769"/>
    <n v="1925.6333333333334"/>
    <n v="58671"/>
    <n v="1955.7"/>
    <n v="2237"/>
    <n v="4319"/>
    <n v="57769"/>
    <n v="58671"/>
    <m/>
    <m/>
    <m/>
    <m/>
    <m/>
    <m/>
    <m/>
    <m/>
    <n v="0"/>
    <n v="0"/>
    <n v="0"/>
    <n v="0"/>
    <m/>
    <m/>
    <n v="0"/>
    <n v="0"/>
    <m/>
    <m/>
    <m/>
    <m/>
    <m/>
    <m/>
    <m/>
    <m/>
    <n v="0"/>
    <n v="0"/>
    <n v="0"/>
    <n v="0"/>
    <n v="1925.6333333333334"/>
    <n v="1955.7"/>
  </r>
  <r>
    <x v="4"/>
    <s v="Oconee Fall Line Technical College"/>
    <m/>
    <n v="420431"/>
    <x v="9"/>
    <s v="sem"/>
    <s v="sem"/>
    <m/>
    <m/>
    <n v="13175"/>
    <n v="11850"/>
    <n v="8867"/>
    <n v="7497"/>
    <n v="13679"/>
    <n v="11962"/>
    <n v="35721"/>
    <n v="1190.7"/>
    <n v="31309"/>
    <n v="1043.6333333333334"/>
    <n v="2767"/>
    <n v="2461"/>
    <n v="35721"/>
    <n v="31309"/>
    <m/>
    <m/>
    <m/>
    <m/>
    <m/>
    <m/>
    <m/>
    <m/>
    <n v="0"/>
    <n v="0"/>
    <n v="0"/>
    <n v="0"/>
    <m/>
    <m/>
    <n v="0"/>
    <n v="0"/>
    <m/>
    <m/>
    <m/>
    <m/>
    <m/>
    <m/>
    <m/>
    <m/>
    <n v="0"/>
    <n v="0"/>
    <n v="0"/>
    <n v="0"/>
    <n v="1190.7"/>
    <n v="1043.6333333333334"/>
  </r>
  <r>
    <x v="4"/>
    <s v="Ogeechee Technical College"/>
    <m/>
    <n v="366465"/>
    <x v="9"/>
    <s v="sem"/>
    <s v="sem"/>
    <m/>
    <m/>
    <n v="22047"/>
    <n v="19744"/>
    <n v="13140"/>
    <n v="10103"/>
    <n v="20063"/>
    <n v="18997"/>
    <n v="55250"/>
    <n v="1841.6666666666667"/>
    <n v="48844"/>
    <n v="1628.1333333333334"/>
    <n v="2635"/>
    <n v="3178"/>
    <n v="55250"/>
    <n v="48844"/>
    <m/>
    <m/>
    <m/>
    <m/>
    <m/>
    <m/>
    <m/>
    <m/>
    <n v="0"/>
    <n v="0"/>
    <n v="0"/>
    <n v="0"/>
    <m/>
    <m/>
    <n v="0"/>
    <n v="0"/>
    <m/>
    <m/>
    <m/>
    <m/>
    <m/>
    <m/>
    <m/>
    <m/>
    <n v="0"/>
    <n v="0"/>
    <n v="0"/>
    <n v="0"/>
    <n v="1841.6666666666667"/>
    <n v="1628.1333333333334"/>
  </r>
  <r>
    <x v="4"/>
    <s v="Savannah Technical College"/>
    <m/>
    <n v="140942"/>
    <x v="9"/>
    <s v="sem"/>
    <s v="sem"/>
    <m/>
    <m/>
    <n v="40200"/>
    <n v="38563"/>
    <n v="16359"/>
    <n v="16156"/>
    <n v="38714"/>
    <n v="36639"/>
    <n v="95273"/>
    <n v="3175.7666666666669"/>
    <n v="91358"/>
    <n v="3045.2666666666669"/>
    <n v="4797"/>
    <n v="6857"/>
    <n v="95273"/>
    <n v="91358"/>
    <m/>
    <m/>
    <m/>
    <m/>
    <m/>
    <m/>
    <m/>
    <m/>
    <n v="0"/>
    <n v="0"/>
    <n v="0"/>
    <n v="0"/>
    <m/>
    <m/>
    <n v="0"/>
    <n v="0"/>
    <m/>
    <m/>
    <m/>
    <m/>
    <m/>
    <m/>
    <m/>
    <m/>
    <n v="0"/>
    <n v="0"/>
    <n v="0"/>
    <n v="0"/>
    <n v="3175.7666666666669"/>
    <n v="3045.2666666666669"/>
  </r>
  <r>
    <x v="4"/>
    <s v="South Georgia Technical College"/>
    <m/>
    <n v="141006"/>
    <x v="9"/>
    <s v="sem"/>
    <s v="sem"/>
    <m/>
    <m/>
    <n v="17622"/>
    <n v="17283"/>
    <n v="8042"/>
    <n v="8124"/>
    <n v="17666"/>
    <n v="19460"/>
    <n v="43330"/>
    <n v="1444.3333333333333"/>
    <n v="44867"/>
    <n v="1495.5666666666666"/>
    <n v="3901"/>
    <n v="5371"/>
    <n v="43330"/>
    <n v="44867"/>
    <m/>
    <m/>
    <m/>
    <m/>
    <m/>
    <m/>
    <m/>
    <m/>
    <n v="0"/>
    <n v="0"/>
    <n v="0"/>
    <n v="0"/>
    <m/>
    <m/>
    <n v="0"/>
    <n v="0"/>
    <m/>
    <m/>
    <m/>
    <m/>
    <m/>
    <m/>
    <m/>
    <m/>
    <n v="0"/>
    <n v="0"/>
    <n v="0"/>
    <n v="0"/>
    <n v="1444.3333333333333"/>
    <n v="1495.5666666666666"/>
  </r>
  <r>
    <x v="4"/>
    <s v="Southeastern Technical College"/>
    <m/>
    <n v="368911"/>
    <x v="9"/>
    <s v="sem"/>
    <s v="sem"/>
    <m/>
    <m/>
    <n v="12922"/>
    <n v="13727"/>
    <n v="6929"/>
    <n v="6977"/>
    <n v="14592"/>
    <n v="13855"/>
    <n v="34443"/>
    <n v="1148.0999999999999"/>
    <n v="34559"/>
    <n v="1151.9666666666667"/>
    <n v="3328"/>
    <n v="3331"/>
    <n v="34443"/>
    <n v="34559"/>
    <m/>
    <m/>
    <m/>
    <m/>
    <m/>
    <m/>
    <m/>
    <m/>
    <n v="0"/>
    <n v="0"/>
    <n v="0"/>
    <n v="0"/>
    <m/>
    <m/>
    <n v="0"/>
    <n v="0"/>
    <m/>
    <m/>
    <m/>
    <m/>
    <m/>
    <m/>
    <m/>
    <m/>
    <n v="0"/>
    <n v="0"/>
    <n v="0"/>
    <n v="0"/>
    <n v="1148.0999999999999"/>
    <n v="1151.9666666666667"/>
  </r>
  <r>
    <x v="4"/>
    <s v="Southern Crescent Technical College"/>
    <m/>
    <n v="139986"/>
    <x v="9"/>
    <s v="sem"/>
    <s v="sem"/>
    <m/>
    <m/>
    <n v="42049"/>
    <n v="39153"/>
    <n v="14718"/>
    <n v="14410"/>
    <n v="44429"/>
    <n v="41999"/>
    <n v="101196"/>
    <n v="3373.2"/>
    <n v="95562"/>
    <n v="3185.4"/>
    <n v="6002"/>
    <n v="7493"/>
    <n v="101196"/>
    <n v="95562"/>
    <m/>
    <m/>
    <m/>
    <m/>
    <m/>
    <m/>
    <m/>
    <m/>
    <n v="0"/>
    <n v="0"/>
    <n v="0"/>
    <n v="0"/>
    <m/>
    <m/>
    <n v="0"/>
    <n v="0"/>
    <m/>
    <m/>
    <m/>
    <m/>
    <m/>
    <m/>
    <m/>
    <m/>
    <n v="0"/>
    <n v="0"/>
    <n v="0"/>
    <n v="0"/>
    <n v="3373.2"/>
    <n v="3185.4"/>
  </r>
  <r>
    <x v="4"/>
    <s v="Southern Regional Technical College"/>
    <m/>
    <n v="487162"/>
    <x v="9"/>
    <s v="sem"/>
    <s v="sem"/>
    <m/>
    <m/>
    <n v="29921"/>
    <n v="29253"/>
    <n v="15716"/>
    <n v="16200"/>
    <n v="29986"/>
    <n v="30599"/>
    <n v="75623"/>
    <n v="2520.7666666666669"/>
    <n v="76052"/>
    <n v="2535.0666666666666"/>
    <n v="6727"/>
    <n v="13286"/>
    <n v="75623"/>
    <n v="76052"/>
    <m/>
    <m/>
    <m/>
    <m/>
    <m/>
    <m/>
    <m/>
    <m/>
    <n v="0"/>
    <n v="0"/>
    <n v="0"/>
    <n v="0"/>
    <m/>
    <m/>
    <n v="0"/>
    <n v="0"/>
    <m/>
    <m/>
    <m/>
    <m/>
    <m/>
    <m/>
    <m/>
    <m/>
    <n v="0"/>
    <n v="0"/>
    <n v="0"/>
    <n v="0"/>
    <n v="2520.7666666666669"/>
    <n v="2535.0666666666666"/>
  </r>
  <r>
    <x v="4"/>
    <s v="West Georgia Technical College"/>
    <m/>
    <n v="139278"/>
    <x v="9"/>
    <s v="sem"/>
    <s v="sem"/>
    <m/>
    <m/>
    <n v="54030"/>
    <n v="54130"/>
    <n v="22159"/>
    <n v="22291"/>
    <n v="56768"/>
    <n v="58419"/>
    <n v="132957"/>
    <n v="4431.8999999999996"/>
    <n v="134840"/>
    <n v="4494.666666666667"/>
    <n v="11882"/>
    <n v="16563"/>
    <n v="132957"/>
    <n v="134840"/>
    <m/>
    <m/>
    <m/>
    <m/>
    <m/>
    <m/>
    <m/>
    <m/>
    <n v="0"/>
    <n v="0"/>
    <n v="0"/>
    <n v="0"/>
    <m/>
    <m/>
    <n v="0"/>
    <n v="0"/>
    <m/>
    <m/>
    <m/>
    <m/>
    <m/>
    <m/>
    <m/>
    <m/>
    <n v="0"/>
    <n v="0"/>
    <n v="0"/>
    <n v="0"/>
    <n v="4431.8999999999996"/>
    <n v="4494.666666666667"/>
  </r>
  <r>
    <x v="4"/>
    <s v="Wiregrass Georgia Technical College"/>
    <m/>
    <n v="141255"/>
    <x v="9"/>
    <s v="sem"/>
    <s v="sem"/>
    <m/>
    <m/>
    <n v="30812"/>
    <n v="29182"/>
    <n v="14892"/>
    <n v="14313"/>
    <n v="30013"/>
    <n v="31846"/>
    <n v="75717"/>
    <n v="2523.9"/>
    <n v="75341"/>
    <n v="2511.3666666666668"/>
    <n v="11437"/>
    <n v="14926"/>
    <n v="75717"/>
    <n v="75341"/>
    <m/>
    <m/>
    <m/>
    <m/>
    <m/>
    <m/>
    <m/>
    <m/>
    <n v="0"/>
    <n v="0"/>
    <n v="0"/>
    <n v="0"/>
    <m/>
    <m/>
    <n v="0"/>
    <n v="0"/>
    <m/>
    <m/>
    <m/>
    <m/>
    <m/>
    <m/>
    <m/>
    <m/>
    <n v="0"/>
    <n v="0"/>
    <n v="0"/>
    <n v="0"/>
    <n v="2523.9"/>
    <n v="2511.3666666666668"/>
  </r>
  <r>
    <x v="5"/>
    <s v="University of Kentucky"/>
    <m/>
    <n v="157085"/>
    <x v="0"/>
    <s v="sem"/>
    <s v="sem"/>
    <m/>
    <m/>
    <n v="283884"/>
    <n v="282122"/>
    <n v="24359"/>
    <n v="24354"/>
    <n v="319524"/>
    <n v="310048"/>
    <n v="627767"/>
    <n v="20925.566666666666"/>
    <n v="616524"/>
    <n v="20550.8"/>
    <n v="33"/>
    <n v="75"/>
    <n v="627767"/>
    <n v="616524"/>
    <m/>
    <m/>
    <m/>
    <m/>
    <m/>
    <m/>
    <m/>
    <m/>
    <n v="0"/>
    <n v="0"/>
    <n v="0"/>
    <n v="0"/>
    <m/>
    <m/>
    <n v="0"/>
    <n v="0"/>
    <m/>
    <m/>
    <n v="35933"/>
    <n v="32996"/>
    <n v="5484"/>
    <n v="5558"/>
    <n v="38093"/>
    <n v="38713"/>
    <n v="79510"/>
    <n v="3312.9166666666665"/>
    <n v="77267"/>
    <n v="3219.4583333333335"/>
    <n v="24238.483333333334"/>
    <n v="23770.258333333331"/>
  </r>
  <r>
    <x v="5"/>
    <s v="University of Louisville"/>
    <m/>
    <n v="157289"/>
    <x v="0"/>
    <s v="sem"/>
    <s v="sem"/>
    <m/>
    <m/>
    <n v="173781"/>
    <n v="173557"/>
    <n v="37541"/>
    <n v="38796"/>
    <n v="193484"/>
    <n v="193419"/>
    <n v="404806"/>
    <n v="13493.533333333333"/>
    <n v="405772"/>
    <n v="13525.733333333334"/>
    <n v="1939"/>
    <n v="1767"/>
    <n v="404806"/>
    <n v="405772"/>
    <m/>
    <m/>
    <m/>
    <m/>
    <m/>
    <m/>
    <m/>
    <m/>
    <n v="0"/>
    <n v="0"/>
    <n v="0"/>
    <n v="0"/>
    <m/>
    <m/>
    <n v="0"/>
    <n v="0"/>
    <m/>
    <m/>
    <n v="31617"/>
    <n v="29964"/>
    <n v="12869"/>
    <n v="14061"/>
    <n v="33007"/>
    <n v="34521"/>
    <n v="77493"/>
    <n v="3228.875"/>
    <n v="78546"/>
    <n v="3272.75"/>
    <n v="16722.408333333333"/>
    <n v="16798.483333333334"/>
  </r>
  <r>
    <x v="5"/>
    <s v="Eastern Kentucky University "/>
    <m/>
    <n v="156620"/>
    <x v="2"/>
    <s v="sem"/>
    <s v="sem"/>
    <m/>
    <m/>
    <n v="162997"/>
    <n v="163342"/>
    <n v="18605"/>
    <n v="18263"/>
    <n v="181140"/>
    <n v="177598"/>
    <n v="362742"/>
    <n v="12091.4"/>
    <n v="359203"/>
    <n v="11973.433333333332"/>
    <n v="5958"/>
    <n v="7963"/>
    <n v="362742"/>
    <n v="359203"/>
    <m/>
    <m/>
    <m/>
    <m/>
    <m/>
    <m/>
    <m/>
    <m/>
    <n v="0"/>
    <n v="0"/>
    <n v="0"/>
    <n v="0"/>
    <m/>
    <m/>
    <n v="0"/>
    <n v="0"/>
    <m/>
    <m/>
    <n v="16466"/>
    <n v="17579"/>
    <n v="9239"/>
    <n v="9770"/>
    <n v="17068"/>
    <n v="17305"/>
    <n v="42773"/>
    <n v="1782.2083333333333"/>
    <n v="44654"/>
    <n v="1860.5833333333333"/>
    <n v="13873.608333333334"/>
    <n v="13834.016666666666"/>
  </r>
  <r>
    <x v="5"/>
    <s v="Morehead State University "/>
    <m/>
    <n v="157386"/>
    <x v="2"/>
    <s v="sem"/>
    <s v="sem"/>
    <m/>
    <m/>
    <n v="93581"/>
    <n v="94009"/>
    <n v="7540"/>
    <n v="7681"/>
    <n v="105850"/>
    <n v="104068"/>
    <n v="206971"/>
    <n v="6899.0333333333338"/>
    <n v="205758"/>
    <n v="6858.6"/>
    <n v="17436"/>
    <n v="21121"/>
    <n v="206971"/>
    <n v="205758"/>
    <m/>
    <m/>
    <m/>
    <m/>
    <m/>
    <m/>
    <m/>
    <m/>
    <n v="0"/>
    <n v="0"/>
    <n v="0"/>
    <n v="0"/>
    <m/>
    <m/>
    <n v="0"/>
    <n v="0"/>
    <m/>
    <m/>
    <n v="6314"/>
    <n v="6425"/>
    <n v="3275"/>
    <n v="3404"/>
    <n v="6414"/>
    <n v="5812"/>
    <n v="16003"/>
    <n v="666.79166666666663"/>
    <n v="15641"/>
    <n v="651.70833333333337"/>
    <n v="7565.8250000000007"/>
    <n v="7510.3083333333334"/>
  </r>
  <r>
    <x v="5"/>
    <s v="Murray State University "/>
    <m/>
    <n v="157401"/>
    <x v="2"/>
    <s v="sem"/>
    <s v="sem"/>
    <m/>
    <m/>
    <n v="109878"/>
    <n v="105338"/>
    <n v="8530"/>
    <n v="8691"/>
    <n v="117423"/>
    <n v="113112"/>
    <n v="235831"/>
    <n v="7861.0333333333338"/>
    <n v="227141"/>
    <n v="7571.3666666666668"/>
    <n v="6579"/>
    <n v="6010"/>
    <n v="235831"/>
    <n v="227141"/>
    <m/>
    <m/>
    <m/>
    <m/>
    <m/>
    <m/>
    <m/>
    <m/>
    <n v="0"/>
    <n v="0"/>
    <n v="0"/>
    <n v="0"/>
    <m/>
    <m/>
    <n v="0"/>
    <n v="0"/>
    <m/>
    <m/>
    <n v="11682"/>
    <n v="11256"/>
    <n v="5044"/>
    <n v="4385"/>
    <n v="11649"/>
    <n v="10496"/>
    <n v="28375"/>
    <n v="1182.2916666666667"/>
    <n v="26137"/>
    <n v="1089.0416666666667"/>
    <n v="9043.3250000000007"/>
    <n v="8660.4083333333328"/>
  </r>
  <r>
    <x v="5"/>
    <s v="Northern Kentucky University "/>
    <m/>
    <n v="157447"/>
    <x v="2"/>
    <s v="sem"/>
    <s v="sem"/>
    <m/>
    <m/>
    <n v="144915"/>
    <n v="143103"/>
    <n v="15585"/>
    <n v="14873"/>
    <n v="156966"/>
    <n v="155608"/>
    <n v="317466"/>
    <n v="10582.2"/>
    <n v="313584"/>
    <n v="10452.799999999999"/>
    <n v="7461"/>
    <n v="8235"/>
    <n v="317466"/>
    <n v="313584"/>
    <m/>
    <m/>
    <m/>
    <m/>
    <m/>
    <m/>
    <m/>
    <m/>
    <n v="0"/>
    <n v="0"/>
    <n v="0"/>
    <n v="0"/>
    <m/>
    <m/>
    <n v="0"/>
    <n v="0"/>
    <m/>
    <m/>
    <n v="14027"/>
    <n v="13915"/>
    <n v="4691"/>
    <n v="4718"/>
    <n v="14471"/>
    <n v="14141"/>
    <n v="33189"/>
    <n v="1382.875"/>
    <n v="32774"/>
    <n v="1365.5833333333333"/>
    <n v="11965.075000000001"/>
    <n v="11818.383333333333"/>
  </r>
  <r>
    <x v="5"/>
    <s v="Western Kentucky University "/>
    <m/>
    <n v="157951"/>
    <x v="2"/>
    <s v="sem"/>
    <s v="sem"/>
    <m/>
    <m/>
    <n v="198661"/>
    <n v="197699"/>
    <n v="21715"/>
    <n v="22289"/>
    <n v="212833"/>
    <n v="213964"/>
    <n v="433209"/>
    <n v="14440.3"/>
    <n v="433952"/>
    <n v="14465.066666666668"/>
    <n v="16299"/>
    <n v="20386"/>
    <n v="433209"/>
    <n v="433952"/>
    <m/>
    <m/>
    <m/>
    <m/>
    <m/>
    <m/>
    <m/>
    <m/>
    <n v="0"/>
    <n v="0"/>
    <n v="0"/>
    <n v="0"/>
    <m/>
    <m/>
    <n v="0"/>
    <n v="0"/>
    <m/>
    <m/>
    <n v="17430"/>
    <n v="18692"/>
    <n v="7874"/>
    <n v="7738"/>
    <n v="17400"/>
    <n v="16885"/>
    <n v="42704"/>
    <n v="1779.3333333333333"/>
    <n v="43315"/>
    <n v="1804.7916666666667"/>
    <n v="16219.633333333333"/>
    <n v="16269.858333333334"/>
  </r>
  <r>
    <x v="5"/>
    <s v="Kentucky State University "/>
    <m/>
    <n v="157058"/>
    <x v="3"/>
    <s v="sem"/>
    <s v="sem"/>
    <m/>
    <m/>
    <n v="21950"/>
    <n v="17883"/>
    <n v="805"/>
    <n v="947"/>
    <n v="18401"/>
    <n v="18984"/>
    <n v="41156"/>
    <n v="1371.8666666666666"/>
    <n v="37814"/>
    <n v="1260.4666666666667"/>
    <n v="1697"/>
    <n v="2316"/>
    <n v="41156"/>
    <n v="37814"/>
    <m/>
    <m/>
    <m/>
    <m/>
    <m/>
    <m/>
    <m/>
    <m/>
    <n v="0"/>
    <n v="0"/>
    <n v="0"/>
    <n v="0"/>
    <m/>
    <m/>
    <n v="0"/>
    <n v="0"/>
    <m/>
    <m/>
    <n v="959"/>
    <n v="1048"/>
    <n v="148"/>
    <n v="98"/>
    <n v="1102"/>
    <n v="1167"/>
    <n v="2209"/>
    <n v="92.041666666666671"/>
    <n v="2313"/>
    <n v="96.375"/>
    <n v="1463.9083333333333"/>
    <n v="1356.8416666666667"/>
  </r>
  <r>
    <x v="5"/>
    <s v="Bluegrass Community and Technical College"/>
    <m/>
    <n v="157173"/>
    <x v="6"/>
    <s v="sem"/>
    <s v="sem"/>
    <m/>
    <m/>
    <n v="89936"/>
    <n v="84771"/>
    <n v="17502"/>
    <n v="17178"/>
    <n v="96789"/>
    <n v="94655"/>
    <n v="204227"/>
    <n v="6807.5666666666666"/>
    <n v="196604"/>
    <n v="6553.4666666666662"/>
    <n v="7589"/>
    <n v="8932"/>
    <n v="204227"/>
    <n v="196604"/>
    <m/>
    <m/>
    <m/>
    <m/>
    <m/>
    <m/>
    <m/>
    <m/>
    <n v="0"/>
    <n v="0"/>
    <n v="0"/>
    <n v="0"/>
    <m/>
    <m/>
    <n v="0"/>
    <n v="0"/>
    <m/>
    <m/>
    <m/>
    <m/>
    <m/>
    <m/>
    <m/>
    <m/>
    <n v="0"/>
    <n v="0"/>
    <n v="0"/>
    <n v="0"/>
    <n v="6807.5666666666666"/>
    <n v="6553.4666666666662"/>
  </r>
  <r>
    <x v="5"/>
    <s v="Jefferson Community and Technical College "/>
    <m/>
    <n v="156921"/>
    <x v="6"/>
    <s v="sem"/>
    <s v="sem"/>
    <m/>
    <m/>
    <n v="97225"/>
    <n v="88156"/>
    <n v="14450"/>
    <n v="13228"/>
    <n v="102031"/>
    <n v="92475"/>
    <n v="213706"/>
    <n v="7123.5333333333338"/>
    <n v="193859"/>
    <n v="6461.9666666666662"/>
    <n v="11730"/>
    <n v="14758"/>
    <n v="213706"/>
    <n v="193859"/>
    <m/>
    <m/>
    <m/>
    <m/>
    <m/>
    <m/>
    <m/>
    <m/>
    <n v="0"/>
    <n v="0"/>
    <n v="0"/>
    <n v="0"/>
    <m/>
    <m/>
    <n v="0"/>
    <n v="0"/>
    <m/>
    <m/>
    <m/>
    <m/>
    <m/>
    <m/>
    <m/>
    <m/>
    <n v="0"/>
    <n v="0"/>
    <n v="0"/>
    <n v="0"/>
    <n v="7123.5333333333338"/>
    <n v="6461.9666666666662"/>
  </r>
  <r>
    <x v="5"/>
    <s v="Ashland Community and Technical College"/>
    <m/>
    <n v="156231"/>
    <x v="7"/>
    <s v="sem"/>
    <s v="sem"/>
    <m/>
    <m/>
    <n v="27667"/>
    <n v="26018"/>
    <n v="4452"/>
    <n v="5046"/>
    <n v="30228"/>
    <n v="29285"/>
    <n v="62347"/>
    <n v="2078.2333333333331"/>
    <n v="60349"/>
    <n v="2011.6333333333334"/>
    <n v="3619"/>
    <n v="3387"/>
    <n v="62347"/>
    <n v="60349"/>
    <m/>
    <m/>
    <m/>
    <m/>
    <m/>
    <m/>
    <m/>
    <m/>
    <n v="0"/>
    <n v="0"/>
    <n v="0"/>
    <n v="0"/>
    <m/>
    <m/>
    <n v="0"/>
    <n v="0"/>
    <m/>
    <m/>
    <m/>
    <m/>
    <m/>
    <m/>
    <m/>
    <m/>
    <n v="0"/>
    <n v="0"/>
    <n v="0"/>
    <n v="0"/>
    <n v="2078.2333333333331"/>
    <n v="2011.6333333333334"/>
  </r>
  <r>
    <x v="5"/>
    <s v="Big Sandy Community and Technical College "/>
    <m/>
    <n v="157553"/>
    <x v="7"/>
    <s v="sem"/>
    <s v="sem"/>
    <m/>
    <m/>
    <n v="33971"/>
    <n v="32940"/>
    <n v="3529"/>
    <n v="3596"/>
    <n v="36500"/>
    <n v="37191"/>
    <n v="74000"/>
    <n v="2466.6666666666665"/>
    <n v="73727"/>
    <n v="2457.5666666666666"/>
    <n v="4007"/>
    <n v="5394"/>
    <n v="74000"/>
    <n v="73727"/>
    <m/>
    <m/>
    <m/>
    <m/>
    <m/>
    <m/>
    <m/>
    <m/>
    <n v="0"/>
    <n v="0"/>
    <n v="0"/>
    <n v="0"/>
    <m/>
    <m/>
    <n v="0"/>
    <n v="0"/>
    <m/>
    <m/>
    <m/>
    <m/>
    <m/>
    <m/>
    <m/>
    <m/>
    <n v="0"/>
    <n v="0"/>
    <n v="0"/>
    <n v="0"/>
    <n v="2466.6666666666665"/>
    <n v="2457.5666666666666"/>
  </r>
  <r>
    <x v="5"/>
    <s v="Elizabethtown Community and Technical College "/>
    <m/>
    <n v="156648"/>
    <x v="7"/>
    <s v="sem"/>
    <s v="sem"/>
    <m/>
    <m/>
    <n v="46819"/>
    <n v="44332"/>
    <n v="7749"/>
    <n v="8847"/>
    <n v="50945"/>
    <n v="51845"/>
    <n v="105513"/>
    <n v="3517.1"/>
    <n v="105024"/>
    <n v="3500.8"/>
    <n v="4074"/>
    <n v="5361"/>
    <n v="105513"/>
    <n v="105024"/>
    <m/>
    <m/>
    <m/>
    <m/>
    <m/>
    <m/>
    <m/>
    <m/>
    <n v="0"/>
    <n v="0"/>
    <n v="0"/>
    <n v="0"/>
    <m/>
    <m/>
    <n v="0"/>
    <n v="0"/>
    <m/>
    <m/>
    <m/>
    <m/>
    <m/>
    <m/>
    <m/>
    <m/>
    <n v="0"/>
    <n v="0"/>
    <n v="0"/>
    <n v="0"/>
    <n v="3517.1"/>
    <n v="3500.8"/>
  </r>
  <r>
    <x v="5"/>
    <s v="Hazard Community and Technical College"/>
    <s v="Reclassified: Met the criteria for Two-Year 3 in 2014-15, 2015-16, and 2016-17."/>
    <n v="156790"/>
    <x v="8"/>
    <s v="sem"/>
    <s v="sem"/>
    <m/>
    <m/>
    <n v="25359"/>
    <n v="24242"/>
    <n v="4221"/>
    <n v="5034"/>
    <n v="26819"/>
    <n v="27212"/>
    <n v="56399"/>
    <n v="1879.9666666666667"/>
    <n v="56488"/>
    <n v="1882.9333333333334"/>
    <n v="3474"/>
    <n v="3854"/>
    <n v="56399"/>
    <n v="56488"/>
    <m/>
    <m/>
    <m/>
    <m/>
    <m/>
    <m/>
    <m/>
    <m/>
    <n v="0"/>
    <n v="0"/>
    <n v="0"/>
    <n v="0"/>
    <m/>
    <m/>
    <n v="0"/>
    <n v="0"/>
    <m/>
    <m/>
    <m/>
    <m/>
    <m/>
    <m/>
    <m/>
    <m/>
    <n v="0"/>
    <n v="0"/>
    <n v="0"/>
    <n v="0"/>
    <n v="1879.9666666666667"/>
    <n v="1882.9333333333334"/>
  </r>
  <r>
    <x v="5"/>
    <s v="Hopkinsville Community College "/>
    <s v="Met the criteria for Two-Year 3 in 2015-16 and 2016-17."/>
    <n v="156860"/>
    <x v="7"/>
    <s v="sem"/>
    <s v="sem"/>
    <m/>
    <m/>
    <n v="26880"/>
    <n v="24666"/>
    <n v="5869"/>
    <n v="5632"/>
    <n v="26295"/>
    <n v="23909"/>
    <n v="59044"/>
    <n v="1968.1333333333334"/>
    <n v="54207"/>
    <n v="1806.9"/>
    <n v="2098"/>
    <n v="2456"/>
    <n v="59044"/>
    <n v="54207"/>
    <m/>
    <m/>
    <m/>
    <m/>
    <m/>
    <m/>
    <m/>
    <m/>
    <n v="0"/>
    <n v="0"/>
    <n v="0"/>
    <n v="0"/>
    <m/>
    <m/>
    <n v="0"/>
    <n v="0"/>
    <m/>
    <m/>
    <m/>
    <m/>
    <m/>
    <m/>
    <m/>
    <m/>
    <n v="0"/>
    <n v="0"/>
    <n v="0"/>
    <n v="0"/>
    <n v="1968.1333333333334"/>
    <n v="1806.9"/>
  </r>
  <r>
    <x v="5"/>
    <s v="Madisonville Community College"/>
    <s v="Met the criteria for Two-Year 3 in 2015-16 and 2016-17."/>
    <n v="157304"/>
    <x v="7"/>
    <s v="sem"/>
    <s v="sem"/>
    <m/>
    <m/>
    <n v="24209"/>
    <n v="22122"/>
    <n v="3661"/>
    <n v="2864"/>
    <n v="28272"/>
    <n v="24612"/>
    <n v="56142"/>
    <n v="1871.4"/>
    <n v="49598"/>
    <n v="1653.2666666666667"/>
    <n v="6021"/>
    <n v="4934"/>
    <n v="56142"/>
    <n v="49598"/>
    <m/>
    <m/>
    <m/>
    <m/>
    <m/>
    <m/>
    <m/>
    <m/>
    <n v="0"/>
    <n v="0"/>
    <n v="0"/>
    <n v="0"/>
    <m/>
    <m/>
    <n v="0"/>
    <n v="0"/>
    <m/>
    <m/>
    <m/>
    <m/>
    <m/>
    <m/>
    <m/>
    <m/>
    <n v="0"/>
    <n v="0"/>
    <n v="0"/>
    <n v="0"/>
    <n v="1871.4"/>
    <n v="1653.2666666666667"/>
  </r>
  <r>
    <x v="5"/>
    <s v="Maysville Community and Technical College "/>
    <m/>
    <n v="157331"/>
    <x v="7"/>
    <s v="sem"/>
    <s v="sem"/>
    <m/>
    <m/>
    <n v="32155"/>
    <n v="29907"/>
    <n v="4748"/>
    <n v="5473"/>
    <n v="31009"/>
    <n v="33036"/>
    <n v="67912"/>
    <n v="2263.7333333333331"/>
    <n v="68416"/>
    <n v="2280.5333333333333"/>
    <n v="5797"/>
    <n v="6997"/>
    <n v="67912"/>
    <n v="68416"/>
    <m/>
    <m/>
    <m/>
    <m/>
    <m/>
    <m/>
    <m/>
    <m/>
    <n v="0"/>
    <n v="0"/>
    <n v="0"/>
    <n v="0"/>
    <m/>
    <m/>
    <n v="0"/>
    <n v="0"/>
    <m/>
    <m/>
    <m/>
    <m/>
    <m/>
    <m/>
    <m/>
    <m/>
    <n v="0"/>
    <n v="0"/>
    <n v="0"/>
    <n v="0"/>
    <n v="2263.7333333333331"/>
    <n v="2280.5333333333333"/>
  </r>
  <r>
    <x v="5"/>
    <s v="Owensboro Community and Technical College "/>
    <m/>
    <n v="247940"/>
    <x v="7"/>
    <s v="sem"/>
    <s v="sem"/>
    <m/>
    <m/>
    <n v="27884"/>
    <n v="27707"/>
    <n v="3952"/>
    <n v="3841"/>
    <n v="34073"/>
    <n v="32754"/>
    <n v="65909"/>
    <n v="2196.9666666666667"/>
    <n v="64302"/>
    <n v="2143.4"/>
    <n v="8652"/>
    <n v="7003"/>
    <n v="65909"/>
    <n v="64302"/>
    <m/>
    <m/>
    <m/>
    <m/>
    <m/>
    <m/>
    <m/>
    <m/>
    <n v="0"/>
    <n v="0"/>
    <n v="0"/>
    <n v="0"/>
    <m/>
    <m/>
    <n v="0"/>
    <n v="0"/>
    <m/>
    <m/>
    <m/>
    <m/>
    <m/>
    <m/>
    <m/>
    <m/>
    <n v="0"/>
    <n v="0"/>
    <n v="0"/>
    <n v="0"/>
    <n v="2196.9666666666667"/>
    <n v="2143.4"/>
  </r>
  <r>
    <x v="5"/>
    <s v="Somerset Community and Technical College "/>
    <m/>
    <n v="157711"/>
    <x v="7"/>
    <s v="sem"/>
    <s v="sem"/>
    <m/>
    <m/>
    <n v="57579"/>
    <n v="52648"/>
    <n v="8389"/>
    <n v="8222"/>
    <n v="60806"/>
    <n v="59996"/>
    <n v="126774"/>
    <n v="4225.8"/>
    <n v="120866"/>
    <n v="4028.8666666666668"/>
    <n v="5491"/>
    <n v="10031"/>
    <n v="126774"/>
    <n v="120866"/>
    <m/>
    <m/>
    <m/>
    <m/>
    <m/>
    <m/>
    <m/>
    <m/>
    <n v="0"/>
    <n v="0"/>
    <n v="0"/>
    <n v="0"/>
    <m/>
    <m/>
    <n v="0"/>
    <n v="0"/>
    <m/>
    <m/>
    <m/>
    <m/>
    <m/>
    <m/>
    <m/>
    <m/>
    <n v="0"/>
    <n v="0"/>
    <n v="0"/>
    <n v="0"/>
    <n v="4225.8"/>
    <n v="4028.8666666666668"/>
  </r>
  <r>
    <x v="5"/>
    <s v="Southeast Kentucky Community and Technical College"/>
    <s v="Met the criteria for Two-Year 3 in 2015-16 and 2016-17."/>
    <n v="157739"/>
    <x v="7"/>
    <s v="sem"/>
    <s v="sem"/>
    <m/>
    <m/>
    <n v="25316"/>
    <n v="25908"/>
    <n v="2262"/>
    <n v="2991"/>
    <n v="27904"/>
    <n v="30119"/>
    <n v="55482"/>
    <n v="1849.4"/>
    <n v="59018"/>
    <n v="1967.2666666666667"/>
    <n v="4572"/>
    <n v="5309"/>
    <n v="55482"/>
    <n v="59018"/>
    <m/>
    <m/>
    <m/>
    <m/>
    <m/>
    <m/>
    <m/>
    <m/>
    <n v="0"/>
    <n v="0"/>
    <n v="0"/>
    <n v="0"/>
    <m/>
    <m/>
    <n v="0"/>
    <n v="0"/>
    <m/>
    <m/>
    <m/>
    <m/>
    <m/>
    <m/>
    <m/>
    <m/>
    <n v="0"/>
    <n v="0"/>
    <n v="0"/>
    <n v="0"/>
    <n v="1849.4"/>
    <n v="1967.2666666666667"/>
  </r>
  <r>
    <x v="5"/>
    <s v="West Kentucky Community and Technical College"/>
    <m/>
    <n v="157483"/>
    <x v="7"/>
    <s v="sem"/>
    <s v="sem"/>
    <m/>
    <m/>
    <n v="47634"/>
    <n v="45281"/>
    <n v="8863"/>
    <n v="8332"/>
    <n v="50352"/>
    <n v="49620"/>
    <n v="106849"/>
    <n v="3561.6333333333332"/>
    <n v="103233"/>
    <n v="3441.1"/>
    <n v="7955"/>
    <n v="9002"/>
    <n v="106849"/>
    <n v="103233"/>
    <m/>
    <m/>
    <m/>
    <m/>
    <m/>
    <m/>
    <m/>
    <m/>
    <n v="0"/>
    <n v="0"/>
    <n v="0"/>
    <n v="0"/>
    <m/>
    <m/>
    <n v="0"/>
    <n v="0"/>
    <m/>
    <m/>
    <m/>
    <m/>
    <m/>
    <m/>
    <m/>
    <m/>
    <n v="0"/>
    <n v="0"/>
    <n v="0"/>
    <n v="0"/>
    <n v="3561.6333333333332"/>
    <n v="3441.1"/>
  </r>
  <r>
    <x v="5"/>
    <s v="Henderson Community College "/>
    <m/>
    <n v="156851"/>
    <x v="8"/>
    <s v="sem"/>
    <s v="sem"/>
    <m/>
    <m/>
    <n v="13679"/>
    <n v="12110"/>
    <n v="1980"/>
    <n v="1907"/>
    <n v="13692"/>
    <n v="12615"/>
    <n v="29351"/>
    <n v="978.36666666666667"/>
    <n v="26632"/>
    <n v="887.73333333333335"/>
    <n v="1799"/>
    <n v="1042"/>
    <n v="29351"/>
    <n v="26632"/>
    <m/>
    <m/>
    <m/>
    <m/>
    <m/>
    <m/>
    <m/>
    <m/>
    <n v="0"/>
    <n v="0"/>
    <n v="0"/>
    <n v="0"/>
    <m/>
    <m/>
    <n v="0"/>
    <n v="0"/>
    <m/>
    <m/>
    <m/>
    <m/>
    <m/>
    <m/>
    <m/>
    <m/>
    <n v="0"/>
    <n v="0"/>
    <n v="0"/>
    <n v="0"/>
    <n v="978.36666666666667"/>
    <n v="887.73333333333335"/>
  </r>
  <r>
    <x v="5"/>
    <s v="Gateway Community and Technical College"/>
    <m/>
    <n v="157438"/>
    <x v="9"/>
    <s v="sem"/>
    <s v="sem"/>
    <m/>
    <m/>
    <n v="31222"/>
    <n v="29458"/>
    <n v="6082"/>
    <n v="6507"/>
    <n v="33918"/>
    <n v="33581"/>
    <n v="71222"/>
    <n v="2374.0666666666666"/>
    <n v="69546"/>
    <n v="2318.1999999999998"/>
    <n v="4899"/>
    <n v="5686"/>
    <n v="71222"/>
    <n v="69546"/>
    <m/>
    <m/>
    <m/>
    <m/>
    <m/>
    <m/>
    <m/>
    <m/>
    <n v="0"/>
    <n v="0"/>
    <n v="0"/>
    <n v="0"/>
    <m/>
    <m/>
    <n v="0"/>
    <n v="0"/>
    <m/>
    <m/>
    <m/>
    <m/>
    <m/>
    <m/>
    <m/>
    <m/>
    <n v="0"/>
    <n v="0"/>
    <n v="0"/>
    <n v="0"/>
    <n v="2374.0666666666666"/>
    <n v="2318.1999999999998"/>
  </r>
  <r>
    <x v="5"/>
    <s v="Southcentral Kentucky Community and Technical College"/>
    <m/>
    <n v="156338"/>
    <x v="9"/>
    <s v="sem"/>
    <s v="sem"/>
    <m/>
    <m/>
    <n v="33527"/>
    <n v="33151"/>
    <n v="5293"/>
    <n v="4995"/>
    <n v="36919"/>
    <n v="38734"/>
    <n v="75739"/>
    <n v="2524.6333333333332"/>
    <n v="76880"/>
    <n v="2562.6666666666665"/>
    <n v="6111"/>
    <n v="7337"/>
    <n v="75739"/>
    <n v="76880"/>
    <m/>
    <m/>
    <m/>
    <m/>
    <m/>
    <m/>
    <m/>
    <m/>
    <n v="0"/>
    <n v="0"/>
    <n v="0"/>
    <n v="0"/>
    <m/>
    <m/>
    <n v="0"/>
    <n v="0"/>
    <m/>
    <m/>
    <m/>
    <m/>
    <m/>
    <m/>
    <m/>
    <m/>
    <n v="0"/>
    <n v="0"/>
    <n v="0"/>
    <n v="0"/>
    <n v="2524.6333333333332"/>
    <n v="2562.6666666666665"/>
  </r>
  <r>
    <x v="6"/>
    <s v="Louisiana State University and A&amp;M College"/>
    <m/>
    <n v="159391"/>
    <x v="0"/>
    <s v="sem"/>
    <m/>
    <m/>
    <m/>
    <n v="330491"/>
    <n v="327253"/>
    <n v="38259"/>
    <n v="37003"/>
    <n v="369742"/>
    <n v="365632"/>
    <n v="738492"/>
    <n v="24616.400000000001"/>
    <n v="729888"/>
    <n v="24329.599999999999"/>
    <n v="5864"/>
    <n v="8085"/>
    <n v="738492"/>
    <n v="729888"/>
    <m/>
    <m/>
    <m/>
    <m/>
    <m/>
    <m/>
    <m/>
    <m/>
    <n v="0"/>
    <n v="0"/>
    <n v="0"/>
    <n v="0"/>
    <m/>
    <m/>
    <n v="0"/>
    <n v="0"/>
    <m/>
    <m/>
    <n v="56479"/>
    <n v="55277"/>
    <n v="16110.3"/>
    <n v="16012"/>
    <n v="58126"/>
    <n v="57964"/>
    <n v="130715.3"/>
    <n v="5446.4708333333338"/>
    <n v="129253"/>
    <n v="5385.541666666667"/>
    <n v="30062.870833333334"/>
    <n v="29715.141666666666"/>
  </r>
  <r>
    <x v="6"/>
    <s v="Louisiana Tech University "/>
    <m/>
    <n v="159647"/>
    <x v="1"/>
    <s v="quar"/>
    <m/>
    <n v="69475"/>
    <n v="78344"/>
    <n v="70586"/>
    <n v="83382"/>
    <n v="15877"/>
    <n v="15201"/>
    <n v="88556"/>
    <n v="94471"/>
    <n v="244494"/>
    <n v="8149.8"/>
    <n v="271398"/>
    <n v="9046.6"/>
    <n v="17880"/>
    <n v="23386"/>
    <n v="244494"/>
    <n v="271398"/>
    <m/>
    <m/>
    <m/>
    <m/>
    <m/>
    <m/>
    <m/>
    <m/>
    <n v="0"/>
    <n v="0"/>
    <n v="0"/>
    <n v="0"/>
    <m/>
    <m/>
    <n v="0"/>
    <n v="0"/>
    <n v="6939"/>
    <n v="6373"/>
    <n v="7269"/>
    <n v="6357"/>
    <n v="4299"/>
    <n v="3969"/>
    <n v="8580"/>
    <n v="7225"/>
    <n v="27087"/>
    <n v="1128.625"/>
    <n v="23924"/>
    <n v="996.83333333333337"/>
    <n v="9278.4249999999993"/>
    <n v="10043.433333333334"/>
  </r>
  <r>
    <x v="6"/>
    <s v="University of Louisiana at Lafayette"/>
    <m/>
    <n v="160658"/>
    <x v="1"/>
    <s v="sem"/>
    <m/>
    <m/>
    <m/>
    <n v="187469"/>
    <n v="189049"/>
    <n v="23366"/>
    <n v="21034"/>
    <n v="208673"/>
    <n v="207052"/>
    <n v="419508"/>
    <n v="13983.6"/>
    <n v="417135"/>
    <n v="13904.5"/>
    <n v="4385"/>
    <n v="4636"/>
    <n v="419508"/>
    <n v="417135"/>
    <m/>
    <m/>
    <m/>
    <m/>
    <m/>
    <m/>
    <m/>
    <m/>
    <n v="0"/>
    <n v="0"/>
    <n v="0"/>
    <n v="0"/>
    <m/>
    <m/>
    <n v="0"/>
    <n v="0"/>
    <m/>
    <m/>
    <n v="12458"/>
    <n v="11381"/>
    <n v="3689"/>
    <n v="3405"/>
    <n v="13465"/>
    <n v="12393"/>
    <n v="29612"/>
    <n v="1233.8333333333333"/>
    <n v="27179"/>
    <n v="1132.4583333333333"/>
    <n v="15217.433333333334"/>
    <n v="15036.958333333334"/>
  </r>
  <r>
    <x v="6"/>
    <s v="University of New Orleans"/>
    <m/>
    <n v="159939"/>
    <x v="1"/>
    <s v="sem"/>
    <m/>
    <m/>
    <m/>
    <n v="78935"/>
    <n v="71430"/>
    <n v="13146"/>
    <n v="13197"/>
    <n v="82013"/>
    <n v="78687"/>
    <n v="174094"/>
    <n v="5803.1333333333332"/>
    <n v="163314"/>
    <n v="5443.8"/>
    <n v="1530"/>
    <n v="2171"/>
    <n v="174094"/>
    <n v="163314"/>
    <m/>
    <m/>
    <m/>
    <m/>
    <m/>
    <m/>
    <m/>
    <m/>
    <n v="0"/>
    <n v="0"/>
    <n v="0"/>
    <n v="0"/>
    <m/>
    <m/>
    <n v="0"/>
    <n v="0"/>
    <m/>
    <m/>
    <n v="13474"/>
    <n v="9632"/>
    <n v="3170"/>
    <n v="3024"/>
    <n v="13296"/>
    <n v="11503"/>
    <n v="29940"/>
    <n v="1247.5"/>
    <n v="24159"/>
    <n v="1006.625"/>
    <n v="7050.6333333333332"/>
    <n v="6450.4250000000002"/>
  </r>
  <r>
    <x v="6"/>
    <s v="Southeastern Louisiana University "/>
    <m/>
    <n v="160612"/>
    <x v="2"/>
    <s v="sem"/>
    <m/>
    <m/>
    <m/>
    <n v="150275"/>
    <n v="145968"/>
    <n v="16313"/>
    <n v="14933"/>
    <n v="157528"/>
    <n v="154903"/>
    <n v="324116"/>
    <n v="10803.866666666667"/>
    <n v="315804"/>
    <n v="10526.8"/>
    <n v="20626"/>
    <n v="23744"/>
    <n v="324116"/>
    <n v="315804"/>
    <m/>
    <m/>
    <m/>
    <m/>
    <m/>
    <m/>
    <m/>
    <m/>
    <n v="0"/>
    <n v="0"/>
    <n v="0"/>
    <n v="0"/>
    <m/>
    <m/>
    <n v="0"/>
    <n v="0"/>
    <m/>
    <m/>
    <n v="7273"/>
    <n v="6482"/>
    <n v="3304"/>
    <n v="2902"/>
    <n v="7070"/>
    <n v="6661"/>
    <n v="17647"/>
    <n v="735.29166666666663"/>
    <n v="16045"/>
    <n v="668.54166666666663"/>
    <n v="11539.158333333333"/>
    <n v="11195.341666666665"/>
  </r>
  <r>
    <x v="6"/>
    <s v="Southern University and A&amp;M College at Baton Rouge "/>
    <m/>
    <n v="160621"/>
    <x v="2"/>
    <s v="sem"/>
    <m/>
    <m/>
    <m/>
    <n v="62751"/>
    <n v="64338"/>
    <n v="8983"/>
    <n v="9075"/>
    <n v="73099"/>
    <n v="72045"/>
    <n v="144833"/>
    <n v="4827.7666666666664"/>
    <n v="145458"/>
    <n v="4848.6000000000004"/>
    <n v="1001"/>
    <n v="1274"/>
    <n v="144833"/>
    <n v="145458"/>
    <m/>
    <m/>
    <m/>
    <m/>
    <m/>
    <m/>
    <m/>
    <m/>
    <n v="0"/>
    <n v="0"/>
    <n v="0"/>
    <n v="0"/>
    <m/>
    <m/>
    <n v="0"/>
    <n v="0"/>
    <m/>
    <m/>
    <n v="15654"/>
    <n v="14588"/>
    <n v="4052"/>
    <n v="3825"/>
    <n v="16660"/>
    <n v="15402"/>
    <n v="36366"/>
    <n v="1515.25"/>
    <n v="33815"/>
    <n v="1408.9583333333333"/>
    <n v="6343.0166666666664"/>
    <n v="6257.5583333333334"/>
  </r>
  <r>
    <x v="6"/>
    <s v="University of Louisiana at Monroe"/>
    <m/>
    <n v="159993"/>
    <x v="2"/>
    <s v="sem"/>
    <m/>
    <n v="0"/>
    <m/>
    <n v="76957"/>
    <n v="86242"/>
    <n v="13876"/>
    <n v="12774"/>
    <n v="89293"/>
    <n v="94297"/>
    <n v="180126"/>
    <n v="6004.2"/>
    <n v="193313"/>
    <n v="6443.7666666666664"/>
    <n v="13845"/>
    <n v="14728"/>
    <n v="180126"/>
    <n v="193313"/>
    <m/>
    <m/>
    <m/>
    <m/>
    <m/>
    <m/>
    <m/>
    <m/>
    <n v="0"/>
    <n v="0"/>
    <n v="0"/>
    <n v="0"/>
    <m/>
    <m/>
    <n v="0"/>
    <n v="0"/>
    <n v="0"/>
    <m/>
    <n v="13344"/>
    <n v="13861"/>
    <n v="5738"/>
    <n v="5326"/>
    <n v="14340"/>
    <n v="14072"/>
    <n v="33422"/>
    <n v="1392.5833333333333"/>
    <n v="33259"/>
    <n v="1385.7916666666667"/>
    <n v="7396.7833333333328"/>
    <n v="7829.5583333333334"/>
  </r>
  <r>
    <x v="6"/>
    <s v="Grambling State University"/>
    <m/>
    <n v="159009"/>
    <x v="3"/>
    <s v="sem"/>
    <m/>
    <m/>
    <m/>
    <n v="44274"/>
    <n v="49603"/>
    <n v="8326"/>
    <n v="9176"/>
    <n v="49027"/>
    <n v="54313"/>
    <n v="101627"/>
    <n v="3387.5666666666666"/>
    <n v="113092"/>
    <n v="3769.7333333333331"/>
    <n v="166"/>
    <n v="357"/>
    <n v="101627"/>
    <n v="113092"/>
    <m/>
    <m/>
    <m/>
    <m/>
    <m/>
    <m/>
    <m/>
    <m/>
    <n v="0"/>
    <n v="0"/>
    <n v="0"/>
    <n v="0"/>
    <m/>
    <m/>
    <n v="0"/>
    <n v="0"/>
    <m/>
    <m/>
    <n v="7382"/>
    <n v="7564"/>
    <n v="2961"/>
    <n v="3003"/>
    <n v="7253"/>
    <n v="7059"/>
    <n v="17596"/>
    <n v="733.16666666666663"/>
    <n v="17626"/>
    <n v="734.41666666666663"/>
    <n v="4120.7333333333336"/>
    <n v="4504.1499999999996"/>
  </r>
  <r>
    <x v="6"/>
    <s v="Louisiana State University in Shreveport"/>
    <m/>
    <n v="159416"/>
    <x v="3"/>
    <s v="sem"/>
    <m/>
    <m/>
    <m/>
    <n v="30950"/>
    <n v="25962"/>
    <n v="4663"/>
    <n v="4403"/>
    <n v="30936"/>
    <n v="28427"/>
    <n v="66549"/>
    <n v="2218.3000000000002"/>
    <n v="58792"/>
    <n v="1959.7333333333333"/>
    <n v="3825"/>
    <n v="2927"/>
    <n v="66549"/>
    <n v="58792"/>
    <m/>
    <m/>
    <m/>
    <m/>
    <m/>
    <m/>
    <m/>
    <m/>
    <n v="0"/>
    <n v="0"/>
    <n v="0"/>
    <n v="0"/>
    <m/>
    <m/>
    <n v="0"/>
    <n v="0"/>
    <m/>
    <m/>
    <n v="7551"/>
    <n v="13106"/>
    <n v="5967"/>
    <n v="7867"/>
    <n v="9918"/>
    <n v="13519"/>
    <n v="23436"/>
    <n v="976.5"/>
    <n v="34492"/>
    <n v="1437.1666666666667"/>
    <n v="3194.8"/>
    <n v="3396.9"/>
  </r>
  <r>
    <x v="6"/>
    <s v="McNeese State University"/>
    <s v="Met the criteria for Four-Year 3 in 2015-16 and 2016-17."/>
    <n v="159717"/>
    <x v="3"/>
    <s v="sem"/>
    <m/>
    <m/>
    <m/>
    <n v="88847"/>
    <n v="81622"/>
    <n v="9340"/>
    <n v="8833"/>
    <n v="96581"/>
    <n v="91723"/>
    <n v="194768"/>
    <n v="6492.2666666666664"/>
    <n v="182178"/>
    <n v="6072.6"/>
    <n v="7233"/>
    <n v="7243"/>
    <n v="194768"/>
    <n v="182178"/>
    <m/>
    <m/>
    <m/>
    <m/>
    <m/>
    <m/>
    <m/>
    <m/>
    <n v="0"/>
    <n v="0"/>
    <n v="0"/>
    <n v="0"/>
    <m/>
    <m/>
    <n v="0"/>
    <n v="0"/>
    <m/>
    <m/>
    <n v="5185"/>
    <n v="5003"/>
    <n v="1334"/>
    <n v="1336"/>
    <n v="5223"/>
    <n v="5147"/>
    <n v="11742"/>
    <n v="489.25"/>
    <n v="11486"/>
    <n v="478.58333333333331"/>
    <n v="6981.5166666666664"/>
    <n v="6551.1833333333334"/>
  </r>
  <r>
    <x v="6"/>
    <s v="Nicholls State University "/>
    <m/>
    <n v="159966"/>
    <x v="3"/>
    <s v="sem"/>
    <m/>
    <m/>
    <m/>
    <n v="67864"/>
    <n v="67053"/>
    <n v="9440"/>
    <n v="8098"/>
    <n v="73298"/>
    <n v="74493"/>
    <n v="150602"/>
    <n v="5020.0666666666666"/>
    <n v="149644"/>
    <n v="4988.1333333333332"/>
    <n v="1480"/>
    <n v="2401"/>
    <n v="150602"/>
    <n v="149644"/>
    <m/>
    <m/>
    <m/>
    <m/>
    <m/>
    <m/>
    <m/>
    <m/>
    <n v="0"/>
    <n v="0"/>
    <n v="0"/>
    <n v="0"/>
    <m/>
    <m/>
    <n v="0"/>
    <n v="0"/>
    <m/>
    <m/>
    <n v="4228"/>
    <n v="3910"/>
    <n v="3037"/>
    <n v="2601"/>
    <n v="4496"/>
    <n v="4224"/>
    <n v="11761"/>
    <n v="490.04166666666669"/>
    <n v="10735"/>
    <n v="447.29166666666669"/>
    <n v="5510.1083333333336"/>
    <n v="5435.4250000000002"/>
  </r>
  <r>
    <x v="6"/>
    <s v="Northwestern State University"/>
    <m/>
    <n v="160038"/>
    <x v="3"/>
    <s v="sem"/>
    <m/>
    <m/>
    <m/>
    <n v="85837"/>
    <n v="96693"/>
    <n v="14374"/>
    <n v="14656"/>
    <n v="98408"/>
    <n v="105297"/>
    <n v="198619"/>
    <n v="6620.6333333333332"/>
    <n v="216646"/>
    <n v="7221.5333333333338"/>
    <n v="10020"/>
    <n v="12208"/>
    <n v="198619"/>
    <n v="216646"/>
    <m/>
    <m/>
    <m/>
    <m/>
    <m/>
    <m/>
    <m/>
    <m/>
    <n v="0"/>
    <n v="0"/>
    <n v="0"/>
    <n v="0"/>
    <m/>
    <m/>
    <n v="0"/>
    <n v="0"/>
    <m/>
    <m/>
    <n v="6486"/>
    <n v="6460"/>
    <n v="4177"/>
    <n v="4093"/>
    <n v="6634"/>
    <n v="6858"/>
    <n v="17297"/>
    <n v="720.70833333333337"/>
    <n v="17411"/>
    <n v="725.45833333333337"/>
    <n v="7341.3416666666662"/>
    <n v="7946.9916666666668"/>
  </r>
  <r>
    <x v="6"/>
    <s v="Southern University at New Orleans"/>
    <m/>
    <n v="160630"/>
    <x v="4"/>
    <s v="sem"/>
    <m/>
    <m/>
    <m/>
    <n v="27808"/>
    <n v="22687"/>
    <n v="2721"/>
    <n v="1538"/>
    <n v="29655"/>
    <n v="23063"/>
    <n v="60184"/>
    <n v="2006.1333333333334"/>
    <n v="47288"/>
    <n v="1576.2666666666667"/>
    <n v="1404"/>
    <n v="1533"/>
    <n v="60184"/>
    <n v="47288"/>
    <m/>
    <m/>
    <m/>
    <m/>
    <m/>
    <m/>
    <m/>
    <m/>
    <n v="0"/>
    <n v="0"/>
    <n v="0"/>
    <n v="0"/>
    <m/>
    <m/>
    <n v="0"/>
    <n v="0"/>
    <m/>
    <m/>
    <n v="1081"/>
    <n v="4686"/>
    <n v="871"/>
    <n v="509"/>
    <n v="5519"/>
    <n v="4779"/>
    <n v="7471"/>
    <n v="311.29166666666669"/>
    <n v="9974"/>
    <n v="415.58333333333331"/>
    <n v="2317.4250000000002"/>
    <n v="1991.85"/>
  </r>
  <r>
    <x v="6"/>
    <s v="Louisiana State University at Alexandria"/>
    <m/>
    <n v="159382"/>
    <x v="5"/>
    <s v="sem"/>
    <m/>
    <m/>
    <m/>
    <n v="26034"/>
    <n v="28865"/>
    <n v="4195"/>
    <n v="5121"/>
    <n v="30569"/>
    <n v="35117"/>
    <n v="60798"/>
    <n v="2026.6"/>
    <n v="69103"/>
    <n v="2303.4333333333334"/>
    <n v="5555"/>
    <n v="6630"/>
    <n v="60798"/>
    <n v="69103"/>
    <m/>
    <m/>
    <m/>
    <m/>
    <m/>
    <m/>
    <m/>
    <m/>
    <n v="0"/>
    <n v="0"/>
    <n v="0"/>
    <n v="0"/>
    <m/>
    <m/>
    <n v="0"/>
    <n v="0"/>
    <m/>
    <m/>
    <m/>
    <n v="0"/>
    <m/>
    <n v="0"/>
    <m/>
    <n v="0"/>
    <n v="0"/>
    <n v="0"/>
    <n v="0"/>
    <n v="0"/>
    <n v="2026.6"/>
    <n v="2303.4333333333334"/>
  </r>
  <r>
    <x v="6"/>
    <s v="Baton Rouge Community College"/>
    <m/>
    <n v="437103"/>
    <x v="6"/>
    <s v="sem"/>
    <m/>
    <m/>
    <m/>
    <n v="94476.5"/>
    <n v="68053"/>
    <n v="16249"/>
    <n v="14327"/>
    <n v="92329.5"/>
    <n v="83465"/>
    <n v="203055"/>
    <n v="6768.5"/>
    <n v="165845"/>
    <n v="5528.166666666667"/>
    <n v="4650"/>
    <n v="4268"/>
    <n v="203055"/>
    <n v="165845"/>
    <m/>
    <m/>
    <m/>
    <m/>
    <m/>
    <m/>
    <m/>
    <m/>
    <n v="0"/>
    <n v="0"/>
    <n v="0"/>
    <n v="0"/>
    <m/>
    <m/>
    <n v="0"/>
    <n v="0"/>
    <m/>
    <m/>
    <m/>
    <n v="0"/>
    <m/>
    <n v="0"/>
    <m/>
    <n v="0"/>
    <n v="0"/>
    <n v="0"/>
    <n v="0"/>
    <n v="0"/>
    <n v="6768.5"/>
    <n v="5528.166666666667"/>
  </r>
  <r>
    <x v="6"/>
    <s v="Bossier Parish Community College"/>
    <m/>
    <n v="158431"/>
    <x v="6"/>
    <s v="sem"/>
    <m/>
    <m/>
    <m/>
    <n v="79734"/>
    <n v="60372"/>
    <n v="10443"/>
    <n v="9971"/>
    <n v="61503"/>
    <n v="64346"/>
    <n v="151680"/>
    <n v="5056"/>
    <n v="134689"/>
    <n v="4489.6333333333332"/>
    <n v="5454"/>
    <n v="5000"/>
    <n v="151680"/>
    <n v="134689"/>
    <m/>
    <m/>
    <m/>
    <m/>
    <m/>
    <m/>
    <m/>
    <m/>
    <n v="0"/>
    <n v="0"/>
    <n v="0"/>
    <n v="0"/>
    <m/>
    <m/>
    <n v="0"/>
    <n v="0"/>
    <m/>
    <n v="0"/>
    <m/>
    <n v="0"/>
    <m/>
    <n v="0"/>
    <m/>
    <n v="0"/>
    <n v="0"/>
    <n v="0"/>
    <n v="0"/>
    <n v="0"/>
    <n v="5056"/>
    <n v="4489.6333333333332"/>
  </r>
  <r>
    <x v="6"/>
    <s v="Delgado Community College "/>
    <m/>
    <n v="158662"/>
    <x v="6"/>
    <s v="sem"/>
    <m/>
    <m/>
    <m/>
    <n v="156464"/>
    <n v="125595"/>
    <n v="27599"/>
    <n v="23943"/>
    <n v="149920"/>
    <n v="138783"/>
    <n v="333983"/>
    <n v="11132.766666666666"/>
    <n v="288321"/>
    <n v="9610.7000000000007"/>
    <n v="3243"/>
    <n v="4711"/>
    <n v="333983"/>
    <n v="288321"/>
    <m/>
    <m/>
    <m/>
    <m/>
    <m/>
    <m/>
    <m/>
    <m/>
    <n v="0"/>
    <n v="0"/>
    <n v="0"/>
    <n v="0"/>
    <m/>
    <m/>
    <n v="0"/>
    <n v="0"/>
    <m/>
    <m/>
    <m/>
    <n v="0"/>
    <m/>
    <n v="0"/>
    <m/>
    <n v="0"/>
    <n v="0"/>
    <n v="0"/>
    <n v="0"/>
    <n v="0"/>
    <n v="11132.766666666666"/>
    <n v="9610.7000000000007"/>
  </r>
  <r>
    <x v="6"/>
    <s v="Louisiana Delta Community College"/>
    <m/>
    <n v="440624"/>
    <x v="7"/>
    <s v="sem"/>
    <m/>
    <m/>
    <m/>
    <n v="33535.5"/>
    <n v="29051"/>
    <n v="7023.5"/>
    <n v="5903"/>
    <n v="31012"/>
    <n v="34216"/>
    <n v="71571"/>
    <n v="2385.6999999999998"/>
    <n v="69170"/>
    <n v="2305.6666666666665"/>
    <n v="6374"/>
    <n v="5888"/>
    <n v="71571"/>
    <n v="69170"/>
    <m/>
    <m/>
    <m/>
    <m/>
    <m/>
    <n v="0"/>
    <m/>
    <n v="0"/>
    <n v="0"/>
    <n v="0"/>
    <n v="0"/>
    <n v="0"/>
    <m/>
    <m/>
    <n v="0"/>
    <n v="0"/>
    <m/>
    <m/>
    <m/>
    <n v="0"/>
    <m/>
    <n v="0"/>
    <m/>
    <n v="0"/>
    <n v="0"/>
    <n v="0"/>
    <n v="0"/>
    <n v="0"/>
    <n v="2385.6999999999998"/>
    <n v="2305.6666666666665"/>
  </r>
  <r>
    <x v="6"/>
    <s v="South Louisiana Community College"/>
    <m/>
    <n v="434061"/>
    <x v="7"/>
    <s v="sem"/>
    <m/>
    <m/>
    <m/>
    <n v="57951.5"/>
    <n v="55999.5"/>
    <n v="12489"/>
    <n v="13634"/>
    <n v="69175.5"/>
    <n v="65231.5"/>
    <n v="139616"/>
    <n v="4653.8666666666668"/>
    <n v="134865"/>
    <n v="4495.5"/>
    <n v="11684"/>
    <n v="9608"/>
    <n v="139616"/>
    <n v="134865"/>
    <m/>
    <m/>
    <m/>
    <m/>
    <m/>
    <m/>
    <m/>
    <m/>
    <n v="0"/>
    <n v="0"/>
    <n v="0"/>
    <n v="0"/>
    <m/>
    <m/>
    <n v="0"/>
    <n v="0"/>
    <m/>
    <n v="0"/>
    <m/>
    <n v="0"/>
    <m/>
    <n v="0"/>
    <m/>
    <n v="0"/>
    <n v="0"/>
    <n v="0"/>
    <n v="0"/>
    <n v="0"/>
    <n v="4653.8666666666668"/>
    <n v="4495.5"/>
  </r>
  <r>
    <x v="6"/>
    <s v="Southern University in Shreveport"/>
    <m/>
    <n v="160649"/>
    <x v="7"/>
    <s v="sem"/>
    <m/>
    <m/>
    <m/>
    <n v="27962"/>
    <n v="27269"/>
    <n v="5732"/>
    <n v="8226"/>
    <n v="32011"/>
    <n v="30735"/>
    <n v="65705"/>
    <n v="2190.1666666666665"/>
    <n v="66230"/>
    <n v="2207.6666666666665"/>
    <n v="4033"/>
    <n v="6145"/>
    <n v="65705"/>
    <n v="66230"/>
    <m/>
    <m/>
    <m/>
    <m/>
    <m/>
    <m/>
    <m/>
    <m/>
    <n v="0"/>
    <n v="0"/>
    <n v="0"/>
    <n v="0"/>
    <m/>
    <m/>
    <n v="0"/>
    <n v="0"/>
    <m/>
    <m/>
    <m/>
    <n v="0"/>
    <m/>
    <n v="0"/>
    <m/>
    <n v="0"/>
    <n v="0"/>
    <n v="0"/>
    <n v="0"/>
    <n v="0"/>
    <n v="2190.1666666666665"/>
    <n v="2207.6666666666665"/>
  </r>
  <r>
    <x v="6"/>
    <s v="Louisiana State University at Eunice"/>
    <m/>
    <n v="159407"/>
    <x v="8"/>
    <s v="sem"/>
    <m/>
    <m/>
    <m/>
    <n v="23261"/>
    <n v="26488"/>
    <n v="3885"/>
    <n v="3854"/>
    <n v="24735"/>
    <n v="27687"/>
    <n v="51881"/>
    <n v="1729.3666666666666"/>
    <n v="58029"/>
    <n v="1934.3"/>
    <n v="2304"/>
    <n v="3601"/>
    <n v="51881"/>
    <n v="58029"/>
    <m/>
    <m/>
    <m/>
    <m/>
    <m/>
    <m/>
    <m/>
    <m/>
    <n v="0"/>
    <n v="0"/>
    <n v="0"/>
    <n v="0"/>
    <m/>
    <m/>
    <n v="0"/>
    <n v="0"/>
    <m/>
    <m/>
    <m/>
    <n v="0"/>
    <m/>
    <n v="0"/>
    <m/>
    <n v="0"/>
    <n v="0"/>
    <n v="0"/>
    <n v="0"/>
    <n v="0"/>
    <n v="1729.3666666666666"/>
    <n v="1934.3"/>
  </r>
  <r>
    <x v="6"/>
    <s v="Nunez Community College"/>
    <m/>
    <n v="158884"/>
    <x v="8"/>
    <s v="sem"/>
    <m/>
    <m/>
    <m/>
    <n v="20769"/>
    <n v="19428"/>
    <n v="3191"/>
    <n v="3164"/>
    <n v="21466"/>
    <n v="18530"/>
    <n v="45426"/>
    <n v="1514.2"/>
    <n v="41122"/>
    <n v="1370.7333333333333"/>
    <n v="9155"/>
    <n v="9866"/>
    <n v="45426"/>
    <n v="41122"/>
    <m/>
    <m/>
    <m/>
    <m/>
    <m/>
    <m/>
    <m/>
    <m/>
    <n v="0"/>
    <n v="0"/>
    <n v="0"/>
    <n v="0"/>
    <m/>
    <m/>
    <n v="0"/>
    <n v="0"/>
    <m/>
    <m/>
    <m/>
    <n v="0"/>
    <m/>
    <n v="0"/>
    <m/>
    <n v="0"/>
    <n v="0"/>
    <n v="0"/>
    <n v="0"/>
    <n v="0"/>
    <n v="1514.2"/>
    <n v="1370.7333333333333"/>
  </r>
  <r>
    <x v="6"/>
    <s v="River Parishes Community College"/>
    <m/>
    <n v="436304"/>
    <x v="8"/>
    <s v="sem"/>
    <m/>
    <m/>
    <m/>
    <n v="16081"/>
    <n v="16122"/>
    <n v="3216"/>
    <n v="3223"/>
    <n v="17552"/>
    <n v="17271.5"/>
    <n v="36849"/>
    <n v="1228.3"/>
    <n v="36616.5"/>
    <n v="1220.55"/>
    <n v="3802"/>
    <n v="5079"/>
    <n v="36849"/>
    <n v="36616.5"/>
    <m/>
    <m/>
    <m/>
    <m/>
    <m/>
    <m/>
    <m/>
    <m/>
    <n v="0"/>
    <n v="0"/>
    <n v="0"/>
    <n v="0"/>
    <m/>
    <m/>
    <n v="0"/>
    <n v="0"/>
    <m/>
    <m/>
    <m/>
    <n v="0"/>
    <m/>
    <n v="0"/>
    <m/>
    <n v="0"/>
    <n v="0"/>
    <n v="0"/>
    <n v="0"/>
    <n v="0"/>
    <n v="1228.3"/>
    <n v="1220.55"/>
  </r>
  <r>
    <x v="6"/>
    <s v="Central LA Technical College"/>
    <m/>
    <n v="158088"/>
    <x v="9"/>
    <s v="sem"/>
    <m/>
    <m/>
    <m/>
    <n v="16427"/>
    <n v="17959"/>
    <n v="3607"/>
    <n v="2491"/>
    <n v="20806"/>
    <n v="16199"/>
    <n v="40840"/>
    <n v="1361.3333333333333"/>
    <n v="36649"/>
    <n v="1221.6333333333334"/>
    <n v="5411"/>
    <n v="6257"/>
    <n v="40840"/>
    <n v="36649"/>
    <m/>
    <m/>
    <m/>
    <m/>
    <m/>
    <m/>
    <m/>
    <m/>
    <n v="0"/>
    <n v="0"/>
    <n v="0"/>
    <n v="0"/>
    <m/>
    <m/>
    <n v="0"/>
    <n v="0"/>
    <m/>
    <m/>
    <m/>
    <n v="0"/>
    <m/>
    <n v="0"/>
    <m/>
    <n v="0"/>
    <n v="0"/>
    <n v="0"/>
    <n v="0"/>
    <n v="0"/>
    <n v="1361.3333333333333"/>
    <n v="1221.6333333333334"/>
  </r>
  <r>
    <x v="6"/>
    <s v="L.E. Fletcher Technical Community College"/>
    <m/>
    <n v="160481"/>
    <x v="9"/>
    <s v="sem"/>
    <m/>
    <m/>
    <m/>
    <n v="17417"/>
    <n v="16263"/>
    <n v="2724"/>
    <n v="4145"/>
    <n v="19419.5"/>
    <n v="19832"/>
    <n v="39560.5"/>
    <n v="1318.6833333333334"/>
    <n v="40240"/>
    <n v="1341.3333333333333"/>
    <n v="1327"/>
    <n v="1539"/>
    <n v="39560.5"/>
    <n v="40240"/>
    <m/>
    <m/>
    <n v="17059"/>
    <n v="10326"/>
    <n v="4068"/>
    <n v="0"/>
    <n v="16103"/>
    <n v="0"/>
    <n v="37230"/>
    <n v="41.366666666666667"/>
    <n v="10326"/>
    <n v="11.473333333333333"/>
    <m/>
    <m/>
    <n v="0"/>
    <n v="0"/>
    <m/>
    <m/>
    <m/>
    <n v="0"/>
    <m/>
    <n v="0"/>
    <m/>
    <n v="0"/>
    <n v="0"/>
    <n v="0"/>
    <n v="0"/>
    <n v="0"/>
    <n v="1360.05"/>
    <n v="1352.8066666666666"/>
  </r>
  <r>
    <x v="6"/>
    <s v="Northshore Technical College"/>
    <m/>
    <n v="160667"/>
    <x v="9"/>
    <s v="sem"/>
    <m/>
    <m/>
    <m/>
    <n v="22203"/>
    <n v="27368"/>
    <n v="3067"/>
    <n v="3613"/>
    <n v="23683"/>
    <n v="27179"/>
    <n v="48953"/>
    <n v="1631.7666666666667"/>
    <n v="58160"/>
    <n v="1938.6666666666667"/>
    <n v="8963"/>
    <n v="8592"/>
    <n v="48953"/>
    <n v="58160"/>
    <m/>
    <m/>
    <m/>
    <m/>
    <m/>
    <m/>
    <m/>
    <m/>
    <n v="0"/>
    <n v="0"/>
    <n v="0"/>
    <n v="0"/>
    <m/>
    <m/>
    <n v="0"/>
    <n v="0"/>
    <m/>
    <m/>
    <m/>
    <n v="0"/>
    <m/>
    <n v="0"/>
    <m/>
    <n v="0"/>
    <n v="0"/>
    <n v="0"/>
    <n v="0"/>
    <n v="0"/>
    <n v="1631.7666666666667"/>
    <n v="1938.6666666666667"/>
  </r>
  <r>
    <x v="6"/>
    <s v="Northwest LA Technical College"/>
    <m/>
    <n v="160010"/>
    <x v="9"/>
    <s v="sem"/>
    <m/>
    <m/>
    <m/>
    <n v="25400"/>
    <n v="16067"/>
    <n v="6126"/>
    <n v="5064"/>
    <n v="21495"/>
    <n v="14963"/>
    <n v="53021"/>
    <n v="1767.3666666666666"/>
    <n v="36094"/>
    <n v="1203.1333333333334"/>
    <n v="13474"/>
    <n v="8886"/>
    <n v="53021"/>
    <n v="36094"/>
    <m/>
    <m/>
    <m/>
    <m/>
    <m/>
    <m/>
    <m/>
    <m/>
    <n v="0"/>
    <n v="0"/>
    <n v="0"/>
    <n v="0"/>
    <m/>
    <m/>
    <n v="0"/>
    <n v="0"/>
    <m/>
    <m/>
    <m/>
    <n v="0"/>
    <m/>
    <n v="0"/>
    <m/>
    <n v="0"/>
    <n v="0"/>
    <n v="0"/>
    <n v="0"/>
    <n v="0"/>
    <n v="1767.3666666666666"/>
    <n v="1203.1333333333334"/>
  </r>
  <r>
    <x v="6"/>
    <s v="South Central LA Technical College"/>
    <m/>
    <n v="160913"/>
    <x v="9"/>
    <s v="sem"/>
    <m/>
    <m/>
    <m/>
    <n v="16969"/>
    <n v="13495"/>
    <n v="3356"/>
    <n v="2234"/>
    <n v="18834"/>
    <n v="15839"/>
    <n v="39159"/>
    <n v="1305.3"/>
    <n v="31568"/>
    <n v="1052.2666666666667"/>
    <n v="9046.9"/>
    <n v="4521.2"/>
    <n v="39159"/>
    <n v="31568"/>
    <m/>
    <m/>
    <n v="16798"/>
    <n v="6623"/>
    <n v="3064"/>
    <n v="3719"/>
    <n v="2381"/>
    <n v="7866"/>
    <n v="22243"/>
    <n v="24.714444444444446"/>
    <n v="18208"/>
    <n v="20.231111111111112"/>
    <m/>
    <m/>
    <n v="0"/>
    <n v="0"/>
    <m/>
    <m/>
    <m/>
    <n v="0"/>
    <m/>
    <n v="0"/>
    <m/>
    <n v="0"/>
    <n v="0"/>
    <n v="0"/>
    <n v="0"/>
    <n v="0"/>
    <n v="1330.0144444444445"/>
    <n v="1072.4977777777779"/>
  </r>
  <r>
    <x v="6"/>
    <s v="Sowela Technical Community College"/>
    <m/>
    <n v="160579"/>
    <x v="9"/>
    <s v="sem"/>
    <m/>
    <m/>
    <m/>
    <n v="32157"/>
    <n v="29656.5"/>
    <n v="4257"/>
    <n v="3941"/>
    <n v="34792.5"/>
    <n v="33785.5"/>
    <n v="71206.5"/>
    <n v="2373.5500000000002"/>
    <n v="67383"/>
    <n v="2246.1"/>
    <n v="6408"/>
    <n v="7012"/>
    <n v="71206.5"/>
    <n v="67383"/>
    <m/>
    <m/>
    <m/>
    <m/>
    <m/>
    <m/>
    <m/>
    <m/>
    <n v="0"/>
    <n v="0"/>
    <n v="0"/>
    <n v="0"/>
    <m/>
    <m/>
    <n v="0"/>
    <n v="0"/>
    <m/>
    <n v="0"/>
    <m/>
    <n v="0"/>
    <m/>
    <n v="0"/>
    <m/>
    <n v="0"/>
    <n v="0"/>
    <n v="0"/>
    <n v="0"/>
    <n v="0"/>
    <n v="2373.5500000000002"/>
    <n v="2246.1"/>
  </r>
  <r>
    <x v="7"/>
    <s v="University of Maryland College Park"/>
    <m/>
    <n v="163286"/>
    <x v="0"/>
    <s v="sem"/>
    <s v="sem"/>
    <n v="11706"/>
    <n v="12187"/>
    <n v="377263"/>
    <n v="381230"/>
    <n v="35388"/>
    <n v="32902"/>
    <n v="390187"/>
    <n v="403958"/>
    <n v="814544"/>
    <n v="27151.466666666667"/>
    <n v="830277"/>
    <n v="27675.9"/>
    <m/>
    <m/>
    <n v="0"/>
    <n v="0"/>
    <m/>
    <m/>
    <m/>
    <m/>
    <m/>
    <m/>
    <m/>
    <m/>
    <n v="0"/>
    <n v="0"/>
    <n v="0"/>
    <n v="0"/>
    <m/>
    <m/>
    <n v="0"/>
    <n v="0"/>
    <n v="3736.67"/>
    <n v="4562"/>
    <n v="65895"/>
    <n v="64817"/>
    <n v="11980"/>
    <n v="12337"/>
    <n v="75860.5"/>
    <n v="75841"/>
    <n v="157472.16999999998"/>
    <n v="6561.340416666666"/>
    <n v="157557"/>
    <n v="6564.875"/>
    <n v="33712.807083333333"/>
    <n v="34240.775000000001"/>
  </r>
  <r>
    <x v="7"/>
    <s v="Morgan State University"/>
    <m/>
    <n v="163453"/>
    <x v="1"/>
    <s v="sem"/>
    <s v="sem"/>
    <n v="2075"/>
    <n v="2134"/>
    <n v="83801"/>
    <n v="84047"/>
    <n v="7649"/>
    <n v="8407"/>
    <n v="89874"/>
    <n v="89712"/>
    <n v="183399"/>
    <n v="6113.3"/>
    <n v="184300"/>
    <n v="6143.333333333333"/>
    <m/>
    <m/>
    <n v="0"/>
    <n v="0"/>
    <m/>
    <m/>
    <m/>
    <m/>
    <m/>
    <m/>
    <m/>
    <m/>
    <n v="0"/>
    <n v="0"/>
    <n v="0"/>
    <n v="0"/>
    <m/>
    <m/>
    <n v="0"/>
    <n v="0"/>
    <n v="78"/>
    <n v="45"/>
    <n v="11704"/>
    <n v="12410"/>
    <n v="872"/>
    <n v="719"/>
    <n v="12919"/>
    <n v="12235"/>
    <n v="25573"/>
    <n v="1065.5416666666667"/>
    <n v="25409"/>
    <n v="1058.7083333333333"/>
    <n v="7178.8416666666672"/>
    <n v="7202.0416666666661"/>
  </r>
  <r>
    <x v="7"/>
    <s v="University of Maryland, Baltimore County"/>
    <m/>
    <n v="163268"/>
    <x v="1"/>
    <s v="sem"/>
    <s v="sem"/>
    <n v="6027.5"/>
    <n v="5969"/>
    <n v="143985"/>
    <n v="143143"/>
    <n v="18062"/>
    <n v="18311"/>
    <n v="151874"/>
    <n v="150444"/>
    <n v="319948.5"/>
    <n v="10664.95"/>
    <n v="317867"/>
    <n v="10595.566666666668"/>
    <m/>
    <m/>
    <n v="0"/>
    <n v="0"/>
    <m/>
    <m/>
    <m/>
    <m/>
    <m/>
    <m/>
    <m/>
    <m/>
    <n v="0"/>
    <n v="0"/>
    <n v="0"/>
    <n v="0"/>
    <m/>
    <m/>
    <n v="0"/>
    <n v="0"/>
    <n v="103"/>
    <n v="119"/>
    <n v="16145"/>
    <n v="15674"/>
    <n v="2723"/>
    <n v="2862"/>
    <n v="16145"/>
    <n v="15807"/>
    <n v="35116"/>
    <n v="1463.1666666666667"/>
    <n v="34462"/>
    <n v="1435.9166666666667"/>
    <n v="12128.116666666667"/>
    <n v="12031.483333333334"/>
  </r>
  <r>
    <x v="7"/>
    <s v="Towson University "/>
    <m/>
    <n v="164076"/>
    <x v="2"/>
    <s v="sem"/>
    <s v="sem"/>
    <n v="7494"/>
    <n v="6911"/>
    <n v="245823.5"/>
    <n v="248345"/>
    <n v="27673"/>
    <n v="25225"/>
    <n v="260805"/>
    <n v="261437"/>
    <n v="541795.5"/>
    <n v="18059.849999999999"/>
    <n v="541918"/>
    <n v="18063.933333333334"/>
    <m/>
    <m/>
    <n v="0"/>
    <n v="0"/>
    <m/>
    <m/>
    <m/>
    <m/>
    <m/>
    <m/>
    <m/>
    <m/>
    <n v="0"/>
    <n v="0"/>
    <n v="0"/>
    <n v="0"/>
    <m/>
    <m/>
    <n v="0"/>
    <n v="0"/>
    <n v="1043.5"/>
    <n v="950"/>
    <n v="18722.5"/>
    <n v="18564"/>
    <n v="6894.5"/>
    <n v="6580"/>
    <n v="19442"/>
    <n v="19326"/>
    <n v="46102.5"/>
    <n v="1920.9375"/>
    <n v="45420"/>
    <n v="1892.5"/>
    <n v="19980.787499999999"/>
    <n v="19956.433333333334"/>
  </r>
  <r>
    <x v="7"/>
    <s v="Bowie State University "/>
    <m/>
    <n v="162007"/>
    <x v="3"/>
    <s v="sem"/>
    <s v="sem"/>
    <n v="1404"/>
    <n v="1416"/>
    <n v="55084"/>
    <n v="52766"/>
    <n v="5201"/>
    <n v="7469"/>
    <n v="57786"/>
    <n v="63786"/>
    <n v="119475"/>
    <n v="3982.5"/>
    <n v="125437"/>
    <n v="4181.2333333333336"/>
    <m/>
    <m/>
    <n v="0"/>
    <n v="0"/>
    <m/>
    <m/>
    <m/>
    <m/>
    <m/>
    <m/>
    <m/>
    <m/>
    <n v="0"/>
    <n v="0"/>
    <n v="0"/>
    <n v="0"/>
    <m/>
    <m/>
    <n v="0"/>
    <n v="0"/>
    <n v="222"/>
    <n v="123"/>
    <n v="8306"/>
    <n v="7048"/>
    <n v="1220"/>
    <n v="1073"/>
    <n v="7814"/>
    <n v="6525"/>
    <n v="17562"/>
    <n v="731.75"/>
    <n v="14769"/>
    <n v="615.375"/>
    <n v="4714.25"/>
    <n v="4796.6083333333336"/>
  </r>
  <r>
    <x v="7"/>
    <s v="Frostburg State University "/>
    <m/>
    <n v="162584"/>
    <x v="3"/>
    <s v="sem"/>
    <s v="sem"/>
    <n v="2262"/>
    <n v="2384"/>
    <n v="60977"/>
    <n v="61265"/>
    <n v="6296"/>
    <n v="5929"/>
    <n v="66510"/>
    <n v="65798"/>
    <n v="136045"/>
    <n v="4534.833333333333"/>
    <n v="135376"/>
    <n v="4512.5333333333338"/>
    <m/>
    <m/>
    <n v="0"/>
    <n v="0"/>
    <m/>
    <m/>
    <m/>
    <m/>
    <m/>
    <m/>
    <m/>
    <m/>
    <n v="0"/>
    <n v="0"/>
    <n v="0"/>
    <n v="0"/>
    <m/>
    <m/>
    <n v="0"/>
    <n v="0"/>
    <n v="357"/>
    <n v="384"/>
    <n v="4214"/>
    <n v="4773"/>
    <n v="2657"/>
    <n v="2591"/>
    <n v="4925"/>
    <n v="4845"/>
    <n v="12153"/>
    <n v="506.375"/>
    <n v="12593"/>
    <n v="524.70833333333337"/>
    <n v="5041.208333333333"/>
    <n v="5037.2416666666668"/>
  </r>
  <r>
    <x v="7"/>
    <s v="Salisbury University "/>
    <m/>
    <n v="163851"/>
    <x v="3"/>
    <s v="sem"/>
    <s v="sem"/>
    <n v="6146"/>
    <n v="5696"/>
    <n v="107618"/>
    <n v="107136"/>
    <n v="6727"/>
    <n v="6878"/>
    <n v="111842"/>
    <n v="112826"/>
    <n v="232333"/>
    <n v="7744.4333333333334"/>
    <n v="232536"/>
    <n v="7751.2"/>
    <m/>
    <m/>
    <n v="0"/>
    <n v="0"/>
    <m/>
    <m/>
    <m/>
    <m/>
    <m/>
    <m/>
    <m/>
    <m/>
    <n v="0"/>
    <n v="0"/>
    <n v="0"/>
    <n v="0"/>
    <m/>
    <m/>
    <n v="0"/>
    <n v="0"/>
    <n v="398"/>
    <n v="286"/>
    <n v="5306"/>
    <n v="5775"/>
    <n v="1569"/>
    <n v="1788"/>
    <n v="6261"/>
    <n v="6650"/>
    <n v="13534"/>
    <n v="563.91666666666663"/>
    <n v="14499"/>
    <n v="604.125"/>
    <n v="8308.35"/>
    <n v="8355.3250000000007"/>
  </r>
  <r>
    <x v="7"/>
    <s v="University of Baltimore"/>
    <s v="Reclassified: Met the criteria for Four-Year 3 in 2014-15 and 2015-16 and 2016-17."/>
    <n v="161873"/>
    <x v="2"/>
    <s v="sem"/>
    <s v="sem"/>
    <n v="195"/>
    <n v="354"/>
    <n v="34155"/>
    <n v="33843"/>
    <n v="4533"/>
    <n v="4285"/>
    <n v="36138"/>
    <n v="35100"/>
    <n v="75021"/>
    <n v="2500.6999999999998"/>
    <n v="73582"/>
    <n v="2452.7333333333331"/>
    <m/>
    <m/>
    <n v="0"/>
    <n v="0"/>
    <m/>
    <m/>
    <m/>
    <m/>
    <m/>
    <m/>
    <m/>
    <m/>
    <n v="0"/>
    <n v="0"/>
    <n v="0"/>
    <n v="0"/>
    <m/>
    <m/>
    <n v="0"/>
    <n v="0"/>
    <n v="143.5"/>
    <n v="279"/>
    <n v="23219"/>
    <n v="21486"/>
    <n v="3686"/>
    <n v="3349"/>
    <n v="22496"/>
    <n v="21861"/>
    <n v="49544.5"/>
    <n v="2064.3541666666665"/>
    <n v="46975"/>
    <n v="1957.2916666666667"/>
    <n v="4565.0541666666668"/>
    <n v="4410.0249999999996"/>
  </r>
  <r>
    <x v="7"/>
    <s v="University of Maryland Eastern Shore "/>
    <m/>
    <n v="163338"/>
    <x v="3"/>
    <s v="sem"/>
    <s v="sem"/>
    <n v="1469"/>
    <n v="1101"/>
    <n v="46095.5"/>
    <n v="46378"/>
    <n v="3472"/>
    <n v="2981"/>
    <n v="53515"/>
    <n v="46793"/>
    <n v="104551.5"/>
    <n v="3485.05"/>
    <n v="97253"/>
    <n v="3241.7666666666669"/>
    <m/>
    <m/>
    <n v="0"/>
    <n v="0"/>
    <m/>
    <m/>
    <m/>
    <m/>
    <m/>
    <m/>
    <m/>
    <m/>
    <n v="0"/>
    <n v="0"/>
    <n v="0"/>
    <n v="0"/>
    <m/>
    <m/>
    <n v="0"/>
    <n v="0"/>
    <n v="451"/>
    <n v="276"/>
    <n v="8683.5"/>
    <n v="8004"/>
    <n v="2380"/>
    <n v="1251"/>
    <n v="10308.5"/>
    <n v="8485"/>
    <n v="21823"/>
    <n v="909.29166666666663"/>
    <n v="18016"/>
    <n v="750.66666666666663"/>
    <n v="4394.3416666666672"/>
    <n v="3992.4333333333334"/>
  </r>
  <r>
    <x v="7"/>
    <s v="Coppin State University"/>
    <m/>
    <n v="162283"/>
    <x v="4"/>
    <s v="sem"/>
    <s v="sem"/>
    <n v="378"/>
    <n v="345"/>
    <n v="33126"/>
    <n v="30929"/>
    <n v="2533"/>
    <n v="2778"/>
    <n v="34063"/>
    <n v="32558"/>
    <n v="70100"/>
    <n v="2336.6666666666665"/>
    <n v="66610"/>
    <n v="2220.3333333333335"/>
    <m/>
    <m/>
    <n v="0"/>
    <n v="0"/>
    <m/>
    <m/>
    <m/>
    <m/>
    <m/>
    <m/>
    <m/>
    <m/>
    <n v="0"/>
    <n v="0"/>
    <n v="0"/>
    <n v="0"/>
    <m/>
    <m/>
    <n v="0"/>
    <n v="0"/>
    <n v="125"/>
    <n v="55"/>
    <n v="2936"/>
    <n v="2936"/>
    <n v="361"/>
    <n v="361"/>
    <n v="2530"/>
    <n v="2530"/>
    <n v="5952"/>
    <n v="248"/>
    <n v="5882"/>
    <n v="245.08333333333334"/>
    <n v="2584.6666666666665"/>
    <n v="2465.416666666667"/>
  </r>
  <r>
    <x v="7"/>
    <s v="Saint Mary's College of Maryland"/>
    <m/>
    <n v="163912"/>
    <x v="5"/>
    <s v="sem"/>
    <s v="sem"/>
    <n v="0"/>
    <n v="0"/>
    <n v="25617"/>
    <n v="24903"/>
    <n v="1243"/>
    <n v="1346"/>
    <n v="26724.5"/>
    <n v="24994"/>
    <n v="53584.5"/>
    <n v="1786.15"/>
    <n v="51243"/>
    <n v="1708.1"/>
    <m/>
    <m/>
    <n v="0"/>
    <n v="0"/>
    <m/>
    <m/>
    <m/>
    <m/>
    <m/>
    <m/>
    <m/>
    <m/>
    <n v="0"/>
    <n v="0"/>
    <n v="0"/>
    <n v="0"/>
    <m/>
    <m/>
    <n v="0"/>
    <n v="0"/>
    <n v="0"/>
    <n v="0"/>
    <n v="544"/>
    <n v="465"/>
    <n v="436"/>
    <n v="474"/>
    <n v="360"/>
    <n v="417"/>
    <n v="1340"/>
    <n v="55.833333333333336"/>
    <n v="1356"/>
    <n v="56.5"/>
    <n v="1841.9833333333333"/>
    <n v="1764.6"/>
  </r>
  <r>
    <x v="7"/>
    <s v="Anne Arundel Community College "/>
    <m/>
    <n v="161767"/>
    <x v="6"/>
    <s v="sem"/>
    <s v="sem"/>
    <n v="4126"/>
    <n v="3465"/>
    <n v="114128"/>
    <n v="105823"/>
    <n v="26327"/>
    <n v="25845"/>
    <n v="123028"/>
    <n v="115025"/>
    <n v="267609"/>
    <n v="8920.2999999999993"/>
    <n v="250158"/>
    <n v="8338.6"/>
    <m/>
    <m/>
    <n v="0"/>
    <n v="0"/>
    <m/>
    <m/>
    <m/>
    <m/>
    <m/>
    <m/>
    <m/>
    <m/>
    <n v="0"/>
    <n v="0"/>
    <n v="0"/>
    <n v="0"/>
    <m/>
    <m/>
    <n v="0"/>
    <n v="0"/>
    <n v="0"/>
    <m/>
    <n v="0"/>
    <m/>
    <n v="0"/>
    <m/>
    <n v="0"/>
    <m/>
    <n v="0"/>
    <n v="0"/>
    <n v="0"/>
    <n v="0"/>
    <n v="8920.2999999999993"/>
    <n v="8338.6"/>
  </r>
  <r>
    <x v="7"/>
    <s v="College of Southern Maryland"/>
    <m/>
    <n v="162122"/>
    <x v="6"/>
    <s v="sem"/>
    <s v="sem"/>
    <n v="756"/>
    <n v="0"/>
    <n v="66488"/>
    <n v="66348"/>
    <n v="16164"/>
    <n v="14597"/>
    <n v="72018"/>
    <n v="69339"/>
    <n v="155426"/>
    <n v="5180.8666666666668"/>
    <n v="150284"/>
    <n v="5009.4666666666662"/>
    <m/>
    <m/>
    <n v="0"/>
    <n v="0"/>
    <m/>
    <m/>
    <m/>
    <m/>
    <m/>
    <m/>
    <m/>
    <m/>
    <n v="0"/>
    <n v="0"/>
    <n v="0"/>
    <n v="0"/>
    <m/>
    <m/>
    <n v="0"/>
    <n v="0"/>
    <n v="0"/>
    <m/>
    <n v="0"/>
    <m/>
    <n v="0"/>
    <m/>
    <n v="0"/>
    <m/>
    <n v="0"/>
    <n v="0"/>
    <n v="0"/>
    <n v="0"/>
    <n v="5180.8666666666668"/>
    <n v="5009.4666666666662"/>
  </r>
  <r>
    <x v="7"/>
    <s v="Community College of Baltimore County (all campuses)"/>
    <m/>
    <n v="434672"/>
    <x v="6"/>
    <s v="sem"/>
    <s v="sem"/>
    <n v="10186"/>
    <n v="10568"/>
    <n v="172054"/>
    <n v="157773"/>
    <n v="35074"/>
    <n v="33780"/>
    <n v="186083"/>
    <n v="177591"/>
    <n v="403397"/>
    <n v="13446.566666666668"/>
    <n v="379712"/>
    <n v="12657.066666666668"/>
    <m/>
    <m/>
    <n v="0"/>
    <n v="0"/>
    <m/>
    <m/>
    <m/>
    <m/>
    <m/>
    <m/>
    <m/>
    <m/>
    <n v="0"/>
    <n v="0"/>
    <n v="0"/>
    <n v="0"/>
    <m/>
    <m/>
    <n v="0"/>
    <n v="0"/>
    <n v="0"/>
    <m/>
    <n v="0"/>
    <m/>
    <n v="0"/>
    <m/>
    <n v="0"/>
    <m/>
    <n v="0"/>
    <n v="0"/>
    <n v="0"/>
    <n v="0"/>
    <n v="13446.566666666668"/>
    <n v="12657.066666666668"/>
  </r>
  <r>
    <x v="7"/>
    <s v="Howard Community College "/>
    <m/>
    <n v="162779"/>
    <x v="6"/>
    <s v="sem"/>
    <s v="sem"/>
    <n v="5774"/>
    <n v="6133"/>
    <n v="80487"/>
    <n v="77796"/>
    <n v="19593"/>
    <n v="18814"/>
    <n v="87944"/>
    <n v="86417"/>
    <n v="193798"/>
    <n v="6459.9333333333334"/>
    <n v="189160"/>
    <n v="6305.333333333333"/>
    <m/>
    <m/>
    <n v="0"/>
    <n v="0"/>
    <m/>
    <m/>
    <m/>
    <m/>
    <m/>
    <m/>
    <m/>
    <m/>
    <n v="0"/>
    <n v="0"/>
    <n v="0"/>
    <n v="0"/>
    <m/>
    <m/>
    <n v="0"/>
    <n v="0"/>
    <n v="0"/>
    <m/>
    <n v="0"/>
    <m/>
    <n v="0"/>
    <m/>
    <n v="0"/>
    <m/>
    <n v="0"/>
    <n v="0"/>
    <n v="0"/>
    <n v="0"/>
    <n v="6459.9333333333334"/>
    <n v="6305.333333333333"/>
  </r>
  <r>
    <x v="7"/>
    <s v="Montgomery College (all campuses)"/>
    <m/>
    <n v="163426"/>
    <x v="6"/>
    <s v="sem"/>
    <s v="sem"/>
    <n v="4395"/>
    <n v="4344"/>
    <n v="273244"/>
    <n v="262757"/>
    <n v="147032"/>
    <n v="162290"/>
    <n v="272828"/>
    <n v="262525"/>
    <n v="697499"/>
    <n v="23249.966666666667"/>
    <n v="691916"/>
    <n v="23063.866666666665"/>
    <m/>
    <m/>
    <n v="0"/>
    <n v="0"/>
    <m/>
    <m/>
    <m/>
    <m/>
    <m/>
    <m/>
    <m/>
    <m/>
    <n v="0"/>
    <n v="0"/>
    <n v="0"/>
    <n v="0"/>
    <m/>
    <m/>
    <n v="0"/>
    <n v="0"/>
    <n v="0"/>
    <m/>
    <n v="0"/>
    <m/>
    <n v="0"/>
    <m/>
    <n v="0"/>
    <m/>
    <n v="0"/>
    <n v="0"/>
    <n v="0"/>
    <n v="0"/>
    <n v="23249.966666666667"/>
    <n v="23063.866666666665"/>
  </r>
  <r>
    <x v="7"/>
    <s v="Prince George's Community College "/>
    <m/>
    <n v="163657"/>
    <x v="6"/>
    <s v="sem"/>
    <s v="sem"/>
    <n v="0"/>
    <n v="0"/>
    <n v="139262"/>
    <n v="168960"/>
    <n v="46865"/>
    <n v="22237"/>
    <n v="109520"/>
    <n v="93208"/>
    <n v="295647"/>
    <n v="9854.9"/>
    <n v="284405"/>
    <n v="9480.1666666666661"/>
    <m/>
    <m/>
    <n v="0"/>
    <n v="0"/>
    <m/>
    <m/>
    <m/>
    <m/>
    <m/>
    <m/>
    <m/>
    <m/>
    <n v="0"/>
    <n v="0"/>
    <n v="0"/>
    <n v="0"/>
    <m/>
    <m/>
    <n v="0"/>
    <n v="0"/>
    <n v="0"/>
    <m/>
    <n v="0"/>
    <m/>
    <n v="0"/>
    <m/>
    <n v="0"/>
    <m/>
    <n v="0"/>
    <n v="0"/>
    <n v="0"/>
    <n v="0"/>
    <n v="9854.9"/>
    <n v="9480.1666666666661"/>
  </r>
  <r>
    <x v="7"/>
    <s v="Allegany College of Maryland"/>
    <s v="Met the criteria for Two-Year 3 in 2016-17."/>
    <n v="161688"/>
    <x v="7"/>
    <s v="sem"/>
    <s v="sem"/>
    <n v="0"/>
    <n v="0"/>
    <n v="29419"/>
    <n v="26824"/>
    <n v="4152"/>
    <n v="3918"/>
    <n v="30775"/>
    <n v="28084"/>
    <n v="64346"/>
    <n v="2144.8666666666668"/>
    <n v="58826"/>
    <n v="1960.8666666666666"/>
    <m/>
    <m/>
    <n v="0"/>
    <n v="0"/>
    <m/>
    <m/>
    <m/>
    <m/>
    <m/>
    <m/>
    <m/>
    <m/>
    <n v="0"/>
    <n v="0"/>
    <n v="0"/>
    <n v="0"/>
    <m/>
    <m/>
    <n v="0"/>
    <n v="0"/>
    <n v="0"/>
    <m/>
    <n v="0"/>
    <m/>
    <n v="0"/>
    <m/>
    <n v="0"/>
    <m/>
    <n v="0"/>
    <n v="0"/>
    <n v="0"/>
    <n v="0"/>
    <n v="2144.8666666666668"/>
    <n v="1960.8666666666666"/>
  </r>
  <r>
    <x v="7"/>
    <s v="Baltimore City Community College"/>
    <m/>
    <n v="161864"/>
    <x v="7"/>
    <s v="sem"/>
    <s v="sem"/>
    <n v="1355"/>
    <n v="1095"/>
    <n v="1989"/>
    <n v="37813"/>
    <n v="6946"/>
    <n v="5807"/>
    <n v="37261"/>
    <n v="35711"/>
    <n v="47551"/>
    <n v="1585.0333333333333"/>
    <n v="80426"/>
    <n v="2680.8666666666668"/>
    <m/>
    <m/>
    <n v="0"/>
    <n v="0"/>
    <m/>
    <m/>
    <m/>
    <m/>
    <m/>
    <m/>
    <m/>
    <m/>
    <n v="0"/>
    <n v="0"/>
    <n v="0"/>
    <n v="0"/>
    <m/>
    <m/>
    <n v="0"/>
    <n v="0"/>
    <n v="0"/>
    <m/>
    <n v="0"/>
    <m/>
    <n v="0"/>
    <m/>
    <n v="0"/>
    <m/>
    <n v="0"/>
    <n v="0"/>
    <n v="0"/>
    <n v="0"/>
    <n v="1585.0333333333333"/>
    <n v="2680.8666666666668"/>
  </r>
  <r>
    <x v="7"/>
    <s v="Carroll Community College"/>
    <m/>
    <n v="405872"/>
    <x v="7"/>
    <s v="sem"/>
    <s v="sem"/>
    <n v="2102"/>
    <n v="2178"/>
    <n v="28476"/>
    <n v="27449"/>
    <n v="5781"/>
    <n v="5621"/>
    <n v="32628"/>
    <n v="30510"/>
    <n v="68987"/>
    <n v="2299.5666666666666"/>
    <n v="65758"/>
    <n v="2191.9333333333334"/>
    <m/>
    <m/>
    <n v="0"/>
    <n v="0"/>
    <m/>
    <m/>
    <m/>
    <m/>
    <m/>
    <m/>
    <m/>
    <m/>
    <n v="0"/>
    <n v="0"/>
    <n v="0"/>
    <n v="0"/>
    <m/>
    <m/>
    <n v="0"/>
    <n v="0"/>
    <n v="0"/>
    <m/>
    <n v="0"/>
    <m/>
    <n v="0"/>
    <m/>
    <n v="0"/>
    <m/>
    <n v="0"/>
    <n v="0"/>
    <n v="0"/>
    <n v="0"/>
    <n v="2299.5666666666666"/>
    <n v="2191.9333333333334"/>
  </r>
  <r>
    <x v="7"/>
    <s v="Frederick Community College "/>
    <m/>
    <n v="162557"/>
    <x v="7"/>
    <s v="sem"/>
    <s v="sem"/>
    <n v="1960"/>
    <n v="1385"/>
    <n v="48502"/>
    <n v="48938"/>
    <n v="9911"/>
    <n v="9943"/>
    <n v="52299"/>
    <n v="51989"/>
    <n v="112672"/>
    <n v="3755.7333333333331"/>
    <n v="112255"/>
    <n v="3741.8333333333335"/>
    <m/>
    <m/>
    <n v="0"/>
    <n v="0"/>
    <m/>
    <m/>
    <m/>
    <m/>
    <m/>
    <m/>
    <m/>
    <m/>
    <n v="0"/>
    <n v="0"/>
    <n v="0"/>
    <n v="0"/>
    <m/>
    <m/>
    <n v="0"/>
    <n v="0"/>
    <n v="0"/>
    <m/>
    <n v="0"/>
    <m/>
    <n v="0"/>
    <m/>
    <n v="0"/>
    <m/>
    <n v="0"/>
    <n v="0"/>
    <n v="0"/>
    <n v="0"/>
    <n v="3755.7333333333331"/>
    <n v="3741.8333333333335"/>
  </r>
  <r>
    <x v="7"/>
    <s v="Hagerstown Community College "/>
    <m/>
    <n v="162690"/>
    <x v="7"/>
    <s v="sem"/>
    <s v="sem"/>
    <n v="0"/>
    <n v="0"/>
    <n v="36565"/>
    <n v="33752"/>
    <n v="10858"/>
    <n v="9623"/>
    <n v="38221"/>
    <n v="36674"/>
    <n v="85644"/>
    <n v="2854.8"/>
    <n v="80049"/>
    <n v="2668.3"/>
    <m/>
    <m/>
    <n v="0"/>
    <n v="0"/>
    <m/>
    <m/>
    <m/>
    <m/>
    <m/>
    <m/>
    <m/>
    <m/>
    <n v="0"/>
    <n v="0"/>
    <n v="0"/>
    <n v="0"/>
    <m/>
    <m/>
    <n v="0"/>
    <n v="0"/>
    <n v="0"/>
    <m/>
    <n v="0"/>
    <m/>
    <n v="0"/>
    <m/>
    <n v="0"/>
    <m/>
    <n v="0"/>
    <n v="0"/>
    <n v="0"/>
    <n v="0"/>
    <n v="2854.8"/>
    <n v="2668.3"/>
  </r>
  <r>
    <x v="7"/>
    <s v="Harford Community College "/>
    <m/>
    <n v="162706"/>
    <x v="7"/>
    <s v="sem"/>
    <s v="sem"/>
    <n v="2572"/>
    <n v="2721"/>
    <n v="51761"/>
    <n v="48875"/>
    <n v="11043"/>
    <n v="10332"/>
    <n v="56953"/>
    <n v="52277"/>
    <n v="122329"/>
    <n v="4077.6333333333332"/>
    <n v="114205"/>
    <n v="3806.8333333333335"/>
    <m/>
    <m/>
    <n v="0"/>
    <n v="0"/>
    <m/>
    <m/>
    <m/>
    <m/>
    <m/>
    <m/>
    <m/>
    <m/>
    <n v="0"/>
    <n v="0"/>
    <n v="0"/>
    <n v="0"/>
    <m/>
    <m/>
    <n v="0"/>
    <n v="0"/>
    <n v="0"/>
    <m/>
    <n v="0"/>
    <m/>
    <n v="0"/>
    <m/>
    <n v="0"/>
    <m/>
    <n v="0"/>
    <n v="0"/>
    <n v="0"/>
    <n v="0"/>
    <n v="4077.6333333333332"/>
    <n v="3806.8333333333335"/>
  </r>
  <r>
    <x v="7"/>
    <s v="Wor-Wic Community College "/>
    <s v="Reclassified: Met the criteria for Two-Year 3 in 2014-15 and 2015-16 and 2016-17."/>
    <n v="164313"/>
    <x v="8"/>
    <s v="sem"/>
    <s v="sem"/>
    <n v="0"/>
    <n v="0"/>
    <n v="25222"/>
    <n v="23368"/>
    <n v="5400.5"/>
    <n v="5224"/>
    <n v="26871.5"/>
    <n v="26096"/>
    <n v="57494"/>
    <n v="1916.4666666666667"/>
    <n v="54688"/>
    <n v="1822.9333333333334"/>
    <m/>
    <m/>
    <n v="0"/>
    <n v="0"/>
    <m/>
    <m/>
    <m/>
    <m/>
    <m/>
    <m/>
    <m/>
    <m/>
    <n v="0"/>
    <n v="0"/>
    <n v="0"/>
    <n v="0"/>
    <m/>
    <m/>
    <n v="0"/>
    <n v="0"/>
    <n v="0"/>
    <m/>
    <n v="0"/>
    <m/>
    <n v="0"/>
    <m/>
    <n v="0"/>
    <m/>
    <n v="0"/>
    <n v="0"/>
    <n v="0"/>
    <n v="0"/>
    <n v="1916.4666666666667"/>
    <n v="1822.9333333333334"/>
  </r>
  <r>
    <x v="7"/>
    <s v="Cecil Community College "/>
    <m/>
    <n v="162104"/>
    <x v="8"/>
    <s v="sem"/>
    <s v="sem"/>
    <n v="0"/>
    <n v="0"/>
    <n v="20787"/>
    <n v="21018"/>
    <n v="3363"/>
    <n v="3358"/>
    <n v="23498"/>
    <n v="23337"/>
    <n v="47648"/>
    <n v="1588.2666666666667"/>
    <n v="47713"/>
    <n v="1590.4333333333334"/>
    <m/>
    <m/>
    <n v="0"/>
    <n v="0"/>
    <m/>
    <m/>
    <m/>
    <m/>
    <m/>
    <m/>
    <m/>
    <m/>
    <n v="0"/>
    <n v="0"/>
    <n v="0"/>
    <n v="0"/>
    <m/>
    <m/>
    <n v="0"/>
    <n v="0"/>
    <n v="0"/>
    <m/>
    <n v="0"/>
    <m/>
    <n v="0"/>
    <m/>
    <n v="0"/>
    <m/>
    <n v="0"/>
    <n v="0"/>
    <n v="0"/>
    <n v="0"/>
    <n v="1588.2666666666667"/>
    <n v="1590.4333333333334"/>
  </r>
  <r>
    <x v="7"/>
    <s v="Chesapeake College "/>
    <m/>
    <n v="162168"/>
    <x v="8"/>
    <s v="sem"/>
    <s v="sem"/>
    <n v="26"/>
    <n v="454"/>
    <n v="18105"/>
    <n v="16892"/>
    <n v="2159"/>
    <n v="2110"/>
    <n v="19479"/>
    <n v="18256"/>
    <n v="39769"/>
    <n v="1325.6333333333334"/>
    <n v="37712"/>
    <n v="1257.0666666666666"/>
    <m/>
    <m/>
    <n v="0"/>
    <n v="0"/>
    <m/>
    <m/>
    <m/>
    <m/>
    <m/>
    <m/>
    <m/>
    <m/>
    <n v="0"/>
    <n v="0"/>
    <n v="0"/>
    <n v="0"/>
    <m/>
    <m/>
    <n v="0"/>
    <n v="0"/>
    <n v="0"/>
    <m/>
    <n v="0"/>
    <m/>
    <n v="0"/>
    <m/>
    <n v="0"/>
    <m/>
    <n v="0"/>
    <n v="0"/>
    <n v="0"/>
    <n v="0"/>
    <n v="1325.6333333333334"/>
    <n v="1257.0666666666666"/>
  </r>
  <r>
    <x v="7"/>
    <s v="Garrett College "/>
    <m/>
    <n v="162609"/>
    <x v="8"/>
    <s v="sem"/>
    <s v="sem"/>
    <n v="269"/>
    <n v="292"/>
    <n v="7814.5"/>
    <n v="8124"/>
    <n v="522"/>
    <n v="437"/>
    <n v="8948.25"/>
    <n v="8612"/>
    <n v="17553.75"/>
    <n v="585.125"/>
    <n v="17465"/>
    <n v="582.16666666666663"/>
    <m/>
    <m/>
    <n v="0"/>
    <n v="0"/>
    <m/>
    <m/>
    <m/>
    <m/>
    <m/>
    <m/>
    <m/>
    <m/>
    <n v="0"/>
    <n v="0"/>
    <n v="0"/>
    <n v="0"/>
    <m/>
    <m/>
    <n v="0"/>
    <n v="0"/>
    <n v="0"/>
    <m/>
    <n v="0"/>
    <m/>
    <n v="0"/>
    <m/>
    <n v="0"/>
    <m/>
    <n v="0"/>
    <n v="0"/>
    <n v="0"/>
    <n v="0"/>
    <n v="585.125"/>
    <n v="582.16666666666663"/>
  </r>
  <r>
    <x v="8"/>
    <s v="Mississippi State University"/>
    <m/>
    <n v="176080"/>
    <x v="0"/>
    <s v="sem"/>
    <m/>
    <m/>
    <m/>
    <n v="202872"/>
    <n v="212336"/>
    <n v="33293"/>
    <n v="32759"/>
    <n v="232457"/>
    <n v="251904"/>
    <n v="468622"/>
    <n v="15620.733333333334"/>
    <n v="496999"/>
    <n v="16566.633333333335"/>
    <m/>
    <m/>
    <n v="0"/>
    <n v="0"/>
    <m/>
    <m/>
    <m/>
    <m/>
    <m/>
    <m/>
    <m/>
    <m/>
    <n v="0"/>
    <n v="0"/>
    <n v="0"/>
    <n v="0"/>
    <m/>
    <m/>
    <n v="0"/>
    <n v="0"/>
    <m/>
    <m/>
    <n v="21512"/>
    <n v="21485"/>
    <n v="10197"/>
    <n v="11124"/>
    <n v="22031"/>
    <n v="22509"/>
    <n v="53740"/>
    <n v="2239.1666666666665"/>
    <n v="55118"/>
    <n v="2296.5833333333335"/>
    <n v="17859.900000000001"/>
    <n v="18863.216666666667"/>
  </r>
  <r>
    <x v="8"/>
    <s v="University of Southern Mississippi"/>
    <m/>
    <n v="176372"/>
    <x v="0"/>
    <s v="sem"/>
    <m/>
    <m/>
    <m/>
    <n v="142610"/>
    <n v="139032"/>
    <n v="28387"/>
    <n v="26771"/>
    <n v="154765"/>
    <n v="157208"/>
    <n v="325762"/>
    <n v="10858.733333333334"/>
    <n v="323011"/>
    <n v="10767.033333333333"/>
    <m/>
    <m/>
    <n v="0"/>
    <n v="0"/>
    <m/>
    <m/>
    <m/>
    <m/>
    <m/>
    <m/>
    <m/>
    <m/>
    <n v="0"/>
    <n v="0"/>
    <n v="0"/>
    <n v="0"/>
    <m/>
    <m/>
    <n v="0"/>
    <n v="0"/>
    <m/>
    <m/>
    <n v="19964"/>
    <n v="20580"/>
    <n v="10283"/>
    <n v="10592"/>
    <n v="21356"/>
    <n v="21817"/>
    <n v="51603"/>
    <n v="2150.125"/>
    <n v="52989"/>
    <n v="2207.875"/>
    <n v="13008.858333333334"/>
    <n v="12974.908333333333"/>
  </r>
  <r>
    <x v="8"/>
    <s v="Jackson State University "/>
    <m/>
    <n v="175856"/>
    <x v="1"/>
    <s v="sem"/>
    <m/>
    <m/>
    <m/>
    <n v="73061"/>
    <n v="76148"/>
    <n v="10441"/>
    <n v="11041"/>
    <n v="82199"/>
    <n v="82855"/>
    <n v="165701"/>
    <n v="5523.3666666666668"/>
    <n v="170044"/>
    <n v="5668.1333333333332"/>
    <m/>
    <m/>
    <n v="0"/>
    <n v="0"/>
    <m/>
    <m/>
    <m/>
    <m/>
    <m/>
    <m/>
    <m/>
    <m/>
    <n v="0"/>
    <n v="0"/>
    <n v="0"/>
    <n v="0"/>
    <m/>
    <m/>
    <n v="0"/>
    <n v="0"/>
    <m/>
    <m/>
    <n v="14119.5"/>
    <n v="14089"/>
    <n v="5180"/>
    <n v="5150"/>
    <n v="14768"/>
    <n v="14838"/>
    <n v="34067.5"/>
    <n v="1419.4791666666667"/>
    <n v="34077"/>
    <n v="1419.875"/>
    <n v="6942.8458333333338"/>
    <n v="7088.0083333333332"/>
  </r>
  <r>
    <x v="8"/>
    <s v="University of Mississippi"/>
    <s v="Met the criteria for Four-Year 1 in 2015-16 and 2016-17."/>
    <n v="176017"/>
    <x v="1"/>
    <s v="sem"/>
    <m/>
    <m/>
    <m/>
    <n v="235083"/>
    <n v="245804"/>
    <n v="48274"/>
    <n v="47716"/>
    <n v="251542"/>
    <n v="265539"/>
    <n v="534899"/>
    <n v="17829.966666666667"/>
    <n v="559059"/>
    <n v="18635.3"/>
    <m/>
    <m/>
    <n v="0"/>
    <n v="0"/>
    <m/>
    <m/>
    <m/>
    <m/>
    <m/>
    <m/>
    <m/>
    <m/>
    <n v="0"/>
    <n v="0"/>
    <n v="0"/>
    <n v="0"/>
    <m/>
    <m/>
    <n v="0"/>
    <n v="0"/>
    <m/>
    <m/>
    <n v="27885"/>
    <n v="27459"/>
    <n v="10125"/>
    <n v="10423"/>
    <n v="27545"/>
    <n v="27787"/>
    <n v="65555"/>
    <n v="2731.4583333333335"/>
    <n v="65669"/>
    <n v="2736.2083333333335"/>
    <n v="20561.424999999999"/>
    <n v="21371.508333333331"/>
  </r>
  <r>
    <x v="8"/>
    <s v="Alcorn State University"/>
    <m/>
    <n v="175342"/>
    <x v="3"/>
    <s v="sem"/>
    <m/>
    <m/>
    <m/>
    <n v="36382"/>
    <n v="35367"/>
    <n v="6082"/>
    <n v="5030"/>
    <n v="38473"/>
    <n v="40453"/>
    <n v="80937"/>
    <n v="2697.9"/>
    <n v="80850"/>
    <n v="2695"/>
    <m/>
    <m/>
    <n v="0"/>
    <n v="0"/>
    <m/>
    <m/>
    <m/>
    <m/>
    <m/>
    <m/>
    <m/>
    <m/>
    <n v="0"/>
    <n v="0"/>
    <n v="0"/>
    <n v="0"/>
    <m/>
    <m/>
    <n v="0"/>
    <n v="0"/>
    <m/>
    <m/>
    <n v="3885"/>
    <n v="4218"/>
    <n v="1684"/>
    <n v="1741"/>
    <n v="4110"/>
    <n v="4292"/>
    <n v="9679"/>
    <n v="403.29166666666669"/>
    <n v="10251"/>
    <n v="427.125"/>
    <n v="3101.1916666666666"/>
    <n v="3122.125"/>
  </r>
  <r>
    <x v="8"/>
    <s v="Delta State University"/>
    <m/>
    <n v="175616"/>
    <x v="3"/>
    <s v="sem"/>
    <m/>
    <m/>
    <m/>
    <n v="32222"/>
    <n v="32375"/>
    <n v="4278"/>
    <n v="4108"/>
    <n v="35015"/>
    <n v="36690"/>
    <n v="71515"/>
    <n v="2383.8333333333335"/>
    <n v="73173"/>
    <n v="2439.1"/>
    <m/>
    <m/>
    <n v="0"/>
    <n v="0"/>
    <m/>
    <m/>
    <m/>
    <m/>
    <m/>
    <m/>
    <m/>
    <m/>
    <n v="0"/>
    <n v="0"/>
    <n v="0"/>
    <n v="0"/>
    <m/>
    <m/>
    <n v="0"/>
    <n v="0"/>
    <m/>
    <m/>
    <n v="5274"/>
    <n v="5071"/>
    <n v="14428"/>
    <n v="14184"/>
    <n v="5326"/>
    <n v="5499"/>
    <n v="25028"/>
    <n v="1042.8333333333333"/>
    <n v="24754"/>
    <n v="1031.4166666666667"/>
    <n v="3426.666666666667"/>
    <n v="3470.5166666666664"/>
  </r>
  <r>
    <x v="8"/>
    <s v="Mississippi Valley State University"/>
    <m/>
    <n v="176044"/>
    <x v="3"/>
    <s v="sem"/>
    <m/>
    <m/>
    <m/>
    <n v="23514"/>
    <n v="23427"/>
    <n v="3541"/>
    <n v="4387"/>
    <n v="24795"/>
    <n v="25971"/>
    <n v="51850"/>
    <n v="1728.3333333333333"/>
    <n v="53785"/>
    <n v="1792.8333333333333"/>
    <m/>
    <m/>
    <n v="0"/>
    <n v="0"/>
    <m/>
    <m/>
    <m/>
    <m/>
    <m/>
    <m/>
    <m/>
    <m/>
    <n v="0"/>
    <n v="0"/>
    <n v="0"/>
    <n v="0"/>
    <m/>
    <m/>
    <n v="0"/>
    <n v="0"/>
    <m/>
    <m/>
    <n v="2514"/>
    <n v="2505"/>
    <n v="723"/>
    <n v="411"/>
    <n v="2564"/>
    <n v="2898"/>
    <n v="5801"/>
    <n v="241.70833333333334"/>
    <n v="5814"/>
    <n v="242.25"/>
    <n v="1970.0416666666665"/>
    <n v="2035.0833333333333"/>
  </r>
  <r>
    <x v="8"/>
    <s v="Mississippi University for Women"/>
    <m/>
    <n v="176035"/>
    <x v="4"/>
    <s v="sem"/>
    <m/>
    <m/>
    <m/>
    <n v="29219"/>
    <n v="28992"/>
    <n v="10214"/>
    <n v="9009"/>
    <n v="30232"/>
    <n v="33261"/>
    <n v="69665"/>
    <n v="2322.1666666666665"/>
    <n v="71262"/>
    <n v="2375.4"/>
    <m/>
    <m/>
    <n v="0"/>
    <n v="0"/>
    <m/>
    <m/>
    <m/>
    <m/>
    <m/>
    <m/>
    <m/>
    <m/>
    <n v="0"/>
    <n v="0"/>
    <n v="0"/>
    <n v="0"/>
    <m/>
    <m/>
    <n v="0"/>
    <n v="0"/>
    <m/>
    <m/>
    <n v="1409"/>
    <n v="1671"/>
    <n v="1075"/>
    <n v="1337"/>
    <n v="1670"/>
    <n v="1831"/>
    <n v="4154"/>
    <n v="173.08333333333334"/>
    <n v="4839"/>
    <n v="201.625"/>
    <n v="2495.25"/>
    <n v="2577.0250000000001"/>
  </r>
  <r>
    <x v="8"/>
    <s v="Hinds Community College "/>
    <m/>
    <n v="175786"/>
    <x v="6"/>
    <s v="sem"/>
    <m/>
    <m/>
    <m/>
    <n v="129529"/>
    <n v="127990"/>
    <n v="25321"/>
    <n v="24610"/>
    <n v="146452"/>
    <n v="142916"/>
    <n v="301302"/>
    <n v="10043.4"/>
    <n v="295516"/>
    <n v="9850.5333333333328"/>
    <n v="13050"/>
    <n v="13377"/>
    <n v="301302"/>
    <n v="295516"/>
    <m/>
    <m/>
    <m/>
    <m/>
    <m/>
    <m/>
    <m/>
    <m/>
    <n v="0"/>
    <n v="0"/>
    <n v="0"/>
    <n v="0"/>
    <m/>
    <m/>
    <n v="0"/>
    <n v="0"/>
    <m/>
    <m/>
    <m/>
    <m/>
    <m/>
    <m/>
    <m/>
    <m/>
    <n v="0"/>
    <n v="0"/>
    <n v="0"/>
    <n v="0"/>
    <n v="10043.4"/>
    <n v="9850.5333333333328"/>
  </r>
  <r>
    <x v="8"/>
    <s v="Itawamba Community College "/>
    <m/>
    <n v="175829"/>
    <x v="6"/>
    <s v="sem"/>
    <m/>
    <m/>
    <m/>
    <n v="68242"/>
    <n v="67525"/>
    <n v="8025"/>
    <n v="8158"/>
    <n v="76222"/>
    <n v="75493"/>
    <n v="152489"/>
    <n v="5082.9666666666662"/>
    <n v="151176"/>
    <n v="5039.2"/>
    <n v="5533"/>
    <n v="6151"/>
    <n v="152489"/>
    <n v="151176"/>
    <m/>
    <m/>
    <m/>
    <m/>
    <m/>
    <m/>
    <m/>
    <m/>
    <n v="0"/>
    <n v="0"/>
    <n v="0"/>
    <n v="0"/>
    <m/>
    <m/>
    <n v="0"/>
    <n v="0"/>
    <m/>
    <m/>
    <m/>
    <m/>
    <m/>
    <m/>
    <m/>
    <m/>
    <n v="0"/>
    <n v="0"/>
    <n v="0"/>
    <n v="0"/>
    <n v="5082.9666666666662"/>
    <n v="5039.2"/>
  </r>
  <r>
    <x v="8"/>
    <s v="Mississippi Gulf Coast Community College "/>
    <m/>
    <n v="176071"/>
    <x v="6"/>
    <s v="sem"/>
    <m/>
    <m/>
    <m/>
    <n v="106370"/>
    <n v="100919"/>
    <n v="20474"/>
    <n v="20920"/>
    <n v="117641"/>
    <n v="111825"/>
    <n v="244485"/>
    <n v="8149.5"/>
    <n v="233664"/>
    <n v="7788.8"/>
    <n v="5134"/>
    <n v="4130"/>
    <n v="244485"/>
    <n v="233664"/>
    <m/>
    <m/>
    <m/>
    <m/>
    <m/>
    <m/>
    <m/>
    <m/>
    <n v="0"/>
    <n v="0"/>
    <n v="0"/>
    <n v="0"/>
    <m/>
    <m/>
    <n v="0"/>
    <n v="0"/>
    <m/>
    <m/>
    <m/>
    <m/>
    <m/>
    <m/>
    <m/>
    <m/>
    <n v="0"/>
    <n v="0"/>
    <n v="0"/>
    <n v="0"/>
    <n v="8149.5"/>
    <n v="7788.8"/>
  </r>
  <r>
    <x v="8"/>
    <s v="Northwest Mississippi Community College "/>
    <m/>
    <n v="176178"/>
    <x v="6"/>
    <s v="sem"/>
    <m/>
    <m/>
    <m/>
    <n v="89829"/>
    <n v="85881"/>
    <n v="15228"/>
    <n v="15698"/>
    <n v="96395"/>
    <n v="96718"/>
    <n v="201452"/>
    <n v="6715.0666666666666"/>
    <n v="198297"/>
    <n v="6609.9"/>
    <n v="4210"/>
    <n v="5533"/>
    <n v="201452"/>
    <n v="198297"/>
    <m/>
    <m/>
    <m/>
    <m/>
    <m/>
    <m/>
    <m/>
    <m/>
    <n v="0"/>
    <n v="0"/>
    <n v="0"/>
    <n v="0"/>
    <m/>
    <m/>
    <n v="0"/>
    <n v="0"/>
    <m/>
    <m/>
    <m/>
    <m/>
    <m/>
    <m/>
    <m/>
    <m/>
    <n v="0"/>
    <n v="0"/>
    <n v="0"/>
    <n v="0"/>
    <n v="6715.0666666666666"/>
    <n v="6609.9"/>
  </r>
  <r>
    <x v="8"/>
    <s v="Copiah-Lincoln Community College "/>
    <m/>
    <n v="175573"/>
    <x v="7"/>
    <s v="sem"/>
    <m/>
    <m/>
    <m/>
    <n v="34581"/>
    <n v="35715"/>
    <n v="6928"/>
    <n v="6544"/>
    <n v="40145"/>
    <n v="39539"/>
    <n v="81654"/>
    <n v="2721.8"/>
    <n v="81798"/>
    <n v="2726.6"/>
    <n v="4022"/>
    <n v="4897"/>
    <n v="81654"/>
    <n v="81798"/>
    <m/>
    <m/>
    <m/>
    <m/>
    <m/>
    <m/>
    <m/>
    <m/>
    <n v="0"/>
    <n v="0"/>
    <n v="0"/>
    <n v="0"/>
    <m/>
    <m/>
    <n v="0"/>
    <n v="0"/>
    <m/>
    <m/>
    <m/>
    <m/>
    <m/>
    <m/>
    <m/>
    <m/>
    <n v="0"/>
    <n v="0"/>
    <n v="0"/>
    <n v="0"/>
    <n v="2721.8"/>
    <n v="2726.6"/>
  </r>
  <r>
    <x v="8"/>
    <s v="East Central Community College "/>
    <m/>
    <n v="175643"/>
    <x v="7"/>
    <s v="sem"/>
    <m/>
    <m/>
    <m/>
    <n v="31883"/>
    <n v="31231"/>
    <n v="4628"/>
    <n v="4093"/>
    <n v="36602"/>
    <n v="33869"/>
    <n v="73113"/>
    <n v="2437.1"/>
    <n v="69193"/>
    <n v="2306.4333333333334"/>
    <n v="3104"/>
    <n v="3622"/>
    <n v="73113"/>
    <n v="69193"/>
    <m/>
    <m/>
    <m/>
    <m/>
    <m/>
    <m/>
    <m/>
    <m/>
    <n v="0"/>
    <n v="0"/>
    <n v="0"/>
    <n v="0"/>
    <m/>
    <m/>
    <n v="0"/>
    <n v="0"/>
    <m/>
    <m/>
    <m/>
    <m/>
    <m/>
    <m/>
    <m/>
    <m/>
    <n v="0"/>
    <n v="0"/>
    <n v="0"/>
    <n v="0"/>
    <n v="2437.1"/>
    <n v="2306.4333333333334"/>
  </r>
  <r>
    <x v="8"/>
    <s v="East Mississippi Community College "/>
    <m/>
    <n v="175652"/>
    <x v="7"/>
    <s v="sem"/>
    <m/>
    <m/>
    <m/>
    <n v="50517"/>
    <n v="48983"/>
    <n v="10869"/>
    <n v="10292"/>
    <n v="56645"/>
    <n v="54853"/>
    <n v="118031"/>
    <n v="3934.3666666666668"/>
    <n v="114128"/>
    <n v="3804.2666666666669"/>
    <n v="3379"/>
    <n v="3969"/>
    <n v="118031"/>
    <n v="114128"/>
    <m/>
    <m/>
    <m/>
    <m/>
    <m/>
    <m/>
    <m/>
    <m/>
    <n v="0"/>
    <n v="0"/>
    <n v="0"/>
    <n v="0"/>
    <m/>
    <m/>
    <n v="0"/>
    <n v="0"/>
    <m/>
    <m/>
    <m/>
    <m/>
    <m/>
    <m/>
    <m/>
    <m/>
    <n v="0"/>
    <n v="0"/>
    <n v="0"/>
    <n v="0"/>
    <n v="3934.3666666666668"/>
    <n v="3804.2666666666669"/>
  </r>
  <r>
    <x v="8"/>
    <s v="Holmes Community College "/>
    <s v="Met the criteria for Two-Year 1 in 2015-16 and 2016-17."/>
    <n v="175810"/>
    <x v="7"/>
    <s v="sem"/>
    <m/>
    <m/>
    <m/>
    <n v="67348"/>
    <n v="64718"/>
    <n v="17508"/>
    <n v="16201"/>
    <n v="75253"/>
    <n v="78920"/>
    <n v="160109"/>
    <n v="5336.9666666666662"/>
    <n v="159839"/>
    <n v="5327.9666666666662"/>
    <n v="4623"/>
    <n v="6412"/>
    <n v="160109"/>
    <n v="159839"/>
    <m/>
    <m/>
    <m/>
    <m/>
    <m/>
    <m/>
    <m/>
    <m/>
    <n v="0"/>
    <n v="0"/>
    <n v="0"/>
    <n v="0"/>
    <m/>
    <m/>
    <n v="0"/>
    <n v="0"/>
    <m/>
    <m/>
    <m/>
    <m/>
    <m/>
    <m/>
    <m/>
    <m/>
    <n v="0"/>
    <n v="0"/>
    <n v="0"/>
    <n v="0"/>
    <n v="5336.9666666666662"/>
    <n v="5327.9666666666662"/>
  </r>
  <r>
    <x v="8"/>
    <s v="Jones County Junior College "/>
    <m/>
    <n v="175883"/>
    <x v="7"/>
    <s v="sem"/>
    <m/>
    <m/>
    <m/>
    <n v="55664"/>
    <n v="57438"/>
    <n v="13632"/>
    <n v="13733"/>
    <n v="66627"/>
    <n v="67057"/>
    <n v="135923"/>
    <n v="4530.7666666666664"/>
    <n v="138228"/>
    <n v="4607.6000000000004"/>
    <n v="3729"/>
    <n v="3368"/>
    <n v="135923"/>
    <n v="138228"/>
    <m/>
    <m/>
    <m/>
    <m/>
    <m/>
    <m/>
    <m/>
    <m/>
    <n v="0"/>
    <n v="0"/>
    <n v="0"/>
    <n v="0"/>
    <m/>
    <m/>
    <n v="0"/>
    <n v="0"/>
    <m/>
    <m/>
    <m/>
    <m/>
    <m/>
    <m/>
    <m/>
    <m/>
    <n v="0"/>
    <n v="0"/>
    <n v="0"/>
    <n v="0"/>
    <n v="4530.7666666666664"/>
    <n v="4607.6000000000004"/>
  </r>
  <r>
    <x v="8"/>
    <s v="Meridian Community College "/>
    <m/>
    <n v="175935"/>
    <x v="7"/>
    <s v="sem"/>
    <m/>
    <m/>
    <m/>
    <n v="38670"/>
    <n v="38890.5"/>
    <n v="6909"/>
    <n v="7702"/>
    <n v="44669"/>
    <n v="45297"/>
    <n v="90248"/>
    <n v="3008.2666666666669"/>
    <n v="91889.5"/>
    <n v="3062.9833333333331"/>
    <n v="1589"/>
    <n v="2439"/>
    <n v="90248"/>
    <n v="91889.5"/>
    <m/>
    <m/>
    <m/>
    <m/>
    <m/>
    <m/>
    <m/>
    <m/>
    <n v="0"/>
    <n v="0"/>
    <n v="0"/>
    <n v="0"/>
    <m/>
    <m/>
    <n v="0"/>
    <n v="0"/>
    <m/>
    <m/>
    <m/>
    <m/>
    <m/>
    <m/>
    <m/>
    <m/>
    <n v="0"/>
    <n v="0"/>
    <n v="0"/>
    <n v="0"/>
    <n v="3008.2666666666669"/>
    <n v="3062.9833333333331"/>
  </r>
  <r>
    <x v="8"/>
    <s v="Mississippi Delta Community College "/>
    <m/>
    <n v="176008"/>
    <x v="7"/>
    <s v="sem"/>
    <m/>
    <m/>
    <m/>
    <n v="31627"/>
    <n v="28389"/>
    <n v="4319"/>
    <n v="4287"/>
    <n v="31446"/>
    <n v="31738"/>
    <n v="67392"/>
    <n v="2246.4"/>
    <n v="64414"/>
    <n v="2147.1333333333332"/>
    <n v="1327"/>
    <n v="1449"/>
    <n v="67392"/>
    <n v="64414"/>
    <m/>
    <m/>
    <m/>
    <m/>
    <m/>
    <m/>
    <m/>
    <m/>
    <n v="0"/>
    <n v="0"/>
    <n v="0"/>
    <n v="0"/>
    <m/>
    <m/>
    <n v="0"/>
    <n v="0"/>
    <m/>
    <m/>
    <m/>
    <m/>
    <m/>
    <m/>
    <m/>
    <m/>
    <n v="0"/>
    <n v="0"/>
    <n v="0"/>
    <n v="0"/>
    <n v="2246.4"/>
    <n v="2147.1333333333332"/>
  </r>
  <r>
    <x v="8"/>
    <s v="Northeast Mississippi Community College "/>
    <m/>
    <n v="176169"/>
    <x v="7"/>
    <s v="sem"/>
    <m/>
    <m/>
    <m/>
    <n v="43904"/>
    <n v="42497"/>
    <n v="3345"/>
    <n v="2363"/>
    <n v="47701"/>
    <n v="47361"/>
    <n v="94950"/>
    <n v="3165"/>
    <n v="92221"/>
    <n v="3074.0333333333333"/>
    <n v="3820"/>
    <n v="4479"/>
    <n v="94950"/>
    <n v="92221"/>
    <m/>
    <m/>
    <m/>
    <m/>
    <m/>
    <m/>
    <m/>
    <m/>
    <n v="0"/>
    <n v="0"/>
    <n v="0"/>
    <n v="0"/>
    <m/>
    <m/>
    <n v="0"/>
    <n v="0"/>
    <m/>
    <m/>
    <m/>
    <m/>
    <m/>
    <m/>
    <m/>
    <m/>
    <n v="0"/>
    <n v="0"/>
    <n v="0"/>
    <n v="0"/>
    <n v="3165"/>
    <n v="3074.0333333333333"/>
  </r>
  <r>
    <x v="8"/>
    <s v="Pearl River Community College "/>
    <m/>
    <n v="176239"/>
    <x v="7"/>
    <s v="sem"/>
    <m/>
    <m/>
    <m/>
    <n v="50640"/>
    <n v="49010"/>
    <n v="8768"/>
    <n v="7485"/>
    <n v="56131"/>
    <n v="58358"/>
    <n v="115539"/>
    <n v="3851.3"/>
    <n v="114853"/>
    <n v="3828.4333333333334"/>
    <n v="3224"/>
    <n v="3398"/>
    <n v="115539"/>
    <n v="114853"/>
    <m/>
    <m/>
    <m/>
    <m/>
    <m/>
    <m/>
    <m/>
    <m/>
    <n v="0"/>
    <n v="0"/>
    <n v="0"/>
    <n v="0"/>
    <m/>
    <m/>
    <n v="0"/>
    <n v="0"/>
    <m/>
    <m/>
    <m/>
    <m/>
    <m/>
    <m/>
    <m/>
    <m/>
    <n v="0"/>
    <n v="0"/>
    <n v="0"/>
    <n v="0"/>
    <n v="3851.3"/>
    <n v="3828.4333333333334"/>
  </r>
  <r>
    <x v="8"/>
    <s v="Coahoma Community College "/>
    <m/>
    <n v="175519"/>
    <x v="8"/>
    <s v="sem"/>
    <m/>
    <m/>
    <m/>
    <n v="23939"/>
    <n v="19882"/>
    <n v="3201"/>
    <n v="3598"/>
    <n v="26297"/>
    <n v="26682"/>
    <n v="53437"/>
    <n v="1781.2333333333333"/>
    <n v="50162"/>
    <n v="1672.0666666666666"/>
    <n v="1878"/>
    <n v="1808"/>
    <n v="53437"/>
    <n v="50162"/>
    <m/>
    <m/>
    <m/>
    <m/>
    <m/>
    <m/>
    <m/>
    <m/>
    <n v="0"/>
    <n v="0"/>
    <n v="0"/>
    <n v="0"/>
    <m/>
    <m/>
    <n v="0"/>
    <n v="0"/>
    <m/>
    <m/>
    <m/>
    <m/>
    <m/>
    <m/>
    <m/>
    <m/>
    <n v="0"/>
    <n v="0"/>
    <n v="0"/>
    <n v="0"/>
    <n v="1781.2333333333333"/>
    <n v="1672.0666666666666"/>
  </r>
  <r>
    <x v="8"/>
    <s v="Southwest Mississippi Community College"/>
    <m/>
    <n v="176354"/>
    <x v="8"/>
    <s v="sem"/>
    <m/>
    <m/>
    <m/>
    <n v="24233"/>
    <n v="23675"/>
    <n v="2524"/>
    <n v="2506"/>
    <n v="27556"/>
    <n v="27663"/>
    <n v="54313"/>
    <n v="1810.4333333333334"/>
    <n v="53844"/>
    <n v="1794.8"/>
    <n v="1494"/>
    <n v="1957"/>
    <n v="54313"/>
    <n v="53844"/>
    <m/>
    <m/>
    <m/>
    <m/>
    <m/>
    <m/>
    <m/>
    <m/>
    <n v="0"/>
    <n v="0"/>
    <n v="0"/>
    <n v="0"/>
    <m/>
    <m/>
    <n v="0"/>
    <n v="0"/>
    <m/>
    <m/>
    <m/>
    <m/>
    <m/>
    <m/>
    <m/>
    <m/>
    <n v="0"/>
    <n v="0"/>
    <n v="0"/>
    <n v="0"/>
    <n v="1810.4333333333334"/>
    <n v="1794.8"/>
  </r>
  <r>
    <x v="9"/>
    <s v="Asheville-Buncombe Technical Community College"/>
    <m/>
    <n v="197887"/>
    <x v="6"/>
    <s v="sem"/>
    <s v="sem"/>
    <m/>
    <m/>
    <n v="62358"/>
    <n v="62340"/>
    <n v="12997"/>
    <n v="12903"/>
    <n v="64702"/>
    <n v="64806"/>
    <n v="140057"/>
    <n v="4668.5666666666666"/>
    <n v="140049"/>
    <n v="4668.3"/>
    <n v="13261"/>
    <n v="16125"/>
    <n v="140057"/>
    <n v="140049"/>
    <m/>
    <m/>
    <n v="276445"/>
    <n v="277935"/>
    <n v="201298"/>
    <n v="183153"/>
    <n v="269836"/>
    <n v="264705"/>
    <n v="747579"/>
    <n v="830.64333333333332"/>
    <n v="725793"/>
    <n v="806.43666666666661"/>
    <m/>
    <m/>
    <n v="0"/>
    <n v="0"/>
    <m/>
    <m/>
    <m/>
    <m/>
    <m/>
    <m/>
    <m/>
    <m/>
    <n v="0"/>
    <n v="0"/>
    <n v="0"/>
    <n v="0"/>
    <n v="5499.21"/>
    <n v="5474.7366666666667"/>
  </r>
  <r>
    <x v="9"/>
    <s v="Cape Fear Community College"/>
    <m/>
    <n v="198154"/>
    <x v="6"/>
    <s v="sem"/>
    <s v="sem"/>
    <m/>
    <m/>
    <n v="87375"/>
    <n v="84013"/>
    <n v="21629"/>
    <n v="20999"/>
    <n v="91481"/>
    <n v="89916"/>
    <n v="200485"/>
    <n v="6682.833333333333"/>
    <n v="194928"/>
    <n v="6497.6"/>
    <n v="7043"/>
    <n v="10001"/>
    <n v="200485"/>
    <n v="194928"/>
    <m/>
    <m/>
    <n v="285772"/>
    <n v="264458"/>
    <n v="133434"/>
    <n v="144492"/>
    <n v="295048"/>
    <n v="267283"/>
    <n v="714254"/>
    <n v="793.6155555555556"/>
    <n v="676233"/>
    <n v="751.37"/>
    <m/>
    <m/>
    <n v="0"/>
    <n v="0"/>
    <m/>
    <m/>
    <m/>
    <m/>
    <m/>
    <m/>
    <m/>
    <m/>
    <n v="0"/>
    <n v="0"/>
    <n v="0"/>
    <n v="0"/>
    <n v="7476.4488888888882"/>
    <n v="7248.97"/>
  </r>
  <r>
    <x v="9"/>
    <s v="Central Piedmont Community College "/>
    <m/>
    <n v="198260"/>
    <x v="6"/>
    <s v="sem"/>
    <s v="sem"/>
    <m/>
    <m/>
    <n v="172051"/>
    <n v="167577.5"/>
    <n v="40553"/>
    <n v="42974.5"/>
    <n v="174791"/>
    <n v="183115.5"/>
    <n v="387395"/>
    <n v="12913.166666666666"/>
    <n v="393667.5"/>
    <n v="13122.25"/>
    <n v="8558"/>
    <n v="21055"/>
    <n v="387395"/>
    <n v="393667.5"/>
    <m/>
    <m/>
    <n v="588452"/>
    <n v="581175"/>
    <n v="277137"/>
    <n v="280063"/>
    <n v="563496"/>
    <n v="547751"/>
    <n v="1429085"/>
    <n v="1587.8722222222223"/>
    <n v="1408989"/>
    <n v="1565.5433333333333"/>
    <m/>
    <m/>
    <n v="0"/>
    <n v="0"/>
    <m/>
    <m/>
    <m/>
    <m/>
    <m/>
    <m/>
    <m/>
    <m/>
    <n v="0"/>
    <n v="0"/>
    <n v="0"/>
    <n v="0"/>
    <n v="14501.038888888888"/>
    <n v="14687.793333333333"/>
  </r>
  <r>
    <x v="9"/>
    <s v="Fayetteville Technical Community College"/>
    <m/>
    <n v="198534"/>
    <x v="6"/>
    <s v="sem"/>
    <s v="sem"/>
    <m/>
    <m/>
    <n v="114810"/>
    <n v="109397"/>
    <n v="30218"/>
    <n v="28326"/>
    <n v="109203"/>
    <n v="109390"/>
    <n v="254231"/>
    <n v="8474.3666666666668"/>
    <n v="247113"/>
    <n v="8237.1"/>
    <n v="7578"/>
    <n v="11142"/>
    <n v="254231"/>
    <n v="247113"/>
    <m/>
    <m/>
    <n v="647590"/>
    <n v="655508"/>
    <n v="484962"/>
    <n v="492030"/>
    <n v="849830"/>
    <n v="871638"/>
    <n v="1982382"/>
    <n v="2202.6466666666665"/>
    <n v="2019176"/>
    <n v="2243.528888888889"/>
    <m/>
    <m/>
    <n v="0"/>
    <n v="0"/>
    <m/>
    <m/>
    <m/>
    <m/>
    <m/>
    <m/>
    <m/>
    <m/>
    <n v="0"/>
    <n v="0"/>
    <n v="0"/>
    <n v="0"/>
    <n v="10677.013333333332"/>
    <n v="10480.628888888888"/>
  </r>
  <r>
    <x v="9"/>
    <s v="Forsyth Technical Community College"/>
    <m/>
    <n v="198552"/>
    <x v="6"/>
    <s v="sem"/>
    <s v="sem"/>
    <m/>
    <m/>
    <n v="78958"/>
    <n v="70574"/>
    <n v="21960"/>
    <n v="21917"/>
    <n v="78481"/>
    <n v="74145"/>
    <n v="179399"/>
    <n v="5979.9666666666662"/>
    <n v="166636"/>
    <n v="5554.5333333333338"/>
    <n v="8014"/>
    <n v="9831"/>
    <n v="179399"/>
    <n v="166636"/>
    <m/>
    <m/>
    <n v="337513"/>
    <n v="330640"/>
    <n v="220476"/>
    <n v="222740"/>
    <n v="330993"/>
    <n v="315496"/>
    <n v="888982"/>
    <n v="987.75777777777773"/>
    <n v="868876"/>
    <n v="965.41777777777781"/>
    <m/>
    <m/>
    <n v="0"/>
    <n v="0"/>
    <m/>
    <m/>
    <m/>
    <m/>
    <m/>
    <m/>
    <m/>
    <m/>
    <n v="0"/>
    <n v="0"/>
    <n v="0"/>
    <n v="0"/>
    <n v="6967.7244444444441"/>
    <n v="6519.9511111111115"/>
  </r>
  <r>
    <x v="9"/>
    <s v="Guilford Technical Community College"/>
    <m/>
    <n v="198622"/>
    <x v="6"/>
    <s v="sem"/>
    <s v="sem"/>
    <m/>
    <m/>
    <n v="112779"/>
    <n v="107207"/>
    <n v="27803"/>
    <n v="26756"/>
    <n v="112385"/>
    <n v="109401"/>
    <n v="252967"/>
    <n v="8432.2333333333336"/>
    <n v="243364"/>
    <n v="8112.1333333333332"/>
    <n v="5368"/>
    <n v="8815"/>
    <n v="252967"/>
    <n v="243364"/>
    <m/>
    <m/>
    <n v="459389"/>
    <n v="454974"/>
    <n v="259577"/>
    <n v="274192"/>
    <n v="493734"/>
    <n v="466875"/>
    <n v="1212700"/>
    <n v="1347.4444444444443"/>
    <n v="1196041"/>
    <n v="1328.9344444444444"/>
    <m/>
    <m/>
    <n v="0"/>
    <n v="0"/>
    <m/>
    <m/>
    <m/>
    <m/>
    <m/>
    <m/>
    <m/>
    <m/>
    <n v="0"/>
    <n v="0"/>
    <n v="0"/>
    <n v="0"/>
    <n v="9779.6777777777788"/>
    <n v="9441.0677777777782"/>
  </r>
  <r>
    <x v="9"/>
    <s v="Pitt Community College"/>
    <m/>
    <n v="199333"/>
    <x v="6"/>
    <s v="sem"/>
    <s v="sem"/>
    <m/>
    <m/>
    <n v="86160.6"/>
    <n v="81055"/>
    <n v="21226.5"/>
    <n v="20649"/>
    <n v="86917"/>
    <n v="84156"/>
    <n v="194304.1"/>
    <n v="6476.8033333333333"/>
    <n v="185860"/>
    <n v="6195.333333333333"/>
    <n v="5015.1000000000004"/>
    <n v="6601"/>
    <n v="194304.1"/>
    <n v="185860"/>
    <m/>
    <m/>
    <n v="260335"/>
    <n v="190024"/>
    <n v="130394"/>
    <n v="161925"/>
    <n v="274413"/>
    <n v="249201"/>
    <n v="665142"/>
    <n v="739.04666666666662"/>
    <n v="601150"/>
    <n v="667.94444444444446"/>
    <m/>
    <m/>
    <n v="0"/>
    <n v="0"/>
    <m/>
    <m/>
    <m/>
    <m/>
    <m/>
    <m/>
    <m/>
    <m/>
    <n v="0"/>
    <n v="0"/>
    <n v="0"/>
    <n v="0"/>
    <n v="7215.85"/>
    <n v="6863.2777777777774"/>
  </r>
  <r>
    <x v="9"/>
    <s v="Rowan-Cabarrus Community College"/>
    <s v="Met the criteria for Two-Year 2 in 2016-17."/>
    <n v="199494"/>
    <x v="6"/>
    <s v="sem"/>
    <s v="sem"/>
    <m/>
    <m/>
    <n v="61550"/>
    <n v="49885"/>
    <n v="11682"/>
    <n v="11534.5"/>
    <n v="55629"/>
    <n v="54667"/>
    <n v="128861"/>
    <n v="4295.3666666666668"/>
    <n v="116086.5"/>
    <n v="3869.55"/>
    <n v="12786"/>
    <n v="14638"/>
    <n v="128861"/>
    <n v="116086.5"/>
    <m/>
    <m/>
    <n v="280904"/>
    <n v="277263"/>
    <n v="172879"/>
    <n v="171564"/>
    <n v="295515"/>
    <n v="339702"/>
    <n v="749298"/>
    <n v="832.55333333333328"/>
    <n v="788529"/>
    <n v="876.14333333333332"/>
    <m/>
    <m/>
    <n v="0"/>
    <n v="0"/>
    <m/>
    <m/>
    <m/>
    <m/>
    <m/>
    <m/>
    <m/>
    <m/>
    <n v="0"/>
    <n v="0"/>
    <n v="0"/>
    <n v="0"/>
    <n v="5127.92"/>
    <n v="4745.6933333333336"/>
  </r>
  <r>
    <x v="9"/>
    <s v="Wake Technical Community College"/>
    <m/>
    <n v="199856"/>
    <x v="6"/>
    <s v="sem"/>
    <s v="sem"/>
    <m/>
    <m/>
    <n v="196627"/>
    <n v="195926"/>
    <n v="44107"/>
    <n v="47890"/>
    <n v="203939"/>
    <n v="211494"/>
    <n v="444673"/>
    <n v="14822.433333333332"/>
    <n v="455310"/>
    <n v="15177"/>
    <n v="7135"/>
    <n v="10366"/>
    <n v="444673"/>
    <n v="455310"/>
    <m/>
    <m/>
    <n v="705650"/>
    <n v="762298"/>
    <n v="625764"/>
    <n v="678780"/>
    <n v="965130"/>
    <n v="1070938"/>
    <n v="2296544"/>
    <n v="2551.7155555555555"/>
    <n v="2512016"/>
    <n v="2791.1288888888889"/>
    <m/>
    <m/>
    <n v="0"/>
    <n v="0"/>
    <m/>
    <m/>
    <m/>
    <m/>
    <m/>
    <m/>
    <m/>
    <m/>
    <n v="0"/>
    <n v="0"/>
    <n v="0"/>
    <n v="0"/>
    <n v="17374.148888888889"/>
    <n v="17968.128888888888"/>
  </r>
  <r>
    <x v="9"/>
    <s v="Alamance Community College"/>
    <m/>
    <n v="199786"/>
    <x v="7"/>
    <s v="sem"/>
    <s v="sem"/>
    <m/>
    <m/>
    <n v="41850"/>
    <n v="40390"/>
    <n v="9523"/>
    <n v="10092"/>
    <n v="44296.5"/>
    <n v="41420.5"/>
    <n v="95669.5"/>
    <n v="3188.9833333333331"/>
    <n v="91902.5"/>
    <n v="3063.4166666666665"/>
    <n v="8007"/>
    <n v="9399"/>
    <n v="95669.5"/>
    <n v="91902.5"/>
    <m/>
    <m/>
    <n v="172213"/>
    <n v="183404"/>
    <n v="137119"/>
    <n v="124785"/>
    <n v="198659"/>
    <n v="187141"/>
    <n v="507991"/>
    <n v="564.43444444444447"/>
    <n v="495330"/>
    <n v="550.36666666666667"/>
    <m/>
    <m/>
    <n v="0"/>
    <n v="0"/>
    <m/>
    <m/>
    <m/>
    <m/>
    <m/>
    <m/>
    <m/>
    <m/>
    <n v="0"/>
    <n v="0"/>
    <n v="0"/>
    <n v="0"/>
    <n v="3753.4177777777777"/>
    <n v="3613.7833333333333"/>
  </r>
  <r>
    <x v="9"/>
    <s v="Caldwell Community College &amp; Technical Institute"/>
    <m/>
    <n v="198118"/>
    <x v="7"/>
    <s v="sem"/>
    <s v="sem"/>
    <m/>
    <m/>
    <n v="33209"/>
    <n v="32628.5"/>
    <n v="7188"/>
    <n v="6679"/>
    <n v="35585"/>
    <n v="34238"/>
    <n v="75982"/>
    <n v="2532.7333333333331"/>
    <n v="73545.5"/>
    <n v="2451.5166666666669"/>
    <n v="11281"/>
    <n v="13984.5"/>
    <n v="75982"/>
    <n v="73545.5"/>
    <m/>
    <m/>
    <n v="194474"/>
    <n v="187635"/>
    <n v="128868"/>
    <n v="136633"/>
    <n v="230827"/>
    <n v="228266"/>
    <n v="554169"/>
    <n v="615.74333333333334"/>
    <n v="552534"/>
    <n v="613.92666666666662"/>
    <m/>
    <m/>
    <n v="0"/>
    <n v="0"/>
    <m/>
    <m/>
    <m/>
    <m/>
    <m/>
    <m/>
    <m/>
    <m/>
    <n v="0"/>
    <n v="0"/>
    <n v="0"/>
    <n v="0"/>
    <n v="3148.4766666666665"/>
    <n v="3065.4433333333336"/>
  </r>
  <r>
    <x v="9"/>
    <s v="Catawba Valley Community College"/>
    <m/>
    <n v="198233"/>
    <x v="7"/>
    <s v="sem"/>
    <s v="sem"/>
    <m/>
    <m/>
    <n v="41156"/>
    <n v="40872"/>
    <n v="8461"/>
    <n v="8271"/>
    <n v="44351"/>
    <n v="44729"/>
    <n v="93968"/>
    <n v="3132.2666666666669"/>
    <n v="93872"/>
    <n v="3129.0666666666666"/>
    <n v="8552"/>
    <n v="12191"/>
    <n v="93968"/>
    <n v="93872"/>
    <m/>
    <m/>
    <n v="209476"/>
    <n v="190790"/>
    <n v="116515"/>
    <n v="140085"/>
    <n v="218698"/>
    <n v="187963"/>
    <n v="544689"/>
    <n v="605.21"/>
    <n v="518838"/>
    <n v="576.48666666666668"/>
    <m/>
    <m/>
    <n v="0"/>
    <n v="0"/>
    <m/>
    <m/>
    <m/>
    <m/>
    <m/>
    <m/>
    <m/>
    <m/>
    <n v="0"/>
    <n v="0"/>
    <n v="0"/>
    <n v="0"/>
    <n v="3737.4766666666669"/>
    <n v="3705.5533333333333"/>
  </r>
  <r>
    <x v="9"/>
    <s v="Central Carolina Commuity College"/>
    <m/>
    <n v="198251"/>
    <x v="7"/>
    <s v="sem"/>
    <s v="sem"/>
    <m/>
    <m/>
    <n v="44027"/>
    <n v="44488"/>
    <n v="8210"/>
    <n v="8979"/>
    <n v="47818"/>
    <n v="48087"/>
    <n v="100055"/>
    <n v="3335.1666666666665"/>
    <n v="101554"/>
    <n v="3385.1333333333332"/>
    <n v="13692"/>
    <n v="17172"/>
    <n v="100055"/>
    <n v="101554"/>
    <m/>
    <m/>
    <n v="278945"/>
    <n v="282558"/>
    <n v="198406"/>
    <n v="201552"/>
    <n v="358892"/>
    <n v="304017"/>
    <n v="836243"/>
    <n v="929.1588888888889"/>
    <n v="788127"/>
    <n v="875.69666666666672"/>
    <m/>
    <m/>
    <n v="0"/>
    <n v="0"/>
    <m/>
    <m/>
    <m/>
    <m/>
    <m/>
    <m/>
    <m/>
    <m/>
    <n v="0"/>
    <n v="0"/>
    <n v="0"/>
    <n v="0"/>
    <n v="4264.3255555555552"/>
    <n v="4260.83"/>
  </r>
  <r>
    <x v="9"/>
    <s v="Cleveland Community College"/>
    <m/>
    <n v="198321"/>
    <x v="7"/>
    <s v="sem"/>
    <s v="sem"/>
    <m/>
    <m/>
    <n v="26168"/>
    <n v="24105"/>
    <n v="3636"/>
    <n v="5647"/>
    <n v="26600.5"/>
    <n v="28132.5"/>
    <n v="56404.5"/>
    <n v="1880.15"/>
    <n v="57884.5"/>
    <n v="1929.4833333333333"/>
    <n v="8847"/>
    <n v="9355.5"/>
    <n v="56404.5"/>
    <n v="57884.5"/>
    <m/>
    <m/>
    <n v="127883"/>
    <n v="136786"/>
    <n v="107613"/>
    <n v="101931"/>
    <n v="171680"/>
    <n v="156906"/>
    <n v="407176"/>
    <n v="452.41777777777776"/>
    <n v="395623"/>
    <n v="439.58111111111111"/>
    <m/>
    <m/>
    <n v="0"/>
    <n v="0"/>
    <m/>
    <m/>
    <m/>
    <m/>
    <m/>
    <m/>
    <m/>
    <m/>
    <n v="0"/>
    <n v="0"/>
    <n v="0"/>
    <n v="0"/>
    <n v="2332.5677777777778"/>
    <n v="2369.0644444444442"/>
  </r>
  <r>
    <x v="9"/>
    <s v="Coastal Carolina Community College "/>
    <m/>
    <n v="198330"/>
    <x v="7"/>
    <s v="sem"/>
    <s v="sem"/>
    <m/>
    <m/>
    <n v="43562"/>
    <n v="40864"/>
    <n v="16044"/>
    <n v="15280"/>
    <n v="43564"/>
    <n v="41002"/>
    <n v="103170"/>
    <n v="3439"/>
    <n v="97146"/>
    <n v="3238.2"/>
    <n v="781"/>
    <n v="1267"/>
    <n v="103170"/>
    <n v="97146"/>
    <m/>
    <m/>
    <n v="173589"/>
    <n v="164581"/>
    <n v="128148"/>
    <n v="130907"/>
    <n v="203374"/>
    <n v="199176"/>
    <n v="505111"/>
    <n v="561.23444444444442"/>
    <n v="494664"/>
    <n v="549.62666666666667"/>
    <m/>
    <m/>
    <n v="0"/>
    <n v="0"/>
    <m/>
    <m/>
    <m/>
    <m/>
    <m/>
    <m/>
    <m/>
    <m/>
    <n v="0"/>
    <n v="0"/>
    <n v="0"/>
    <n v="0"/>
    <n v="4000.2344444444443"/>
    <n v="3787.8266666666664"/>
  </r>
  <r>
    <x v="9"/>
    <s v="Craven Community College "/>
    <m/>
    <n v="198367"/>
    <x v="7"/>
    <s v="sem"/>
    <s v="sem"/>
    <m/>
    <m/>
    <n v="28742"/>
    <n v="28343"/>
    <n v="6609"/>
    <n v="6794"/>
    <n v="28745"/>
    <n v="26898"/>
    <n v="64096"/>
    <n v="2136.5333333333333"/>
    <n v="62035"/>
    <n v="2067.8333333333335"/>
    <n v="7004"/>
    <n v="7977"/>
    <n v="64096"/>
    <n v="62035"/>
    <m/>
    <m/>
    <n v="143777"/>
    <n v="136657"/>
    <n v="76869"/>
    <n v="103959"/>
    <n v="167216"/>
    <n v="169840"/>
    <n v="387862"/>
    <n v="430.95777777777778"/>
    <n v="410456"/>
    <n v="456.0622222222222"/>
    <m/>
    <m/>
    <n v="0"/>
    <n v="0"/>
    <m/>
    <m/>
    <m/>
    <m/>
    <m/>
    <m/>
    <m/>
    <m/>
    <n v="0"/>
    <n v="0"/>
    <n v="0"/>
    <n v="0"/>
    <n v="2567.491111111111"/>
    <n v="2523.8955555555558"/>
  </r>
  <r>
    <x v="9"/>
    <s v="Davidson County Community College "/>
    <m/>
    <n v="198376"/>
    <x v="7"/>
    <s v="sem"/>
    <s v="sem"/>
    <m/>
    <m/>
    <n v="35896.5"/>
    <n v="35047"/>
    <n v="5682"/>
    <n v="6232"/>
    <n v="37087"/>
    <n v="36268"/>
    <n v="78665.5"/>
    <n v="2622.1833333333334"/>
    <n v="77547"/>
    <n v="2584.9"/>
    <n v="8043.5"/>
    <n v="10701"/>
    <n v="78665.5"/>
    <n v="77547"/>
    <m/>
    <m/>
    <n v="174253"/>
    <n v="154019"/>
    <n v="140374"/>
    <n v="102639"/>
    <n v="186659"/>
    <n v="158450"/>
    <n v="501286"/>
    <n v="556.98444444444442"/>
    <n v="415108"/>
    <n v="461.23111111111109"/>
    <m/>
    <m/>
    <n v="0"/>
    <n v="0"/>
    <m/>
    <m/>
    <m/>
    <m/>
    <m/>
    <m/>
    <m/>
    <m/>
    <n v="0"/>
    <n v="0"/>
    <n v="0"/>
    <n v="0"/>
    <n v="3179.1677777777777"/>
    <n v="3046.1311111111113"/>
  </r>
  <r>
    <x v="9"/>
    <s v="Durham Technical Community College"/>
    <m/>
    <n v="198455"/>
    <x v="7"/>
    <s v="sem"/>
    <s v="sem"/>
    <m/>
    <m/>
    <n v="45152"/>
    <n v="42635"/>
    <n v="11011"/>
    <n v="11168"/>
    <n v="44312"/>
    <n v="44442"/>
    <n v="100475"/>
    <n v="3349.1666666666665"/>
    <n v="98245"/>
    <n v="3274.8333333333335"/>
    <n v="5184"/>
    <n v="6151"/>
    <n v="100475"/>
    <n v="98245"/>
    <m/>
    <m/>
    <n v="208703"/>
    <n v="228548"/>
    <n v="149191"/>
    <n v="147188"/>
    <n v="219839"/>
    <n v="202771"/>
    <n v="577733"/>
    <n v="641.92555555555555"/>
    <n v="578507"/>
    <n v="642.78555555555556"/>
    <m/>
    <m/>
    <n v="0"/>
    <n v="0"/>
    <m/>
    <m/>
    <m/>
    <m/>
    <m/>
    <m/>
    <m/>
    <m/>
    <n v="0"/>
    <n v="0"/>
    <n v="0"/>
    <n v="0"/>
    <n v="3991.0922222222221"/>
    <n v="3917.6188888888892"/>
  </r>
  <r>
    <x v="9"/>
    <s v="Edgecombe Community College"/>
    <s v="Met the criteria for Two-Year 3 in 2016-17."/>
    <n v="198491"/>
    <x v="7"/>
    <s v="sem"/>
    <s v="sem"/>
    <m/>
    <m/>
    <n v="24470"/>
    <n v="21361"/>
    <n v="6570"/>
    <n v="6029"/>
    <n v="22925"/>
    <n v="21527"/>
    <n v="53965"/>
    <n v="1798.8333333333333"/>
    <n v="48917"/>
    <n v="1630.5666666666666"/>
    <n v="3566"/>
    <n v="3433"/>
    <n v="53965"/>
    <n v="48917"/>
    <m/>
    <m/>
    <n v="121922"/>
    <n v="74039"/>
    <n v="50098"/>
    <n v="65780"/>
    <n v="93734"/>
    <n v="88544"/>
    <n v="265754"/>
    <n v="295.28222222222223"/>
    <n v="228363"/>
    <n v="253.73666666666668"/>
    <m/>
    <m/>
    <n v="0"/>
    <n v="0"/>
    <m/>
    <m/>
    <m/>
    <m/>
    <m/>
    <m/>
    <m/>
    <m/>
    <n v="0"/>
    <n v="0"/>
    <n v="0"/>
    <n v="0"/>
    <n v="2094.1155555555556"/>
    <n v="1884.3033333333333"/>
  </r>
  <r>
    <x v="9"/>
    <s v="Gaston College "/>
    <m/>
    <n v="198570"/>
    <x v="7"/>
    <s v="sem"/>
    <s v="sem"/>
    <m/>
    <m/>
    <n v="50524"/>
    <n v="48086"/>
    <n v="11443"/>
    <n v="13046"/>
    <n v="53639"/>
    <n v="52230"/>
    <n v="115606"/>
    <n v="3853.5333333333333"/>
    <n v="113362"/>
    <n v="3778.7333333333331"/>
    <n v="4000"/>
    <n v="7726"/>
    <n v="115606"/>
    <n v="113362"/>
    <m/>
    <m/>
    <n v="132084"/>
    <n v="144383"/>
    <n v="79456"/>
    <n v="81623"/>
    <n v="131883"/>
    <n v="133544"/>
    <n v="343423"/>
    <n v="381.58111111111111"/>
    <n v="359550"/>
    <n v="399.5"/>
    <m/>
    <m/>
    <n v="0"/>
    <n v="0"/>
    <m/>
    <m/>
    <m/>
    <m/>
    <m/>
    <m/>
    <m/>
    <m/>
    <n v="0"/>
    <n v="0"/>
    <n v="0"/>
    <n v="0"/>
    <n v="4235.1144444444444"/>
    <n v="4178.2333333333336"/>
  </r>
  <r>
    <x v="9"/>
    <s v="Johnston Community College"/>
    <m/>
    <n v="198774"/>
    <x v="7"/>
    <s v="sem"/>
    <s v="sem"/>
    <m/>
    <m/>
    <n v="37796"/>
    <n v="37456"/>
    <n v="3601"/>
    <n v="6487"/>
    <n v="40615"/>
    <n v="39031"/>
    <n v="82012"/>
    <n v="2733.7333333333331"/>
    <n v="82974"/>
    <n v="2765.8"/>
    <n v="12804"/>
    <n v="14732"/>
    <n v="82012"/>
    <n v="82974"/>
    <m/>
    <m/>
    <n v="175510"/>
    <n v="166354"/>
    <n v="115940"/>
    <n v="119262"/>
    <n v="197265"/>
    <n v="188891"/>
    <n v="488715"/>
    <n v="543.01666666666665"/>
    <n v="474507"/>
    <n v="527.23"/>
    <m/>
    <m/>
    <n v="0"/>
    <n v="0"/>
    <m/>
    <m/>
    <m/>
    <m/>
    <m/>
    <m/>
    <m/>
    <m/>
    <n v="0"/>
    <n v="0"/>
    <n v="0"/>
    <n v="0"/>
    <n v="3276.75"/>
    <n v="3293.03"/>
  </r>
  <r>
    <x v="9"/>
    <s v="Lenoir Community College "/>
    <m/>
    <n v="198817"/>
    <x v="7"/>
    <s v="sem"/>
    <s v="sem"/>
    <m/>
    <m/>
    <n v="26260"/>
    <n v="23581"/>
    <n v="7664"/>
    <n v="6652"/>
    <n v="26860"/>
    <n v="26403"/>
    <n v="60784"/>
    <n v="2026.1333333333334"/>
    <n v="56636"/>
    <n v="1887.8666666666666"/>
    <n v="11461"/>
    <n v="12377"/>
    <n v="60784"/>
    <n v="56636"/>
    <m/>
    <m/>
    <n v="400035"/>
    <n v="448398"/>
    <n v="309060"/>
    <n v="364159"/>
    <n v="552293"/>
    <n v="550397"/>
    <n v="1261388"/>
    <n v="1401.5422222222223"/>
    <n v="1362954"/>
    <n v="1514.3933333333334"/>
    <m/>
    <m/>
    <n v="0"/>
    <n v="0"/>
    <m/>
    <m/>
    <m/>
    <m/>
    <m/>
    <m/>
    <m/>
    <m/>
    <n v="0"/>
    <n v="0"/>
    <n v="0"/>
    <n v="0"/>
    <n v="3427.6755555555555"/>
    <n v="3402.26"/>
  </r>
  <r>
    <x v="9"/>
    <s v="Mitchell Community College "/>
    <m/>
    <n v="198987"/>
    <x v="7"/>
    <s v="sem"/>
    <s v="sem"/>
    <m/>
    <m/>
    <n v="26380"/>
    <n v="25651.5"/>
    <n v="6485.5"/>
    <n v="6852"/>
    <n v="27724.5"/>
    <n v="28489"/>
    <n v="60590"/>
    <n v="2019.6666666666667"/>
    <n v="60992.5"/>
    <n v="2033.0833333333333"/>
    <n v="7773"/>
    <n v="8694.5"/>
    <n v="60590"/>
    <n v="60992.5"/>
    <m/>
    <m/>
    <n v="79375"/>
    <n v="90631"/>
    <n v="74119"/>
    <n v="73292"/>
    <n v="118849"/>
    <n v="115829"/>
    <n v="272343"/>
    <n v="302.60333333333335"/>
    <n v="279752"/>
    <n v="310.83555555555557"/>
    <m/>
    <m/>
    <n v="0"/>
    <n v="0"/>
    <m/>
    <m/>
    <m/>
    <m/>
    <m/>
    <m/>
    <m/>
    <m/>
    <n v="0"/>
    <n v="0"/>
    <n v="0"/>
    <n v="0"/>
    <n v="2322.27"/>
    <n v="2343.9188888888889"/>
  </r>
  <r>
    <x v="9"/>
    <s v="Nash Community College"/>
    <m/>
    <n v="199087"/>
    <x v="7"/>
    <s v="sem"/>
    <s v="sem"/>
    <m/>
    <m/>
    <n v="30864"/>
    <n v="28627"/>
    <n v="6453"/>
    <n v="5783"/>
    <n v="30025"/>
    <n v="28732"/>
    <n v="67342"/>
    <n v="2244.7333333333331"/>
    <n v="63142"/>
    <n v="2104.7333333333331"/>
    <n v="6456"/>
    <n v="7237"/>
    <n v="67342"/>
    <n v="63142"/>
    <m/>
    <m/>
    <n v="134496"/>
    <n v="119682"/>
    <n v="88270"/>
    <n v="99641"/>
    <n v="168715"/>
    <n v="128626"/>
    <n v="391481"/>
    <n v="434.97888888888889"/>
    <n v="347949"/>
    <n v="386.61"/>
    <m/>
    <m/>
    <n v="0"/>
    <n v="0"/>
    <m/>
    <m/>
    <m/>
    <m/>
    <m/>
    <m/>
    <m/>
    <m/>
    <n v="0"/>
    <n v="0"/>
    <n v="0"/>
    <n v="0"/>
    <n v="2679.712222222222"/>
    <n v="2491.3433333333332"/>
  </r>
  <r>
    <x v="9"/>
    <s v="Randolph Community College"/>
    <m/>
    <n v="199421"/>
    <x v="7"/>
    <s v="sem"/>
    <s v="sem"/>
    <m/>
    <m/>
    <n v="26186"/>
    <n v="24104"/>
    <n v="5322"/>
    <n v="5648"/>
    <n v="27280"/>
    <n v="25841"/>
    <n v="58788"/>
    <n v="1959.6"/>
    <n v="55593"/>
    <n v="1853.1"/>
    <n v="6746"/>
    <n v="8334"/>
    <n v="58788"/>
    <n v="55593"/>
    <m/>
    <m/>
    <n v="139552"/>
    <n v="142678"/>
    <n v="78530"/>
    <n v="94269"/>
    <n v="156182"/>
    <n v="171540"/>
    <n v="374264"/>
    <n v="415.84888888888889"/>
    <n v="408487"/>
    <n v="453.87444444444446"/>
    <m/>
    <m/>
    <n v="0"/>
    <n v="0"/>
    <m/>
    <m/>
    <m/>
    <m/>
    <m/>
    <m/>
    <m/>
    <m/>
    <n v="0"/>
    <n v="0"/>
    <n v="0"/>
    <n v="0"/>
    <n v="2375.4488888888886"/>
    <n v="2306.9744444444445"/>
  </r>
  <r>
    <x v="9"/>
    <s v="Richmond Community College"/>
    <m/>
    <n v="199449"/>
    <x v="7"/>
    <s v="sem"/>
    <s v="sem"/>
    <m/>
    <m/>
    <n v="21939"/>
    <n v="22225"/>
    <n v="4197"/>
    <n v="4957"/>
    <n v="24835"/>
    <n v="25248"/>
    <n v="50971"/>
    <n v="1699.0333333333333"/>
    <n v="52430"/>
    <n v="1747.6666666666667"/>
    <n v="9178"/>
    <n v="10858"/>
    <n v="50971"/>
    <n v="52430"/>
    <m/>
    <m/>
    <n v="210388"/>
    <n v="196368"/>
    <n v="161077"/>
    <n v="154991"/>
    <n v="203645"/>
    <n v="216830"/>
    <n v="575110"/>
    <n v="639.01111111111106"/>
    <n v="568189"/>
    <n v="631.32111111111112"/>
    <m/>
    <m/>
    <n v="0"/>
    <n v="0"/>
    <m/>
    <m/>
    <m/>
    <m/>
    <m/>
    <m/>
    <m/>
    <m/>
    <n v="0"/>
    <n v="0"/>
    <n v="0"/>
    <n v="0"/>
    <n v="2338.0444444444443"/>
    <n v="2378.9877777777779"/>
  </r>
  <r>
    <x v="9"/>
    <s v="Robeson Community College"/>
    <m/>
    <n v="199476"/>
    <x v="7"/>
    <s v="sem"/>
    <s v="sem"/>
    <m/>
    <m/>
    <n v="18280"/>
    <n v="17432"/>
    <n v="3483"/>
    <n v="3370"/>
    <n v="20602"/>
    <n v="19468"/>
    <n v="42365"/>
    <n v="1412.1666666666667"/>
    <n v="40270"/>
    <n v="1342.3333333333333"/>
    <n v="3298"/>
    <n v="4936"/>
    <n v="42365"/>
    <n v="40270"/>
    <m/>
    <m/>
    <n v="247616"/>
    <n v="240422"/>
    <n v="207813"/>
    <n v="195058"/>
    <n v="269123"/>
    <n v="256860"/>
    <n v="724552"/>
    <n v="805.0577777777778"/>
    <n v="692340"/>
    <n v="769.26666666666665"/>
    <m/>
    <m/>
    <n v="0"/>
    <n v="0"/>
    <m/>
    <m/>
    <m/>
    <m/>
    <m/>
    <m/>
    <m/>
    <m/>
    <n v="0"/>
    <n v="0"/>
    <n v="0"/>
    <n v="0"/>
    <n v="2217.2244444444445"/>
    <n v="2111.6"/>
  </r>
  <r>
    <x v="9"/>
    <s v="Sandhills Community College "/>
    <m/>
    <n v="199634"/>
    <x v="7"/>
    <s v="sem"/>
    <s v="sem"/>
    <m/>
    <m/>
    <n v="36356.5"/>
    <n v="34385.5"/>
    <n v="9409"/>
    <n v="8748"/>
    <n v="37082"/>
    <n v="35505"/>
    <n v="82847.5"/>
    <n v="2761.5833333333335"/>
    <n v="78638.5"/>
    <n v="2621.2833333333333"/>
    <n v="9215"/>
    <n v="10999"/>
    <n v="82847.5"/>
    <n v="78638.5"/>
    <m/>
    <m/>
    <n v="156632"/>
    <n v="149711"/>
    <n v="104680"/>
    <n v="94970"/>
    <n v="165443"/>
    <n v="144548"/>
    <n v="426755"/>
    <n v="474.17222222222222"/>
    <n v="389229"/>
    <n v="432.47666666666669"/>
    <m/>
    <m/>
    <n v="0"/>
    <n v="0"/>
    <m/>
    <m/>
    <m/>
    <m/>
    <m/>
    <m/>
    <m/>
    <m/>
    <n v="0"/>
    <n v="0"/>
    <n v="0"/>
    <n v="0"/>
    <n v="3235.7555555555555"/>
    <n v="3053.76"/>
  </r>
  <r>
    <x v="9"/>
    <s v="Stanly Community College"/>
    <m/>
    <n v="199740"/>
    <x v="7"/>
    <s v="sem"/>
    <s v="sem"/>
    <m/>
    <m/>
    <n v="24331"/>
    <n v="23213"/>
    <n v="5385"/>
    <n v="5766"/>
    <n v="25552"/>
    <n v="24519"/>
    <n v="55268"/>
    <n v="1842.2666666666667"/>
    <n v="53498"/>
    <n v="1783.2666666666667"/>
    <n v="3306"/>
    <n v="3709"/>
    <n v="55268"/>
    <n v="53498"/>
    <m/>
    <m/>
    <n v="139033"/>
    <n v="160902"/>
    <n v="98465"/>
    <n v="111889"/>
    <n v="160796"/>
    <n v="176574"/>
    <n v="398294"/>
    <n v="442.54888888888888"/>
    <n v="449365"/>
    <n v="499.29444444444442"/>
    <m/>
    <m/>
    <n v="0"/>
    <n v="0"/>
    <m/>
    <m/>
    <m/>
    <m/>
    <m/>
    <m/>
    <m/>
    <m/>
    <n v="0"/>
    <n v="0"/>
    <n v="0"/>
    <n v="0"/>
    <n v="2284.8155555555554"/>
    <n v="2282.5611111111111"/>
  </r>
  <r>
    <x v="9"/>
    <s v="Surry Community College "/>
    <m/>
    <n v="199768"/>
    <x v="7"/>
    <s v="sem"/>
    <s v="sem"/>
    <m/>
    <m/>
    <n v="28325"/>
    <n v="22980"/>
    <n v="4300"/>
    <n v="3895"/>
    <n v="26244"/>
    <n v="21241"/>
    <n v="58869"/>
    <n v="1962.3"/>
    <n v="48116"/>
    <n v="1603.8666666666666"/>
    <n v="9649"/>
    <n v="11084"/>
    <n v="58869"/>
    <n v="48116"/>
    <m/>
    <m/>
    <n v="138334"/>
    <n v="117037"/>
    <n v="110297"/>
    <n v="101859"/>
    <n v="178778"/>
    <n v="178703"/>
    <n v="427409"/>
    <n v="474.89888888888891"/>
    <n v="397599"/>
    <n v="441.77666666666664"/>
    <m/>
    <m/>
    <n v="0"/>
    <n v="0"/>
    <m/>
    <m/>
    <m/>
    <m/>
    <m/>
    <m/>
    <m/>
    <m/>
    <n v="0"/>
    <n v="0"/>
    <n v="0"/>
    <n v="0"/>
    <n v="2437.1988888888891"/>
    <n v="2045.6433333333332"/>
  </r>
  <r>
    <x v="9"/>
    <s v="Vance-Granville Community College "/>
    <m/>
    <n v="199838"/>
    <x v="7"/>
    <s v="sem"/>
    <s v="sem"/>
    <m/>
    <m/>
    <n v="29971"/>
    <n v="27038.5"/>
    <n v="3940"/>
    <n v="5289"/>
    <n v="29421.5"/>
    <n v="27664"/>
    <n v="63332.5"/>
    <n v="2111.0833333333335"/>
    <n v="59991.5"/>
    <n v="1999.7166666666667"/>
    <n v="9964"/>
    <n v="12631"/>
    <n v="63332.5"/>
    <n v="59991.5"/>
    <m/>
    <m/>
    <n v="164131"/>
    <n v="159069"/>
    <n v="133045"/>
    <n v="132695"/>
    <n v="180737"/>
    <n v="170031"/>
    <n v="477913"/>
    <n v="531.01444444444439"/>
    <n v="461795"/>
    <n v="513.10555555555561"/>
    <m/>
    <m/>
    <n v="0"/>
    <n v="0"/>
    <m/>
    <m/>
    <m/>
    <m/>
    <m/>
    <m/>
    <m/>
    <m/>
    <n v="0"/>
    <n v="0"/>
    <n v="0"/>
    <n v="0"/>
    <n v="2642.097777777778"/>
    <n v="2512.8222222222221"/>
  </r>
  <r>
    <x v="9"/>
    <s v="Wayne Community College"/>
    <m/>
    <n v="199892"/>
    <x v="7"/>
    <s v="sem"/>
    <s v="sem"/>
    <m/>
    <m/>
    <n v="33753"/>
    <n v="31957"/>
    <n v="7108"/>
    <n v="7499"/>
    <n v="34562"/>
    <n v="32608"/>
    <n v="75423"/>
    <n v="2514.1"/>
    <n v="72064"/>
    <n v="2402.1333333333332"/>
    <n v="8653"/>
    <n v="10143"/>
    <n v="75423"/>
    <n v="72064"/>
    <m/>
    <m/>
    <n v="145781"/>
    <n v="145051"/>
    <n v="101034"/>
    <n v="113809"/>
    <n v="162744"/>
    <n v="156310"/>
    <n v="409559"/>
    <n v="455.06555555555553"/>
    <n v="415170"/>
    <n v="461.3"/>
    <m/>
    <m/>
    <n v="0"/>
    <n v="0"/>
    <m/>
    <m/>
    <m/>
    <m/>
    <m/>
    <m/>
    <m/>
    <m/>
    <n v="0"/>
    <n v="0"/>
    <n v="0"/>
    <n v="0"/>
    <n v="2969.1655555555553"/>
    <n v="2863.4333333333334"/>
  </r>
  <r>
    <x v="9"/>
    <s v="Western Piedmont Community College "/>
    <s v="Met the criteria for Two-Year 3 in 2015-16 and 2016-17."/>
    <n v="199908"/>
    <x v="7"/>
    <s v="sem"/>
    <s v="sem"/>
    <m/>
    <m/>
    <n v="20068"/>
    <n v="18024"/>
    <n v="3726"/>
    <n v="3653"/>
    <n v="20526"/>
    <n v="18837"/>
    <n v="44320"/>
    <n v="1477.3333333333333"/>
    <n v="40514"/>
    <n v="1350.4666666666667"/>
    <n v="4536"/>
    <n v="4965"/>
    <n v="44320"/>
    <n v="40514"/>
    <m/>
    <m/>
    <n v="148644"/>
    <n v="137113"/>
    <n v="89798"/>
    <n v="73037"/>
    <n v="150104"/>
    <n v="105981"/>
    <n v="388546"/>
    <n v="431.71777777777777"/>
    <n v="316131"/>
    <n v="351.25666666666666"/>
    <m/>
    <m/>
    <n v="0"/>
    <n v="0"/>
    <m/>
    <m/>
    <m/>
    <m/>
    <m/>
    <m/>
    <m/>
    <m/>
    <n v="0"/>
    <n v="0"/>
    <n v="0"/>
    <n v="0"/>
    <n v="1909.0511111111109"/>
    <n v="1701.7233333333334"/>
  </r>
  <r>
    <x v="9"/>
    <s v="Wilkes Community College "/>
    <m/>
    <n v="199926"/>
    <x v="7"/>
    <s v="sem"/>
    <s v="sem"/>
    <m/>
    <m/>
    <n v="25844"/>
    <n v="24063"/>
    <n v="3957"/>
    <n v="4364"/>
    <n v="27137"/>
    <n v="27106"/>
    <n v="56938"/>
    <n v="1897.9333333333334"/>
    <n v="55533"/>
    <n v="1851.1"/>
    <n v="7048"/>
    <n v="8427"/>
    <n v="56938"/>
    <n v="55533"/>
    <m/>
    <m/>
    <n v="164700"/>
    <n v="142136"/>
    <n v="123306"/>
    <n v="89090"/>
    <n v="168725"/>
    <n v="158710"/>
    <n v="456731"/>
    <n v="507.47888888888889"/>
    <n v="389936"/>
    <n v="433.26222222222225"/>
    <m/>
    <m/>
    <n v="0"/>
    <n v="0"/>
    <m/>
    <m/>
    <m/>
    <m/>
    <m/>
    <m/>
    <m/>
    <m/>
    <n v="0"/>
    <n v="0"/>
    <n v="0"/>
    <n v="0"/>
    <n v="2405.4122222222222"/>
    <n v="2284.362222222222"/>
  </r>
  <r>
    <x v="9"/>
    <s v="Beaufort County Community College "/>
    <m/>
    <n v="197966"/>
    <x v="8"/>
    <s v="sem"/>
    <s v="sem"/>
    <m/>
    <m/>
    <n v="19052"/>
    <n v="12861"/>
    <n v="2382"/>
    <n v="2610"/>
    <n v="13895"/>
    <n v="13437"/>
    <n v="35329"/>
    <n v="1177.6333333333334"/>
    <n v="28908"/>
    <n v="963.6"/>
    <n v="6724"/>
    <n v="6761"/>
    <n v="35329"/>
    <n v="28908"/>
    <m/>
    <m/>
    <n v="83582"/>
    <n v="100803"/>
    <n v="85432"/>
    <n v="65736"/>
    <n v="118983"/>
    <n v="83125"/>
    <n v="287997"/>
    <n v="319.99666666666667"/>
    <n v="249664"/>
    <n v="277.40444444444444"/>
    <m/>
    <m/>
    <n v="0"/>
    <n v="0"/>
    <m/>
    <m/>
    <m/>
    <m/>
    <m/>
    <m/>
    <m/>
    <m/>
    <n v="0"/>
    <n v="0"/>
    <n v="0"/>
    <n v="0"/>
    <n v="1497.63"/>
    <n v="1241.0044444444445"/>
  </r>
  <r>
    <x v="9"/>
    <s v="Bladen Community College"/>
    <m/>
    <n v="198011"/>
    <x v="8"/>
    <s v="sem"/>
    <s v="sem"/>
    <m/>
    <m/>
    <n v="12419"/>
    <n v="12489"/>
    <n v="2606"/>
    <n v="2650"/>
    <n v="13202"/>
    <n v="12957"/>
    <n v="28227"/>
    <n v="940.9"/>
    <n v="28096"/>
    <n v="936.5333333333333"/>
    <n v="2240"/>
    <n v="3245"/>
    <n v="28227"/>
    <n v="28096"/>
    <m/>
    <m/>
    <n v="77519"/>
    <n v="66204"/>
    <n v="48645"/>
    <n v="40274"/>
    <n v="60080"/>
    <n v="57686"/>
    <n v="186244"/>
    <n v="206.93777777777777"/>
    <n v="164164"/>
    <n v="182.40444444444444"/>
    <m/>
    <m/>
    <n v="0"/>
    <n v="0"/>
    <m/>
    <m/>
    <m/>
    <m/>
    <m/>
    <m/>
    <m/>
    <m/>
    <n v="0"/>
    <n v="0"/>
    <n v="0"/>
    <n v="0"/>
    <n v="1147.8377777777778"/>
    <n v="1118.9377777777777"/>
  </r>
  <r>
    <x v="9"/>
    <s v="Blue Ridge Community College"/>
    <m/>
    <n v="198039"/>
    <x v="8"/>
    <s v="sem"/>
    <s v="sem"/>
    <m/>
    <m/>
    <n v="18797"/>
    <n v="17227"/>
    <n v="3993"/>
    <n v="3371"/>
    <n v="19363"/>
    <n v="20149"/>
    <n v="42153"/>
    <n v="1405.1"/>
    <n v="40747"/>
    <n v="1358.2333333333333"/>
    <n v="4810"/>
    <n v="4218"/>
    <n v="42153"/>
    <n v="40747"/>
    <m/>
    <m/>
    <n v="108895"/>
    <n v="139463"/>
    <n v="65876"/>
    <n v="64620"/>
    <n v="133933"/>
    <n v="131413"/>
    <n v="308704"/>
    <n v="343.00444444444446"/>
    <n v="335496"/>
    <n v="372.77333333333331"/>
    <m/>
    <m/>
    <n v="0"/>
    <n v="0"/>
    <m/>
    <m/>
    <m/>
    <m/>
    <m/>
    <m/>
    <m/>
    <m/>
    <n v="0"/>
    <n v="0"/>
    <n v="0"/>
    <n v="0"/>
    <n v="1748.1044444444444"/>
    <n v="1731.0066666666667"/>
  </r>
  <r>
    <x v="9"/>
    <s v="Brunswick Community College"/>
    <m/>
    <n v="198084"/>
    <x v="8"/>
    <s v="sem"/>
    <s v="sem"/>
    <m/>
    <m/>
    <n v="15023"/>
    <n v="14652"/>
    <n v="2363"/>
    <n v="2989"/>
    <n v="16133"/>
    <n v="14771"/>
    <n v="33519"/>
    <n v="1117.3"/>
    <n v="32412"/>
    <n v="1080.4000000000001"/>
    <n v="5356"/>
    <n v="5158"/>
    <n v="33519"/>
    <n v="32412"/>
    <m/>
    <m/>
    <n v="137481"/>
    <n v="127509"/>
    <n v="100144"/>
    <n v="83979"/>
    <n v="156230"/>
    <n v="153042"/>
    <n v="393855"/>
    <n v="437.61666666666667"/>
    <n v="364530"/>
    <n v="405.03333333333336"/>
    <m/>
    <m/>
    <n v="0"/>
    <n v="0"/>
    <m/>
    <m/>
    <m/>
    <m/>
    <m/>
    <m/>
    <m/>
    <m/>
    <n v="0"/>
    <n v="0"/>
    <n v="0"/>
    <n v="0"/>
    <n v="1554.9166666666665"/>
    <n v="1485.4333333333334"/>
  </r>
  <r>
    <x v="9"/>
    <s v="Carteret Community College"/>
    <m/>
    <n v="198206"/>
    <x v="8"/>
    <s v="sem"/>
    <s v="sem"/>
    <m/>
    <m/>
    <n v="14069"/>
    <n v="13556"/>
    <n v="3073"/>
    <n v="3081"/>
    <n v="14261"/>
    <n v="15133"/>
    <n v="31403"/>
    <n v="1046.7666666666667"/>
    <n v="31770"/>
    <n v="1059"/>
    <n v="1263"/>
    <n v="1699"/>
    <n v="31403"/>
    <n v="31770"/>
    <m/>
    <m/>
    <n v="114481"/>
    <n v="111980"/>
    <n v="69975"/>
    <n v="76327"/>
    <n v="110254"/>
    <n v="118277"/>
    <n v="294710"/>
    <n v="327.45555555555558"/>
    <n v="306584"/>
    <n v="340.64888888888891"/>
    <m/>
    <m/>
    <n v="0"/>
    <n v="0"/>
    <m/>
    <m/>
    <m/>
    <m/>
    <m/>
    <m/>
    <m/>
    <m/>
    <n v="0"/>
    <n v="0"/>
    <n v="0"/>
    <n v="0"/>
    <n v="1374.2222222222222"/>
    <n v="1399.6488888888889"/>
  </r>
  <r>
    <x v="9"/>
    <s v="College of the Albemarle"/>
    <m/>
    <n v="197814"/>
    <x v="8"/>
    <s v="sem"/>
    <s v="sem"/>
    <m/>
    <m/>
    <n v="22915"/>
    <n v="20851"/>
    <n v="3447"/>
    <n v="4350"/>
    <n v="21126"/>
    <n v="22265"/>
    <n v="47488"/>
    <n v="1582.9333333333334"/>
    <n v="47466"/>
    <n v="1582.2"/>
    <n v="6930"/>
    <n v="9809"/>
    <n v="47488"/>
    <n v="47466"/>
    <m/>
    <m/>
    <n v="106129"/>
    <n v="100820"/>
    <n v="43599"/>
    <n v="65982"/>
    <n v="113710"/>
    <n v="88539"/>
    <n v="263438"/>
    <n v="292.70888888888891"/>
    <n v="255341"/>
    <n v="283.71222222222224"/>
    <m/>
    <m/>
    <n v="0"/>
    <n v="0"/>
    <m/>
    <m/>
    <m/>
    <m/>
    <m/>
    <m/>
    <m/>
    <m/>
    <n v="0"/>
    <n v="0"/>
    <n v="0"/>
    <n v="0"/>
    <n v="1875.6422222222222"/>
    <n v="1865.9122222222222"/>
  </r>
  <r>
    <x v="9"/>
    <s v="Halifax Community College "/>
    <m/>
    <n v="198640"/>
    <x v="8"/>
    <s v="sem"/>
    <s v="sem"/>
    <m/>
    <m/>
    <n v="11470"/>
    <n v="10692"/>
    <n v="1872"/>
    <n v="2216"/>
    <n v="12041"/>
    <n v="11515"/>
    <n v="25383"/>
    <n v="846.1"/>
    <n v="24423"/>
    <n v="814.1"/>
    <n v="2733"/>
    <n v="3675"/>
    <n v="25383"/>
    <n v="24423"/>
    <m/>
    <m/>
    <n v="99092"/>
    <n v="94507"/>
    <n v="44094"/>
    <n v="53204"/>
    <n v="87284"/>
    <n v="91926"/>
    <n v="230470"/>
    <n v="256.07777777777778"/>
    <n v="239637"/>
    <n v="266.26333333333332"/>
    <m/>
    <m/>
    <n v="0"/>
    <n v="0"/>
    <m/>
    <m/>
    <m/>
    <m/>
    <m/>
    <m/>
    <m/>
    <m/>
    <n v="0"/>
    <n v="0"/>
    <n v="0"/>
    <n v="0"/>
    <n v="1102.1777777777779"/>
    <n v="1080.3633333333332"/>
  </r>
  <r>
    <x v="9"/>
    <s v="Haywood Community College"/>
    <m/>
    <n v="198668"/>
    <x v="8"/>
    <s v="sem"/>
    <s v="sem"/>
    <m/>
    <m/>
    <n v="16442"/>
    <n v="15264"/>
    <n v="3635"/>
    <n v="3827"/>
    <n v="16370"/>
    <n v="16193"/>
    <n v="36447"/>
    <n v="1214.9000000000001"/>
    <n v="35284"/>
    <n v="1176.1333333333334"/>
    <n v="4178"/>
    <n v="5160"/>
    <n v="36447"/>
    <n v="35284"/>
    <m/>
    <m/>
    <n v="67322"/>
    <n v="71404"/>
    <n v="41334"/>
    <n v="36239"/>
    <n v="68870"/>
    <n v="75505"/>
    <n v="177526"/>
    <n v="197.2511111111111"/>
    <n v="183148"/>
    <n v="203.49777777777777"/>
    <m/>
    <m/>
    <n v="0"/>
    <n v="0"/>
    <m/>
    <m/>
    <m/>
    <m/>
    <m/>
    <m/>
    <m/>
    <m/>
    <n v="0"/>
    <n v="0"/>
    <n v="0"/>
    <n v="0"/>
    <n v="1412.1511111111113"/>
    <n v="1379.6311111111113"/>
  </r>
  <r>
    <x v="9"/>
    <s v="Isothermal Community College "/>
    <m/>
    <n v="198710"/>
    <x v="8"/>
    <s v="sem"/>
    <s v="sem"/>
    <m/>
    <m/>
    <n v="19590.5"/>
    <n v="18842"/>
    <n v="3476"/>
    <n v="4573"/>
    <n v="19870"/>
    <n v="19054"/>
    <n v="42936.5"/>
    <n v="1431.2166666666667"/>
    <n v="42469"/>
    <n v="1415.6333333333334"/>
    <n v="9492.5"/>
    <n v="10147"/>
    <n v="42936.5"/>
    <n v="42469"/>
    <m/>
    <m/>
    <n v="78217"/>
    <n v="72928"/>
    <n v="60040"/>
    <n v="54944"/>
    <n v="64890"/>
    <n v="77623"/>
    <n v="203147"/>
    <n v="225.7188888888889"/>
    <n v="205495"/>
    <n v="228.32777777777778"/>
    <m/>
    <m/>
    <n v="0"/>
    <n v="0"/>
    <m/>
    <m/>
    <m/>
    <m/>
    <m/>
    <m/>
    <m/>
    <m/>
    <n v="0"/>
    <n v="0"/>
    <n v="0"/>
    <n v="0"/>
    <n v="1656.9355555555555"/>
    <n v="1643.9611111111112"/>
  </r>
  <r>
    <x v="9"/>
    <s v="James Sprunt Community College"/>
    <m/>
    <n v="198729"/>
    <x v="8"/>
    <s v="sem"/>
    <s v="sem"/>
    <m/>
    <m/>
    <n v="11318"/>
    <n v="11005"/>
    <n v="762"/>
    <n v="2038"/>
    <n v="11462"/>
    <n v="11236"/>
    <n v="23542"/>
    <n v="784.73333333333335"/>
    <n v="24279"/>
    <n v="809.3"/>
    <n v="4204"/>
    <n v="4889"/>
    <n v="23542"/>
    <n v="24279"/>
    <m/>
    <m/>
    <n v="69709"/>
    <n v="61554"/>
    <n v="37412"/>
    <n v="37214"/>
    <n v="46217"/>
    <n v="61005"/>
    <n v="153338"/>
    <n v="170.37555555555556"/>
    <n v="159773"/>
    <n v="177.52555555555554"/>
    <m/>
    <m/>
    <n v="0"/>
    <n v="0"/>
    <m/>
    <m/>
    <m/>
    <m/>
    <m/>
    <m/>
    <m/>
    <m/>
    <n v="0"/>
    <n v="0"/>
    <n v="0"/>
    <n v="0"/>
    <n v="955.10888888888894"/>
    <n v="986.82555555555552"/>
  </r>
  <r>
    <x v="9"/>
    <s v="Martin Community College "/>
    <m/>
    <n v="198905"/>
    <x v="8"/>
    <s v="sem"/>
    <s v="sem"/>
    <m/>
    <m/>
    <n v="5818"/>
    <n v="6919"/>
    <n v="708"/>
    <n v="1023"/>
    <n v="6874"/>
    <n v="7725"/>
    <n v="13400"/>
    <n v="446.66666666666669"/>
    <n v="15667"/>
    <n v="522.23333333333335"/>
    <n v="3697"/>
    <n v="7290"/>
    <n v="13400"/>
    <n v="15667"/>
    <m/>
    <m/>
    <n v="63569"/>
    <n v="69328"/>
    <n v="49378"/>
    <n v="34145"/>
    <n v="99697"/>
    <n v="85020"/>
    <n v="212644"/>
    <n v="236.27111111111111"/>
    <n v="188493"/>
    <n v="209.43666666666667"/>
    <m/>
    <m/>
    <n v="0"/>
    <n v="0"/>
    <m/>
    <m/>
    <m/>
    <m/>
    <m/>
    <m/>
    <m/>
    <m/>
    <n v="0"/>
    <n v="0"/>
    <n v="0"/>
    <n v="0"/>
    <n v="682.9377777777778"/>
    <n v="731.67000000000007"/>
  </r>
  <r>
    <x v="9"/>
    <s v="Mayland Community College"/>
    <m/>
    <n v="198914"/>
    <x v="8"/>
    <s v="sem"/>
    <s v="sem"/>
    <m/>
    <m/>
    <n v="9522.5"/>
    <n v="8680.5"/>
    <n v="456.5"/>
    <n v="740"/>
    <n v="9583"/>
    <n v="10342"/>
    <n v="19562"/>
    <n v="652.06666666666672"/>
    <n v="19762.5"/>
    <n v="658.75"/>
    <n v="2987"/>
    <n v="5376"/>
    <n v="19562"/>
    <n v="19762.5"/>
    <m/>
    <m/>
    <n v="182278"/>
    <n v="193181"/>
    <n v="146480"/>
    <n v="128275"/>
    <n v="173709"/>
    <n v="155829"/>
    <n v="502467"/>
    <n v="558.29666666666662"/>
    <n v="477285"/>
    <n v="530.31666666666672"/>
    <m/>
    <m/>
    <n v="0"/>
    <n v="0"/>
    <m/>
    <m/>
    <m/>
    <m/>
    <m/>
    <m/>
    <m/>
    <m/>
    <n v="0"/>
    <n v="0"/>
    <n v="0"/>
    <n v="0"/>
    <n v="1210.3633333333332"/>
    <n v="1189.0666666666666"/>
  </r>
  <r>
    <x v="9"/>
    <s v="McDowell Technical Community College"/>
    <m/>
    <n v="198923"/>
    <x v="8"/>
    <s v="sem"/>
    <s v="sem"/>
    <m/>
    <m/>
    <n v="9731"/>
    <n v="9378"/>
    <n v="2405"/>
    <n v="2554"/>
    <n v="10173"/>
    <n v="10048"/>
    <n v="22309"/>
    <n v="743.63333333333333"/>
    <n v="21980"/>
    <n v="732.66666666666663"/>
    <n v="5552"/>
    <n v="6019"/>
    <n v="22309"/>
    <n v="21980"/>
    <m/>
    <m/>
    <n v="115721"/>
    <n v="94430"/>
    <n v="69267"/>
    <n v="41929"/>
    <n v="89980"/>
    <n v="63493"/>
    <n v="274968"/>
    <n v="305.52"/>
    <n v="199852"/>
    <n v="222.05777777777777"/>
    <m/>
    <m/>
    <n v="0"/>
    <n v="0"/>
    <m/>
    <m/>
    <m/>
    <m/>
    <m/>
    <m/>
    <m/>
    <m/>
    <n v="0"/>
    <n v="0"/>
    <n v="0"/>
    <n v="0"/>
    <n v="1049.1533333333332"/>
    <n v="954.72444444444443"/>
  </r>
  <r>
    <x v="9"/>
    <s v="Montgomery Community College"/>
    <m/>
    <n v="199023"/>
    <x v="8"/>
    <s v="sem"/>
    <s v="sem"/>
    <m/>
    <m/>
    <n v="7528"/>
    <n v="6584"/>
    <n v="1222"/>
    <n v="1258"/>
    <n v="7735"/>
    <n v="8130"/>
    <n v="16485"/>
    <n v="549.5"/>
    <n v="15972"/>
    <n v="532.4"/>
    <n v="1684"/>
    <n v="1540"/>
    <n v="16485"/>
    <n v="15972"/>
    <m/>
    <m/>
    <n v="56138"/>
    <n v="62829"/>
    <n v="35045"/>
    <n v="35449"/>
    <n v="57072"/>
    <n v="54425"/>
    <n v="148255"/>
    <n v="164.72777777777779"/>
    <n v="152703"/>
    <n v="169.67"/>
    <m/>
    <m/>
    <n v="0"/>
    <n v="0"/>
    <m/>
    <m/>
    <m/>
    <m/>
    <m/>
    <m/>
    <m/>
    <m/>
    <n v="0"/>
    <n v="0"/>
    <n v="0"/>
    <n v="0"/>
    <n v="714.22777777777776"/>
    <n v="702.06999999999994"/>
  </r>
  <r>
    <x v="9"/>
    <s v="Pamlico Community College"/>
    <m/>
    <n v="199263"/>
    <x v="8"/>
    <s v="sem"/>
    <s v="sem"/>
    <m/>
    <m/>
    <n v="4453"/>
    <n v="4638"/>
    <n v="711"/>
    <n v="933"/>
    <n v="4903"/>
    <n v="4926"/>
    <n v="10067"/>
    <n v="335.56666666666666"/>
    <n v="10497"/>
    <n v="349.9"/>
    <n v="1191"/>
    <n v="1601"/>
    <n v="10067"/>
    <n v="10497"/>
    <m/>
    <m/>
    <n v="46676"/>
    <n v="32073"/>
    <n v="31923"/>
    <n v="29437"/>
    <n v="39137"/>
    <n v="40034"/>
    <n v="117736"/>
    <n v="130.81777777777779"/>
    <n v="101544"/>
    <n v="112.82666666666667"/>
    <m/>
    <m/>
    <n v="0"/>
    <n v="0"/>
    <m/>
    <m/>
    <m/>
    <m/>
    <m/>
    <m/>
    <m/>
    <m/>
    <n v="0"/>
    <n v="0"/>
    <n v="0"/>
    <n v="0"/>
    <n v="466.38444444444445"/>
    <n v="462.72666666666663"/>
  </r>
  <r>
    <x v="9"/>
    <s v="Piedmont Community College"/>
    <m/>
    <n v="199324"/>
    <x v="8"/>
    <s v="sem"/>
    <s v="sem"/>
    <m/>
    <m/>
    <n v="12565"/>
    <n v="11358"/>
    <n v="1746"/>
    <n v="1665.5"/>
    <n v="12737.5"/>
    <n v="11736"/>
    <n v="27048.5"/>
    <n v="901.61666666666667"/>
    <n v="24759.5"/>
    <n v="825.31666666666672"/>
    <n v="2604"/>
    <n v="2655.5"/>
    <n v="27048.5"/>
    <n v="24759.5"/>
    <m/>
    <m/>
    <n v="154167"/>
    <n v="145046"/>
    <n v="92181"/>
    <n v="89912"/>
    <n v="156168"/>
    <n v="150676"/>
    <n v="402516"/>
    <n v="447.24"/>
    <n v="385634"/>
    <n v="428.48222222222222"/>
    <m/>
    <m/>
    <n v="0"/>
    <n v="0"/>
    <m/>
    <m/>
    <m/>
    <m/>
    <m/>
    <m/>
    <m/>
    <m/>
    <n v="0"/>
    <n v="0"/>
    <n v="0"/>
    <n v="0"/>
    <n v="1348.8566666666666"/>
    <n v="1253.798888888889"/>
  </r>
  <r>
    <x v="9"/>
    <s v="Roanoke-Chowan Community College"/>
    <m/>
    <n v="199467"/>
    <x v="8"/>
    <s v="sem"/>
    <s v="sem"/>
    <m/>
    <m/>
    <n v="7385"/>
    <n v="6715"/>
    <n v="628"/>
    <n v="663"/>
    <n v="7617"/>
    <n v="7824"/>
    <n v="15630"/>
    <n v="521"/>
    <n v="15202"/>
    <n v="506.73333333333335"/>
    <n v="2610"/>
    <n v="3783"/>
    <n v="15630"/>
    <n v="15202"/>
    <m/>
    <m/>
    <n v="56321"/>
    <n v="63655"/>
    <n v="40676"/>
    <n v="51234"/>
    <n v="64965"/>
    <n v="54474"/>
    <n v="161962"/>
    <n v="179.95777777777778"/>
    <n v="169363"/>
    <n v="188.18111111111111"/>
    <m/>
    <m/>
    <n v="0"/>
    <n v="0"/>
    <m/>
    <m/>
    <m/>
    <m/>
    <m/>
    <m/>
    <m/>
    <m/>
    <n v="0"/>
    <n v="0"/>
    <n v="0"/>
    <n v="0"/>
    <n v="700.95777777777778"/>
    <n v="694.91444444444448"/>
  </r>
  <r>
    <x v="9"/>
    <s v="Rockingham Community College "/>
    <m/>
    <n v="199485"/>
    <x v="8"/>
    <s v="sem"/>
    <s v="sem"/>
    <m/>
    <m/>
    <n v="16267"/>
    <n v="15010"/>
    <n v="3169"/>
    <n v="3046"/>
    <n v="17008"/>
    <n v="16104"/>
    <n v="36444"/>
    <n v="1214.8"/>
    <n v="34160"/>
    <n v="1138.6666666666667"/>
    <n v="4507"/>
    <n v="5482"/>
    <n v="36444"/>
    <n v="34160"/>
    <m/>
    <m/>
    <n v="61908"/>
    <n v="64180"/>
    <n v="45656"/>
    <n v="43755"/>
    <n v="80379"/>
    <n v="70912"/>
    <n v="187943"/>
    <n v="208.82555555555555"/>
    <n v="178847"/>
    <n v="198.7188888888889"/>
    <m/>
    <m/>
    <n v="0"/>
    <n v="0"/>
    <m/>
    <m/>
    <m/>
    <m/>
    <m/>
    <m/>
    <m/>
    <m/>
    <n v="0"/>
    <n v="0"/>
    <n v="0"/>
    <n v="0"/>
    <n v="1423.6255555555556"/>
    <n v="1337.3855555555556"/>
  </r>
  <r>
    <x v="9"/>
    <s v="Sampson Community College"/>
    <m/>
    <n v="199625"/>
    <x v="8"/>
    <s v="sem"/>
    <s v="sem"/>
    <m/>
    <m/>
    <n v="12965"/>
    <n v="12365"/>
    <n v="1584"/>
    <n v="2924"/>
    <n v="13391"/>
    <n v="14028"/>
    <n v="27940"/>
    <n v="931.33333333333337"/>
    <n v="29317"/>
    <n v="977.23333333333335"/>
    <n v="4997"/>
    <n v="6646"/>
    <n v="27940"/>
    <n v="29317"/>
    <m/>
    <m/>
    <n v="137899"/>
    <n v="134848"/>
    <n v="108715"/>
    <n v="97317"/>
    <n v="177033"/>
    <n v="160679"/>
    <n v="423647"/>
    <n v="470.7188888888889"/>
    <n v="392844"/>
    <n v="436.49333333333334"/>
    <m/>
    <m/>
    <n v="0"/>
    <n v="0"/>
    <m/>
    <m/>
    <m/>
    <m/>
    <m/>
    <m/>
    <m/>
    <m/>
    <n v="0"/>
    <n v="0"/>
    <n v="0"/>
    <n v="0"/>
    <n v="1402.0522222222223"/>
    <n v="1413.7266666666667"/>
  </r>
  <r>
    <x v="9"/>
    <s v="South Piedmont Community College"/>
    <s v="Met the criteria for Two-Year 2 in 2016-17."/>
    <n v="197850"/>
    <x v="8"/>
    <s v="sem"/>
    <s v="sem"/>
    <m/>
    <m/>
    <n v="20638"/>
    <n v="20118"/>
    <n v="3462"/>
    <n v="3893"/>
    <n v="21391"/>
    <n v="21549"/>
    <n v="45491"/>
    <n v="1516.3666666666666"/>
    <n v="45560"/>
    <n v="1518.6666666666667"/>
    <n v="10569"/>
    <n v="13649"/>
    <n v="45491"/>
    <n v="45560"/>
    <m/>
    <m/>
    <n v="189477"/>
    <n v="228146"/>
    <n v="127956"/>
    <n v="123537"/>
    <n v="253211"/>
    <n v="202296"/>
    <n v="570644"/>
    <n v="634.04888888888888"/>
    <n v="553979"/>
    <n v="615.53222222222223"/>
    <m/>
    <m/>
    <n v="0"/>
    <n v="0"/>
    <m/>
    <m/>
    <m/>
    <m/>
    <m/>
    <m/>
    <m/>
    <m/>
    <n v="0"/>
    <n v="0"/>
    <n v="0"/>
    <n v="0"/>
    <n v="2150.4155555555553"/>
    <n v="2134.1988888888891"/>
  </r>
  <r>
    <x v="9"/>
    <s v="Southeastern Community College "/>
    <m/>
    <n v="199722"/>
    <x v="8"/>
    <s v="sem"/>
    <s v="sem"/>
    <m/>
    <m/>
    <n v="13194"/>
    <n v="13124"/>
    <n v="3437"/>
    <n v="3600"/>
    <n v="13786"/>
    <n v="12758"/>
    <n v="30417"/>
    <n v="1013.9"/>
    <n v="29482"/>
    <n v="982.73333333333335"/>
    <n v="3842"/>
    <n v="3931"/>
    <n v="30417"/>
    <n v="29482"/>
    <m/>
    <m/>
    <n v="248065"/>
    <n v="250386"/>
    <n v="152863"/>
    <n v="151586"/>
    <n v="260389"/>
    <n v="216359"/>
    <n v="661317"/>
    <n v="734.79666666666662"/>
    <n v="618331"/>
    <n v="687.03444444444449"/>
    <m/>
    <m/>
    <n v="0"/>
    <n v="0"/>
    <m/>
    <m/>
    <m/>
    <m/>
    <m/>
    <m/>
    <m/>
    <m/>
    <n v="0"/>
    <n v="0"/>
    <n v="0"/>
    <n v="0"/>
    <n v="1748.6966666666667"/>
    <n v="1669.7677777777778"/>
  </r>
  <r>
    <x v="9"/>
    <s v="Southwestern Community College "/>
    <s v="Met the criteria for Two-Year 2 in 2016-17."/>
    <n v="199731"/>
    <x v="8"/>
    <s v="sem"/>
    <s v="sem"/>
    <m/>
    <m/>
    <n v="22879"/>
    <n v="22929"/>
    <n v="4212"/>
    <n v="4039"/>
    <n v="24153"/>
    <n v="23326"/>
    <n v="51244"/>
    <n v="1708.1333333333334"/>
    <n v="50294"/>
    <n v="1676.4666666666667"/>
    <n v="8697"/>
    <n v="10369"/>
    <n v="51244"/>
    <n v="50294"/>
    <m/>
    <m/>
    <n v="142728"/>
    <n v="157061"/>
    <n v="85135"/>
    <n v="71249"/>
    <n v="164031"/>
    <n v="129766"/>
    <n v="391894"/>
    <n v="435.4377777777778"/>
    <n v="358076"/>
    <n v="397.86222222222221"/>
    <m/>
    <m/>
    <n v="0"/>
    <n v="0"/>
    <m/>
    <m/>
    <m/>
    <m/>
    <m/>
    <m/>
    <m/>
    <m/>
    <n v="0"/>
    <n v="0"/>
    <n v="0"/>
    <n v="0"/>
    <n v="2143.5711111111113"/>
    <n v="2074.3288888888887"/>
  </r>
  <r>
    <x v="9"/>
    <s v="Tri-County Community College "/>
    <m/>
    <n v="199795"/>
    <x v="8"/>
    <s v="sem"/>
    <s v="sem"/>
    <m/>
    <m/>
    <n v="11807"/>
    <n v="10835"/>
    <n v="1962"/>
    <n v="1814"/>
    <n v="11693"/>
    <n v="10947"/>
    <n v="25462"/>
    <n v="848.73333333333335"/>
    <n v="23596"/>
    <n v="786.5333333333333"/>
    <n v="5589"/>
    <n v="6562"/>
    <n v="25462"/>
    <n v="23596"/>
    <m/>
    <m/>
    <n v="55031"/>
    <n v="49067"/>
    <n v="57851"/>
    <n v="32066"/>
    <n v="75060"/>
    <n v="49611"/>
    <n v="187942"/>
    <n v="208.82444444444445"/>
    <n v="130744"/>
    <n v="145.27111111111111"/>
    <m/>
    <m/>
    <n v="0"/>
    <n v="0"/>
    <m/>
    <m/>
    <m/>
    <m/>
    <m/>
    <m/>
    <m/>
    <m/>
    <n v="0"/>
    <n v="0"/>
    <n v="0"/>
    <n v="0"/>
    <n v="1057.5577777777778"/>
    <n v="931.80444444444447"/>
  </r>
  <r>
    <x v="9"/>
    <s v="Wilson Community College"/>
    <m/>
    <n v="199953"/>
    <x v="8"/>
    <s v="sem"/>
    <s v="sem"/>
    <m/>
    <m/>
    <n v="16261"/>
    <n v="15536.5"/>
    <n v="5644"/>
    <n v="6009"/>
    <n v="15938"/>
    <n v="16224"/>
    <n v="37843"/>
    <n v="1261.4333333333334"/>
    <n v="37769.5"/>
    <n v="1258.9833333333333"/>
    <n v="5128"/>
    <n v="7115.5"/>
    <n v="37843"/>
    <n v="37769.5"/>
    <m/>
    <m/>
    <n v="107967"/>
    <n v="114066"/>
    <n v="67928"/>
    <n v="68779"/>
    <n v="119746"/>
    <n v="111304"/>
    <n v="295641"/>
    <n v="328.49"/>
    <n v="294149"/>
    <n v="326.83222222222224"/>
    <m/>
    <m/>
    <n v="0"/>
    <n v="0"/>
    <m/>
    <m/>
    <m/>
    <m/>
    <m/>
    <m/>
    <m/>
    <m/>
    <n v="0"/>
    <n v="0"/>
    <n v="0"/>
    <n v="0"/>
    <n v="1589.9233333333334"/>
    <n v="1585.8155555555556"/>
  </r>
  <r>
    <x v="9"/>
    <s v="North Carolina State University "/>
    <m/>
    <n v="199193"/>
    <x v="0"/>
    <s v="sem"/>
    <s v="sem"/>
    <m/>
    <m/>
    <n v="312205"/>
    <n v="304842"/>
    <n v="48937"/>
    <n v="45980"/>
    <n v="330596"/>
    <n v="327142"/>
    <n v="691738"/>
    <n v="23057.933333333334"/>
    <n v="677964"/>
    <n v="22598.799999999999"/>
    <n v="1291"/>
    <n v="1603"/>
    <n v="691738"/>
    <n v="677964"/>
    <m/>
    <m/>
    <m/>
    <m/>
    <m/>
    <m/>
    <m/>
    <m/>
    <n v="0"/>
    <n v="0"/>
    <n v="0"/>
    <n v="0"/>
    <m/>
    <m/>
    <n v="0"/>
    <n v="0"/>
    <m/>
    <m/>
    <n v="65131"/>
    <n v="66049"/>
    <n v="9912"/>
    <n v="10676"/>
    <n v="73976"/>
    <n v="75248"/>
    <n v="149019"/>
    <n v="6209.125"/>
    <n v="151973"/>
    <n v="6332.208333333333"/>
    <n v="29267.058333333334"/>
    <n v="28931.008333333331"/>
  </r>
  <r>
    <x v="9"/>
    <s v="University of North Carolina at Chapel Hill "/>
    <m/>
    <n v="199120"/>
    <x v="0"/>
    <s v="sem"/>
    <s v="sem"/>
    <m/>
    <m/>
    <n v="228885"/>
    <n v="235317"/>
    <n v="29153"/>
    <n v="29284"/>
    <n v="245001"/>
    <n v="252297"/>
    <n v="503039"/>
    <n v="16767.966666666667"/>
    <n v="516898"/>
    <n v="17229.933333333334"/>
    <n v="50"/>
    <n v="0"/>
    <n v="503039"/>
    <n v="516898"/>
    <m/>
    <m/>
    <m/>
    <m/>
    <m/>
    <m/>
    <m/>
    <m/>
    <n v="0"/>
    <n v="0"/>
    <n v="0"/>
    <n v="0"/>
    <m/>
    <m/>
    <n v="0"/>
    <n v="0"/>
    <m/>
    <m/>
    <n v="86380"/>
    <n v="76996"/>
    <n v="12863"/>
    <n v="12671"/>
    <n v="83668"/>
    <n v="89608"/>
    <n v="182911"/>
    <n v="7621.291666666667"/>
    <n v="179275"/>
    <n v="7469.791666666667"/>
    <n v="24389.258333333335"/>
    <n v="24699.725000000002"/>
  </r>
  <r>
    <x v="9"/>
    <s v="University of North Carolina at Charlotte"/>
    <m/>
    <n v="199139"/>
    <x v="0"/>
    <s v="sem"/>
    <s v="sem"/>
    <m/>
    <m/>
    <n v="279158"/>
    <n v="289299"/>
    <n v="47138"/>
    <n v="49444"/>
    <n v="307531"/>
    <n v="317716"/>
    <n v="633827"/>
    <n v="21127.566666666666"/>
    <n v="656459"/>
    <n v="21881.966666666667"/>
    <n v="0"/>
    <n v="570"/>
    <n v="633827"/>
    <n v="656459"/>
    <m/>
    <m/>
    <m/>
    <m/>
    <m/>
    <m/>
    <m/>
    <m/>
    <n v="0"/>
    <n v="0"/>
    <n v="0"/>
    <n v="0"/>
    <m/>
    <m/>
    <n v="0"/>
    <n v="0"/>
    <m/>
    <m/>
    <n v="33851"/>
    <n v="34829"/>
    <n v="10484"/>
    <n v="11345"/>
    <n v="37493"/>
    <n v="39564"/>
    <n v="81828"/>
    <n v="3409.5"/>
    <n v="85738"/>
    <n v="3572.4166666666665"/>
    <n v="24537.066666666666"/>
    <n v="25454.383333333335"/>
  </r>
  <r>
    <x v="9"/>
    <s v="University of North Carolina at Greensboro"/>
    <m/>
    <n v="199148"/>
    <x v="0"/>
    <s v="sem"/>
    <s v="sem"/>
    <m/>
    <m/>
    <n v="186617"/>
    <n v="197145"/>
    <n v="26424"/>
    <n v="28484"/>
    <n v="206694"/>
    <n v="218310"/>
    <n v="419735"/>
    <n v="13991.166666666666"/>
    <n v="443939"/>
    <n v="14797.966666666667"/>
    <n v="3939"/>
    <n v="2681"/>
    <n v="419735"/>
    <n v="443939"/>
    <m/>
    <m/>
    <m/>
    <m/>
    <m/>
    <m/>
    <m/>
    <m/>
    <n v="0"/>
    <n v="0"/>
    <n v="0"/>
    <n v="0"/>
    <m/>
    <m/>
    <n v="0"/>
    <n v="0"/>
    <m/>
    <m/>
    <n v="28933"/>
    <n v="25148"/>
    <n v="5914"/>
    <n v="5703"/>
    <n v="30415"/>
    <n v="25960"/>
    <n v="65262"/>
    <n v="2719.25"/>
    <n v="56811"/>
    <n v="2367.125"/>
    <n v="16710.416666666664"/>
    <n v="17165.091666666667"/>
  </r>
  <r>
    <x v="9"/>
    <s v="East Carolina University "/>
    <m/>
    <n v="198464"/>
    <x v="1"/>
    <s v="sem"/>
    <s v="sem"/>
    <m/>
    <m/>
    <n v="268497"/>
    <n v="280629"/>
    <n v="49661"/>
    <n v="51546"/>
    <n v="297176"/>
    <n v="303827"/>
    <n v="615334"/>
    <n v="20511.133333333335"/>
    <n v="636002"/>
    <n v="21200.066666666666"/>
    <n v="6035"/>
    <n v="2672"/>
    <n v="615334"/>
    <n v="636002"/>
    <m/>
    <m/>
    <m/>
    <m/>
    <m/>
    <m/>
    <m/>
    <m/>
    <n v="0"/>
    <n v="0"/>
    <n v="0"/>
    <n v="0"/>
    <m/>
    <m/>
    <n v="0"/>
    <n v="0"/>
    <m/>
    <m/>
    <n v="31232"/>
    <n v="30071"/>
    <n v="15430"/>
    <n v="15248"/>
    <n v="33875"/>
    <n v="35382"/>
    <n v="80537"/>
    <n v="3355.7083333333335"/>
    <n v="80701"/>
    <n v="3362.5416666666665"/>
    <n v="23866.841666666667"/>
    <n v="24562.608333333334"/>
  </r>
  <r>
    <x v="9"/>
    <s v="Appalachian State University "/>
    <m/>
    <n v="197869"/>
    <x v="2"/>
    <s v="sem"/>
    <s v="sem"/>
    <m/>
    <m/>
    <n v="220984"/>
    <n v="221773"/>
    <n v="37420"/>
    <n v="38319"/>
    <n v="230651"/>
    <n v="240631"/>
    <n v="489055"/>
    <n v="16301.833333333334"/>
    <n v="500723"/>
    <n v="16690.766666666666"/>
    <n v="0"/>
    <n v="0"/>
    <n v="489055"/>
    <n v="500723"/>
    <m/>
    <m/>
    <m/>
    <m/>
    <m/>
    <m/>
    <m/>
    <m/>
    <n v="0"/>
    <n v="0"/>
    <n v="0"/>
    <n v="0"/>
    <m/>
    <m/>
    <n v="0"/>
    <n v="0"/>
    <m/>
    <m/>
    <n v="13260"/>
    <n v="13053"/>
    <n v="6935"/>
    <n v="6722"/>
    <n v="10355"/>
    <n v="14149"/>
    <n v="30550"/>
    <n v="1272.9166666666667"/>
    <n v="33924"/>
    <n v="1413.5"/>
    <n v="17574.75"/>
    <n v="18104.266666666666"/>
  </r>
  <r>
    <x v="9"/>
    <s v="North Carolina A&amp;T State University"/>
    <s v="Met the criteria for Four-Year 2 in  2016-17."/>
    <n v="199102"/>
    <x v="2"/>
    <s v="sem"/>
    <s v="sem"/>
    <m/>
    <m/>
    <n v="116628"/>
    <n v="124349"/>
    <n v="15475"/>
    <n v="16594"/>
    <n v="126172"/>
    <n v="135755"/>
    <n v="258275"/>
    <n v="8609.1666666666661"/>
    <n v="276698"/>
    <n v="9223.2666666666664"/>
    <n v="347"/>
    <n v="0"/>
    <n v="258275"/>
    <n v="276698"/>
    <m/>
    <m/>
    <m/>
    <m/>
    <m/>
    <m/>
    <m/>
    <m/>
    <n v="0"/>
    <n v="0"/>
    <n v="0"/>
    <n v="0"/>
    <m/>
    <m/>
    <n v="0"/>
    <n v="0"/>
    <m/>
    <m/>
    <n v="13135"/>
    <n v="11741"/>
    <n v="2462"/>
    <n v="2192"/>
    <n v="12868"/>
    <n v="12042"/>
    <n v="28465"/>
    <n v="1186.0416666666667"/>
    <n v="25975"/>
    <n v="1082.2916666666667"/>
    <n v="9795.2083333333321"/>
    <n v="10305.558333333332"/>
  </r>
  <r>
    <x v="9"/>
    <s v="North Carolina Central University "/>
    <m/>
    <n v="199157"/>
    <x v="2"/>
    <s v="sem"/>
    <s v="sem"/>
    <m/>
    <m/>
    <n v="75455"/>
    <n v="78214"/>
    <n v="18797"/>
    <n v="18478"/>
    <n v="83436"/>
    <n v="84964"/>
    <n v="177688"/>
    <n v="5922.9333333333334"/>
    <n v="181656"/>
    <n v="6055.2"/>
    <n v="4541"/>
    <n v="2191"/>
    <n v="177688"/>
    <n v="181656"/>
    <m/>
    <m/>
    <m/>
    <m/>
    <m/>
    <m/>
    <m/>
    <m/>
    <n v="0"/>
    <n v="0"/>
    <n v="0"/>
    <n v="0"/>
    <m/>
    <m/>
    <n v="0"/>
    <n v="0"/>
    <m/>
    <m/>
    <n v="16346"/>
    <n v="16684"/>
    <n v="4227"/>
    <n v="4388"/>
    <n v="18364"/>
    <n v="18255"/>
    <n v="38937"/>
    <n v="1622.375"/>
    <n v="39327"/>
    <n v="1638.625"/>
    <n v="7545.3083333333334"/>
    <n v="7693.8249999999998"/>
  </r>
  <r>
    <x v="9"/>
    <s v="University of North Carolina at Wilmington"/>
    <m/>
    <n v="199218"/>
    <x v="2"/>
    <s v="sem"/>
    <s v="sem"/>
    <m/>
    <m/>
    <n v="167872"/>
    <n v="171631"/>
    <n v="36163"/>
    <n v="38073"/>
    <n v="182198"/>
    <n v="189082"/>
    <n v="386233"/>
    <n v="12874.433333333332"/>
    <n v="398786"/>
    <n v="13292.866666666667"/>
    <n v="1233"/>
    <n v="600"/>
    <n v="386233"/>
    <n v="398786"/>
    <m/>
    <m/>
    <m/>
    <m/>
    <m/>
    <m/>
    <m/>
    <m/>
    <n v="0"/>
    <n v="0"/>
    <n v="0"/>
    <n v="0"/>
    <m/>
    <m/>
    <n v="0"/>
    <n v="0"/>
    <m/>
    <m/>
    <n v="11456"/>
    <n v="12140"/>
    <n v="4717"/>
    <n v="4574"/>
    <n v="12409"/>
    <n v="13349"/>
    <n v="28582"/>
    <n v="1190.9166666666667"/>
    <n v="30063"/>
    <n v="1252.625"/>
    <n v="14065.349999999999"/>
    <n v="14545.491666666667"/>
  </r>
  <r>
    <x v="9"/>
    <s v="Western Carolina University "/>
    <m/>
    <n v="200004"/>
    <x v="2"/>
    <s v="sem"/>
    <s v="sem"/>
    <m/>
    <m/>
    <n v="109408"/>
    <n v="109981"/>
    <n v="16411"/>
    <n v="17951"/>
    <n v="118776"/>
    <n v="124657"/>
    <n v="244595"/>
    <n v="8153.166666666667"/>
    <n v="252589"/>
    <n v="8419.6333333333332"/>
    <n v="0"/>
    <n v="0"/>
    <n v="244595"/>
    <n v="252589"/>
    <m/>
    <m/>
    <m/>
    <m/>
    <m/>
    <m/>
    <m/>
    <m/>
    <n v="0"/>
    <n v="0"/>
    <n v="0"/>
    <n v="0"/>
    <m/>
    <m/>
    <n v="0"/>
    <n v="0"/>
    <m/>
    <m/>
    <n v="11889"/>
    <n v="11235"/>
    <n v="5604"/>
    <n v="5068"/>
    <n v="11964"/>
    <n v="12946"/>
    <n v="29457"/>
    <n v="1227.375"/>
    <n v="29249"/>
    <n v="1218.7083333333333"/>
    <n v="9380.5416666666679"/>
    <n v="9638.3416666666672"/>
  </r>
  <r>
    <x v="9"/>
    <s v="Fayetteville State University "/>
    <m/>
    <n v="198543"/>
    <x v="3"/>
    <s v="sem"/>
    <s v="sem"/>
    <m/>
    <m/>
    <n v="63646"/>
    <n v="62358"/>
    <n v="19479"/>
    <n v="17171"/>
    <n v="68258"/>
    <n v="68439"/>
    <n v="151383"/>
    <n v="5046.1000000000004"/>
    <n v="147968"/>
    <n v="4932.2666666666664"/>
    <n v="2693"/>
    <n v="7389"/>
    <n v="151383"/>
    <n v="147968"/>
    <m/>
    <m/>
    <m/>
    <m/>
    <m/>
    <m/>
    <m/>
    <m/>
    <n v="0"/>
    <n v="0"/>
    <n v="0"/>
    <n v="0"/>
    <m/>
    <m/>
    <n v="0"/>
    <n v="0"/>
    <m/>
    <m/>
    <n v="4488"/>
    <n v="5039"/>
    <n v="1476"/>
    <n v="1719"/>
    <n v="4134"/>
    <n v="5769"/>
    <n v="10098"/>
    <n v="420.75"/>
    <n v="12527"/>
    <n v="521.95833333333337"/>
    <n v="5466.85"/>
    <n v="5454.2249999999995"/>
  </r>
  <r>
    <x v="9"/>
    <s v="University of North Carolina at Pembroke"/>
    <m/>
    <n v="199281"/>
    <x v="4"/>
    <s v="sem"/>
    <s v="sem"/>
    <m/>
    <m/>
    <n v="62841"/>
    <n v="66318"/>
    <n v="15883"/>
    <n v="14891"/>
    <n v="73285"/>
    <n v="71548"/>
    <n v="152009"/>
    <n v="5066.9666666666662"/>
    <n v="152757"/>
    <n v="5091.8999999999996"/>
    <n v="0"/>
    <n v="0"/>
    <n v="152009"/>
    <n v="152757"/>
    <m/>
    <m/>
    <m/>
    <m/>
    <m/>
    <m/>
    <m/>
    <m/>
    <n v="0"/>
    <n v="0"/>
    <n v="0"/>
    <n v="0"/>
    <m/>
    <m/>
    <n v="0"/>
    <n v="0"/>
    <m/>
    <m/>
    <n v="4824"/>
    <n v="4689"/>
    <n v="2725"/>
    <n v="2851"/>
    <n v="5008"/>
    <n v="4874"/>
    <n v="12557"/>
    <n v="523.20833333333337"/>
    <n v="12414"/>
    <n v="517.25"/>
    <n v="5590.1749999999993"/>
    <n v="5609.15"/>
  </r>
  <r>
    <x v="9"/>
    <s v="Winston-Salem State University "/>
    <m/>
    <n v="199999"/>
    <x v="4"/>
    <s v="sem"/>
    <s v="sem"/>
    <m/>
    <m/>
    <n v="56953"/>
    <n v="59213"/>
    <n v="9755"/>
    <n v="9135"/>
    <n v="62494"/>
    <n v="64636"/>
    <n v="129202"/>
    <n v="4306.7333333333336"/>
    <n v="132984"/>
    <n v="4432.8"/>
    <n v="0"/>
    <n v="0"/>
    <n v="129202"/>
    <n v="132984"/>
    <m/>
    <m/>
    <m/>
    <m/>
    <m/>
    <m/>
    <m/>
    <m/>
    <n v="0"/>
    <n v="0"/>
    <n v="0"/>
    <n v="0"/>
    <m/>
    <m/>
    <n v="0"/>
    <n v="0"/>
    <m/>
    <m/>
    <n v="3978"/>
    <n v="4261"/>
    <n v="1982"/>
    <n v="2126"/>
    <n v="4203"/>
    <n v="3975"/>
    <n v="10163"/>
    <n v="423.45833333333331"/>
    <n v="10362"/>
    <n v="431.75"/>
    <n v="4730.1916666666666"/>
    <n v="4864.55"/>
  </r>
  <r>
    <x v="9"/>
    <s v="Elizabeth City State University "/>
    <m/>
    <n v="198507"/>
    <x v="5"/>
    <s v="sem"/>
    <s v="sem"/>
    <m/>
    <m/>
    <n v="22900"/>
    <n v="21105"/>
    <n v="4290"/>
    <n v="3492"/>
    <n v="21968"/>
    <n v="18738"/>
    <n v="49158"/>
    <n v="1638.6"/>
    <n v="43335"/>
    <n v="1444.5"/>
    <n v="0"/>
    <n v="0"/>
    <n v="49158"/>
    <n v="43335"/>
    <m/>
    <m/>
    <m/>
    <m/>
    <m/>
    <m/>
    <m/>
    <m/>
    <n v="0"/>
    <n v="0"/>
    <n v="0"/>
    <n v="0"/>
    <m/>
    <m/>
    <n v="0"/>
    <n v="0"/>
    <m/>
    <m/>
    <n v="378"/>
    <n v="228"/>
    <n v="190"/>
    <n v="124"/>
    <n v="248"/>
    <n v="314"/>
    <n v="816"/>
    <n v="34"/>
    <n v="666"/>
    <n v="27.75"/>
    <n v="1672.6"/>
    <n v="1472.25"/>
  </r>
  <r>
    <x v="9"/>
    <s v="University of North Carolina at Asheville"/>
    <m/>
    <n v="199111"/>
    <x v="5"/>
    <s v="sem"/>
    <s v="sem"/>
    <m/>
    <m/>
    <n v="46573"/>
    <n v="48083"/>
    <n v="4625"/>
    <n v="4485"/>
    <n v="51674"/>
    <n v="50775"/>
    <n v="102872"/>
    <n v="3429.0666666666666"/>
    <n v="103343"/>
    <n v="3444.7666666666669"/>
    <n v="0"/>
    <n v="0"/>
    <n v="102872"/>
    <n v="103343"/>
    <m/>
    <m/>
    <m/>
    <m/>
    <m/>
    <m/>
    <m/>
    <m/>
    <n v="0"/>
    <n v="0"/>
    <n v="0"/>
    <n v="0"/>
    <m/>
    <m/>
    <n v="0"/>
    <n v="0"/>
    <m/>
    <m/>
    <n v="159"/>
    <n v="126"/>
    <n v="3"/>
    <n v="11"/>
    <n v="179"/>
    <n v="120"/>
    <n v="341"/>
    <n v="14.208333333333334"/>
    <n v="257"/>
    <n v="10.708333333333334"/>
    <n v="3443.2750000000001"/>
    <n v="3455.4750000000004"/>
  </r>
  <r>
    <x v="10"/>
    <s v="Canadian Valley Technology Center                 "/>
    <m/>
    <n v="365374"/>
    <x v="9"/>
    <s v="sem"/>
    <m/>
    <m/>
    <m/>
    <m/>
    <m/>
    <m/>
    <m/>
    <m/>
    <m/>
    <n v="0"/>
    <n v="0"/>
    <n v="0"/>
    <n v="0"/>
    <m/>
    <m/>
    <n v="0"/>
    <n v="0"/>
    <m/>
    <m/>
    <m/>
    <m/>
    <m/>
    <m/>
    <n v="944778.75"/>
    <n v="931535"/>
    <n v="944778.75"/>
    <n v="1049.7541666666666"/>
    <n v="931535"/>
    <n v="1035.0388888888888"/>
    <m/>
    <m/>
    <n v="0"/>
    <n v="0"/>
    <m/>
    <m/>
    <m/>
    <m/>
    <m/>
    <m/>
    <m/>
    <m/>
    <n v="0"/>
    <n v="0"/>
    <n v="0"/>
    <n v="0"/>
    <n v="1049.7541666666666"/>
    <n v="1035.0388888888888"/>
  </r>
  <r>
    <x v="10"/>
    <s v="Francis Tuttle Technology Center                  "/>
    <m/>
    <n v="245999"/>
    <x v="9"/>
    <s v="sem"/>
    <m/>
    <m/>
    <m/>
    <m/>
    <m/>
    <m/>
    <m/>
    <m/>
    <m/>
    <n v="0"/>
    <n v="0"/>
    <n v="0"/>
    <n v="0"/>
    <m/>
    <m/>
    <n v="0"/>
    <n v="0"/>
    <m/>
    <m/>
    <m/>
    <m/>
    <m/>
    <m/>
    <n v="1635128.74"/>
    <n v="1646011.5"/>
    <n v="1635128.74"/>
    <n v="1816.809711111111"/>
    <n v="1646011.5"/>
    <n v="1828.9016666666666"/>
    <m/>
    <m/>
    <n v="0"/>
    <n v="0"/>
    <m/>
    <m/>
    <m/>
    <m/>
    <m/>
    <m/>
    <m/>
    <m/>
    <n v="0"/>
    <n v="0"/>
    <n v="0"/>
    <n v="0"/>
    <n v="1816.809711111111"/>
    <n v="1828.9016666666666"/>
  </r>
  <r>
    <x v="10"/>
    <s v="Metro Technology Centers                          "/>
    <s v="Met the criteria for Technical Institute or College 2 in 2015-16 and 2016-17."/>
    <n v="363165"/>
    <x v="9"/>
    <s v="sem"/>
    <m/>
    <m/>
    <m/>
    <m/>
    <m/>
    <m/>
    <m/>
    <m/>
    <m/>
    <n v="0"/>
    <n v="0"/>
    <n v="0"/>
    <n v="0"/>
    <m/>
    <m/>
    <n v="0"/>
    <n v="0"/>
    <m/>
    <m/>
    <m/>
    <m/>
    <m/>
    <m/>
    <n v="827239.3"/>
    <n v="820608.6"/>
    <n v="827239.3"/>
    <n v="919.15477777777778"/>
    <n v="820608.6"/>
    <n v="911.78733333333332"/>
    <m/>
    <m/>
    <n v="0"/>
    <n v="0"/>
    <m/>
    <m/>
    <m/>
    <m/>
    <m/>
    <m/>
    <m/>
    <m/>
    <n v="0"/>
    <n v="0"/>
    <n v="0"/>
    <n v="0"/>
    <n v="919.15477777777778"/>
    <n v="911.78733333333332"/>
  </r>
  <r>
    <x v="10"/>
    <s v="Tulsa Technology Center-Lemley Campus             "/>
    <m/>
    <n v="261375"/>
    <x v="9"/>
    <s v="sem"/>
    <m/>
    <m/>
    <m/>
    <m/>
    <m/>
    <m/>
    <m/>
    <m/>
    <m/>
    <n v="0"/>
    <n v="0"/>
    <n v="0"/>
    <n v="0"/>
    <m/>
    <m/>
    <n v="0"/>
    <n v="0"/>
    <m/>
    <m/>
    <m/>
    <m/>
    <m/>
    <m/>
    <n v="903772.5"/>
    <n v="949790.5"/>
    <n v="903772.5"/>
    <n v="1004.1916666666667"/>
    <n v="949790.5"/>
    <n v="1055.3227777777777"/>
    <m/>
    <m/>
    <n v="0"/>
    <n v="0"/>
    <m/>
    <m/>
    <m/>
    <m/>
    <m/>
    <m/>
    <m/>
    <m/>
    <n v="0"/>
    <n v="0"/>
    <n v="0"/>
    <n v="0"/>
    <n v="1004.1916666666667"/>
    <n v="1055.3227777777777"/>
  </r>
  <r>
    <x v="10"/>
    <s v="Autry Technology Center                           "/>
    <m/>
    <n v="365213"/>
    <x v="10"/>
    <s v="sem"/>
    <m/>
    <m/>
    <m/>
    <m/>
    <m/>
    <m/>
    <m/>
    <m/>
    <m/>
    <n v="0"/>
    <n v="0"/>
    <n v="0"/>
    <n v="0"/>
    <m/>
    <m/>
    <n v="0"/>
    <n v="0"/>
    <m/>
    <m/>
    <m/>
    <m/>
    <m/>
    <m/>
    <n v="512368.79"/>
    <n v="473773.35"/>
    <n v="512368.79"/>
    <n v="569.29865555555557"/>
    <n v="473773.35"/>
    <n v="526.41483333333326"/>
    <m/>
    <m/>
    <n v="0"/>
    <n v="0"/>
    <m/>
    <m/>
    <m/>
    <m/>
    <m/>
    <m/>
    <m/>
    <m/>
    <n v="0"/>
    <n v="0"/>
    <n v="0"/>
    <n v="0"/>
    <n v="569.29865555555557"/>
    <n v="526.41483333333326"/>
  </r>
  <r>
    <x v="10"/>
    <s v="Caddo Kiowa Technology Center                     "/>
    <m/>
    <n v="364946"/>
    <x v="10"/>
    <s v="sem"/>
    <m/>
    <m/>
    <m/>
    <m/>
    <m/>
    <m/>
    <m/>
    <m/>
    <m/>
    <n v="0"/>
    <n v="0"/>
    <n v="0"/>
    <n v="0"/>
    <m/>
    <m/>
    <n v="0"/>
    <n v="0"/>
    <m/>
    <m/>
    <m/>
    <m/>
    <m/>
    <m/>
    <n v="326203.46000000002"/>
    <n v="289322.03999999998"/>
    <n v="326203.46000000002"/>
    <n v="362.4482888888889"/>
    <n v="289322.03999999998"/>
    <n v="321.46893333333333"/>
    <m/>
    <m/>
    <n v="0"/>
    <n v="0"/>
    <m/>
    <m/>
    <m/>
    <m/>
    <m/>
    <m/>
    <m/>
    <m/>
    <n v="0"/>
    <n v="0"/>
    <n v="0"/>
    <n v="0"/>
    <n v="362.4482888888889"/>
    <n v="321.46893333333333"/>
  </r>
  <r>
    <x v="10"/>
    <s v="Central Technology Center                         "/>
    <m/>
    <n v="246017"/>
    <x v="10"/>
    <s v="sem"/>
    <m/>
    <m/>
    <m/>
    <m/>
    <m/>
    <m/>
    <m/>
    <m/>
    <m/>
    <n v="0"/>
    <n v="0"/>
    <n v="0"/>
    <n v="0"/>
    <m/>
    <m/>
    <n v="0"/>
    <n v="0"/>
    <m/>
    <m/>
    <m/>
    <m/>
    <m/>
    <m/>
    <n v="674821.75"/>
    <n v="728961.1"/>
    <n v="674821.75"/>
    <n v="749.80194444444442"/>
    <n v="728961.1"/>
    <n v="809.9567777777778"/>
    <m/>
    <m/>
    <n v="0"/>
    <n v="0"/>
    <m/>
    <m/>
    <m/>
    <m/>
    <m/>
    <m/>
    <m/>
    <m/>
    <n v="0"/>
    <n v="0"/>
    <n v="0"/>
    <n v="0"/>
    <n v="749.80194444444442"/>
    <n v="809.9567777777778"/>
  </r>
  <r>
    <x v="10"/>
    <s v="Chisholm Trail Technology Center                  "/>
    <m/>
    <n v="375656"/>
    <x v="10"/>
    <s v="sem"/>
    <m/>
    <m/>
    <m/>
    <m/>
    <m/>
    <m/>
    <m/>
    <m/>
    <m/>
    <n v="0"/>
    <n v="0"/>
    <n v="0"/>
    <n v="0"/>
    <m/>
    <m/>
    <n v="0"/>
    <n v="0"/>
    <m/>
    <m/>
    <m/>
    <m/>
    <m/>
    <m/>
    <n v="79246.5"/>
    <n v="93494.5"/>
    <n v="79246.5"/>
    <n v="88.051666666666662"/>
    <n v="93494.5"/>
    <n v="103.88277777777778"/>
    <m/>
    <m/>
    <n v="0"/>
    <n v="0"/>
    <m/>
    <m/>
    <m/>
    <m/>
    <m/>
    <m/>
    <m/>
    <m/>
    <n v="0"/>
    <n v="0"/>
    <n v="0"/>
    <n v="0"/>
    <n v="88.051666666666662"/>
    <n v="103.88277777777778"/>
  </r>
  <r>
    <x v="10"/>
    <s v="Eastern Oklahoma County Technology Center         "/>
    <m/>
    <n v="418348"/>
    <x v="10"/>
    <s v="sem"/>
    <m/>
    <m/>
    <m/>
    <m/>
    <m/>
    <m/>
    <m/>
    <m/>
    <m/>
    <n v="0"/>
    <n v="0"/>
    <n v="0"/>
    <n v="0"/>
    <m/>
    <m/>
    <n v="0"/>
    <n v="0"/>
    <m/>
    <m/>
    <m/>
    <m/>
    <m/>
    <m/>
    <n v="332625.7"/>
    <n v="354281.25"/>
    <n v="332625.7"/>
    <n v="369.5841111111111"/>
    <n v="354281.25"/>
    <n v="393.64583333333331"/>
    <m/>
    <m/>
    <n v="0"/>
    <n v="0"/>
    <m/>
    <m/>
    <m/>
    <m/>
    <m/>
    <m/>
    <m/>
    <m/>
    <n v="0"/>
    <n v="0"/>
    <n v="0"/>
    <n v="0"/>
    <n v="369.5841111111111"/>
    <n v="393.64583333333331"/>
  </r>
  <r>
    <x v="10"/>
    <s v="Gordon Cooper Technology Center                   "/>
    <m/>
    <n v="375683"/>
    <x v="10"/>
    <s v="sem"/>
    <m/>
    <m/>
    <m/>
    <m/>
    <m/>
    <m/>
    <m/>
    <m/>
    <m/>
    <n v="0"/>
    <n v="0"/>
    <n v="0"/>
    <n v="0"/>
    <m/>
    <m/>
    <n v="0"/>
    <n v="0"/>
    <m/>
    <m/>
    <m/>
    <m/>
    <m/>
    <m/>
    <n v="647099.75"/>
    <n v="636420"/>
    <n v="647099.75"/>
    <n v="718.9997222222222"/>
    <n v="636420"/>
    <n v="707.13333333333333"/>
    <m/>
    <m/>
    <n v="0"/>
    <n v="0"/>
    <m/>
    <m/>
    <m/>
    <m/>
    <m/>
    <m/>
    <m/>
    <m/>
    <n v="0"/>
    <n v="0"/>
    <n v="0"/>
    <n v="0"/>
    <n v="718.9997222222222"/>
    <n v="707.13333333333333"/>
  </r>
  <r>
    <x v="10"/>
    <s v="Great Plains Technology Center                    "/>
    <m/>
    <n v="364548"/>
    <x v="10"/>
    <s v="sem"/>
    <m/>
    <m/>
    <m/>
    <m/>
    <m/>
    <m/>
    <m/>
    <m/>
    <m/>
    <n v="0"/>
    <n v="0"/>
    <n v="0"/>
    <n v="0"/>
    <m/>
    <m/>
    <n v="0"/>
    <n v="0"/>
    <m/>
    <m/>
    <m/>
    <m/>
    <m/>
    <m/>
    <n v="702816.2"/>
    <n v="777728"/>
    <n v="702816.2"/>
    <n v="780.90688888888883"/>
    <n v="777728"/>
    <n v="864.14222222222224"/>
    <m/>
    <m/>
    <n v="0"/>
    <n v="0"/>
    <m/>
    <m/>
    <m/>
    <m/>
    <m/>
    <m/>
    <m/>
    <m/>
    <n v="0"/>
    <n v="0"/>
    <n v="0"/>
    <n v="0"/>
    <n v="780.90688888888883"/>
    <n v="864.14222222222224"/>
  </r>
  <r>
    <x v="10"/>
    <s v="Green Country Technology Center                   "/>
    <m/>
    <n v="428019"/>
    <x v="10"/>
    <s v="sem"/>
    <m/>
    <m/>
    <m/>
    <m/>
    <m/>
    <m/>
    <m/>
    <m/>
    <m/>
    <n v="0"/>
    <n v="0"/>
    <n v="0"/>
    <n v="0"/>
    <m/>
    <m/>
    <n v="0"/>
    <n v="0"/>
    <m/>
    <m/>
    <m/>
    <m/>
    <m/>
    <m/>
    <n v="213296.5"/>
    <n v="204813"/>
    <n v="213296.5"/>
    <n v="236.99611111111111"/>
    <n v="204813"/>
    <n v="227.57"/>
    <m/>
    <m/>
    <n v="0"/>
    <n v="0"/>
    <m/>
    <m/>
    <m/>
    <m/>
    <m/>
    <m/>
    <m/>
    <m/>
    <n v="0"/>
    <n v="0"/>
    <n v="0"/>
    <n v="0"/>
    <n v="236.99611111111111"/>
    <n v="227.57"/>
  </r>
  <r>
    <x v="10"/>
    <s v="High Plains Technology Center                     "/>
    <m/>
    <n v="208053"/>
    <x v="10"/>
    <s v="sem"/>
    <m/>
    <m/>
    <m/>
    <m/>
    <m/>
    <m/>
    <m/>
    <m/>
    <m/>
    <n v="0"/>
    <n v="0"/>
    <n v="0"/>
    <n v="0"/>
    <m/>
    <m/>
    <n v="0"/>
    <n v="0"/>
    <m/>
    <m/>
    <m/>
    <m/>
    <m/>
    <m/>
    <n v="224694.75"/>
    <n v="276150.25"/>
    <n v="224694.75"/>
    <n v="249.66083333333333"/>
    <n v="276150.25"/>
    <n v="306.83361111111111"/>
    <m/>
    <m/>
    <n v="0"/>
    <n v="0"/>
    <m/>
    <m/>
    <m/>
    <m/>
    <m/>
    <m/>
    <m/>
    <m/>
    <n v="0"/>
    <n v="0"/>
    <n v="0"/>
    <n v="0"/>
    <n v="249.66083333333333"/>
    <n v="306.83361111111111"/>
  </r>
  <r>
    <x v="10"/>
    <s v="Indian Capital Technology Center-Muskogee         "/>
    <m/>
    <n v="418296"/>
    <x v="10"/>
    <s v="sem"/>
    <m/>
    <m/>
    <m/>
    <m/>
    <m/>
    <m/>
    <m/>
    <m/>
    <m/>
    <n v="0"/>
    <n v="0"/>
    <n v="0"/>
    <n v="0"/>
    <m/>
    <m/>
    <n v="0"/>
    <n v="0"/>
    <m/>
    <m/>
    <m/>
    <m/>
    <m/>
    <m/>
    <n v="480193.5"/>
    <n v="492616.65"/>
    <n v="480193.5"/>
    <n v="533.54833333333329"/>
    <n v="492616.65"/>
    <n v="547.35183333333339"/>
    <m/>
    <m/>
    <n v="0"/>
    <n v="0"/>
    <m/>
    <m/>
    <m/>
    <m/>
    <m/>
    <m/>
    <m/>
    <m/>
    <n v="0"/>
    <n v="0"/>
    <n v="0"/>
    <n v="0"/>
    <n v="533.54833333333329"/>
    <n v="547.35183333333339"/>
  </r>
  <r>
    <x v="10"/>
    <s v="Indian Capital Technology Center-Sallisaw         "/>
    <m/>
    <n v="421540"/>
    <x v="10"/>
    <s v="sem"/>
    <m/>
    <m/>
    <m/>
    <m/>
    <m/>
    <m/>
    <m/>
    <m/>
    <m/>
    <n v="0"/>
    <n v="0"/>
    <n v="0"/>
    <n v="0"/>
    <m/>
    <m/>
    <n v="0"/>
    <n v="0"/>
    <m/>
    <m/>
    <m/>
    <m/>
    <m/>
    <m/>
    <n v="150387"/>
    <n v="147941"/>
    <n v="150387"/>
    <n v="167.09666666666666"/>
    <n v="147941"/>
    <n v="164.37888888888889"/>
    <m/>
    <m/>
    <n v="0"/>
    <n v="0"/>
    <m/>
    <m/>
    <m/>
    <m/>
    <m/>
    <m/>
    <m/>
    <m/>
    <n v="0"/>
    <n v="0"/>
    <n v="0"/>
    <n v="0"/>
    <n v="167.09666666666666"/>
    <n v="164.37888888888889"/>
  </r>
  <r>
    <x v="10"/>
    <s v="Indian Capital Technology Center-Stilwell         "/>
    <m/>
    <n v="421559"/>
    <x v="10"/>
    <s v="sem"/>
    <m/>
    <m/>
    <m/>
    <m/>
    <m/>
    <m/>
    <m/>
    <m/>
    <m/>
    <n v="0"/>
    <n v="0"/>
    <n v="0"/>
    <n v="0"/>
    <m/>
    <m/>
    <n v="0"/>
    <n v="0"/>
    <m/>
    <m/>
    <m/>
    <m/>
    <m/>
    <m/>
    <n v="96167"/>
    <n v="94226"/>
    <n v="96167"/>
    <n v="106.85222222222222"/>
    <n v="94226"/>
    <n v="104.69555555555556"/>
    <m/>
    <m/>
    <n v="0"/>
    <n v="0"/>
    <m/>
    <m/>
    <m/>
    <m/>
    <m/>
    <m/>
    <m/>
    <m/>
    <n v="0"/>
    <n v="0"/>
    <n v="0"/>
    <n v="0"/>
    <n v="106.85222222222222"/>
    <n v="104.69555555555556"/>
  </r>
  <r>
    <x v="10"/>
    <s v="Indian Capital Technology Center-Tahlequah        "/>
    <m/>
    <n v="208026"/>
    <x v="10"/>
    <s v="sem"/>
    <m/>
    <m/>
    <m/>
    <m/>
    <m/>
    <m/>
    <m/>
    <m/>
    <m/>
    <n v="0"/>
    <n v="0"/>
    <n v="0"/>
    <n v="0"/>
    <m/>
    <m/>
    <n v="0"/>
    <n v="0"/>
    <m/>
    <m/>
    <m/>
    <m/>
    <m/>
    <m/>
    <n v="174916"/>
    <n v="208218"/>
    <n v="174916"/>
    <n v="194.35111111111112"/>
    <n v="208218"/>
    <n v="231.35333333333332"/>
    <m/>
    <m/>
    <n v="0"/>
    <n v="0"/>
    <m/>
    <m/>
    <m/>
    <m/>
    <m/>
    <m/>
    <m/>
    <m/>
    <n v="0"/>
    <n v="0"/>
    <n v="0"/>
    <n v="0"/>
    <n v="194.35111111111112"/>
    <n v="231.35333333333332"/>
  </r>
  <r>
    <x v="10"/>
    <s v="Kiamichi Technology Center-Atoka                  "/>
    <m/>
    <n v="375692"/>
    <x v="10"/>
    <s v="sem"/>
    <m/>
    <m/>
    <m/>
    <m/>
    <m/>
    <m/>
    <m/>
    <m/>
    <m/>
    <n v="0"/>
    <n v="0"/>
    <n v="0"/>
    <n v="0"/>
    <m/>
    <m/>
    <n v="0"/>
    <n v="0"/>
    <m/>
    <m/>
    <m/>
    <m/>
    <m/>
    <m/>
    <n v="104397"/>
    <n v="105673.5"/>
    <n v="104397"/>
    <n v="115.99666666666667"/>
    <n v="105673.5"/>
    <n v="117.41500000000001"/>
    <m/>
    <m/>
    <n v="0"/>
    <n v="0"/>
    <m/>
    <m/>
    <m/>
    <m/>
    <m/>
    <m/>
    <m/>
    <m/>
    <n v="0"/>
    <n v="0"/>
    <n v="0"/>
    <n v="0"/>
    <n v="115.99666666666667"/>
    <n v="117.41500000000001"/>
  </r>
  <r>
    <x v="10"/>
    <s v="Kiamichi Technology Center-Durant                 "/>
    <m/>
    <n v="375708"/>
    <x v="10"/>
    <s v="sem"/>
    <m/>
    <m/>
    <m/>
    <m/>
    <m/>
    <m/>
    <m/>
    <m/>
    <m/>
    <n v="0"/>
    <n v="0"/>
    <n v="0"/>
    <n v="0"/>
    <m/>
    <m/>
    <n v="0"/>
    <n v="0"/>
    <m/>
    <m/>
    <m/>
    <m/>
    <m/>
    <m/>
    <n v="166267"/>
    <n v="156844.5"/>
    <n v="166267"/>
    <n v="184.74111111111111"/>
    <n v="156844.5"/>
    <n v="174.27166666666668"/>
    <m/>
    <m/>
    <n v="0"/>
    <n v="0"/>
    <m/>
    <m/>
    <m/>
    <m/>
    <m/>
    <m/>
    <m/>
    <m/>
    <n v="0"/>
    <n v="0"/>
    <n v="0"/>
    <n v="0"/>
    <n v="184.74111111111111"/>
    <n v="174.27166666666668"/>
  </r>
  <r>
    <x v="10"/>
    <s v="Kiamichi Technology Center-Hugo                   "/>
    <m/>
    <n v="375717"/>
    <x v="10"/>
    <s v="sem"/>
    <m/>
    <m/>
    <m/>
    <m/>
    <m/>
    <m/>
    <m/>
    <m/>
    <m/>
    <n v="0"/>
    <n v="0"/>
    <n v="0"/>
    <n v="0"/>
    <m/>
    <m/>
    <n v="0"/>
    <n v="0"/>
    <m/>
    <m/>
    <m/>
    <m/>
    <m/>
    <m/>
    <n v="114268.75"/>
    <n v="108853"/>
    <n v="114268.75"/>
    <n v="126.96527777777777"/>
    <n v="108853"/>
    <n v="120.94777777777777"/>
    <m/>
    <m/>
    <n v="0"/>
    <n v="0"/>
    <m/>
    <m/>
    <m/>
    <m/>
    <m/>
    <m/>
    <m/>
    <m/>
    <n v="0"/>
    <n v="0"/>
    <n v="0"/>
    <n v="0"/>
    <n v="126.96527777777777"/>
    <n v="120.94777777777777"/>
  </r>
  <r>
    <x v="10"/>
    <s v="Kiamichi Technology Center-Idabel                 "/>
    <m/>
    <n v="375735"/>
    <x v="10"/>
    <s v="sem"/>
    <m/>
    <m/>
    <m/>
    <m/>
    <m/>
    <m/>
    <m/>
    <m/>
    <m/>
    <n v="0"/>
    <n v="0"/>
    <n v="0"/>
    <n v="0"/>
    <m/>
    <m/>
    <n v="0"/>
    <n v="0"/>
    <m/>
    <m/>
    <m/>
    <m/>
    <m/>
    <m/>
    <n v="187449.5"/>
    <n v="187474"/>
    <n v="187449.5"/>
    <n v="208.27722222222224"/>
    <n v="187474"/>
    <n v="208.30444444444444"/>
    <m/>
    <m/>
    <n v="0"/>
    <n v="0"/>
    <m/>
    <m/>
    <m/>
    <m/>
    <m/>
    <m/>
    <m/>
    <m/>
    <n v="0"/>
    <n v="0"/>
    <n v="0"/>
    <n v="0"/>
    <n v="208.27722222222224"/>
    <n v="208.30444444444444"/>
  </r>
  <r>
    <x v="10"/>
    <s v="Kiamichi Technology Center-McAlester              "/>
    <m/>
    <n v="375726"/>
    <x v="10"/>
    <s v="sem"/>
    <m/>
    <m/>
    <m/>
    <m/>
    <m/>
    <m/>
    <m/>
    <m/>
    <m/>
    <n v="0"/>
    <n v="0"/>
    <n v="0"/>
    <n v="0"/>
    <m/>
    <m/>
    <n v="0"/>
    <n v="0"/>
    <m/>
    <m/>
    <m/>
    <m/>
    <m/>
    <m/>
    <n v="275178.5"/>
    <n v="267621"/>
    <n v="275178.5"/>
    <n v="305.75388888888887"/>
    <n v="267621"/>
    <n v="297.35666666666668"/>
    <m/>
    <m/>
    <n v="0"/>
    <n v="0"/>
    <m/>
    <m/>
    <m/>
    <m/>
    <m/>
    <m/>
    <m/>
    <m/>
    <n v="0"/>
    <n v="0"/>
    <n v="0"/>
    <n v="0"/>
    <n v="305.75388888888887"/>
    <n v="297.35666666666668"/>
  </r>
  <r>
    <x v="10"/>
    <s v="Kiamichi Technology Center-Poteau                 "/>
    <m/>
    <n v="375744"/>
    <x v="10"/>
    <s v="sem"/>
    <m/>
    <m/>
    <m/>
    <m/>
    <m/>
    <m/>
    <m/>
    <m/>
    <m/>
    <n v="0"/>
    <n v="0"/>
    <n v="0"/>
    <n v="0"/>
    <m/>
    <m/>
    <n v="0"/>
    <n v="0"/>
    <m/>
    <m/>
    <m/>
    <m/>
    <m/>
    <m/>
    <n v="211050.65"/>
    <n v="224299.5"/>
    <n v="211050.65"/>
    <n v="234.50072222222221"/>
    <n v="224299.5"/>
    <n v="249.22166666666666"/>
    <m/>
    <m/>
    <n v="0"/>
    <n v="0"/>
    <m/>
    <m/>
    <m/>
    <m/>
    <m/>
    <m/>
    <m/>
    <m/>
    <n v="0"/>
    <n v="0"/>
    <n v="0"/>
    <n v="0"/>
    <n v="234.50072222222221"/>
    <n v="249.22166666666666"/>
  </r>
  <r>
    <x v="10"/>
    <s v="Kiamichi Technology Center-Spiro                  "/>
    <m/>
    <n v="375753"/>
    <x v="10"/>
    <s v="sem"/>
    <m/>
    <m/>
    <m/>
    <m/>
    <m/>
    <m/>
    <m/>
    <m/>
    <m/>
    <n v="0"/>
    <n v="0"/>
    <n v="0"/>
    <n v="0"/>
    <m/>
    <m/>
    <n v="0"/>
    <n v="0"/>
    <m/>
    <m/>
    <m/>
    <m/>
    <m/>
    <m/>
    <n v="27897"/>
    <n v="12389"/>
    <n v="27897"/>
    <n v="30.996666666666666"/>
    <n v="12389"/>
    <n v="13.765555555555556"/>
    <m/>
    <m/>
    <n v="0"/>
    <n v="0"/>
    <m/>
    <m/>
    <m/>
    <m/>
    <m/>
    <m/>
    <m/>
    <m/>
    <n v="0"/>
    <n v="0"/>
    <n v="0"/>
    <n v="0"/>
    <n v="30.996666666666666"/>
    <n v="13.765555555555556"/>
  </r>
  <r>
    <x v="10"/>
    <s v="Kiamichi Technology Center-Stigler                "/>
    <m/>
    <n v="405748"/>
    <x v="10"/>
    <s v="sem"/>
    <m/>
    <m/>
    <m/>
    <m/>
    <m/>
    <m/>
    <m/>
    <m/>
    <m/>
    <n v="0"/>
    <n v="0"/>
    <n v="0"/>
    <n v="0"/>
    <m/>
    <m/>
    <n v="0"/>
    <n v="0"/>
    <m/>
    <m/>
    <m/>
    <m/>
    <m/>
    <m/>
    <n v="74897.5"/>
    <n v="75476.5"/>
    <n v="74897.5"/>
    <n v="83.219444444444449"/>
    <n v="75476.5"/>
    <n v="83.862777777777779"/>
    <m/>
    <m/>
    <n v="0"/>
    <n v="0"/>
    <m/>
    <m/>
    <m/>
    <m/>
    <m/>
    <m/>
    <m/>
    <m/>
    <n v="0"/>
    <n v="0"/>
    <n v="0"/>
    <n v="0"/>
    <n v="83.219444444444449"/>
    <n v="83.862777777777779"/>
  </r>
  <r>
    <x v="10"/>
    <s v="Kiamichi Technology Center-Talihina               "/>
    <m/>
    <n v="375762"/>
    <x v="10"/>
    <s v="sem"/>
    <m/>
    <m/>
    <m/>
    <m/>
    <m/>
    <m/>
    <m/>
    <m/>
    <m/>
    <n v="0"/>
    <n v="0"/>
    <n v="0"/>
    <n v="0"/>
    <m/>
    <m/>
    <n v="0"/>
    <n v="0"/>
    <m/>
    <m/>
    <m/>
    <m/>
    <m/>
    <m/>
    <n v="67477"/>
    <n v="70092.5"/>
    <n v="67477"/>
    <n v="74.974444444444444"/>
    <n v="70092.5"/>
    <n v="77.88055555555556"/>
    <m/>
    <m/>
    <n v="0"/>
    <n v="0"/>
    <m/>
    <m/>
    <m/>
    <m/>
    <m/>
    <m/>
    <m/>
    <m/>
    <n v="0"/>
    <n v="0"/>
    <n v="0"/>
    <n v="0"/>
    <n v="74.974444444444444"/>
    <n v="77.88055555555556"/>
  </r>
  <r>
    <x v="10"/>
    <s v="Meridian Technology Center                        "/>
    <m/>
    <n v="365480"/>
    <x v="10"/>
    <s v="sem"/>
    <m/>
    <m/>
    <m/>
    <m/>
    <m/>
    <m/>
    <m/>
    <m/>
    <m/>
    <n v="0"/>
    <n v="0"/>
    <n v="0"/>
    <n v="0"/>
    <m/>
    <m/>
    <n v="0"/>
    <n v="0"/>
    <m/>
    <m/>
    <m/>
    <m/>
    <m/>
    <m/>
    <n v="527896.05000000005"/>
    <n v="522599.3"/>
    <n v="527896.05000000005"/>
    <n v="586.55116666666675"/>
    <n v="522599.3"/>
    <n v="580.66588888888884"/>
    <m/>
    <m/>
    <n v="0"/>
    <n v="0"/>
    <m/>
    <m/>
    <m/>
    <m/>
    <m/>
    <m/>
    <m/>
    <m/>
    <n v="0"/>
    <n v="0"/>
    <n v="0"/>
    <n v="0"/>
    <n v="586.55116666666675"/>
    <n v="580.66588888888884"/>
  </r>
  <r>
    <x v="10"/>
    <s v="Mid-America Technology Center                     "/>
    <m/>
    <n v="418320"/>
    <x v="10"/>
    <s v="sem"/>
    <m/>
    <m/>
    <m/>
    <m/>
    <m/>
    <m/>
    <m/>
    <m/>
    <m/>
    <n v="0"/>
    <n v="0"/>
    <n v="0"/>
    <n v="0"/>
    <m/>
    <m/>
    <n v="0"/>
    <n v="0"/>
    <m/>
    <m/>
    <m/>
    <m/>
    <m/>
    <m/>
    <n v="524868.5"/>
    <n v="502169.5"/>
    <n v="524868.5"/>
    <n v="583.1872222222222"/>
    <n v="502169.5"/>
    <n v="557.9661111111111"/>
    <m/>
    <m/>
    <n v="0"/>
    <n v="0"/>
    <m/>
    <m/>
    <m/>
    <m/>
    <m/>
    <m/>
    <m/>
    <m/>
    <n v="0"/>
    <n v="0"/>
    <n v="0"/>
    <n v="0"/>
    <n v="583.1872222222222"/>
    <n v="557.9661111111111"/>
  </r>
  <r>
    <x v="10"/>
    <s v="Mid-Del Technology Center                         "/>
    <m/>
    <n v="431017"/>
    <x v="10"/>
    <s v="sem"/>
    <m/>
    <m/>
    <m/>
    <m/>
    <m/>
    <m/>
    <m/>
    <m/>
    <m/>
    <n v="0"/>
    <n v="0"/>
    <n v="0"/>
    <n v="0"/>
    <m/>
    <m/>
    <n v="0"/>
    <n v="0"/>
    <m/>
    <m/>
    <m/>
    <m/>
    <m/>
    <m/>
    <n v="370422.5"/>
    <n v="412916"/>
    <n v="370422.5"/>
    <n v="411.58055555555558"/>
    <n v="412916"/>
    <n v="458.79555555555555"/>
    <m/>
    <m/>
    <n v="0"/>
    <n v="0"/>
    <m/>
    <m/>
    <m/>
    <m/>
    <m/>
    <m/>
    <m/>
    <m/>
    <n v="0"/>
    <n v="0"/>
    <n v="0"/>
    <n v="0"/>
    <n v="411.58055555555558"/>
    <n v="458.79555555555555"/>
  </r>
  <r>
    <x v="10"/>
    <s v="Moore Norman Technology Center                    "/>
    <m/>
    <n v="248606"/>
    <x v="10"/>
    <s v="sem"/>
    <m/>
    <m/>
    <m/>
    <m/>
    <m/>
    <m/>
    <m/>
    <m/>
    <m/>
    <n v="0"/>
    <n v="0"/>
    <n v="0"/>
    <n v="0"/>
    <m/>
    <m/>
    <n v="0"/>
    <n v="0"/>
    <m/>
    <m/>
    <m/>
    <m/>
    <m/>
    <m/>
    <n v="909019.3"/>
    <n v="890686.25"/>
    <n v="909019.3"/>
    <n v="1010.0214444444445"/>
    <n v="890686.25"/>
    <n v="989.65138888888885"/>
    <m/>
    <m/>
    <n v="0"/>
    <n v="0"/>
    <m/>
    <m/>
    <m/>
    <m/>
    <m/>
    <m/>
    <m/>
    <m/>
    <n v="0"/>
    <n v="0"/>
    <n v="0"/>
    <n v="0"/>
    <n v="1010.0214444444445"/>
    <n v="989.65138888888885"/>
  </r>
  <r>
    <x v="10"/>
    <s v="Northeast Technology Center-Afton                 "/>
    <m/>
    <n v="420459"/>
    <x v="10"/>
    <s v="sem"/>
    <m/>
    <m/>
    <m/>
    <m/>
    <m/>
    <m/>
    <m/>
    <m/>
    <m/>
    <n v="0"/>
    <n v="0"/>
    <n v="0"/>
    <n v="0"/>
    <m/>
    <m/>
    <n v="0"/>
    <n v="0"/>
    <m/>
    <m/>
    <m/>
    <m/>
    <m/>
    <m/>
    <n v="262885"/>
    <n v="250430.5"/>
    <n v="262885"/>
    <n v="292.09444444444443"/>
    <n v="250430.5"/>
    <n v="278.25611111111112"/>
    <m/>
    <m/>
    <n v="0"/>
    <n v="0"/>
    <m/>
    <m/>
    <m/>
    <m/>
    <m/>
    <m/>
    <m/>
    <m/>
    <n v="0"/>
    <n v="0"/>
    <n v="0"/>
    <n v="0"/>
    <n v="292.09444444444443"/>
    <n v="278.25611111111112"/>
  </r>
  <r>
    <x v="10"/>
    <s v="Northeast Technology Center-Claremore"/>
    <m/>
    <n v="456560"/>
    <x v="10"/>
    <s v="sem"/>
    <m/>
    <m/>
    <m/>
    <m/>
    <m/>
    <m/>
    <m/>
    <m/>
    <m/>
    <n v="0"/>
    <n v="0"/>
    <n v="0"/>
    <n v="0"/>
    <m/>
    <m/>
    <n v="0"/>
    <n v="0"/>
    <m/>
    <m/>
    <m/>
    <m/>
    <m/>
    <m/>
    <n v="144973.75"/>
    <n v="183925.5"/>
    <n v="144973.75"/>
    <n v="161.08194444444445"/>
    <n v="183925.5"/>
    <n v="204.36166666666668"/>
    <m/>
    <m/>
    <n v="0"/>
    <n v="0"/>
    <m/>
    <m/>
    <m/>
    <m/>
    <m/>
    <m/>
    <m/>
    <m/>
    <n v="0"/>
    <n v="0"/>
    <n v="0"/>
    <n v="0"/>
    <n v="161.08194444444445"/>
    <n v="204.36166666666668"/>
  </r>
  <r>
    <x v="10"/>
    <s v="Northeast Technology Center-Kansas                "/>
    <m/>
    <n v="432074"/>
    <x v="10"/>
    <s v="sem"/>
    <m/>
    <m/>
    <m/>
    <m/>
    <m/>
    <m/>
    <m/>
    <m/>
    <m/>
    <n v="0"/>
    <n v="0"/>
    <n v="0"/>
    <n v="0"/>
    <m/>
    <m/>
    <n v="0"/>
    <n v="0"/>
    <m/>
    <m/>
    <m/>
    <m/>
    <m/>
    <m/>
    <n v="158667"/>
    <n v="151896.09"/>
    <n v="158667"/>
    <n v="176.29666666666665"/>
    <n v="151896.09"/>
    <n v="168.77343333333332"/>
    <m/>
    <m/>
    <n v="0"/>
    <n v="0"/>
    <m/>
    <m/>
    <m/>
    <m/>
    <m/>
    <m/>
    <m/>
    <m/>
    <n v="0"/>
    <n v="0"/>
    <n v="0"/>
    <n v="0"/>
    <n v="176.29666666666665"/>
    <n v="168.77343333333332"/>
  </r>
  <r>
    <x v="10"/>
    <s v="Northeast Technology Center-Pryor                 "/>
    <m/>
    <n v="418339"/>
    <x v="10"/>
    <s v="sem"/>
    <m/>
    <m/>
    <m/>
    <m/>
    <m/>
    <m/>
    <m/>
    <m/>
    <m/>
    <n v="0"/>
    <n v="0"/>
    <n v="0"/>
    <n v="0"/>
    <m/>
    <m/>
    <n v="0"/>
    <n v="0"/>
    <m/>
    <m/>
    <m/>
    <m/>
    <m/>
    <m/>
    <n v="288306.5"/>
    <n v="303960.5"/>
    <n v="288306.5"/>
    <n v="320.34055555555557"/>
    <n v="303960.5"/>
    <n v="337.73388888888888"/>
    <m/>
    <m/>
    <n v="0"/>
    <n v="0"/>
    <m/>
    <m/>
    <m/>
    <m/>
    <m/>
    <m/>
    <m/>
    <m/>
    <n v="0"/>
    <n v="0"/>
    <n v="0"/>
    <n v="0"/>
    <n v="320.34055555555557"/>
    <n v="337.73388888888888"/>
  </r>
  <r>
    <x v="10"/>
    <s v="Northwest Technology Center-Alva                  "/>
    <m/>
    <n v="366623"/>
    <x v="10"/>
    <s v="sem"/>
    <m/>
    <m/>
    <m/>
    <m/>
    <m/>
    <m/>
    <m/>
    <m/>
    <m/>
    <n v="0"/>
    <n v="0"/>
    <n v="0"/>
    <n v="0"/>
    <m/>
    <m/>
    <n v="0"/>
    <n v="0"/>
    <m/>
    <m/>
    <m/>
    <m/>
    <m/>
    <m/>
    <n v="129689.25"/>
    <n v="113955.25"/>
    <n v="129689.25"/>
    <n v="144.09916666666666"/>
    <n v="113955.25"/>
    <n v="126.61694444444444"/>
    <m/>
    <m/>
    <n v="0"/>
    <n v="0"/>
    <m/>
    <m/>
    <m/>
    <m/>
    <m/>
    <m/>
    <m/>
    <m/>
    <n v="0"/>
    <n v="0"/>
    <n v="0"/>
    <n v="0"/>
    <n v="144.09916666666666"/>
    <n v="126.61694444444444"/>
  </r>
  <r>
    <x v="10"/>
    <s v="Northwest Technology Center-Fairview              "/>
    <m/>
    <n v="407601"/>
    <x v="10"/>
    <s v="sem"/>
    <m/>
    <m/>
    <m/>
    <m/>
    <m/>
    <m/>
    <m/>
    <m/>
    <m/>
    <n v="0"/>
    <n v="0"/>
    <n v="0"/>
    <n v="0"/>
    <m/>
    <m/>
    <n v="0"/>
    <n v="0"/>
    <m/>
    <m/>
    <m/>
    <m/>
    <m/>
    <m/>
    <n v="78132.5"/>
    <n v="79680.5"/>
    <n v="78132.5"/>
    <n v="86.813888888888883"/>
    <n v="79680.5"/>
    <n v="88.533888888888896"/>
    <m/>
    <m/>
    <n v="0"/>
    <n v="0"/>
    <m/>
    <m/>
    <m/>
    <m/>
    <m/>
    <m/>
    <m/>
    <m/>
    <n v="0"/>
    <n v="0"/>
    <n v="0"/>
    <n v="0"/>
    <n v="86.813888888888883"/>
    <n v="88.533888888888896"/>
  </r>
  <r>
    <x v="10"/>
    <s v="Pioneer Technology Center                         "/>
    <m/>
    <n v="364627"/>
    <x v="10"/>
    <s v="sem"/>
    <m/>
    <m/>
    <m/>
    <m/>
    <m/>
    <m/>
    <m/>
    <m/>
    <m/>
    <n v="0"/>
    <n v="0"/>
    <n v="0"/>
    <n v="0"/>
    <m/>
    <m/>
    <n v="0"/>
    <n v="0"/>
    <m/>
    <m/>
    <m/>
    <m/>
    <m/>
    <m/>
    <n v="320423.09999999998"/>
    <n v="300410"/>
    <n v="320423.09999999998"/>
    <n v="356.02566666666667"/>
    <n v="300410"/>
    <n v="333.78888888888889"/>
    <m/>
    <m/>
    <n v="0"/>
    <n v="0"/>
    <m/>
    <m/>
    <m/>
    <m/>
    <m/>
    <m/>
    <m/>
    <m/>
    <n v="0"/>
    <n v="0"/>
    <n v="0"/>
    <n v="0"/>
    <n v="356.02566666666667"/>
    <n v="333.78888888888889"/>
  </r>
  <r>
    <x v="10"/>
    <s v="Pontotoc Technology Center                        "/>
    <m/>
    <n v="206905"/>
    <x v="10"/>
    <s v="sem"/>
    <m/>
    <m/>
    <m/>
    <m/>
    <m/>
    <m/>
    <m/>
    <m/>
    <m/>
    <n v="0"/>
    <n v="0"/>
    <n v="0"/>
    <n v="0"/>
    <m/>
    <m/>
    <n v="0"/>
    <n v="0"/>
    <m/>
    <m/>
    <m/>
    <m/>
    <m/>
    <m/>
    <n v="167886"/>
    <n v="185379"/>
    <n v="167886"/>
    <n v="186.54"/>
    <n v="185379"/>
    <n v="205.97666666666666"/>
    <m/>
    <m/>
    <n v="0"/>
    <n v="0"/>
    <m/>
    <m/>
    <m/>
    <m/>
    <m/>
    <m/>
    <m/>
    <m/>
    <n v="0"/>
    <n v="0"/>
    <n v="0"/>
    <n v="0"/>
    <n v="186.54"/>
    <n v="205.97666666666666"/>
  </r>
  <r>
    <x v="10"/>
    <s v="Red River Technology Center                       "/>
    <m/>
    <n v="250993"/>
    <x v="10"/>
    <s v="sem"/>
    <m/>
    <m/>
    <m/>
    <m/>
    <m/>
    <m/>
    <m/>
    <m/>
    <m/>
    <n v="0"/>
    <n v="0"/>
    <n v="0"/>
    <n v="0"/>
    <m/>
    <m/>
    <n v="0"/>
    <n v="0"/>
    <m/>
    <m/>
    <m/>
    <m/>
    <m/>
    <m/>
    <n v="291348.40000000002"/>
    <n v="283312.95"/>
    <n v="291348.40000000002"/>
    <n v="323.72044444444447"/>
    <n v="283312.95"/>
    <n v="314.79216666666667"/>
    <m/>
    <m/>
    <n v="0"/>
    <n v="0"/>
    <m/>
    <m/>
    <m/>
    <m/>
    <m/>
    <m/>
    <m/>
    <m/>
    <n v="0"/>
    <n v="0"/>
    <n v="0"/>
    <n v="0"/>
    <n v="323.72044444444447"/>
    <n v="314.79216666666667"/>
  </r>
  <r>
    <x v="10"/>
    <s v="Southern Oklahoma Technology Center               "/>
    <m/>
    <n v="365198"/>
    <x v="10"/>
    <s v="sem"/>
    <m/>
    <m/>
    <m/>
    <m/>
    <m/>
    <m/>
    <m/>
    <m/>
    <m/>
    <n v="0"/>
    <n v="0"/>
    <n v="0"/>
    <n v="0"/>
    <m/>
    <m/>
    <n v="0"/>
    <n v="0"/>
    <m/>
    <m/>
    <m/>
    <m/>
    <m/>
    <m/>
    <n v="428926.95"/>
    <n v="451570.24"/>
    <n v="428926.95"/>
    <n v="476.58550000000002"/>
    <n v="451570.24"/>
    <n v="501.74471111111109"/>
    <m/>
    <m/>
    <n v="0"/>
    <n v="0"/>
    <m/>
    <m/>
    <m/>
    <m/>
    <m/>
    <m/>
    <m/>
    <m/>
    <n v="0"/>
    <n v="0"/>
    <n v="0"/>
    <n v="0"/>
    <n v="476.58550000000002"/>
    <n v="501.74471111111109"/>
  </r>
  <r>
    <x v="10"/>
    <s v="Southwest Technology Center                       "/>
    <m/>
    <n v="368364"/>
    <x v="10"/>
    <s v="sem"/>
    <m/>
    <m/>
    <m/>
    <m/>
    <m/>
    <m/>
    <m/>
    <m/>
    <m/>
    <n v="0"/>
    <n v="0"/>
    <n v="0"/>
    <n v="0"/>
    <m/>
    <m/>
    <n v="0"/>
    <n v="0"/>
    <m/>
    <m/>
    <m/>
    <m/>
    <m/>
    <m/>
    <n v="216640.45"/>
    <n v="209462.02"/>
    <n v="216640.45"/>
    <n v="240.71161111111113"/>
    <n v="209462.02"/>
    <n v="232.73557777777776"/>
    <m/>
    <m/>
    <n v="0"/>
    <n v="0"/>
    <m/>
    <m/>
    <m/>
    <m/>
    <m/>
    <m/>
    <m/>
    <m/>
    <n v="0"/>
    <n v="0"/>
    <n v="0"/>
    <n v="0"/>
    <n v="240.71161111111113"/>
    <n v="232.73557777777776"/>
  </r>
  <r>
    <x v="10"/>
    <s v="Tri County Technology Center                      "/>
    <m/>
    <n v="418287"/>
    <x v="10"/>
    <s v="sem"/>
    <m/>
    <m/>
    <m/>
    <m/>
    <m/>
    <m/>
    <m/>
    <m/>
    <m/>
    <n v="0"/>
    <n v="0"/>
    <n v="0"/>
    <n v="0"/>
    <m/>
    <m/>
    <n v="0"/>
    <n v="0"/>
    <m/>
    <m/>
    <m/>
    <m/>
    <m/>
    <m/>
    <n v="353226.5"/>
    <n v="346046"/>
    <n v="353226.5"/>
    <n v="392.47388888888889"/>
    <n v="346046"/>
    <n v="384.49555555555554"/>
    <m/>
    <m/>
    <n v="0"/>
    <n v="0"/>
    <m/>
    <m/>
    <m/>
    <m/>
    <m/>
    <m/>
    <m/>
    <m/>
    <n v="0"/>
    <n v="0"/>
    <n v="0"/>
    <n v="0"/>
    <n v="392.47388888888889"/>
    <n v="384.49555555555554"/>
  </r>
  <r>
    <x v="10"/>
    <s v="Tulsa County Area Voc Tech School Dist 18-Peoria  "/>
    <m/>
    <n v="207607"/>
    <x v="10"/>
    <s v="sem"/>
    <m/>
    <m/>
    <m/>
    <m/>
    <m/>
    <m/>
    <m/>
    <m/>
    <m/>
    <n v="0"/>
    <n v="0"/>
    <n v="0"/>
    <n v="0"/>
    <m/>
    <m/>
    <n v="0"/>
    <n v="0"/>
    <m/>
    <m/>
    <m/>
    <m/>
    <m/>
    <m/>
    <n v="391456"/>
    <n v="314665.5"/>
    <n v="391456"/>
    <n v="434.95111111111112"/>
    <n v="314665.5"/>
    <n v="349.62833333333333"/>
    <m/>
    <m/>
    <n v="0"/>
    <n v="0"/>
    <m/>
    <m/>
    <m/>
    <m/>
    <m/>
    <m/>
    <m/>
    <m/>
    <n v="0"/>
    <n v="0"/>
    <n v="0"/>
    <n v="0"/>
    <n v="434.95111111111112"/>
    <n v="349.62833333333333"/>
  </r>
  <r>
    <x v="10"/>
    <s v="Tulsa Technology Center-Broken Arrow Campus       "/>
    <m/>
    <n v="261393"/>
    <x v="10"/>
    <s v="sem"/>
    <m/>
    <m/>
    <m/>
    <m/>
    <m/>
    <m/>
    <m/>
    <m/>
    <m/>
    <n v="0"/>
    <n v="0"/>
    <n v="0"/>
    <n v="0"/>
    <m/>
    <m/>
    <n v="0"/>
    <n v="0"/>
    <m/>
    <m/>
    <m/>
    <m/>
    <m/>
    <m/>
    <n v="682564.63"/>
    <n v="631291.13"/>
    <n v="682564.63"/>
    <n v="758.40514444444443"/>
    <n v="631291.13"/>
    <n v="701.43458888888892"/>
    <m/>
    <m/>
    <n v="0"/>
    <n v="0"/>
    <m/>
    <m/>
    <m/>
    <m/>
    <m/>
    <m/>
    <m/>
    <m/>
    <n v="0"/>
    <n v="0"/>
    <n v="0"/>
    <n v="0"/>
    <n v="758.40514444444443"/>
    <n v="701.43458888888892"/>
  </r>
  <r>
    <x v="10"/>
    <s v="Tulsa Technology Center-Owasso NEW"/>
    <m/>
    <n v="482264"/>
    <x v="10"/>
    <s v="sem"/>
    <m/>
    <m/>
    <m/>
    <m/>
    <m/>
    <m/>
    <m/>
    <m/>
    <m/>
    <n v="0"/>
    <n v="0"/>
    <n v="0"/>
    <n v="0"/>
    <m/>
    <m/>
    <n v="0"/>
    <n v="0"/>
    <m/>
    <m/>
    <m/>
    <m/>
    <m/>
    <m/>
    <n v="186104"/>
    <n v="224409.5"/>
    <n v="186104"/>
    <n v="206.78222222222223"/>
    <n v="224409.5"/>
    <n v="249.3438888888889"/>
    <m/>
    <m/>
    <n v="0"/>
    <n v="0"/>
    <m/>
    <m/>
    <m/>
    <m/>
    <m/>
    <m/>
    <m/>
    <m/>
    <n v="0"/>
    <n v="0"/>
    <n v="0"/>
    <n v="0"/>
    <n v="206.78222222222223"/>
    <n v="249.3438888888889"/>
  </r>
  <r>
    <x v="10"/>
    <s v="Tulsa Technology Center-Riverside Campus          "/>
    <m/>
    <n v="261384"/>
    <x v="10"/>
    <s v="sem"/>
    <m/>
    <m/>
    <m/>
    <m/>
    <m/>
    <m/>
    <m/>
    <m/>
    <m/>
    <n v="0"/>
    <n v="0"/>
    <n v="0"/>
    <n v="0"/>
    <m/>
    <m/>
    <n v="0"/>
    <n v="0"/>
    <m/>
    <m/>
    <m/>
    <m/>
    <m/>
    <m/>
    <n v="322709"/>
    <n v="412088"/>
    <n v="322709"/>
    <n v="358.56555555555553"/>
    <n v="412088"/>
    <n v="457.87555555555554"/>
    <m/>
    <m/>
    <n v="0"/>
    <n v="0"/>
    <m/>
    <m/>
    <m/>
    <m/>
    <m/>
    <m/>
    <m/>
    <m/>
    <n v="0"/>
    <n v="0"/>
    <n v="0"/>
    <n v="0"/>
    <n v="358.56555555555553"/>
    <n v="457.87555555555554"/>
  </r>
  <r>
    <x v="10"/>
    <s v="Tulsa Technology Center-Sand Springs NEW"/>
    <m/>
    <n v="482273"/>
    <x v="10"/>
    <s v="sem"/>
    <m/>
    <m/>
    <m/>
    <m/>
    <m/>
    <m/>
    <m/>
    <m/>
    <m/>
    <n v="0"/>
    <n v="0"/>
    <n v="0"/>
    <n v="0"/>
    <m/>
    <m/>
    <n v="0"/>
    <n v="0"/>
    <m/>
    <m/>
    <m/>
    <m/>
    <m/>
    <m/>
    <n v="100815"/>
    <n v="114435"/>
    <n v="100815"/>
    <n v="112.01666666666667"/>
    <n v="114435"/>
    <n v="127.15"/>
    <m/>
    <m/>
    <n v="0"/>
    <n v="0"/>
    <m/>
    <m/>
    <m/>
    <m/>
    <m/>
    <m/>
    <m/>
    <m/>
    <n v="0"/>
    <n v="0"/>
    <n v="0"/>
    <n v="0"/>
    <n v="112.01666666666667"/>
    <n v="127.15"/>
  </r>
  <r>
    <x v="10"/>
    <s v="Wes Watkins Technology Center                     "/>
    <m/>
    <n v="418357"/>
    <x v="10"/>
    <s v="sem"/>
    <m/>
    <m/>
    <m/>
    <m/>
    <m/>
    <m/>
    <m/>
    <m/>
    <m/>
    <n v="0"/>
    <n v="0"/>
    <n v="0"/>
    <n v="0"/>
    <m/>
    <m/>
    <n v="0"/>
    <n v="0"/>
    <m/>
    <m/>
    <m/>
    <m/>
    <m/>
    <m/>
    <n v="139335.5"/>
    <n v="127814.75"/>
    <n v="139335.5"/>
    <n v="154.81722222222223"/>
    <n v="127814.75"/>
    <n v="142.01638888888888"/>
    <m/>
    <m/>
    <n v="0"/>
    <n v="0"/>
    <m/>
    <m/>
    <m/>
    <m/>
    <m/>
    <m/>
    <m/>
    <m/>
    <n v="0"/>
    <n v="0"/>
    <n v="0"/>
    <n v="0"/>
    <n v="154.81722222222223"/>
    <n v="142.01638888888888"/>
  </r>
  <r>
    <x v="10"/>
    <s v="Western Technology Center                         "/>
    <m/>
    <n v="418302"/>
    <x v="10"/>
    <s v="sem"/>
    <m/>
    <m/>
    <m/>
    <m/>
    <m/>
    <m/>
    <m/>
    <m/>
    <m/>
    <n v="0"/>
    <n v="0"/>
    <n v="0"/>
    <n v="0"/>
    <m/>
    <m/>
    <n v="0"/>
    <n v="0"/>
    <m/>
    <m/>
    <m/>
    <m/>
    <m/>
    <m/>
    <n v="348534.5"/>
    <n v="353266"/>
    <n v="348534.5"/>
    <n v="387.26055555555558"/>
    <n v="353266"/>
    <n v="392.51777777777778"/>
    <m/>
    <m/>
    <n v="0"/>
    <n v="0"/>
    <m/>
    <m/>
    <m/>
    <m/>
    <m/>
    <m/>
    <m/>
    <m/>
    <n v="0"/>
    <n v="0"/>
    <n v="0"/>
    <n v="0"/>
    <n v="387.26055555555558"/>
    <n v="392.51777777777778"/>
  </r>
  <r>
    <x v="10"/>
    <s v="Oklahoma State University Main Campus"/>
    <m/>
    <n v="207388"/>
    <x v="0"/>
    <s v="sem"/>
    <s v="sem"/>
    <m/>
    <m/>
    <n v="274208"/>
    <n v="281320"/>
    <n v="32539"/>
    <n v="31989"/>
    <n v="304054"/>
    <n v="287936"/>
    <n v="610801"/>
    <n v="20360.033333333333"/>
    <n v="601245"/>
    <n v="20041.5"/>
    <n v="754"/>
    <n v="851"/>
    <n v="610801"/>
    <n v="601245"/>
    <m/>
    <m/>
    <m/>
    <m/>
    <m/>
    <m/>
    <m/>
    <m/>
    <n v="0"/>
    <n v="0"/>
    <n v="0"/>
    <n v="0"/>
    <m/>
    <m/>
    <n v="0"/>
    <n v="0"/>
    <m/>
    <m/>
    <n v="42695"/>
    <n v="47377"/>
    <n v="21003"/>
    <n v="21563"/>
    <n v="44174"/>
    <n v="33814"/>
    <n v="107872"/>
    <n v="4494.666666666667"/>
    <n v="102754"/>
    <n v="4281.416666666667"/>
    <n v="24854.7"/>
    <n v="24322.916666666668"/>
  </r>
  <r>
    <x v="10"/>
    <s v="University of Oklahoma Norman Campus"/>
    <m/>
    <n v="207500"/>
    <x v="0"/>
    <s v="sem"/>
    <s v="sem"/>
    <m/>
    <m/>
    <n v="256575"/>
    <n v="259722"/>
    <n v="46493"/>
    <n v="46910"/>
    <n v="286914"/>
    <n v="291381"/>
    <n v="589982"/>
    <n v="19666.066666666666"/>
    <n v="598013"/>
    <n v="19933.766666666666"/>
    <n v="1165"/>
    <n v="1936"/>
    <n v="589982"/>
    <n v="598013"/>
    <m/>
    <m/>
    <m/>
    <m/>
    <m/>
    <m/>
    <m/>
    <m/>
    <n v="0"/>
    <n v="0"/>
    <n v="0"/>
    <n v="0"/>
    <m/>
    <m/>
    <n v="0"/>
    <n v="0"/>
    <m/>
    <m/>
    <n v="56328"/>
    <n v="56551"/>
    <n v="16555"/>
    <n v="17373"/>
    <n v="56588"/>
    <n v="58930"/>
    <n v="129471"/>
    <n v="5394.625"/>
    <n v="132854"/>
    <n v="5535.583333333333"/>
    <n v="25060.691666666666"/>
    <n v="25469.35"/>
  </r>
  <r>
    <x v="10"/>
    <s v="Northeastern State University"/>
    <m/>
    <n v="207263"/>
    <x v="2"/>
    <s v="sem"/>
    <s v="sem"/>
    <m/>
    <m/>
    <n v="76132"/>
    <n v="75370"/>
    <n v="12459"/>
    <n v="11663"/>
    <n v="82479"/>
    <n v="81044"/>
    <n v="171070"/>
    <n v="5702.333333333333"/>
    <n v="168077"/>
    <n v="5602.5666666666666"/>
    <n v="2068"/>
    <n v="2411"/>
    <n v="171070"/>
    <n v="168077"/>
    <m/>
    <m/>
    <m/>
    <m/>
    <m/>
    <m/>
    <m/>
    <m/>
    <n v="0"/>
    <n v="0"/>
    <n v="0"/>
    <n v="0"/>
    <m/>
    <m/>
    <n v="0"/>
    <n v="0"/>
    <m/>
    <m/>
    <n v="8732"/>
    <n v="8798"/>
    <n v="3876"/>
    <n v="3640"/>
    <n v="9190"/>
    <n v="8968"/>
    <n v="21798"/>
    <n v="908.25"/>
    <n v="21406"/>
    <n v="891.91666666666663"/>
    <n v="6610.583333333333"/>
    <n v="6494.4833333333336"/>
  </r>
  <r>
    <x v="10"/>
    <s v="University of Central Oklahoma"/>
    <m/>
    <n v="206941"/>
    <x v="2"/>
    <s v="sem"/>
    <s v="sem"/>
    <m/>
    <m/>
    <n v="161996"/>
    <n v="159934"/>
    <n v="27169"/>
    <n v="26968"/>
    <n v="177623"/>
    <n v="174660"/>
    <n v="366788"/>
    <n v="12226.266666666666"/>
    <n v="361562"/>
    <n v="12052.066666666668"/>
    <n v="3975"/>
    <n v="4903"/>
    <n v="366788"/>
    <n v="361562"/>
    <m/>
    <m/>
    <m/>
    <m/>
    <m/>
    <m/>
    <m/>
    <m/>
    <n v="0"/>
    <n v="0"/>
    <n v="0"/>
    <n v="0"/>
    <m/>
    <m/>
    <n v="0"/>
    <n v="0"/>
    <m/>
    <m/>
    <n v="11593"/>
    <n v="11270"/>
    <n v="3878"/>
    <n v="3739"/>
    <n v="11908"/>
    <n v="10839"/>
    <n v="27379"/>
    <n v="1140.7916666666667"/>
    <n v="25848"/>
    <n v="1077"/>
    <n v="13367.058333333332"/>
    <n v="13129.066666666668"/>
  </r>
  <r>
    <x v="10"/>
    <s v="Southeastern Oklahoma State University "/>
    <m/>
    <n v="207847"/>
    <x v="3"/>
    <s v="sem"/>
    <s v="sem"/>
    <m/>
    <m/>
    <n v="37732"/>
    <n v="35727"/>
    <n v="6455"/>
    <n v="6497"/>
    <n v="40150"/>
    <n v="38937"/>
    <n v="84337"/>
    <n v="2811.2333333333331"/>
    <n v="81161"/>
    <n v="2705.3666666666668"/>
    <n v="1557"/>
    <n v="1837"/>
    <n v="84337"/>
    <n v="81161"/>
    <m/>
    <m/>
    <m/>
    <m/>
    <m/>
    <m/>
    <m/>
    <m/>
    <n v="0"/>
    <n v="0"/>
    <n v="0"/>
    <n v="0"/>
    <m/>
    <m/>
    <n v="0"/>
    <n v="0"/>
    <m/>
    <m/>
    <n v="2906"/>
    <n v="3302"/>
    <n v="1395"/>
    <n v="1458"/>
    <n v="3557"/>
    <n v="3828"/>
    <n v="7858"/>
    <n v="327.41666666666669"/>
    <n v="8588"/>
    <n v="357.83333333333331"/>
    <n v="3138.6499999999996"/>
    <n v="3063.2000000000003"/>
  </r>
  <r>
    <x v="10"/>
    <s v="Cameron University "/>
    <m/>
    <n v="206914"/>
    <x v="4"/>
    <s v="sem"/>
    <s v="sem"/>
    <m/>
    <m/>
    <n v="50766"/>
    <n v="49123"/>
    <n v="8739"/>
    <n v="8130"/>
    <n v="54264"/>
    <n v="51517"/>
    <n v="113769"/>
    <n v="3792.3"/>
    <n v="108770"/>
    <n v="3625.6666666666665"/>
    <n v="2952"/>
    <n v="2980"/>
    <n v="113769"/>
    <n v="108770"/>
    <m/>
    <m/>
    <m/>
    <m/>
    <m/>
    <m/>
    <m/>
    <m/>
    <n v="0"/>
    <n v="0"/>
    <n v="0"/>
    <n v="0"/>
    <m/>
    <m/>
    <n v="0"/>
    <n v="0"/>
    <m/>
    <m/>
    <n v="2833"/>
    <n v="2704"/>
    <n v="1046"/>
    <n v="1018"/>
    <n v="2786"/>
    <n v="2523"/>
    <n v="6665"/>
    <n v="277.70833333333331"/>
    <n v="6245"/>
    <n v="260.20833333333331"/>
    <n v="4070.0083333333337"/>
    <n v="3885.875"/>
  </r>
  <r>
    <x v="10"/>
    <s v="East Central University "/>
    <m/>
    <n v="207041"/>
    <x v="4"/>
    <s v="sem"/>
    <s v="sem"/>
    <m/>
    <m/>
    <n v="44217"/>
    <n v="58630"/>
    <n v="6519"/>
    <n v="5815"/>
    <n v="48395"/>
    <n v="44593"/>
    <n v="99131"/>
    <n v="3304.3666666666668"/>
    <n v="109038"/>
    <n v="3634.6"/>
    <n v="1260"/>
    <n v="1451"/>
    <n v="99131"/>
    <n v="109038"/>
    <m/>
    <m/>
    <m/>
    <m/>
    <m/>
    <m/>
    <m/>
    <m/>
    <n v="0"/>
    <n v="0"/>
    <n v="0"/>
    <n v="0"/>
    <m/>
    <m/>
    <n v="0"/>
    <n v="0"/>
    <m/>
    <m/>
    <n v="4764"/>
    <n v="5941"/>
    <n v="2752"/>
    <n v="2758"/>
    <n v="4765"/>
    <n v="4812"/>
    <n v="12281"/>
    <n v="511.70833333333331"/>
    <n v="13511"/>
    <n v="562.95833333333337"/>
    <n v="3816.0750000000003"/>
    <n v="4197.5583333333334"/>
  </r>
  <r>
    <x v="10"/>
    <s v="Langston University"/>
    <m/>
    <n v="207209"/>
    <x v="4"/>
    <s v="sem"/>
    <s v="sem"/>
    <m/>
    <m/>
    <n v="24409"/>
    <n v="25649"/>
    <n v="2351"/>
    <n v="2587"/>
    <n v="30045"/>
    <n v="28928"/>
    <n v="56805"/>
    <n v="1893.5"/>
    <n v="57164"/>
    <n v="1905.4666666666667"/>
    <n v="20"/>
    <n v="28"/>
    <n v="56805"/>
    <n v="57164"/>
    <m/>
    <m/>
    <m/>
    <m/>
    <m/>
    <m/>
    <m/>
    <m/>
    <n v="0"/>
    <n v="0"/>
    <n v="0"/>
    <n v="0"/>
    <m/>
    <m/>
    <n v="0"/>
    <n v="0"/>
    <m/>
    <m/>
    <n v="3082"/>
    <n v="2533"/>
    <n v="1183"/>
    <n v="1462"/>
    <n v="2868"/>
    <n v="2985"/>
    <n v="7133"/>
    <n v="297.20833333333331"/>
    <n v="6980"/>
    <n v="290.83333333333331"/>
    <n v="2190.7083333333335"/>
    <n v="2196.3000000000002"/>
  </r>
  <r>
    <x v="10"/>
    <s v="Northwestern Oklahoma State University "/>
    <m/>
    <n v="207306"/>
    <x v="4"/>
    <s v="sem"/>
    <s v="sem"/>
    <m/>
    <m/>
    <n v="23062"/>
    <n v="22148"/>
    <n v="3313"/>
    <n v="3058"/>
    <n v="24792"/>
    <n v="25516"/>
    <n v="51167"/>
    <n v="1705.5666666666666"/>
    <n v="50722"/>
    <n v="1690.7333333333333"/>
    <n v="765"/>
    <n v="931"/>
    <n v="51167"/>
    <n v="50722"/>
    <m/>
    <m/>
    <m/>
    <m/>
    <m/>
    <m/>
    <m/>
    <m/>
    <n v="0"/>
    <n v="0"/>
    <n v="0"/>
    <n v="0"/>
    <m/>
    <m/>
    <n v="0"/>
    <n v="0"/>
    <m/>
    <m/>
    <n v="932"/>
    <n v="1057"/>
    <n v="662"/>
    <n v="867"/>
    <n v="1002"/>
    <n v="985"/>
    <n v="2596"/>
    <n v="108.16666666666667"/>
    <n v="2909"/>
    <n v="121.20833333333333"/>
    <n v="1813.7333333333333"/>
    <n v="1811.9416666666666"/>
  </r>
  <r>
    <x v="10"/>
    <s v="Southwestern Oklahoma State University"/>
    <s v="Met the criteria for Four-Year 4 in 2015-16 and 2016-17."/>
    <n v="207865"/>
    <x v="4"/>
    <s v="sem"/>
    <s v="sem"/>
    <m/>
    <m/>
    <n v="51752"/>
    <n v="54102"/>
    <n v="7880"/>
    <n v="8728"/>
    <n v="58726"/>
    <n v="61005"/>
    <n v="118358"/>
    <n v="3945.2666666666669"/>
    <n v="123835"/>
    <n v="4127.833333333333"/>
    <n v="1838"/>
    <n v="2408"/>
    <n v="118358"/>
    <n v="123835"/>
    <m/>
    <m/>
    <m/>
    <m/>
    <m/>
    <m/>
    <m/>
    <m/>
    <n v="0"/>
    <n v="0"/>
    <n v="0"/>
    <n v="0"/>
    <m/>
    <m/>
    <n v="0"/>
    <n v="0"/>
    <m/>
    <m/>
    <n v="5456"/>
    <n v="5632"/>
    <n v="2039"/>
    <n v="2360"/>
    <n v="5206"/>
    <n v="5705"/>
    <n v="12701"/>
    <n v="529.20833333333337"/>
    <n v="13697"/>
    <n v="570.70833333333337"/>
    <n v="4474.4750000000004"/>
    <n v="4698.5416666666661"/>
  </r>
  <r>
    <x v="10"/>
    <s v="Oklahoma Panhandle State University "/>
    <m/>
    <n v="207351"/>
    <x v="5"/>
    <s v="sem"/>
    <s v="sem"/>
    <m/>
    <m/>
    <n v="14454"/>
    <n v="14358"/>
    <n v="1498"/>
    <n v="1455"/>
    <n v="15779"/>
    <n v="15231"/>
    <n v="31731"/>
    <n v="1057.7"/>
    <n v="31044"/>
    <n v="1034.8"/>
    <n v="1283"/>
    <n v="1112"/>
    <n v="31731"/>
    <n v="31044"/>
    <m/>
    <m/>
    <m/>
    <m/>
    <m/>
    <m/>
    <m/>
    <m/>
    <n v="0"/>
    <n v="0"/>
    <n v="0"/>
    <n v="0"/>
    <m/>
    <m/>
    <n v="0"/>
    <n v="0"/>
    <m/>
    <m/>
    <m/>
    <m/>
    <m/>
    <m/>
    <m/>
    <m/>
    <n v="0"/>
    <n v="0"/>
    <n v="0"/>
    <n v="0"/>
    <n v="1057.7"/>
    <n v="1034.8"/>
  </r>
  <r>
    <x v="10"/>
    <s v="Rogers State University"/>
    <m/>
    <n v="207661"/>
    <x v="5"/>
    <s v="sem"/>
    <s v="sem"/>
    <m/>
    <m/>
    <n v="38946"/>
    <n v="39525"/>
    <n v="5428"/>
    <n v="5316"/>
    <n v="43945"/>
    <n v="42037"/>
    <n v="88319"/>
    <n v="2943.9666666666667"/>
    <n v="86878"/>
    <n v="2895.9333333333334"/>
    <n v="3029"/>
    <n v="3343"/>
    <n v="88319"/>
    <n v="86878"/>
    <m/>
    <m/>
    <m/>
    <m/>
    <m/>
    <m/>
    <m/>
    <m/>
    <n v="0"/>
    <n v="0"/>
    <n v="0"/>
    <n v="0"/>
    <m/>
    <m/>
    <n v="0"/>
    <n v="0"/>
    <m/>
    <m/>
    <n v="90"/>
    <n v="246"/>
    <n v="24"/>
    <n v="0"/>
    <n v="147"/>
    <n v="228"/>
    <n v="261"/>
    <n v="10.875"/>
    <n v="474"/>
    <n v="19.75"/>
    <n v="2954.8416666666667"/>
    <n v="2915.6833333333334"/>
  </r>
  <r>
    <x v="10"/>
    <s v="University of Science and Arts of Oklahoma"/>
    <m/>
    <n v="207722"/>
    <x v="5"/>
    <s v="sem"/>
    <s v="sem"/>
    <m/>
    <m/>
    <n v="10419"/>
    <n v="10522"/>
    <n v="3426"/>
    <n v="3350"/>
    <n v="12134"/>
    <n v="11727"/>
    <n v="25979"/>
    <n v="865.9666666666667"/>
    <n v="25599"/>
    <n v="853.3"/>
    <n v="105"/>
    <n v="64"/>
    <n v="25979"/>
    <n v="25599"/>
    <m/>
    <m/>
    <m/>
    <m/>
    <m/>
    <m/>
    <m/>
    <m/>
    <n v="0"/>
    <n v="0"/>
    <n v="0"/>
    <n v="0"/>
    <m/>
    <m/>
    <n v="0"/>
    <n v="0"/>
    <m/>
    <m/>
    <m/>
    <m/>
    <m/>
    <m/>
    <m/>
    <m/>
    <n v="0"/>
    <n v="0"/>
    <n v="0"/>
    <n v="0"/>
    <n v="865.9666666666667"/>
    <n v="853.3"/>
  </r>
  <r>
    <x v="10"/>
    <s v="Oklahoma State University Technical Branch-Okmulgee "/>
    <m/>
    <n v="207564"/>
    <x v="11"/>
    <s v="sem"/>
    <s v="sem"/>
    <m/>
    <m/>
    <n v="31082"/>
    <n v="26044"/>
    <n v="21058"/>
    <n v="18548"/>
    <n v="30300"/>
    <n v="28104"/>
    <n v="82440"/>
    <n v="2748"/>
    <n v="72696"/>
    <n v="2423.1999999999998"/>
    <n v="1912"/>
    <n v="2762"/>
    <n v="82440"/>
    <n v="72696"/>
    <m/>
    <m/>
    <m/>
    <m/>
    <m/>
    <m/>
    <m/>
    <m/>
    <n v="0"/>
    <n v="0"/>
    <n v="0"/>
    <n v="0"/>
    <m/>
    <m/>
    <n v="0"/>
    <n v="0"/>
    <m/>
    <m/>
    <m/>
    <m/>
    <m/>
    <m/>
    <m/>
    <m/>
    <n v="0"/>
    <n v="0"/>
    <n v="0"/>
    <n v="0"/>
    <n v="2748"/>
    <n v="2423.1999999999998"/>
  </r>
  <r>
    <x v="10"/>
    <s v="Oklahoma State University-Oklahoma City "/>
    <m/>
    <n v="207397"/>
    <x v="11"/>
    <s v="sem"/>
    <s v="sem"/>
    <m/>
    <m/>
    <n v="51692"/>
    <n v="48384"/>
    <n v="13199"/>
    <n v="14629"/>
    <n v="52100"/>
    <n v="65212"/>
    <n v="116991"/>
    <n v="3899.7"/>
    <n v="128225"/>
    <n v="4274.166666666667"/>
    <n v="5299"/>
    <n v="3203"/>
    <n v="116991"/>
    <n v="128225"/>
    <m/>
    <m/>
    <m/>
    <m/>
    <m/>
    <m/>
    <m/>
    <m/>
    <n v="0"/>
    <n v="0"/>
    <n v="0"/>
    <n v="0"/>
    <m/>
    <m/>
    <n v="0"/>
    <n v="0"/>
    <m/>
    <m/>
    <m/>
    <m/>
    <m/>
    <m/>
    <m/>
    <m/>
    <n v="0"/>
    <n v="0"/>
    <n v="0"/>
    <n v="0"/>
    <n v="3899.7"/>
    <n v="4274.166666666667"/>
  </r>
  <r>
    <x v="10"/>
    <s v="Oklahoma City Community College "/>
    <m/>
    <n v="207449"/>
    <x v="6"/>
    <s v="sem"/>
    <s v="sem"/>
    <m/>
    <m/>
    <n v="109037"/>
    <n v="107329"/>
    <n v="29565"/>
    <n v="28958"/>
    <n v="117407"/>
    <n v="112181"/>
    <n v="256009"/>
    <n v="8533.6333333333332"/>
    <n v="248468"/>
    <n v="8282.2666666666664"/>
    <n v="10565"/>
    <n v="12769"/>
    <n v="256009"/>
    <n v="248468"/>
    <m/>
    <m/>
    <m/>
    <m/>
    <m/>
    <m/>
    <m/>
    <m/>
    <n v="0"/>
    <n v="0"/>
    <n v="0"/>
    <n v="0"/>
    <m/>
    <m/>
    <n v="0"/>
    <n v="0"/>
    <m/>
    <m/>
    <m/>
    <m/>
    <m/>
    <m/>
    <m/>
    <m/>
    <n v="0"/>
    <n v="0"/>
    <n v="0"/>
    <n v="0"/>
    <n v="8533.6333333333332"/>
    <n v="8282.2666666666664"/>
  </r>
  <r>
    <x v="10"/>
    <s v="Tulsa Community College "/>
    <m/>
    <n v="207935"/>
    <x v="6"/>
    <s v="sem"/>
    <s v="sem"/>
    <m/>
    <m/>
    <n v="141385"/>
    <n v="135135"/>
    <n v="36977"/>
    <n v="35451"/>
    <n v="145935"/>
    <n v="144627"/>
    <n v="324297"/>
    <n v="10809.9"/>
    <n v="315213"/>
    <n v="10507.1"/>
    <n v="18169"/>
    <n v="17982"/>
    <n v="324297"/>
    <n v="315213"/>
    <m/>
    <m/>
    <m/>
    <m/>
    <m/>
    <m/>
    <m/>
    <m/>
    <n v="0"/>
    <n v="0"/>
    <n v="0"/>
    <n v="0"/>
    <m/>
    <m/>
    <n v="0"/>
    <n v="0"/>
    <m/>
    <m/>
    <m/>
    <m/>
    <m/>
    <m/>
    <m/>
    <m/>
    <n v="0"/>
    <n v="0"/>
    <n v="0"/>
    <n v="0"/>
    <n v="10809.9"/>
    <n v="10507.1"/>
  </r>
  <r>
    <x v="10"/>
    <s v="Northern Oklahoma College "/>
    <m/>
    <n v="207281"/>
    <x v="7"/>
    <s v="sem"/>
    <s v="sem"/>
    <m/>
    <m/>
    <n v="41313"/>
    <n v="40720"/>
    <n v="6873"/>
    <n v="7364"/>
    <n v="43735"/>
    <n v="42552"/>
    <n v="91921"/>
    <n v="3064.0333333333333"/>
    <n v="90636"/>
    <n v="3021.2"/>
    <n v="2276"/>
    <n v="3182"/>
    <n v="91921"/>
    <n v="90636"/>
    <m/>
    <m/>
    <m/>
    <m/>
    <m/>
    <m/>
    <m/>
    <m/>
    <n v="0"/>
    <n v="0"/>
    <n v="0"/>
    <n v="0"/>
    <m/>
    <m/>
    <n v="0"/>
    <n v="0"/>
    <m/>
    <m/>
    <m/>
    <m/>
    <m/>
    <m/>
    <m/>
    <m/>
    <n v="0"/>
    <n v="0"/>
    <n v="0"/>
    <n v="0"/>
    <n v="3064.0333333333333"/>
    <n v="3021.2"/>
  </r>
  <r>
    <x v="10"/>
    <s v="Rose State College "/>
    <m/>
    <n v="207670"/>
    <x v="7"/>
    <s v="sem"/>
    <s v="sem"/>
    <m/>
    <m/>
    <n v="54325"/>
    <n v="55106"/>
    <n v="12374"/>
    <n v="12981"/>
    <n v="60460"/>
    <n v="63206"/>
    <n v="127159"/>
    <n v="4238.6333333333332"/>
    <n v="131293"/>
    <n v="4376.4333333333334"/>
    <n v="3358"/>
    <n v="4165"/>
    <n v="127159"/>
    <n v="131293"/>
    <m/>
    <m/>
    <m/>
    <m/>
    <m/>
    <m/>
    <m/>
    <m/>
    <n v="0"/>
    <n v="0"/>
    <n v="0"/>
    <n v="0"/>
    <m/>
    <m/>
    <n v="0"/>
    <n v="0"/>
    <m/>
    <m/>
    <m/>
    <m/>
    <m/>
    <m/>
    <m/>
    <m/>
    <n v="0"/>
    <n v="0"/>
    <n v="0"/>
    <n v="0"/>
    <n v="4238.6333333333332"/>
    <n v="4376.4333333333334"/>
  </r>
  <r>
    <x v="10"/>
    <s v="Carl Albert State College"/>
    <m/>
    <n v="206923"/>
    <x v="8"/>
    <s v="sem"/>
    <s v="sem"/>
    <m/>
    <m/>
    <n v="22334"/>
    <n v="22215"/>
    <n v="3711"/>
    <n v="3162"/>
    <n v="25461"/>
    <n v="23948"/>
    <n v="51506"/>
    <n v="1716.8666666666666"/>
    <n v="49325"/>
    <n v="1644.1666666666667"/>
    <n v="2944"/>
    <n v="3270"/>
    <n v="51506"/>
    <n v="49325"/>
    <m/>
    <m/>
    <m/>
    <m/>
    <m/>
    <m/>
    <m/>
    <m/>
    <n v="0"/>
    <n v="0"/>
    <n v="0"/>
    <n v="0"/>
    <m/>
    <m/>
    <n v="0"/>
    <n v="0"/>
    <m/>
    <m/>
    <m/>
    <m/>
    <m/>
    <m/>
    <m/>
    <m/>
    <n v="0"/>
    <n v="0"/>
    <n v="0"/>
    <n v="0"/>
    <n v="1716.8666666666666"/>
    <n v="1644.1666666666667"/>
  </r>
  <r>
    <x v="10"/>
    <s v="Connors State College "/>
    <m/>
    <n v="206996"/>
    <x v="8"/>
    <s v="sem"/>
    <s v="sem"/>
    <m/>
    <m/>
    <n v="22353"/>
    <n v="22172"/>
    <n v="3663"/>
    <n v="3685"/>
    <n v="25050"/>
    <n v="25333"/>
    <n v="51066"/>
    <n v="1702.2"/>
    <n v="51190"/>
    <n v="1706.3333333333333"/>
    <n v="2341"/>
    <n v="4220"/>
    <n v="51066"/>
    <n v="51190"/>
    <m/>
    <m/>
    <m/>
    <m/>
    <m/>
    <m/>
    <m/>
    <m/>
    <n v="0"/>
    <n v="0"/>
    <n v="0"/>
    <n v="0"/>
    <m/>
    <m/>
    <n v="0"/>
    <n v="0"/>
    <m/>
    <m/>
    <m/>
    <m/>
    <m/>
    <m/>
    <m/>
    <m/>
    <n v="0"/>
    <n v="0"/>
    <n v="0"/>
    <n v="0"/>
    <n v="1702.2"/>
    <n v="1706.3333333333333"/>
  </r>
  <r>
    <x v="10"/>
    <s v="Eastern Oklahoma State College "/>
    <m/>
    <n v="207050"/>
    <x v="8"/>
    <s v="sem"/>
    <s v="sem"/>
    <m/>
    <m/>
    <n v="15420"/>
    <n v="15203"/>
    <n v="2479"/>
    <n v="2516"/>
    <n v="16667"/>
    <n v="16583"/>
    <n v="34566"/>
    <n v="1152.2"/>
    <n v="34302"/>
    <n v="1143.4000000000001"/>
    <n v="3309"/>
    <n v="4191"/>
    <n v="34566"/>
    <n v="34302"/>
    <m/>
    <m/>
    <m/>
    <m/>
    <m/>
    <m/>
    <m/>
    <m/>
    <n v="0"/>
    <n v="0"/>
    <n v="0"/>
    <n v="0"/>
    <m/>
    <m/>
    <n v="0"/>
    <n v="0"/>
    <m/>
    <m/>
    <m/>
    <m/>
    <m/>
    <m/>
    <m/>
    <m/>
    <n v="0"/>
    <n v="0"/>
    <n v="0"/>
    <n v="0"/>
    <n v="1152.2"/>
    <n v="1143.4000000000001"/>
  </r>
  <r>
    <x v="10"/>
    <s v="Murray State College "/>
    <m/>
    <n v="207236"/>
    <x v="8"/>
    <s v="sem"/>
    <s v="sem"/>
    <m/>
    <m/>
    <n v="20969"/>
    <n v="20127"/>
    <n v="3362"/>
    <n v="3283"/>
    <n v="23249"/>
    <n v="24104"/>
    <n v="47580"/>
    <n v="1586"/>
    <n v="47514"/>
    <n v="1583.8"/>
    <n v="4719"/>
    <n v="4920"/>
    <n v="47580"/>
    <n v="47514"/>
    <m/>
    <m/>
    <m/>
    <m/>
    <m/>
    <m/>
    <m/>
    <m/>
    <n v="0"/>
    <n v="0"/>
    <n v="0"/>
    <n v="0"/>
    <m/>
    <m/>
    <n v="0"/>
    <n v="0"/>
    <m/>
    <m/>
    <m/>
    <m/>
    <m/>
    <m/>
    <m/>
    <m/>
    <n v="0"/>
    <n v="0"/>
    <n v="0"/>
    <n v="0"/>
    <n v="1586"/>
    <n v="1583.8"/>
  </r>
  <r>
    <x v="10"/>
    <s v="Northeastern Oklahoma A &amp; M College "/>
    <m/>
    <n v="207290"/>
    <x v="8"/>
    <s v="sem"/>
    <s v="sem"/>
    <m/>
    <m/>
    <n v="23924"/>
    <n v="22914"/>
    <n v="3378"/>
    <n v="3335"/>
    <n v="26505"/>
    <n v="26287"/>
    <n v="53807"/>
    <n v="1793.5666666666666"/>
    <n v="52536"/>
    <n v="1751.2"/>
    <n v="2571"/>
    <n v="2853"/>
    <n v="53807"/>
    <n v="52536"/>
    <m/>
    <m/>
    <m/>
    <m/>
    <m/>
    <m/>
    <m/>
    <m/>
    <n v="0"/>
    <n v="0"/>
    <n v="0"/>
    <n v="0"/>
    <m/>
    <m/>
    <n v="0"/>
    <n v="0"/>
    <m/>
    <m/>
    <m/>
    <m/>
    <m/>
    <m/>
    <m/>
    <m/>
    <n v="0"/>
    <n v="0"/>
    <n v="0"/>
    <n v="0"/>
    <n v="1793.5666666666666"/>
    <n v="1751.2"/>
  </r>
  <r>
    <x v="10"/>
    <s v="Redlands Community College"/>
    <m/>
    <n v="207069"/>
    <x v="8"/>
    <s v="sem"/>
    <s v="sem"/>
    <m/>
    <m/>
    <n v="17561"/>
    <n v="16757"/>
    <n v="3449"/>
    <n v="3566"/>
    <n v="18503"/>
    <n v="18782"/>
    <n v="39513"/>
    <n v="1317.1"/>
    <n v="39105"/>
    <n v="1303.5"/>
    <n v="10130"/>
    <n v="11314"/>
    <n v="39513"/>
    <n v="39105"/>
    <m/>
    <m/>
    <m/>
    <m/>
    <m/>
    <m/>
    <m/>
    <m/>
    <n v="0"/>
    <n v="0"/>
    <n v="0"/>
    <n v="0"/>
    <m/>
    <m/>
    <n v="0"/>
    <n v="0"/>
    <m/>
    <m/>
    <m/>
    <m/>
    <m/>
    <m/>
    <m/>
    <m/>
    <n v="0"/>
    <n v="0"/>
    <n v="0"/>
    <n v="0"/>
    <n v="1317.1"/>
    <n v="1303.5"/>
  </r>
  <r>
    <x v="10"/>
    <s v="Seminole State College "/>
    <m/>
    <n v="207740"/>
    <x v="8"/>
    <s v="sem"/>
    <s v="sem"/>
    <m/>
    <m/>
    <n v="19542"/>
    <n v="17699"/>
    <n v="2664"/>
    <n v="5144"/>
    <n v="19000"/>
    <n v="18337"/>
    <n v="41206"/>
    <n v="1373.5333333333333"/>
    <n v="41180"/>
    <n v="1372.6666666666667"/>
    <n v="3197"/>
    <n v="3530"/>
    <n v="41206"/>
    <n v="41180"/>
    <m/>
    <m/>
    <m/>
    <m/>
    <m/>
    <m/>
    <m/>
    <m/>
    <n v="0"/>
    <n v="0"/>
    <n v="0"/>
    <n v="0"/>
    <m/>
    <m/>
    <n v="0"/>
    <n v="0"/>
    <m/>
    <m/>
    <m/>
    <m/>
    <m/>
    <m/>
    <m/>
    <m/>
    <n v="0"/>
    <n v="0"/>
    <n v="0"/>
    <n v="0"/>
    <n v="1373.5333333333333"/>
    <n v="1372.6666666666667"/>
  </r>
  <r>
    <x v="10"/>
    <s v="Western Oklahoma State College "/>
    <m/>
    <n v="208035"/>
    <x v="8"/>
    <s v="sem"/>
    <s v="sem"/>
    <m/>
    <m/>
    <n v="12667"/>
    <n v="12444"/>
    <n v="2553"/>
    <n v="2589"/>
    <n v="12924"/>
    <n v="13555"/>
    <n v="28144"/>
    <n v="938.13333333333333"/>
    <n v="28588"/>
    <n v="952.93333333333328"/>
    <n v="2168"/>
    <n v="2180"/>
    <n v="28144"/>
    <n v="28588"/>
    <m/>
    <m/>
    <m/>
    <m/>
    <m/>
    <m/>
    <m/>
    <m/>
    <n v="0"/>
    <n v="0"/>
    <n v="0"/>
    <n v="0"/>
    <m/>
    <m/>
    <n v="0"/>
    <n v="0"/>
    <m/>
    <m/>
    <m/>
    <m/>
    <m/>
    <m/>
    <m/>
    <m/>
    <n v="0"/>
    <n v="0"/>
    <n v="0"/>
    <n v="0"/>
    <n v="938.13333333333333"/>
    <n v="952.93333333333328"/>
  </r>
  <r>
    <x v="11"/>
    <s v="Clemson University"/>
    <m/>
    <n v="217882"/>
    <x v="0"/>
    <s v="sem"/>
    <s v="sem"/>
    <m/>
    <m/>
    <n v="239314"/>
    <n v="249718"/>
    <n v="30561"/>
    <n v="31216"/>
    <n v="270799"/>
    <n v="297709"/>
    <n v="540674"/>
    <n v="18022.466666666667"/>
    <n v="578643"/>
    <n v="19288.099999999999"/>
    <n v="690"/>
    <n v="874"/>
    <n v="540674"/>
    <n v="578643"/>
    <m/>
    <m/>
    <m/>
    <m/>
    <m/>
    <m/>
    <m/>
    <m/>
    <n v="0"/>
    <n v="0"/>
    <n v="0"/>
    <n v="0"/>
    <m/>
    <m/>
    <n v="0"/>
    <n v="0"/>
    <m/>
    <m/>
    <n v="35979"/>
    <n v="37136"/>
    <n v="14891"/>
    <n v="15460"/>
    <n v="38794"/>
    <n v="39395"/>
    <n v="89664"/>
    <n v="3736"/>
    <n v="91991"/>
    <n v="3832.9583333333335"/>
    <n v="21758.466666666667"/>
    <n v="23121.058333333331"/>
  </r>
  <r>
    <x v="11"/>
    <s v="University of South Carolina-Columbia"/>
    <m/>
    <n v="218663"/>
    <x v="0"/>
    <s v="sem"/>
    <s v="sem"/>
    <m/>
    <m/>
    <n v="340004"/>
    <n v="345197"/>
    <n v="37254"/>
    <n v="37690"/>
    <n v="376645"/>
    <n v="378270"/>
    <n v="753903"/>
    <n v="25130.1"/>
    <n v="761157"/>
    <n v="25371.9"/>
    <m/>
    <m/>
    <n v="0"/>
    <n v="0"/>
    <m/>
    <m/>
    <m/>
    <m/>
    <m/>
    <m/>
    <m/>
    <m/>
    <n v="0"/>
    <n v="0"/>
    <n v="0"/>
    <n v="0"/>
    <m/>
    <m/>
    <n v="0"/>
    <n v="0"/>
    <m/>
    <m/>
    <n v="48232"/>
    <n v="49351"/>
    <n v="20466"/>
    <n v="19001"/>
    <n v="51432"/>
    <n v="51370"/>
    <n v="120130"/>
    <n v="5005.416666666667"/>
    <n v="119722"/>
    <n v="4988.416666666667"/>
    <n v="30135.516666666666"/>
    <n v="30360.316666666669"/>
  </r>
  <r>
    <x v="11"/>
    <s v="College of Charleston"/>
    <m/>
    <n v="217819"/>
    <x v="2"/>
    <s v="sem"/>
    <s v="sem"/>
    <m/>
    <m/>
    <n v="141190"/>
    <n v="138626"/>
    <n v="15224"/>
    <n v="16172"/>
    <n v="148699"/>
    <n v="147628"/>
    <n v="305113"/>
    <n v="10170.433333333332"/>
    <n v="302426"/>
    <n v="10080.866666666667"/>
    <n v="687"/>
    <n v="829"/>
    <n v="305113"/>
    <n v="302426"/>
    <m/>
    <m/>
    <m/>
    <m/>
    <m/>
    <m/>
    <m/>
    <m/>
    <n v="0"/>
    <n v="0"/>
    <n v="0"/>
    <n v="0"/>
    <m/>
    <m/>
    <n v="0"/>
    <n v="0"/>
    <m/>
    <m/>
    <n v="6067"/>
    <n v="5699"/>
    <n v="3342"/>
    <n v="3614"/>
    <n v="5416"/>
    <n v="4982"/>
    <n v="14825"/>
    <n v="617.70833333333337"/>
    <n v="14295"/>
    <n v="595.625"/>
    <n v="10788.141666666666"/>
    <n v="10676.491666666667"/>
  </r>
  <r>
    <x v="11"/>
    <s v="The Citadel, the Military College of South Carolina "/>
    <m/>
    <n v="217864"/>
    <x v="2"/>
    <s v="sem"/>
    <s v="sem"/>
    <m/>
    <m/>
    <n v="44310"/>
    <n v="43142"/>
    <n v="5527"/>
    <n v="6427"/>
    <n v="45731"/>
    <n v="46226"/>
    <n v="95568"/>
    <n v="3185.6"/>
    <n v="95795"/>
    <n v="3193.1666666666665"/>
    <n v="207"/>
    <n v="180"/>
    <n v="95568"/>
    <n v="95795"/>
    <m/>
    <m/>
    <m/>
    <m/>
    <m/>
    <m/>
    <m/>
    <m/>
    <n v="0"/>
    <n v="0"/>
    <n v="0"/>
    <n v="0"/>
    <m/>
    <m/>
    <n v="0"/>
    <n v="0"/>
    <m/>
    <m/>
    <n v="4763"/>
    <n v="4755"/>
    <n v="3989"/>
    <n v="3998"/>
    <n v="5104"/>
    <n v="4982"/>
    <n v="13856"/>
    <n v="577.33333333333337"/>
    <n v="13735"/>
    <n v="572.29166666666663"/>
    <n v="3762.9333333333334"/>
    <n v="3765.458333333333"/>
  </r>
  <r>
    <x v="11"/>
    <s v="Winthrop University "/>
    <m/>
    <n v="218964"/>
    <x v="2"/>
    <s v="sem"/>
    <s v="sem"/>
    <m/>
    <m/>
    <n v="66279"/>
    <n v="67438"/>
    <n v="5191.5"/>
    <n v="5520"/>
    <n v="72321"/>
    <n v="72433"/>
    <n v="143791.5"/>
    <n v="4793.05"/>
    <n v="145391"/>
    <n v="4846.3666666666668"/>
    <n v="1260"/>
    <n v="1512"/>
    <n v="143791.5"/>
    <n v="145391"/>
    <m/>
    <m/>
    <m/>
    <m/>
    <m/>
    <m/>
    <m/>
    <m/>
    <n v="0"/>
    <n v="0"/>
    <n v="0"/>
    <n v="0"/>
    <m/>
    <m/>
    <n v="0"/>
    <n v="0"/>
    <m/>
    <m/>
    <n v="6069.5"/>
    <n v="6045.5"/>
    <n v="3245"/>
    <n v="2781"/>
    <n v="6676"/>
    <n v="6695.5"/>
    <n v="15990.5"/>
    <n v="666.27083333333337"/>
    <n v="15522"/>
    <n v="646.75"/>
    <n v="5459.3208333333332"/>
    <n v="5493.1166666666668"/>
  </r>
  <r>
    <x v="11"/>
    <s v="Coastal Carolina University"/>
    <s v="Met the criteria for Four-Year 4 in 2016-17."/>
    <n v="218724"/>
    <x v="4"/>
    <s v="sem"/>
    <s v="sem"/>
    <m/>
    <m/>
    <n v="121612"/>
    <n v="128073"/>
    <n v="13272"/>
    <n v="15949"/>
    <n v="141528"/>
    <n v="143019"/>
    <n v="276412"/>
    <n v="9213.7333333333336"/>
    <n v="287041"/>
    <n v="9568.0333333333328"/>
    <m/>
    <m/>
    <n v="0"/>
    <n v="0"/>
    <m/>
    <m/>
    <m/>
    <m/>
    <m/>
    <m/>
    <m/>
    <m/>
    <n v="0"/>
    <n v="0"/>
    <n v="0"/>
    <n v="0"/>
    <m/>
    <m/>
    <n v="0"/>
    <n v="0"/>
    <m/>
    <m/>
    <n v="3667"/>
    <n v="3962"/>
    <n v="4237"/>
    <n v="4725"/>
    <n v="4101"/>
    <n v="4792"/>
    <n v="12005"/>
    <n v="500.20833333333331"/>
    <n v="13479"/>
    <n v="561.625"/>
    <n v="9713.9416666666675"/>
    <n v="10129.658333333333"/>
  </r>
  <r>
    <x v="11"/>
    <s v="Francis Marion University "/>
    <m/>
    <n v="218061"/>
    <x v="4"/>
    <s v="sem"/>
    <s v="sem"/>
    <m/>
    <m/>
    <n v="44475"/>
    <n v="43948"/>
    <n v="2832"/>
    <n v="3377"/>
    <n v="48855"/>
    <n v="48000"/>
    <n v="96162"/>
    <n v="3205.4"/>
    <n v="95325"/>
    <n v="3177.5"/>
    <n v="1050"/>
    <n v="951"/>
    <n v="96162"/>
    <n v="95325"/>
    <m/>
    <m/>
    <m/>
    <m/>
    <m/>
    <m/>
    <m/>
    <m/>
    <n v="0"/>
    <n v="0"/>
    <n v="0"/>
    <n v="0"/>
    <m/>
    <m/>
    <n v="0"/>
    <n v="0"/>
    <m/>
    <m/>
    <n v="2462"/>
    <n v="2143"/>
    <n v="2136"/>
    <n v="2117"/>
    <n v="2162"/>
    <n v="2070"/>
    <n v="6760"/>
    <n v="281.66666666666669"/>
    <n v="6330"/>
    <n v="263.75"/>
    <n v="3487.0666666666666"/>
    <n v="3441.25"/>
  </r>
  <r>
    <x v="11"/>
    <s v="South Carolina State University "/>
    <m/>
    <n v="218733"/>
    <x v="4"/>
    <s v="sem"/>
    <s v="sem"/>
    <m/>
    <m/>
    <n v="36666"/>
    <n v="31804"/>
    <n v="2592"/>
    <n v="2150"/>
    <n v="36978"/>
    <n v="36099"/>
    <n v="76236"/>
    <n v="2541.1999999999998"/>
    <n v="70053"/>
    <n v="2335.1"/>
    <n v="1929"/>
    <m/>
    <n v="76236"/>
    <n v="0"/>
    <m/>
    <m/>
    <m/>
    <m/>
    <m/>
    <m/>
    <m/>
    <m/>
    <n v="0"/>
    <n v="0"/>
    <n v="0"/>
    <n v="0"/>
    <m/>
    <m/>
    <n v="0"/>
    <n v="0"/>
    <m/>
    <m/>
    <n v="3257"/>
    <n v="2787"/>
    <n v="1331"/>
    <n v="1113"/>
    <n v="3083"/>
    <n v="2834"/>
    <n v="7671"/>
    <n v="319.625"/>
    <n v="6734"/>
    <n v="280.58333333333331"/>
    <n v="2860.8249999999998"/>
    <n v="2615.6833333333334"/>
  </r>
  <r>
    <x v="11"/>
    <s v="Lander University"/>
    <m/>
    <n v="218229"/>
    <x v="5"/>
    <s v="sem"/>
    <s v="sem"/>
    <m/>
    <m/>
    <n v="34809"/>
    <n v="34343.5"/>
    <n v="3332"/>
    <n v="2970"/>
    <n v="38071.5"/>
    <n v="39426"/>
    <n v="76212.5"/>
    <n v="2540.4166666666665"/>
    <n v="76739.5"/>
    <n v="2557.9833333333331"/>
    <n v="173"/>
    <n v="162"/>
    <n v="76212.5"/>
    <n v="76739.5"/>
    <m/>
    <m/>
    <m/>
    <m/>
    <m/>
    <m/>
    <m/>
    <m/>
    <n v="0"/>
    <n v="0"/>
    <n v="0"/>
    <n v="0"/>
    <m/>
    <m/>
    <n v="0"/>
    <n v="0"/>
    <m/>
    <m/>
    <n v="387"/>
    <n v="285"/>
    <n v="564"/>
    <n v="430"/>
    <n v="159"/>
    <n v="168"/>
    <n v="1110"/>
    <n v="46.25"/>
    <n v="883"/>
    <n v="36.791666666666664"/>
    <n v="2586.6666666666665"/>
    <n v="2594.7749999999996"/>
  </r>
  <r>
    <x v="11"/>
    <s v="University of South Carolina-Aiken"/>
    <m/>
    <n v="218645"/>
    <x v="5"/>
    <s v="sem"/>
    <s v="sem"/>
    <m/>
    <m/>
    <n v="38537"/>
    <n v="40089"/>
    <n v="5543"/>
    <n v="5511"/>
    <n v="44039"/>
    <n v="44441"/>
    <n v="88119"/>
    <n v="2937.3"/>
    <n v="90041"/>
    <n v="3001.3666666666668"/>
    <m/>
    <m/>
    <n v="0"/>
    <n v="0"/>
    <m/>
    <m/>
    <m/>
    <m/>
    <m/>
    <m/>
    <m/>
    <m/>
    <n v="0"/>
    <n v="0"/>
    <n v="0"/>
    <n v="0"/>
    <m/>
    <m/>
    <n v="0"/>
    <n v="0"/>
    <m/>
    <m/>
    <n v="916"/>
    <n v="1453"/>
    <n v="990"/>
    <n v="944"/>
    <n v="598"/>
    <n v="796"/>
    <n v="2504"/>
    <n v="104.33333333333333"/>
    <n v="3193"/>
    <n v="133.04166666666666"/>
    <n v="3041.6333333333337"/>
    <n v="3134.4083333333333"/>
  </r>
  <r>
    <x v="11"/>
    <s v="University of South Carolina-Beaufort"/>
    <m/>
    <n v="218654"/>
    <x v="5"/>
    <s v="sem"/>
    <s v="sem"/>
    <m/>
    <m/>
    <n v="22425"/>
    <n v="24459"/>
    <n v="2413"/>
    <n v="2349"/>
    <n v="27210"/>
    <n v="27501"/>
    <n v="52048"/>
    <n v="1734.9333333333334"/>
    <n v="54309"/>
    <n v="1810.3"/>
    <m/>
    <m/>
    <n v="0"/>
    <n v="0"/>
    <m/>
    <m/>
    <m/>
    <m/>
    <m/>
    <m/>
    <m/>
    <m/>
    <n v="0"/>
    <n v="0"/>
    <n v="0"/>
    <n v="0"/>
    <m/>
    <m/>
    <n v="0"/>
    <n v="0"/>
    <m/>
    <m/>
    <n v="0"/>
    <n v="0"/>
    <n v="0"/>
    <n v="0"/>
    <n v="0"/>
    <n v="0"/>
    <n v="0"/>
    <n v="0"/>
    <n v="0"/>
    <n v="0"/>
    <n v="1734.9333333333334"/>
    <n v="1810.3"/>
  </r>
  <r>
    <x v="11"/>
    <s v="University of South Carolina-Upstate"/>
    <m/>
    <n v="218742"/>
    <x v="5"/>
    <s v="sem"/>
    <s v="sem"/>
    <m/>
    <m/>
    <n v="65967"/>
    <n v="68625"/>
    <n v="9713"/>
    <n v="10023"/>
    <n v="74337"/>
    <n v="70310"/>
    <n v="150017"/>
    <n v="5000.5666666666666"/>
    <n v="148958"/>
    <n v="4965.2666666666664"/>
    <m/>
    <m/>
    <n v="0"/>
    <n v="0"/>
    <m/>
    <m/>
    <m/>
    <m/>
    <m/>
    <m/>
    <m/>
    <m/>
    <n v="0"/>
    <n v="0"/>
    <n v="0"/>
    <n v="0"/>
    <m/>
    <m/>
    <n v="0"/>
    <n v="0"/>
    <m/>
    <m/>
    <n v="804"/>
    <n v="1166"/>
    <n v="1158"/>
    <n v="1078"/>
    <n v="1100"/>
    <n v="899"/>
    <n v="3062"/>
    <n v="127.58333333333333"/>
    <n v="3143"/>
    <n v="130.95833333333334"/>
    <n v="5128.1499999999996"/>
    <n v="5096.2249999999995"/>
  </r>
  <r>
    <x v="11"/>
    <s v="Florence-Darlington Technical College "/>
    <s v="Met the criteria for Two-Year 2 in 2015-16 and 2016-17."/>
    <n v="218025"/>
    <x v="6"/>
    <s v="sem"/>
    <s v="sem"/>
    <m/>
    <m/>
    <n v="58176.65"/>
    <n v="50990"/>
    <n v="21463.31"/>
    <n v="16855"/>
    <n v="64642.23"/>
    <n v="55237"/>
    <n v="144282.19"/>
    <n v="4809.4063333333334"/>
    <n v="123082"/>
    <n v="4102.7333333333336"/>
    <n v="5648"/>
    <n v="11951"/>
    <n v="144282.19"/>
    <n v="123082"/>
    <m/>
    <m/>
    <m/>
    <m/>
    <m/>
    <m/>
    <m/>
    <m/>
    <n v="0"/>
    <n v="0"/>
    <n v="0"/>
    <n v="0"/>
    <m/>
    <m/>
    <n v="0"/>
    <n v="0"/>
    <m/>
    <m/>
    <n v="0"/>
    <m/>
    <n v="0"/>
    <m/>
    <n v="0"/>
    <m/>
    <n v="0"/>
    <n v="0"/>
    <n v="0"/>
    <n v="0"/>
    <n v="4809.4063333333334"/>
    <n v="4102.7333333333336"/>
  </r>
  <r>
    <x v="11"/>
    <s v="Greenville Technical College "/>
    <m/>
    <n v="218113"/>
    <x v="6"/>
    <s v="sem"/>
    <s v="sem"/>
    <m/>
    <m/>
    <n v="111501.59"/>
    <n v="95418"/>
    <n v="44371.67"/>
    <n v="35233"/>
    <n v="121373.02"/>
    <n v="111039"/>
    <n v="277246.28000000003"/>
    <n v="9241.5426666666681"/>
    <n v="241690"/>
    <n v="8056.333333333333"/>
    <n v="10990"/>
    <n v="11328"/>
    <n v="277246.28000000003"/>
    <n v="241690"/>
    <m/>
    <m/>
    <m/>
    <m/>
    <m/>
    <m/>
    <m/>
    <m/>
    <n v="0"/>
    <n v="0"/>
    <n v="0"/>
    <n v="0"/>
    <m/>
    <m/>
    <n v="0"/>
    <n v="0"/>
    <m/>
    <m/>
    <n v="0"/>
    <m/>
    <n v="0"/>
    <m/>
    <n v="0"/>
    <m/>
    <n v="0"/>
    <n v="0"/>
    <n v="0"/>
    <n v="0"/>
    <n v="9241.5426666666681"/>
    <n v="8056.333333333333"/>
  </r>
  <r>
    <x v="11"/>
    <s v="Horry-Georgetown Technical College "/>
    <m/>
    <n v="218140"/>
    <x v="6"/>
    <s v="sem"/>
    <s v="sem"/>
    <m/>
    <m/>
    <n v="71191.490000000005"/>
    <n v="65329"/>
    <n v="24157.759999999998"/>
    <n v="22549"/>
    <n v="70838.5"/>
    <n v="69667"/>
    <n v="166187.75"/>
    <n v="5539.5916666666662"/>
    <n v="157545"/>
    <n v="5251.5"/>
    <n v="7748"/>
    <n v="7028"/>
    <n v="166187.75"/>
    <n v="157545"/>
    <m/>
    <m/>
    <m/>
    <m/>
    <m/>
    <m/>
    <m/>
    <m/>
    <n v="0"/>
    <n v="0"/>
    <n v="0"/>
    <n v="0"/>
    <m/>
    <m/>
    <n v="0"/>
    <n v="0"/>
    <m/>
    <m/>
    <n v="0"/>
    <m/>
    <n v="0"/>
    <m/>
    <n v="0"/>
    <m/>
    <n v="0"/>
    <n v="0"/>
    <n v="0"/>
    <n v="0"/>
    <n v="5539.5916666666662"/>
    <n v="5251.5"/>
  </r>
  <r>
    <x v="11"/>
    <s v="Midlands Technical College "/>
    <m/>
    <n v="218353"/>
    <x v="6"/>
    <s v="sem"/>
    <s v="sem"/>
    <m/>
    <m/>
    <n v="104991.03999999999"/>
    <n v="97322"/>
    <n v="45845.77"/>
    <n v="35612"/>
    <n v="122986.38"/>
    <n v="107242"/>
    <n v="273823.19"/>
    <n v="9127.4396666666671"/>
    <n v="240176"/>
    <n v="8005.8666666666668"/>
    <n v="2773"/>
    <n v="4368"/>
    <n v="273823.19"/>
    <n v="240176"/>
    <m/>
    <m/>
    <m/>
    <m/>
    <m/>
    <m/>
    <m/>
    <m/>
    <n v="0"/>
    <n v="0"/>
    <n v="0"/>
    <n v="0"/>
    <m/>
    <m/>
    <n v="0"/>
    <n v="0"/>
    <m/>
    <m/>
    <n v="0"/>
    <m/>
    <n v="0"/>
    <m/>
    <n v="0"/>
    <m/>
    <n v="0"/>
    <n v="0"/>
    <n v="0"/>
    <n v="0"/>
    <n v="9127.4396666666671"/>
    <n v="8005.8666666666668"/>
  </r>
  <r>
    <x v="11"/>
    <s v="Piedmont Technical College "/>
    <s v="Reclassified: Met the criteria for Two-Year 2 in 2014-15, 2015-16, and 2016-17."/>
    <n v="218520"/>
    <x v="7"/>
    <s v="sem"/>
    <s v="sem"/>
    <m/>
    <m/>
    <n v="53621.7"/>
    <n v="44204"/>
    <n v="21821.42"/>
    <n v="17696"/>
    <n v="54750.71"/>
    <n v="45821"/>
    <n v="130193.82999999999"/>
    <n v="4339.7943333333333"/>
    <n v="107721"/>
    <n v="3590.7"/>
    <n v="10490"/>
    <n v="10243"/>
    <n v="130193.82999999999"/>
    <n v="107721"/>
    <m/>
    <m/>
    <m/>
    <m/>
    <m/>
    <m/>
    <m/>
    <m/>
    <n v="0"/>
    <n v="0"/>
    <n v="0"/>
    <n v="0"/>
    <m/>
    <m/>
    <n v="0"/>
    <n v="0"/>
    <m/>
    <m/>
    <n v="0"/>
    <m/>
    <n v="0"/>
    <m/>
    <n v="0"/>
    <m/>
    <n v="0"/>
    <n v="0"/>
    <n v="0"/>
    <n v="0"/>
    <n v="4339.7943333333333"/>
    <n v="3590.7"/>
  </r>
  <r>
    <x v="11"/>
    <s v="Tri-County Technical College "/>
    <s v="Met the criteria for Two-Year 2 in 2016-17."/>
    <n v="218885"/>
    <x v="6"/>
    <s v="sem"/>
    <s v="sem"/>
    <m/>
    <m/>
    <n v="65636.63"/>
    <n v="60464"/>
    <n v="20882.349999999999"/>
    <n v="18445"/>
    <n v="70375.72"/>
    <n v="66776"/>
    <n v="156894.70000000001"/>
    <n v="5229.8233333333337"/>
    <n v="145685"/>
    <n v="4856.166666666667"/>
    <n v="7531"/>
    <n v="7592"/>
    <n v="156894.70000000001"/>
    <n v="145685"/>
    <m/>
    <m/>
    <m/>
    <m/>
    <m/>
    <m/>
    <m/>
    <m/>
    <n v="0"/>
    <n v="0"/>
    <n v="0"/>
    <n v="0"/>
    <m/>
    <m/>
    <n v="0"/>
    <n v="0"/>
    <m/>
    <m/>
    <n v="0"/>
    <m/>
    <n v="0"/>
    <m/>
    <n v="0"/>
    <m/>
    <n v="0"/>
    <n v="0"/>
    <n v="0"/>
    <n v="0"/>
    <n v="5229.8233333333337"/>
    <n v="4856.166666666667"/>
  </r>
  <r>
    <x v="11"/>
    <s v="Trident Technical College "/>
    <m/>
    <n v="218894"/>
    <x v="6"/>
    <s v="sem"/>
    <s v="sem"/>
    <m/>
    <m/>
    <n v="151197.64000000001"/>
    <n v="127097"/>
    <n v="59262.51"/>
    <n v="49303"/>
    <n v="149345.73000000001"/>
    <n v="124205"/>
    <n v="359805.88"/>
    <n v="11993.529333333334"/>
    <n v="300605"/>
    <n v="10020.166666666666"/>
    <n v="17691"/>
    <n v="19071"/>
    <n v="359805.88"/>
    <n v="300605"/>
    <m/>
    <m/>
    <m/>
    <m/>
    <m/>
    <m/>
    <m/>
    <m/>
    <n v="0"/>
    <n v="0"/>
    <n v="0"/>
    <n v="0"/>
    <m/>
    <m/>
    <n v="0"/>
    <n v="0"/>
    <m/>
    <m/>
    <n v="0"/>
    <m/>
    <n v="0"/>
    <m/>
    <n v="0"/>
    <m/>
    <n v="0"/>
    <n v="0"/>
    <n v="0"/>
    <n v="0"/>
    <n v="11993.529333333334"/>
    <n v="10020.166666666666"/>
  </r>
  <r>
    <x v="11"/>
    <s v="Aiken Technical College "/>
    <s v="Reclassified: Met the criteria for Two-Year 3 in 2014-15, 2015-16, and 2016-17."/>
    <n v="217615"/>
    <x v="8"/>
    <s v="sem"/>
    <s v="sem"/>
    <m/>
    <m/>
    <n v="21150.17"/>
    <n v="21081"/>
    <n v="8302.92"/>
    <n v="8342"/>
    <n v="22527.38"/>
    <n v="22676"/>
    <n v="51980.47"/>
    <n v="1732.6823333333334"/>
    <n v="52099"/>
    <n v="1736.6333333333334"/>
    <n v="569"/>
    <n v="701"/>
    <n v="51980.47"/>
    <n v="52099"/>
    <m/>
    <m/>
    <m/>
    <m/>
    <m/>
    <m/>
    <m/>
    <m/>
    <n v="0"/>
    <n v="0"/>
    <n v="0"/>
    <n v="0"/>
    <m/>
    <m/>
    <n v="0"/>
    <n v="0"/>
    <m/>
    <m/>
    <n v="0"/>
    <m/>
    <n v="0"/>
    <m/>
    <n v="0"/>
    <m/>
    <n v="0"/>
    <n v="0"/>
    <n v="0"/>
    <n v="0"/>
    <n v="1732.6823333333334"/>
    <n v="1736.6333333333334"/>
  </r>
  <r>
    <x v="11"/>
    <s v="Central Carolina Technical College "/>
    <m/>
    <n v="218858"/>
    <x v="7"/>
    <s v="sem"/>
    <s v="sem"/>
    <m/>
    <m/>
    <n v="32469.7"/>
    <n v="29471"/>
    <n v="13541.67"/>
    <n v="12304"/>
    <n v="34476.5"/>
    <n v="32453"/>
    <n v="80487.87"/>
    <n v="2682.9289999999996"/>
    <n v="74228"/>
    <n v="2474.2666666666669"/>
    <n v="6579"/>
    <n v="8032"/>
    <n v="80487.87"/>
    <n v="74228"/>
    <m/>
    <m/>
    <m/>
    <m/>
    <m/>
    <m/>
    <m/>
    <m/>
    <n v="0"/>
    <n v="0"/>
    <n v="0"/>
    <n v="0"/>
    <m/>
    <m/>
    <n v="0"/>
    <n v="0"/>
    <m/>
    <m/>
    <n v="0"/>
    <m/>
    <n v="0"/>
    <m/>
    <n v="0"/>
    <m/>
    <n v="0"/>
    <n v="0"/>
    <n v="0"/>
    <n v="0"/>
    <n v="2682.9289999999996"/>
    <n v="2474.2666666666669"/>
  </r>
  <r>
    <x v="11"/>
    <s v="Orangeburg-Calhoun Technical College "/>
    <s v="Met the criteria for Two-Year 3 in 2016-17."/>
    <n v="218487"/>
    <x v="7"/>
    <s v="sem"/>
    <s v="sem"/>
    <m/>
    <m/>
    <n v="26273.74"/>
    <n v="22972"/>
    <n v="9018.7999999999993"/>
    <n v="8564"/>
    <n v="27182.560000000001"/>
    <n v="24954"/>
    <n v="62475.100000000006"/>
    <n v="2082.5033333333336"/>
    <n v="56490"/>
    <n v="1883"/>
    <n v="7028"/>
    <n v="7237"/>
    <n v="62475.100000000006"/>
    <n v="56490"/>
    <m/>
    <m/>
    <m/>
    <m/>
    <m/>
    <m/>
    <m/>
    <m/>
    <n v="0"/>
    <n v="0"/>
    <n v="0"/>
    <n v="0"/>
    <m/>
    <m/>
    <n v="0"/>
    <n v="0"/>
    <m/>
    <m/>
    <n v="0"/>
    <m/>
    <n v="0"/>
    <m/>
    <n v="0"/>
    <m/>
    <n v="0"/>
    <n v="0"/>
    <n v="0"/>
    <n v="0"/>
    <n v="2082.5033333333336"/>
    <n v="1883"/>
  </r>
  <r>
    <x v="11"/>
    <s v="Spartanburg Community College "/>
    <m/>
    <n v="218830"/>
    <x v="7"/>
    <s v="sem"/>
    <s v="sem"/>
    <m/>
    <m/>
    <n v="48152.26"/>
    <n v="43154"/>
    <n v="15856.65"/>
    <n v="13542"/>
    <n v="48809.81"/>
    <n v="45549"/>
    <n v="112818.72"/>
    <n v="3760.6240000000003"/>
    <n v="102245"/>
    <n v="3408.1666666666665"/>
    <n v="7202"/>
    <n v="7810"/>
    <n v="112818.72"/>
    <n v="102245"/>
    <m/>
    <m/>
    <m/>
    <m/>
    <m/>
    <m/>
    <m/>
    <m/>
    <n v="0"/>
    <n v="0"/>
    <n v="0"/>
    <n v="0"/>
    <m/>
    <m/>
    <n v="0"/>
    <n v="0"/>
    <m/>
    <m/>
    <n v="0"/>
    <m/>
    <n v="0"/>
    <m/>
    <n v="0"/>
    <m/>
    <n v="0"/>
    <n v="0"/>
    <n v="0"/>
    <n v="0"/>
    <n v="3760.6240000000003"/>
    <n v="3408.1666666666665"/>
  </r>
  <r>
    <x v="11"/>
    <s v="York Technical College "/>
    <m/>
    <n v="218991"/>
    <x v="7"/>
    <s v="sem"/>
    <s v="sem"/>
    <m/>
    <m/>
    <n v="47903.6"/>
    <n v="43127"/>
    <n v="17984"/>
    <n v="13993"/>
    <n v="49795.06"/>
    <n v="46434"/>
    <n v="115682.66"/>
    <n v="3856.088666666667"/>
    <n v="103554"/>
    <n v="3451.8"/>
    <n v="2893"/>
    <n v="2950"/>
    <n v="115682.66"/>
    <n v="103554"/>
    <m/>
    <m/>
    <m/>
    <m/>
    <m/>
    <m/>
    <m/>
    <m/>
    <n v="0"/>
    <n v="0"/>
    <n v="0"/>
    <n v="0"/>
    <m/>
    <m/>
    <n v="0"/>
    <n v="0"/>
    <m/>
    <m/>
    <n v="0"/>
    <m/>
    <n v="0"/>
    <m/>
    <n v="0"/>
    <m/>
    <n v="0"/>
    <n v="0"/>
    <n v="0"/>
    <n v="0"/>
    <n v="3856.088666666667"/>
    <n v="3451.8"/>
  </r>
  <r>
    <x v="11"/>
    <s v="Denmark Technical College "/>
    <m/>
    <n v="217989"/>
    <x v="8"/>
    <s v="sem"/>
    <s v="sem"/>
    <m/>
    <m/>
    <n v="15952.09"/>
    <n v="10165"/>
    <n v="9961.75"/>
    <n v="3376"/>
    <n v="11733.73"/>
    <n v="7239"/>
    <n v="37647.57"/>
    <n v="1254.9190000000001"/>
    <n v="20780"/>
    <n v="692.66666666666663"/>
    <n v="319"/>
    <n v="2212"/>
    <n v="37647.57"/>
    <n v="20780"/>
    <m/>
    <m/>
    <m/>
    <m/>
    <m/>
    <m/>
    <m/>
    <m/>
    <n v="0"/>
    <n v="0"/>
    <n v="0"/>
    <n v="0"/>
    <m/>
    <m/>
    <n v="0"/>
    <n v="0"/>
    <m/>
    <m/>
    <n v="0"/>
    <m/>
    <n v="0"/>
    <m/>
    <n v="0"/>
    <m/>
    <n v="0"/>
    <n v="0"/>
    <n v="0"/>
    <n v="0"/>
    <n v="1254.9190000000001"/>
    <n v="692.66666666666663"/>
  </r>
  <r>
    <x v="11"/>
    <s v="Northeastern Technical College "/>
    <m/>
    <n v="217837"/>
    <x v="8"/>
    <s v="sem"/>
    <s v="sem"/>
    <m/>
    <m/>
    <n v="10611.99"/>
    <n v="9146"/>
    <n v="5521.44"/>
    <n v="3631"/>
    <n v="13203.26"/>
    <n v="9602"/>
    <n v="29336.690000000002"/>
    <n v="977.8896666666667"/>
    <n v="22379"/>
    <n v="745.9666666666667"/>
    <n v="1466"/>
    <n v="1648"/>
    <n v="29336.690000000002"/>
    <n v="22379"/>
    <m/>
    <m/>
    <m/>
    <m/>
    <m/>
    <m/>
    <m/>
    <m/>
    <n v="0"/>
    <n v="0"/>
    <n v="0"/>
    <n v="0"/>
    <m/>
    <m/>
    <n v="0"/>
    <n v="0"/>
    <m/>
    <m/>
    <n v="0"/>
    <m/>
    <n v="0"/>
    <m/>
    <n v="0"/>
    <m/>
    <n v="0"/>
    <n v="0"/>
    <n v="0"/>
    <n v="0"/>
    <n v="977.8896666666667"/>
    <n v="745.9666666666667"/>
  </r>
  <r>
    <x v="11"/>
    <s v="Technical College of the Lowcountry"/>
    <m/>
    <n v="217712"/>
    <x v="8"/>
    <s v="sem"/>
    <s v="sem"/>
    <m/>
    <m/>
    <n v="21166.22"/>
    <n v="20267"/>
    <n v="9369.8799999999992"/>
    <n v="7570"/>
    <n v="21721.15"/>
    <n v="19420"/>
    <n v="52257.25"/>
    <n v="1741.9083333333333"/>
    <n v="47257"/>
    <n v="1575.2333333333333"/>
    <n v="4658"/>
    <n v="5234"/>
    <n v="52257.25"/>
    <n v="47257"/>
    <m/>
    <m/>
    <m/>
    <m/>
    <m/>
    <m/>
    <m/>
    <m/>
    <n v="0"/>
    <n v="0"/>
    <n v="0"/>
    <n v="0"/>
    <m/>
    <m/>
    <n v="0"/>
    <n v="0"/>
    <m/>
    <m/>
    <n v="0"/>
    <m/>
    <n v="0"/>
    <m/>
    <n v="0"/>
    <m/>
    <n v="0"/>
    <n v="0"/>
    <n v="0"/>
    <n v="0"/>
    <n v="1741.9083333333333"/>
    <n v="1575.2333333333333"/>
  </r>
  <r>
    <x v="11"/>
    <s v="University of South Carolina-Lancaster"/>
    <m/>
    <n v="218672"/>
    <x v="8"/>
    <s v="sem"/>
    <s v="sem"/>
    <m/>
    <m/>
    <n v="13966"/>
    <n v="15582"/>
    <n v="1638"/>
    <n v="1995"/>
    <n v="17510"/>
    <n v="17173"/>
    <n v="33114"/>
    <n v="1103.8"/>
    <n v="34750"/>
    <n v="1158.3333333333333"/>
    <m/>
    <m/>
    <n v="0"/>
    <n v="0"/>
    <m/>
    <m/>
    <m/>
    <m/>
    <m/>
    <m/>
    <m/>
    <m/>
    <n v="0"/>
    <n v="0"/>
    <n v="0"/>
    <n v="0"/>
    <m/>
    <m/>
    <n v="0"/>
    <n v="0"/>
    <m/>
    <m/>
    <n v="0"/>
    <m/>
    <n v="0"/>
    <m/>
    <n v="0"/>
    <m/>
    <n v="0"/>
    <n v="0"/>
    <n v="0"/>
    <n v="0"/>
    <n v="1103.8"/>
    <n v="1158.3333333333333"/>
  </r>
  <r>
    <x v="11"/>
    <s v="University of South Carolina-Salkehatchie"/>
    <m/>
    <n v="218681"/>
    <x v="8"/>
    <s v="sem"/>
    <s v="sem"/>
    <m/>
    <m/>
    <n v="9445"/>
    <n v="9390"/>
    <n v="380"/>
    <n v="394"/>
    <n v="11179"/>
    <n v="11238"/>
    <n v="21004"/>
    <n v="700.13333333333333"/>
    <n v="21022"/>
    <n v="700.73333333333335"/>
    <m/>
    <m/>
    <n v="0"/>
    <n v="0"/>
    <m/>
    <m/>
    <m/>
    <m/>
    <m/>
    <m/>
    <m/>
    <m/>
    <n v="0"/>
    <n v="0"/>
    <n v="0"/>
    <n v="0"/>
    <m/>
    <m/>
    <n v="0"/>
    <n v="0"/>
    <m/>
    <m/>
    <n v="0"/>
    <m/>
    <n v="0"/>
    <m/>
    <n v="0"/>
    <m/>
    <n v="0"/>
    <n v="0"/>
    <n v="0"/>
    <n v="0"/>
    <n v="700.13333333333333"/>
    <n v="700.73333333333335"/>
  </r>
  <r>
    <x v="11"/>
    <s v="University of South Carolina-Sumter"/>
    <m/>
    <n v="218690"/>
    <x v="8"/>
    <s v="sem"/>
    <s v="sem"/>
    <m/>
    <m/>
    <n v="9054"/>
    <n v="8603"/>
    <n v="1218"/>
    <n v="1304"/>
    <n v="9825"/>
    <n v="8755"/>
    <n v="20097"/>
    <n v="669.9"/>
    <n v="18662"/>
    <n v="622.06666666666672"/>
    <m/>
    <m/>
    <n v="0"/>
    <n v="0"/>
    <m/>
    <m/>
    <m/>
    <m/>
    <m/>
    <m/>
    <m/>
    <m/>
    <n v="0"/>
    <n v="0"/>
    <n v="0"/>
    <n v="0"/>
    <m/>
    <m/>
    <n v="0"/>
    <n v="0"/>
    <m/>
    <m/>
    <n v="0"/>
    <m/>
    <n v="0"/>
    <m/>
    <n v="0"/>
    <m/>
    <n v="0"/>
    <n v="0"/>
    <n v="0"/>
    <n v="0"/>
    <n v="669.9"/>
    <n v="622.06666666666672"/>
  </r>
  <r>
    <x v="11"/>
    <s v="University of South Carolina-Union"/>
    <m/>
    <n v="218706"/>
    <x v="8"/>
    <s v="sem"/>
    <s v="sem"/>
    <m/>
    <m/>
    <n v="5366"/>
    <n v="6532"/>
    <n v="153"/>
    <n v="200"/>
    <n v="5003"/>
    <n v="7383"/>
    <n v="10522"/>
    <n v="350.73333333333335"/>
    <n v="14115"/>
    <n v="470.5"/>
    <m/>
    <m/>
    <n v="0"/>
    <n v="0"/>
    <m/>
    <m/>
    <m/>
    <m/>
    <m/>
    <m/>
    <m/>
    <m/>
    <n v="0"/>
    <n v="0"/>
    <n v="0"/>
    <n v="0"/>
    <m/>
    <m/>
    <n v="0"/>
    <n v="0"/>
    <m/>
    <m/>
    <n v="0"/>
    <m/>
    <n v="0"/>
    <m/>
    <n v="0"/>
    <m/>
    <n v="0"/>
    <n v="0"/>
    <n v="0"/>
    <n v="0"/>
    <n v="350.73333333333335"/>
    <n v="470.5"/>
  </r>
  <r>
    <x v="11"/>
    <s v="Willamsburg Technical College "/>
    <m/>
    <n v="218955"/>
    <x v="8"/>
    <s v="sem"/>
    <s v="sem"/>
    <m/>
    <m/>
    <n v="5733.14"/>
    <n v="5579"/>
    <n v="2722.52"/>
    <n v="2118"/>
    <n v="6093.02"/>
    <n v="5676"/>
    <n v="14548.68"/>
    <n v="484.95600000000002"/>
    <n v="13373"/>
    <n v="445.76666666666665"/>
    <m/>
    <n v="3566"/>
    <n v="0"/>
    <n v="13373"/>
    <m/>
    <m/>
    <m/>
    <m/>
    <m/>
    <m/>
    <m/>
    <m/>
    <n v="0"/>
    <n v="0"/>
    <n v="0"/>
    <n v="0"/>
    <m/>
    <m/>
    <n v="0"/>
    <n v="0"/>
    <m/>
    <m/>
    <n v="0"/>
    <m/>
    <m/>
    <m/>
    <n v="0"/>
    <m/>
    <n v="0"/>
    <n v="0"/>
    <n v="0"/>
    <n v="0"/>
    <n v="484.95600000000002"/>
    <n v="445.76666666666665"/>
  </r>
  <r>
    <x v="12"/>
    <s v="University of Memphis"/>
    <m/>
    <n v="220862"/>
    <x v="0"/>
    <s v="sem"/>
    <m/>
    <m/>
    <m/>
    <n v="192627"/>
    <n v="188835"/>
    <n v="24783"/>
    <n v="25362"/>
    <n v="203102"/>
    <n v="211510"/>
    <n v="420512"/>
    <n v="14017.066666666668"/>
    <n v="425707"/>
    <n v="14190.233333333334"/>
    <n v="7128"/>
    <n v="7127"/>
    <n v="420512"/>
    <n v="425707"/>
    <m/>
    <m/>
    <m/>
    <m/>
    <m/>
    <m/>
    <m/>
    <m/>
    <n v="0"/>
    <n v="0"/>
    <n v="0"/>
    <n v="0"/>
    <m/>
    <m/>
    <n v="0"/>
    <n v="0"/>
    <m/>
    <m/>
    <n v="29857"/>
    <n v="29754"/>
    <n v="6677"/>
    <n v="7261"/>
    <n v="30863"/>
    <n v="31721"/>
    <n v="67397"/>
    <n v="2808.2083333333335"/>
    <n v="68736"/>
    <n v="2864"/>
    <n v="16825.275000000001"/>
    <n v="17054.233333333334"/>
  </r>
  <r>
    <x v="12"/>
    <s v="University of Tennessee, Knoxville"/>
    <m/>
    <n v="221759"/>
    <x v="0"/>
    <s v="sem"/>
    <m/>
    <m/>
    <m/>
    <n v="273543"/>
    <n v="278726"/>
    <n v="32679"/>
    <n v="32936"/>
    <n v="298997"/>
    <n v="303627"/>
    <n v="605219"/>
    <n v="20173.966666666667"/>
    <n v="615289"/>
    <n v="20509.633333333335"/>
    <n v="108"/>
    <n v="145"/>
    <n v="605219"/>
    <n v="615289"/>
    <m/>
    <m/>
    <m/>
    <m/>
    <m/>
    <m/>
    <m/>
    <m/>
    <n v="0"/>
    <n v="0"/>
    <n v="0"/>
    <n v="0"/>
    <m/>
    <m/>
    <n v="0"/>
    <n v="0"/>
    <m/>
    <m/>
    <n v="46459"/>
    <n v="47593"/>
    <n v="16849"/>
    <n v="16180"/>
    <n v="51216"/>
    <n v="50168"/>
    <n v="114524"/>
    <n v="4771.833333333333"/>
    <n v="113941"/>
    <n v="4747.541666666667"/>
    <n v="24945.8"/>
    <n v="25257.175000000003"/>
  </r>
  <r>
    <x v="12"/>
    <s v="East Tennessee State University "/>
    <m/>
    <n v="220075"/>
    <x v="1"/>
    <s v="sem"/>
    <m/>
    <m/>
    <m/>
    <n v="139935"/>
    <n v="140826"/>
    <n v="21399"/>
    <n v="19131"/>
    <n v="151606"/>
    <n v="151190"/>
    <n v="312940"/>
    <n v="10431.333333333334"/>
    <n v="311147"/>
    <n v="10371.566666666668"/>
    <n v="1999"/>
    <n v="1994"/>
    <n v="312940"/>
    <n v="311147"/>
    <m/>
    <m/>
    <m/>
    <m/>
    <m/>
    <m/>
    <m/>
    <m/>
    <n v="0"/>
    <n v="0"/>
    <n v="0"/>
    <n v="0"/>
    <m/>
    <m/>
    <n v="0"/>
    <n v="0"/>
    <m/>
    <m/>
    <n v="18358"/>
    <n v="18902"/>
    <n v="8662"/>
    <n v="8854"/>
    <n v="19601"/>
    <n v="19538"/>
    <n v="46621"/>
    <n v="1942.5416666666667"/>
    <n v="47294"/>
    <n v="1970.5833333333333"/>
    <n v="12373.875"/>
    <n v="12342.150000000001"/>
  </r>
  <r>
    <x v="12"/>
    <s v="Tennessee State University "/>
    <m/>
    <n v="221838"/>
    <x v="1"/>
    <s v="sem"/>
    <m/>
    <m/>
    <m/>
    <n v="84198"/>
    <n v="83833"/>
    <n v="13081"/>
    <n v="13400"/>
    <n v="96959"/>
    <n v="94189"/>
    <n v="194238"/>
    <n v="6474.6"/>
    <n v="191422"/>
    <n v="6380.7333333333336"/>
    <m/>
    <m/>
    <n v="0"/>
    <n v="0"/>
    <m/>
    <m/>
    <m/>
    <m/>
    <m/>
    <m/>
    <m/>
    <m/>
    <n v="0"/>
    <n v="0"/>
    <n v="0"/>
    <n v="0"/>
    <m/>
    <m/>
    <n v="0"/>
    <n v="0"/>
    <m/>
    <m/>
    <n v="14252"/>
    <n v="12934"/>
    <n v="5814"/>
    <n v="5341"/>
    <n v="14102"/>
    <n v="12748"/>
    <n v="34168"/>
    <n v="1423.6666666666667"/>
    <n v="31023"/>
    <n v="1292.625"/>
    <n v="7898.2666666666673"/>
    <n v="7673.3583333333336"/>
  </r>
  <r>
    <x v="12"/>
    <s v="Austin Peay State University "/>
    <m/>
    <n v="219602"/>
    <x v="2"/>
    <s v="sem"/>
    <m/>
    <m/>
    <m/>
    <n v="101310"/>
    <n v="105245"/>
    <n v="19062"/>
    <n v="17155"/>
    <n v="114466"/>
    <n v="119122"/>
    <n v="234838"/>
    <n v="7827.9333333333334"/>
    <n v="241522"/>
    <n v="8050.7333333333336"/>
    <n v="2464"/>
    <n v="2838"/>
    <n v="234838"/>
    <n v="241522"/>
    <m/>
    <m/>
    <m/>
    <m/>
    <m/>
    <m/>
    <m/>
    <m/>
    <n v="0"/>
    <n v="0"/>
    <n v="0"/>
    <n v="0"/>
    <m/>
    <m/>
    <n v="0"/>
    <n v="0"/>
    <m/>
    <m/>
    <n v="5924"/>
    <n v="6121"/>
    <n v="3007"/>
    <n v="2874"/>
    <n v="6589"/>
    <n v="6291"/>
    <n v="15520"/>
    <n v="646.66666666666663"/>
    <n v="15286"/>
    <n v="636.91666666666663"/>
    <n v="8474.6"/>
    <n v="8687.65"/>
  </r>
  <r>
    <x v="12"/>
    <s v="Middle Tennessee State University "/>
    <s v="Met the criteria for Four-Year 2 in 2015-16 and 2016-17."/>
    <n v="220978"/>
    <x v="2"/>
    <s v="sem"/>
    <m/>
    <m/>
    <m/>
    <n v="238846"/>
    <n v="233197"/>
    <n v="38654"/>
    <n v="38022"/>
    <n v="255381"/>
    <n v="252688"/>
    <n v="532881"/>
    <n v="17762.7"/>
    <n v="523907"/>
    <n v="17463.566666666666"/>
    <n v="2604"/>
    <n v="5252"/>
    <n v="532881"/>
    <n v="523907"/>
    <m/>
    <m/>
    <m/>
    <m/>
    <m/>
    <m/>
    <m/>
    <m/>
    <n v="0"/>
    <n v="0"/>
    <n v="0"/>
    <n v="0"/>
    <m/>
    <m/>
    <n v="0"/>
    <n v="0"/>
    <m/>
    <m/>
    <n v="16255"/>
    <n v="15722"/>
    <n v="7934"/>
    <n v="7510"/>
    <n v="16040"/>
    <n v="15977"/>
    <n v="40229"/>
    <n v="1676.2083333333333"/>
    <n v="39209"/>
    <n v="1633.7083333333333"/>
    <n v="19438.908333333333"/>
    <n v="19097.274999999998"/>
  </r>
  <r>
    <x v="12"/>
    <s v="Tennessee Technological University "/>
    <m/>
    <n v="221847"/>
    <x v="2"/>
    <s v="sem"/>
    <m/>
    <m/>
    <m/>
    <n v="128227"/>
    <n v="121917"/>
    <n v="15869"/>
    <n v="14200"/>
    <n v="134398"/>
    <n v="129601"/>
    <n v="278494"/>
    <n v="9283.1333333333332"/>
    <n v="265718"/>
    <n v="8857.2666666666664"/>
    <n v="540"/>
    <n v="828"/>
    <n v="278494"/>
    <n v="265718"/>
    <m/>
    <m/>
    <m/>
    <m/>
    <m/>
    <m/>
    <m/>
    <m/>
    <n v="0"/>
    <n v="0"/>
    <n v="0"/>
    <n v="0"/>
    <m/>
    <m/>
    <n v="0"/>
    <n v="0"/>
    <m/>
    <m/>
    <n v="6803"/>
    <n v="7345"/>
    <n v="3087"/>
    <n v="3125"/>
    <n v="7305"/>
    <n v="6819"/>
    <n v="17195"/>
    <n v="716.45833333333337"/>
    <n v="17289"/>
    <n v="720.375"/>
    <n v="9999.5916666666672"/>
    <n v="9577.6416666666664"/>
  </r>
  <r>
    <x v="12"/>
    <s v="University of Tennessee at Chattanooga"/>
    <m/>
    <n v="221740"/>
    <x v="2"/>
    <s v="sem"/>
    <m/>
    <m/>
    <m/>
    <n v="122831"/>
    <n v="122748"/>
    <n v="17827"/>
    <n v="18865"/>
    <n v="134957"/>
    <n v="136347"/>
    <n v="275615"/>
    <n v="9187.1666666666661"/>
    <n v="277960"/>
    <n v="9265.3333333333339"/>
    <n v="128"/>
    <n v="187"/>
    <n v="275615"/>
    <n v="277960"/>
    <m/>
    <m/>
    <m/>
    <m/>
    <m/>
    <m/>
    <m/>
    <m/>
    <n v="0"/>
    <n v="0"/>
    <n v="0"/>
    <n v="0"/>
    <m/>
    <m/>
    <n v="0"/>
    <n v="0"/>
    <m/>
    <m/>
    <n v="10023"/>
    <n v="10059"/>
    <n v="4847"/>
    <n v="5250"/>
    <n v="10665"/>
    <n v="11274"/>
    <n v="25535"/>
    <n v="1063.9583333333333"/>
    <n v="26583"/>
    <n v="1107.625"/>
    <n v="10251.125"/>
    <n v="10372.958333333334"/>
  </r>
  <r>
    <x v="12"/>
    <s v="University of Tennessee at Martin"/>
    <m/>
    <n v="221768"/>
    <x v="4"/>
    <s v="sem"/>
    <m/>
    <m/>
    <m/>
    <n v="83116"/>
    <n v="79609"/>
    <n v="10779"/>
    <n v="10851"/>
    <n v="86953"/>
    <n v="81924"/>
    <n v="180848"/>
    <n v="6028.2666666666664"/>
    <n v="172384"/>
    <n v="5746.1333333333332"/>
    <n v="2288"/>
    <n v="3863"/>
    <n v="180848"/>
    <n v="172384"/>
    <m/>
    <m/>
    <m/>
    <m/>
    <m/>
    <m/>
    <m/>
    <m/>
    <n v="0"/>
    <n v="0"/>
    <n v="0"/>
    <n v="0"/>
    <m/>
    <m/>
    <n v="0"/>
    <n v="0"/>
    <m/>
    <m/>
    <n v="2024"/>
    <n v="2257"/>
    <n v="1582"/>
    <n v="1469"/>
    <n v="2307"/>
    <n v="2497"/>
    <n v="5913"/>
    <n v="246.375"/>
    <n v="6223"/>
    <n v="259.29166666666669"/>
    <n v="6274.6416666666664"/>
    <n v="6005.4250000000002"/>
  </r>
  <r>
    <x v="12"/>
    <s v="Chattanooga State Technical Community College "/>
    <m/>
    <n v="219824"/>
    <x v="6"/>
    <s v="sem"/>
    <m/>
    <m/>
    <m/>
    <n v="79447"/>
    <n v="76580"/>
    <n v="15908"/>
    <n v="13219"/>
    <n v="92845"/>
    <n v="86150"/>
    <n v="188200"/>
    <n v="6273.333333333333"/>
    <n v="175949"/>
    <n v="5864.9666666666662"/>
    <n v="13905"/>
    <n v="13954"/>
    <n v="188200"/>
    <n v="175949"/>
    <m/>
    <m/>
    <m/>
    <m/>
    <m/>
    <m/>
    <m/>
    <m/>
    <n v="0"/>
    <n v="0"/>
    <n v="0"/>
    <n v="0"/>
    <m/>
    <m/>
    <n v="0"/>
    <n v="0"/>
    <m/>
    <m/>
    <m/>
    <m/>
    <m/>
    <m/>
    <m/>
    <m/>
    <n v="0"/>
    <n v="0"/>
    <n v="0"/>
    <n v="0"/>
    <n v="6273.333333333333"/>
    <n v="5864.9666666666662"/>
  </r>
  <r>
    <x v="12"/>
    <s v="Nashville State Technical Community College"/>
    <m/>
    <n v="221184"/>
    <x v="6"/>
    <s v="sem"/>
    <m/>
    <m/>
    <m/>
    <n v="86836"/>
    <n v="84703"/>
    <n v="18103"/>
    <n v="15966"/>
    <n v="94077"/>
    <n v="83820"/>
    <n v="199016"/>
    <n v="6633.8666666666668"/>
    <n v="184489"/>
    <n v="6149.6333333333332"/>
    <n v="9553"/>
    <n v="9255"/>
    <n v="199016"/>
    <n v="184489"/>
    <m/>
    <m/>
    <m/>
    <m/>
    <m/>
    <m/>
    <m/>
    <m/>
    <n v="0"/>
    <n v="0"/>
    <n v="0"/>
    <n v="0"/>
    <m/>
    <m/>
    <n v="0"/>
    <n v="0"/>
    <m/>
    <m/>
    <m/>
    <m/>
    <m/>
    <m/>
    <m/>
    <m/>
    <n v="0"/>
    <n v="0"/>
    <n v="0"/>
    <n v="0"/>
    <n v="6633.8666666666668"/>
    <n v="6149.6333333333332"/>
  </r>
  <r>
    <x v="12"/>
    <s v="Pellissippi State Technical Community College"/>
    <m/>
    <n v="221643"/>
    <x v="6"/>
    <s v="sem"/>
    <m/>
    <m/>
    <m/>
    <n v="89377"/>
    <n v="88335"/>
    <n v="18073"/>
    <n v="16860"/>
    <n v="101324"/>
    <n v="99679"/>
    <n v="208774"/>
    <n v="6959.1333333333332"/>
    <n v="204874"/>
    <n v="6829.1333333333332"/>
    <n v="9438"/>
    <n v="9883"/>
    <n v="208774"/>
    <n v="204874"/>
    <m/>
    <m/>
    <m/>
    <m/>
    <m/>
    <m/>
    <m/>
    <m/>
    <n v="0"/>
    <n v="0"/>
    <n v="0"/>
    <n v="0"/>
    <m/>
    <m/>
    <n v="0"/>
    <n v="0"/>
    <m/>
    <m/>
    <m/>
    <m/>
    <m/>
    <m/>
    <m/>
    <m/>
    <n v="0"/>
    <n v="0"/>
    <n v="0"/>
    <n v="0"/>
    <n v="6959.1333333333332"/>
    <n v="6829.1333333333332"/>
  </r>
  <r>
    <x v="12"/>
    <s v="Southwest Tennessee Community College"/>
    <m/>
    <n v="221485"/>
    <x v="6"/>
    <s v="sem"/>
    <m/>
    <m/>
    <m/>
    <n v="83787"/>
    <n v="72988"/>
    <n v="20364"/>
    <n v="17994"/>
    <n v="92531"/>
    <n v="84360"/>
    <n v="196682"/>
    <n v="6556.0666666666666"/>
    <n v="175342"/>
    <n v="5844.7333333333336"/>
    <n v="3609"/>
    <n v="3550"/>
    <n v="196682"/>
    <n v="175342"/>
    <m/>
    <m/>
    <m/>
    <m/>
    <m/>
    <m/>
    <m/>
    <m/>
    <n v="0"/>
    <n v="0"/>
    <n v="0"/>
    <n v="0"/>
    <m/>
    <m/>
    <n v="0"/>
    <n v="0"/>
    <m/>
    <m/>
    <m/>
    <m/>
    <m/>
    <m/>
    <m/>
    <m/>
    <n v="0"/>
    <n v="0"/>
    <n v="0"/>
    <n v="0"/>
    <n v="6556.0666666666666"/>
    <n v="5844.7333333333336"/>
  </r>
  <r>
    <x v="12"/>
    <s v="Volunteer State Community College "/>
    <m/>
    <n v="222053"/>
    <x v="6"/>
    <s v="sem"/>
    <m/>
    <m/>
    <m/>
    <n v="63344"/>
    <n v="68407"/>
    <n v="13654"/>
    <n v="13794"/>
    <n v="81089"/>
    <n v="88030"/>
    <n v="158087"/>
    <n v="5269.5666666666666"/>
    <n v="170231"/>
    <n v="5674.3666666666668"/>
    <n v="13767"/>
    <n v="15299"/>
    <n v="158087"/>
    <n v="170231"/>
    <m/>
    <m/>
    <m/>
    <m/>
    <m/>
    <m/>
    <m/>
    <m/>
    <n v="0"/>
    <n v="0"/>
    <n v="0"/>
    <n v="0"/>
    <m/>
    <m/>
    <n v="0"/>
    <n v="0"/>
    <m/>
    <m/>
    <m/>
    <m/>
    <m/>
    <m/>
    <m/>
    <m/>
    <n v="0"/>
    <n v="0"/>
    <n v="0"/>
    <n v="0"/>
    <n v="5269.5666666666666"/>
    <n v="5674.3666666666668"/>
  </r>
  <r>
    <x v="12"/>
    <s v="Cleveland State Community College "/>
    <m/>
    <n v="219879"/>
    <x v="7"/>
    <s v="sem"/>
    <m/>
    <m/>
    <m/>
    <n v="29911"/>
    <n v="29775"/>
    <n v="4294"/>
    <n v="5463"/>
    <n v="36188"/>
    <n v="34231"/>
    <n v="70393"/>
    <n v="2346.4333333333334"/>
    <n v="69469"/>
    <n v="2315.6333333333332"/>
    <n v="7066"/>
    <n v="7511"/>
    <n v="70393"/>
    <n v="69469"/>
    <m/>
    <m/>
    <m/>
    <m/>
    <m/>
    <m/>
    <m/>
    <m/>
    <n v="0"/>
    <n v="0"/>
    <n v="0"/>
    <n v="0"/>
    <m/>
    <m/>
    <n v="0"/>
    <n v="0"/>
    <m/>
    <m/>
    <m/>
    <m/>
    <m/>
    <m/>
    <m/>
    <m/>
    <n v="0"/>
    <n v="0"/>
    <n v="0"/>
    <n v="0"/>
    <n v="2346.4333333333334"/>
    <n v="2315.6333333333332"/>
  </r>
  <r>
    <x v="12"/>
    <s v="Columbia State Community College "/>
    <m/>
    <n v="219888"/>
    <x v="7"/>
    <s v="sem"/>
    <m/>
    <m/>
    <m/>
    <n v="43166"/>
    <n v="45825"/>
    <n v="7964"/>
    <n v="8352"/>
    <n v="54512"/>
    <n v="57238"/>
    <n v="105642"/>
    <n v="3521.4"/>
    <n v="111415"/>
    <n v="3713.8333333333335"/>
    <n v="6980"/>
    <n v="7990"/>
    <n v="105642"/>
    <n v="111415"/>
    <m/>
    <m/>
    <m/>
    <m/>
    <m/>
    <m/>
    <m/>
    <m/>
    <n v="0"/>
    <n v="0"/>
    <n v="0"/>
    <n v="0"/>
    <m/>
    <m/>
    <n v="0"/>
    <n v="0"/>
    <m/>
    <m/>
    <m/>
    <m/>
    <m/>
    <m/>
    <m/>
    <m/>
    <n v="0"/>
    <n v="0"/>
    <n v="0"/>
    <n v="0"/>
    <n v="3521.4"/>
    <n v="3713.8333333333335"/>
  </r>
  <r>
    <x v="12"/>
    <s v="Dyersburg State Community College "/>
    <s v="Reclassified: Met the criteria for Two-Year 3 in 2014-15, 2015-16, and 2016-17."/>
    <n v="220057"/>
    <x v="8"/>
    <s v="sem"/>
    <m/>
    <m/>
    <m/>
    <n v="21837"/>
    <n v="22101"/>
    <n v="2539"/>
    <n v="2873"/>
    <n v="25353"/>
    <n v="25408"/>
    <n v="49729"/>
    <n v="1657.6333333333334"/>
    <n v="50382"/>
    <n v="1679.4"/>
    <n v="7262"/>
    <n v="7284"/>
    <n v="49729"/>
    <n v="50382"/>
    <m/>
    <m/>
    <m/>
    <m/>
    <m/>
    <m/>
    <m/>
    <m/>
    <n v="0"/>
    <n v="0"/>
    <n v="0"/>
    <n v="0"/>
    <m/>
    <m/>
    <n v="0"/>
    <n v="0"/>
    <m/>
    <m/>
    <m/>
    <m/>
    <m/>
    <m/>
    <m/>
    <m/>
    <n v="0"/>
    <n v="0"/>
    <n v="0"/>
    <n v="0"/>
    <n v="1657.6333333333334"/>
    <n v="1679.4"/>
  </r>
  <r>
    <x v="12"/>
    <s v="Jackson State Community College "/>
    <m/>
    <n v="220400"/>
    <x v="7"/>
    <s v="sem"/>
    <m/>
    <m/>
    <m/>
    <n v="37729"/>
    <n v="38966"/>
    <n v="6240"/>
    <n v="5838"/>
    <n v="43604"/>
    <n v="44519"/>
    <n v="87573"/>
    <n v="2919.1"/>
    <n v="89323"/>
    <n v="2977.4333333333334"/>
    <n v="13486"/>
    <n v="12195"/>
    <n v="87573"/>
    <n v="89323"/>
    <m/>
    <m/>
    <m/>
    <m/>
    <m/>
    <m/>
    <m/>
    <m/>
    <n v="0"/>
    <n v="0"/>
    <n v="0"/>
    <n v="0"/>
    <m/>
    <m/>
    <n v="0"/>
    <n v="0"/>
    <m/>
    <m/>
    <m/>
    <m/>
    <m/>
    <m/>
    <m/>
    <m/>
    <n v="0"/>
    <n v="0"/>
    <n v="0"/>
    <n v="0"/>
    <n v="2919.1"/>
    <n v="2977.4333333333334"/>
  </r>
  <r>
    <x v="12"/>
    <s v="Motlow State Community College "/>
    <m/>
    <n v="221096"/>
    <x v="7"/>
    <s v="sem"/>
    <m/>
    <m/>
    <m/>
    <n v="39996"/>
    <n v="47593"/>
    <n v="7103"/>
    <n v="8139"/>
    <n v="54809"/>
    <n v="62280"/>
    <n v="101908"/>
    <n v="3396.9333333333334"/>
    <n v="118012"/>
    <n v="3933.7333333333331"/>
    <n v="6777"/>
    <n v="7584"/>
    <n v="101908"/>
    <n v="118012"/>
    <m/>
    <m/>
    <m/>
    <m/>
    <m/>
    <m/>
    <m/>
    <m/>
    <n v="0"/>
    <n v="0"/>
    <n v="0"/>
    <n v="0"/>
    <m/>
    <m/>
    <n v="0"/>
    <n v="0"/>
    <m/>
    <m/>
    <m/>
    <m/>
    <m/>
    <m/>
    <m/>
    <m/>
    <n v="0"/>
    <n v="0"/>
    <n v="0"/>
    <n v="0"/>
    <n v="3396.9333333333334"/>
    <n v="3933.7333333333331"/>
  </r>
  <r>
    <x v="12"/>
    <s v="Northeast State Technical Community College"/>
    <m/>
    <n v="221908"/>
    <x v="7"/>
    <s v="sem"/>
    <m/>
    <m/>
    <m/>
    <n v="51666"/>
    <n v="54914"/>
    <n v="7290"/>
    <n v="7402"/>
    <n v="63229"/>
    <n v="63757"/>
    <n v="122185"/>
    <n v="4072.8333333333335"/>
    <n v="126073"/>
    <n v="4202.4333333333334"/>
    <n v="7262"/>
    <n v="8851"/>
    <n v="122185"/>
    <n v="126073"/>
    <m/>
    <m/>
    <m/>
    <m/>
    <m/>
    <m/>
    <m/>
    <m/>
    <n v="0"/>
    <n v="0"/>
    <n v="0"/>
    <n v="0"/>
    <m/>
    <m/>
    <n v="0"/>
    <n v="0"/>
    <m/>
    <m/>
    <m/>
    <m/>
    <m/>
    <m/>
    <m/>
    <m/>
    <n v="0"/>
    <n v="0"/>
    <n v="0"/>
    <n v="0"/>
    <n v="4072.8333333333335"/>
    <n v="4202.4333333333334"/>
  </r>
  <r>
    <x v="12"/>
    <s v="Roane State Community College "/>
    <m/>
    <n v="221397"/>
    <x v="7"/>
    <s v="sem"/>
    <m/>
    <m/>
    <m/>
    <n v="50149"/>
    <n v="50295"/>
    <n v="6787"/>
    <n v="6407"/>
    <n v="58360"/>
    <n v="56821"/>
    <n v="115296"/>
    <n v="3843.2"/>
    <n v="113523"/>
    <n v="3784.1"/>
    <n v="11131"/>
    <n v="12053"/>
    <n v="115296"/>
    <n v="113523"/>
    <m/>
    <m/>
    <m/>
    <m/>
    <m/>
    <m/>
    <m/>
    <m/>
    <n v="0"/>
    <n v="0"/>
    <n v="0"/>
    <n v="0"/>
    <m/>
    <m/>
    <n v="0"/>
    <n v="0"/>
    <m/>
    <m/>
    <m/>
    <m/>
    <m/>
    <m/>
    <m/>
    <m/>
    <n v="0"/>
    <n v="0"/>
    <n v="0"/>
    <n v="0"/>
    <n v="3843.2"/>
    <n v="3784.1"/>
  </r>
  <r>
    <x v="12"/>
    <s v="Walters State Community College "/>
    <m/>
    <n v="222062"/>
    <x v="7"/>
    <s v="sem"/>
    <m/>
    <m/>
    <m/>
    <n v="51572"/>
    <n v="50856"/>
    <n v="6286"/>
    <n v="5000"/>
    <n v="61114"/>
    <n v="61283"/>
    <n v="118972"/>
    <n v="3965.7333333333331"/>
    <n v="117139"/>
    <n v="3904.6333333333332"/>
    <n v="11616"/>
    <n v="11957"/>
    <n v="118972"/>
    <n v="117139"/>
    <m/>
    <m/>
    <m/>
    <m/>
    <m/>
    <m/>
    <m/>
    <m/>
    <n v="0"/>
    <n v="0"/>
    <n v="0"/>
    <n v="0"/>
    <m/>
    <m/>
    <n v="0"/>
    <n v="0"/>
    <m/>
    <m/>
    <m/>
    <m/>
    <m/>
    <m/>
    <m/>
    <m/>
    <n v="0"/>
    <n v="0"/>
    <n v="0"/>
    <n v="0"/>
    <n v="3965.7333333333331"/>
    <n v="3904.6333333333332"/>
  </r>
  <r>
    <x v="12"/>
    <s v="Tennessee College of Applied Technology at Chattanooga"/>
    <s v="Met the criteria for Two-Year 3 in 2016-17."/>
    <s v="219824B"/>
    <x v="9"/>
    <s v="sem"/>
    <m/>
    <m/>
    <m/>
    <m/>
    <m/>
    <m/>
    <m/>
    <m/>
    <m/>
    <n v="0"/>
    <n v="0"/>
    <n v="0"/>
    <n v="0"/>
    <m/>
    <m/>
    <n v="0"/>
    <n v="0"/>
    <m/>
    <m/>
    <n v="319892"/>
    <n v="337959"/>
    <n v="210880"/>
    <n v="216518"/>
    <n v="372862"/>
    <n v="329929"/>
    <n v="903634"/>
    <n v="1004.0377777777778"/>
    <n v="884406"/>
    <n v="982.67333333333329"/>
    <m/>
    <m/>
    <n v="0"/>
    <n v="0"/>
    <m/>
    <m/>
    <m/>
    <m/>
    <m/>
    <m/>
    <m/>
    <m/>
    <n v="0"/>
    <n v="0"/>
    <n v="0"/>
    <n v="0"/>
    <n v="1004.0377777777778"/>
    <n v="982.67333333333329"/>
  </r>
  <r>
    <x v="12"/>
    <s v="Tennessee College of Applied Technology at Athens"/>
    <m/>
    <n v="219596"/>
    <x v="10"/>
    <s v="sem"/>
    <m/>
    <m/>
    <m/>
    <m/>
    <m/>
    <m/>
    <m/>
    <m/>
    <m/>
    <n v="0"/>
    <n v="0"/>
    <n v="0"/>
    <n v="0"/>
    <m/>
    <m/>
    <n v="0"/>
    <n v="0"/>
    <m/>
    <m/>
    <n v="78992"/>
    <n v="88912"/>
    <n v="71840"/>
    <n v="85686"/>
    <n v="95749"/>
    <n v="101362"/>
    <n v="246581"/>
    <n v="273.97888888888889"/>
    <n v="275960"/>
    <n v="306.62222222222221"/>
    <m/>
    <m/>
    <n v="0"/>
    <n v="0"/>
    <m/>
    <m/>
    <m/>
    <m/>
    <m/>
    <m/>
    <m/>
    <m/>
    <n v="0"/>
    <n v="0"/>
    <n v="0"/>
    <n v="0"/>
    <n v="273.97888888888889"/>
    <n v="306.62222222222221"/>
  </r>
  <r>
    <x v="12"/>
    <s v="Tennessee College of Applied Technology at Covington"/>
    <m/>
    <n v="219921"/>
    <x v="10"/>
    <s v="sem"/>
    <m/>
    <m/>
    <m/>
    <m/>
    <m/>
    <m/>
    <m/>
    <m/>
    <m/>
    <n v="0"/>
    <n v="0"/>
    <n v="0"/>
    <n v="0"/>
    <m/>
    <m/>
    <n v="0"/>
    <n v="0"/>
    <m/>
    <m/>
    <n v="60186"/>
    <n v="68395"/>
    <n v="56544"/>
    <n v="64308"/>
    <n v="70259"/>
    <n v="84720"/>
    <n v="186989"/>
    <n v="207.76555555555555"/>
    <n v="217423"/>
    <n v="241.58111111111111"/>
    <m/>
    <m/>
    <n v="0"/>
    <n v="0"/>
    <m/>
    <m/>
    <m/>
    <m/>
    <m/>
    <m/>
    <m/>
    <m/>
    <n v="0"/>
    <n v="0"/>
    <n v="0"/>
    <n v="0"/>
    <n v="207.76555555555555"/>
    <n v="241.58111111111111"/>
  </r>
  <r>
    <x v="12"/>
    <s v="Tennessee College of Applied Technology at Crossville"/>
    <m/>
    <n v="221591"/>
    <x v="10"/>
    <s v="sem"/>
    <m/>
    <m/>
    <m/>
    <m/>
    <m/>
    <m/>
    <m/>
    <m/>
    <m/>
    <n v="0"/>
    <n v="0"/>
    <n v="0"/>
    <n v="0"/>
    <m/>
    <m/>
    <n v="0"/>
    <n v="0"/>
    <m/>
    <m/>
    <n v="109441"/>
    <n v="115295"/>
    <n v="98774"/>
    <n v="92946"/>
    <n v="129933"/>
    <n v="129591"/>
    <n v="338148"/>
    <n v="375.72"/>
    <n v="337832"/>
    <n v="375.36888888888888"/>
    <m/>
    <m/>
    <n v="0"/>
    <n v="0"/>
    <m/>
    <m/>
    <m/>
    <m/>
    <m/>
    <m/>
    <m/>
    <m/>
    <n v="0"/>
    <n v="0"/>
    <n v="0"/>
    <n v="0"/>
    <n v="375.72"/>
    <n v="375.36888888888888"/>
  </r>
  <r>
    <x v="12"/>
    <s v="Tennessee College of Applied Technology at Crump"/>
    <m/>
    <n v="221430"/>
    <x v="10"/>
    <s v="sem"/>
    <m/>
    <m/>
    <m/>
    <m/>
    <m/>
    <m/>
    <m/>
    <m/>
    <m/>
    <n v="0"/>
    <n v="0"/>
    <n v="0"/>
    <n v="0"/>
    <m/>
    <m/>
    <n v="0"/>
    <n v="0"/>
    <m/>
    <m/>
    <n v="70765"/>
    <n v="81046"/>
    <n v="51983"/>
    <n v="63971"/>
    <n v="78836"/>
    <n v="101261"/>
    <n v="201584"/>
    <n v="223.98222222222222"/>
    <n v="246278"/>
    <n v="273.64222222222224"/>
    <m/>
    <m/>
    <n v="0"/>
    <n v="0"/>
    <m/>
    <m/>
    <m/>
    <m/>
    <m/>
    <m/>
    <m/>
    <m/>
    <n v="0"/>
    <n v="0"/>
    <n v="0"/>
    <n v="0"/>
    <n v="223.98222222222222"/>
    <n v="273.64222222222224"/>
  </r>
  <r>
    <x v="12"/>
    <s v="Tennessee College of Applied Technology at Dickson"/>
    <m/>
    <n v="219994"/>
    <x v="10"/>
    <s v="sem"/>
    <m/>
    <m/>
    <m/>
    <m/>
    <m/>
    <m/>
    <m/>
    <m/>
    <m/>
    <n v="0"/>
    <n v="0"/>
    <n v="0"/>
    <n v="0"/>
    <m/>
    <m/>
    <n v="0"/>
    <n v="0"/>
    <m/>
    <m/>
    <n v="151165"/>
    <n v="184771"/>
    <n v="148972"/>
    <n v="186097"/>
    <n v="188440"/>
    <n v="202964"/>
    <n v="488577"/>
    <n v="542.86333333333334"/>
    <n v="573832"/>
    <n v="637.5911111111111"/>
    <m/>
    <m/>
    <n v="0"/>
    <n v="0"/>
    <m/>
    <m/>
    <m/>
    <m/>
    <m/>
    <m/>
    <m/>
    <m/>
    <n v="0"/>
    <n v="0"/>
    <n v="0"/>
    <n v="0"/>
    <n v="542.86333333333334"/>
    <n v="637.5911111111111"/>
  </r>
  <r>
    <x v="12"/>
    <s v="Tennessee College of Applied Technology at Elizabethton"/>
    <m/>
    <n v="220127"/>
    <x v="10"/>
    <s v="sem"/>
    <m/>
    <m/>
    <m/>
    <m/>
    <m/>
    <m/>
    <m/>
    <m/>
    <m/>
    <n v="0"/>
    <n v="0"/>
    <n v="0"/>
    <n v="0"/>
    <m/>
    <m/>
    <n v="0"/>
    <n v="0"/>
    <m/>
    <m/>
    <n v="151376"/>
    <n v="170998"/>
    <n v="140568"/>
    <n v="160048"/>
    <n v="175705"/>
    <n v="173566"/>
    <n v="467649"/>
    <n v="519.61"/>
    <n v="504612"/>
    <n v="560.67999999999995"/>
    <m/>
    <m/>
    <n v="0"/>
    <n v="0"/>
    <m/>
    <m/>
    <m/>
    <m/>
    <m/>
    <m/>
    <m/>
    <m/>
    <n v="0"/>
    <n v="0"/>
    <n v="0"/>
    <n v="0"/>
    <n v="519.61"/>
    <n v="560.67999999999995"/>
  </r>
  <r>
    <x v="12"/>
    <s v="Tennessee College of Applied Technology at Harriman"/>
    <m/>
    <n v="220251"/>
    <x v="10"/>
    <s v="sem"/>
    <m/>
    <m/>
    <m/>
    <m/>
    <m/>
    <m/>
    <m/>
    <m/>
    <m/>
    <n v="0"/>
    <n v="0"/>
    <n v="0"/>
    <n v="0"/>
    <m/>
    <m/>
    <n v="0"/>
    <n v="0"/>
    <m/>
    <m/>
    <n v="76476"/>
    <n v="83137"/>
    <n v="68715"/>
    <n v="82377"/>
    <n v="81445"/>
    <n v="105116"/>
    <n v="226636"/>
    <n v="251.81777777777779"/>
    <n v="270630"/>
    <n v="300.7"/>
    <m/>
    <m/>
    <n v="0"/>
    <n v="0"/>
    <m/>
    <m/>
    <m/>
    <m/>
    <m/>
    <m/>
    <m/>
    <m/>
    <n v="0"/>
    <n v="0"/>
    <n v="0"/>
    <n v="0"/>
    <n v="251.81777777777779"/>
    <n v="300.7"/>
  </r>
  <r>
    <x v="12"/>
    <s v="Tennessee College of Applied Technology at Hartsville"/>
    <m/>
    <n v="220279"/>
    <x v="10"/>
    <s v="sem"/>
    <m/>
    <m/>
    <m/>
    <m/>
    <m/>
    <m/>
    <m/>
    <m/>
    <m/>
    <n v="0"/>
    <n v="0"/>
    <n v="0"/>
    <n v="0"/>
    <m/>
    <m/>
    <n v="0"/>
    <n v="0"/>
    <m/>
    <m/>
    <n v="110276"/>
    <n v="126510"/>
    <n v="70558"/>
    <n v="74674"/>
    <n v="137194"/>
    <n v="140513"/>
    <n v="318028"/>
    <n v="353.36444444444442"/>
    <n v="341697"/>
    <n v="379.66333333333336"/>
    <m/>
    <m/>
    <n v="0"/>
    <n v="0"/>
    <m/>
    <m/>
    <m/>
    <m/>
    <m/>
    <m/>
    <m/>
    <m/>
    <n v="0"/>
    <n v="0"/>
    <n v="0"/>
    <n v="0"/>
    <n v="353.36444444444442"/>
    <n v="379.66333333333336"/>
  </r>
  <r>
    <x v="12"/>
    <s v="Tennessee College of Applied Technology at Hohenwald"/>
    <m/>
    <n v="220321"/>
    <x v="10"/>
    <s v="sem"/>
    <m/>
    <m/>
    <m/>
    <m/>
    <m/>
    <m/>
    <m/>
    <m/>
    <m/>
    <n v="0"/>
    <n v="0"/>
    <n v="0"/>
    <n v="0"/>
    <m/>
    <m/>
    <n v="0"/>
    <n v="0"/>
    <m/>
    <m/>
    <n v="104746"/>
    <n v="119750"/>
    <n v="87638"/>
    <n v="98683"/>
    <n v="135286"/>
    <n v="117572"/>
    <n v="327670"/>
    <n v="364.07777777777778"/>
    <n v="336005"/>
    <n v="373.3388888888889"/>
    <m/>
    <m/>
    <n v="0"/>
    <n v="0"/>
    <m/>
    <m/>
    <m/>
    <m/>
    <m/>
    <m/>
    <m/>
    <m/>
    <n v="0"/>
    <n v="0"/>
    <n v="0"/>
    <n v="0"/>
    <n v="364.07777777777778"/>
    <n v="373.3388888888889"/>
  </r>
  <r>
    <x v="12"/>
    <s v="Tennessee College of Applied Technology at Jacksboro"/>
    <m/>
    <n v="220394"/>
    <x v="10"/>
    <s v="sem"/>
    <m/>
    <m/>
    <m/>
    <m/>
    <m/>
    <m/>
    <m/>
    <m/>
    <m/>
    <n v="0"/>
    <n v="0"/>
    <n v="0"/>
    <n v="0"/>
    <m/>
    <m/>
    <n v="0"/>
    <n v="0"/>
    <m/>
    <m/>
    <n v="57066"/>
    <n v="68759"/>
    <n v="47306"/>
    <n v="57149"/>
    <n v="71740"/>
    <n v="74938"/>
    <n v="176112"/>
    <n v="195.68"/>
    <n v="200846"/>
    <n v="223.16222222222223"/>
    <m/>
    <m/>
    <n v="0"/>
    <n v="0"/>
    <m/>
    <m/>
    <m/>
    <m/>
    <m/>
    <m/>
    <m/>
    <m/>
    <n v="0"/>
    <n v="0"/>
    <n v="0"/>
    <n v="0"/>
    <n v="195.68"/>
    <n v="223.16222222222223"/>
  </r>
  <r>
    <x v="12"/>
    <s v="Tennessee College of Applied Technology at Jackson"/>
    <m/>
    <n v="221616"/>
    <x v="10"/>
    <s v="sem"/>
    <m/>
    <m/>
    <m/>
    <m/>
    <m/>
    <m/>
    <m/>
    <m/>
    <m/>
    <n v="0"/>
    <n v="0"/>
    <n v="0"/>
    <n v="0"/>
    <m/>
    <m/>
    <n v="0"/>
    <n v="0"/>
    <m/>
    <m/>
    <n v="155750"/>
    <n v="175724"/>
    <n v="129947"/>
    <n v="134319"/>
    <n v="181558"/>
    <n v="169867"/>
    <n v="467255"/>
    <n v="519.17222222222222"/>
    <n v="479910"/>
    <n v="533.23333333333335"/>
    <m/>
    <m/>
    <n v="0"/>
    <n v="0"/>
    <m/>
    <m/>
    <m/>
    <m/>
    <m/>
    <m/>
    <m/>
    <m/>
    <n v="0"/>
    <n v="0"/>
    <n v="0"/>
    <n v="0"/>
    <n v="519.17222222222222"/>
    <n v="533.23333333333335"/>
  </r>
  <r>
    <x v="12"/>
    <s v="Tennessee College of Applied Technology at Knoxville"/>
    <m/>
    <n v="221625"/>
    <x v="10"/>
    <s v="sem"/>
    <m/>
    <m/>
    <m/>
    <m/>
    <m/>
    <m/>
    <m/>
    <m/>
    <m/>
    <n v="0"/>
    <n v="0"/>
    <n v="0"/>
    <n v="0"/>
    <m/>
    <m/>
    <n v="0"/>
    <n v="0"/>
    <m/>
    <m/>
    <n v="224808"/>
    <n v="287001"/>
    <n v="210725"/>
    <n v="258070"/>
    <n v="293384"/>
    <n v="260728"/>
    <n v="728917"/>
    <n v="809.90777777777782"/>
    <n v="805799"/>
    <n v="895.33222222222219"/>
    <m/>
    <m/>
    <n v="0"/>
    <n v="0"/>
    <m/>
    <m/>
    <m/>
    <m/>
    <m/>
    <m/>
    <m/>
    <m/>
    <n v="0"/>
    <n v="0"/>
    <n v="0"/>
    <n v="0"/>
    <n v="809.90777777777782"/>
    <n v="895.33222222222219"/>
  </r>
  <r>
    <x v="12"/>
    <s v="Tennessee College of Applied Technology at Livingston"/>
    <m/>
    <n v="220640"/>
    <x v="10"/>
    <s v="sem"/>
    <m/>
    <m/>
    <m/>
    <m/>
    <m/>
    <m/>
    <m/>
    <m/>
    <m/>
    <n v="0"/>
    <n v="0"/>
    <n v="0"/>
    <n v="0"/>
    <m/>
    <m/>
    <n v="0"/>
    <n v="0"/>
    <m/>
    <m/>
    <n v="126461"/>
    <n v="169605"/>
    <n v="86416"/>
    <n v="113582"/>
    <n v="179234"/>
    <n v="194551"/>
    <n v="392111"/>
    <n v="435.67888888888888"/>
    <n v="477738"/>
    <n v="530.82000000000005"/>
    <m/>
    <m/>
    <n v="0"/>
    <n v="0"/>
    <m/>
    <m/>
    <m/>
    <m/>
    <m/>
    <m/>
    <m/>
    <m/>
    <n v="0"/>
    <n v="0"/>
    <n v="0"/>
    <n v="0"/>
    <n v="435.67888888888888"/>
    <n v="530.82000000000005"/>
  </r>
  <r>
    <x v="12"/>
    <s v="Tennessee College of Applied Technology at McKenzie"/>
    <m/>
    <n v="220756"/>
    <x v="10"/>
    <s v="sem"/>
    <m/>
    <m/>
    <m/>
    <m/>
    <m/>
    <m/>
    <m/>
    <m/>
    <m/>
    <n v="0"/>
    <n v="0"/>
    <n v="0"/>
    <n v="0"/>
    <m/>
    <m/>
    <n v="0"/>
    <n v="0"/>
    <m/>
    <m/>
    <n v="56804"/>
    <n v="57912"/>
    <n v="49677"/>
    <n v="46977"/>
    <n v="68224"/>
    <n v="65285"/>
    <n v="174705"/>
    <n v="194.11666666666667"/>
    <n v="170174"/>
    <n v="189.08222222222221"/>
    <m/>
    <m/>
    <n v="0"/>
    <n v="0"/>
    <m/>
    <m/>
    <m/>
    <m/>
    <m/>
    <m/>
    <m/>
    <m/>
    <n v="0"/>
    <n v="0"/>
    <n v="0"/>
    <n v="0"/>
    <n v="194.11666666666667"/>
    <n v="189.08222222222221"/>
  </r>
  <r>
    <x v="12"/>
    <s v="Tennessee College of Applied Technology at McMinnville"/>
    <m/>
    <n v="221607"/>
    <x v="10"/>
    <s v="sem"/>
    <m/>
    <m/>
    <m/>
    <m/>
    <m/>
    <m/>
    <m/>
    <m/>
    <m/>
    <n v="0"/>
    <n v="0"/>
    <n v="0"/>
    <n v="0"/>
    <m/>
    <m/>
    <n v="0"/>
    <n v="0"/>
    <m/>
    <m/>
    <n v="66098"/>
    <n v="65547"/>
    <n v="58471"/>
    <n v="56208"/>
    <n v="78074"/>
    <n v="72716"/>
    <n v="202643"/>
    <n v="225.1588888888889"/>
    <n v="194471"/>
    <n v="216.07888888888888"/>
    <m/>
    <m/>
    <n v="0"/>
    <n v="0"/>
    <m/>
    <m/>
    <m/>
    <m/>
    <m/>
    <m/>
    <m/>
    <m/>
    <n v="0"/>
    <n v="0"/>
    <n v="0"/>
    <n v="0"/>
    <n v="225.1588888888889"/>
    <n v="216.07888888888888"/>
  </r>
  <r>
    <x v="12"/>
    <s v="Tennessee College of Applied Technology at Memphis"/>
    <m/>
    <n v="220853"/>
    <x v="10"/>
    <s v="sem"/>
    <m/>
    <m/>
    <m/>
    <m/>
    <m/>
    <m/>
    <m/>
    <m/>
    <m/>
    <n v="0"/>
    <n v="0"/>
    <n v="0"/>
    <n v="0"/>
    <m/>
    <m/>
    <n v="0"/>
    <n v="0"/>
    <m/>
    <m/>
    <n v="268195"/>
    <n v="280236"/>
    <n v="252106"/>
    <n v="265010"/>
    <n v="306038"/>
    <n v="308110"/>
    <n v="826339"/>
    <n v="918.15444444444449"/>
    <n v="853356"/>
    <n v="948.17333333333329"/>
    <m/>
    <m/>
    <n v="0"/>
    <n v="0"/>
    <m/>
    <m/>
    <m/>
    <m/>
    <m/>
    <m/>
    <m/>
    <m/>
    <n v="0"/>
    <n v="0"/>
    <n v="0"/>
    <n v="0"/>
    <n v="918.15444444444449"/>
    <n v="948.17333333333329"/>
  </r>
  <r>
    <x v="12"/>
    <s v="Tennessee College of Applied Technology at Morristown"/>
    <m/>
    <n v="221050"/>
    <x v="10"/>
    <s v="sem"/>
    <m/>
    <m/>
    <m/>
    <m/>
    <m/>
    <m/>
    <m/>
    <m/>
    <m/>
    <n v="0"/>
    <n v="0"/>
    <n v="0"/>
    <n v="0"/>
    <m/>
    <m/>
    <n v="0"/>
    <n v="0"/>
    <m/>
    <m/>
    <n v="170275"/>
    <n v="183748"/>
    <n v="150333"/>
    <n v="169688"/>
    <n v="218852"/>
    <n v="202533"/>
    <n v="539460"/>
    <n v="599.4"/>
    <n v="555969"/>
    <n v="617.74333333333334"/>
    <m/>
    <m/>
    <n v="0"/>
    <n v="0"/>
    <m/>
    <m/>
    <m/>
    <m/>
    <m/>
    <m/>
    <m/>
    <m/>
    <n v="0"/>
    <n v="0"/>
    <n v="0"/>
    <n v="0"/>
    <n v="599.4"/>
    <n v="617.74333333333334"/>
  </r>
  <r>
    <x v="12"/>
    <s v="Tennessee College of Applied Technology at Murfreesboro"/>
    <m/>
    <n v="221102"/>
    <x v="10"/>
    <s v="sem"/>
    <m/>
    <m/>
    <m/>
    <m/>
    <m/>
    <m/>
    <m/>
    <m/>
    <m/>
    <n v="0"/>
    <n v="0"/>
    <n v="0"/>
    <n v="0"/>
    <m/>
    <m/>
    <n v="0"/>
    <n v="0"/>
    <m/>
    <m/>
    <n v="143327"/>
    <n v="183262"/>
    <n v="134120"/>
    <n v="176284"/>
    <n v="187154"/>
    <n v="210990"/>
    <n v="464601"/>
    <n v="516.22333333333336"/>
    <n v="570536"/>
    <n v="633.92888888888888"/>
    <m/>
    <m/>
    <n v="0"/>
    <n v="0"/>
    <m/>
    <m/>
    <m/>
    <m/>
    <m/>
    <m/>
    <m/>
    <m/>
    <n v="0"/>
    <n v="0"/>
    <n v="0"/>
    <n v="0"/>
    <n v="516.22333333333336"/>
    <n v="633.92888888888888"/>
  </r>
  <r>
    <x v="12"/>
    <s v="Tennessee College of Applied Technology at Nashville"/>
    <m/>
    <n v="248925"/>
    <x v="10"/>
    <s v="sem"/>
    <m/>
    <m/>
    <m/>
    <m/>
    <m/>
    <m/>
    <m/>
    <m/>
    <m/>
    <n v="0"/>
    <n v="0"/>
    <n v="0"/>
    <n v="0"/>
    <m/>
    <m/>
    <n v="0"/>
    <n v="0"/>
    <m/>
    <m/>
    <n v="246257"/>
    <n v="291165"/>
    <n v="215487"/>
    <n v="252136"/>
    <n v="303664"/>
    <n v="331368"/>
    <n v="765408"/>
    <n v="850.45333333333338"/>
    <n v="874669"/>
    <n v="971.85444444444443"/>
    <m/>
    <m/>
    <n v="0"/>
    <n v="0"/>
    <m/>
    <m/>
    <m/>
    <m/>
    <m/>
    <m/>
    <m/>
    <m/>
    <n v="0"/>
    <n v="0"/>
    <n v="0"/>
    <n v="0"/>
    <n v="850.45333333333338"/>
    <n v="971.85444444444443"/>
  </r>
  <r>
    <x v="12"/>
    <s v="Tennessee College of Applied Technology at Newbern"/>
    <m/>
    <n v="221236"/>
    <x v="10"/>
    <s v="sem"/>
    <m/>
    <m/>
    <m/>
    <m/>
    <m/>
    <m/>
    <m/>
    <m/>
    <m/>
    <n v="0"/>
    <n v="0"/>
    <n v="0"/>
    <n v="0"/>
    <m/>
    <m/>
    <n v="0"/>
    <n v="0"/>
    <m/>
    <m/>
    <n v="92693"/>
    <n v="103068"/>
    <n v="70688"/>
    <n v="98978"/>
    <n v="108325"/>
    <n v="126744"/>
    <n v="271706"/>
    <n v="301.89555555555557"/>
    <n v="328790"/>
    <n v="365.32222222222219"/>
    <m/>
    <m/>
    <n v="0"/>
    <n v="0"/>
    <m/>
    <m/>
    <m/>
    <m/>
    <m/>
    <m/>
    <m/>
    <m/>
    <n v="0"/>
    <n v="0"/>
    <n v="0"/>
    <n v="0"/>
    <n v="301.89555555555557"/>
    <n v="365.32222222222219"/>
  </r>
  <r>
    <x v="12"/>
    <s v="Tennessee College of Applied Technology at Oneida"/>
    <m/>
    <n v="221582"/>
    <x v="10"/>
    <s v="sem"/>
    <m/>
    <m/>
    <m/>
    <m/>
    <m/>
    <m/>
    <m/>
    <m/>
    <m/>
    <n v="0"/>
    <n v="0"/>
    <n v="0"/>
    <n v="0"/>
    <m/>
    <m/>
    <n v="0"/>
    <n v="0"/>
    <m/>
    <m/>
    <n v="71099"/>
    <n v="66734"/>
    <n v="42811"/>
    <n v="44304"/>
    <n v="86315"/>
    <n v="67721"/>
    <n v="200225"/>
    <n v="222.47222222222223"/>
    <n v="178759"/>
    <n v="198.62111111111111"/>
    <m/>
    <m/>
    <n v="0"/>
    <n v="0"/>
    <m/>
    <m/>
    <m/>
    <m/>
    <m/>
    <m/>
    <m/>
    <m/>
    <n v="0"/>
    <n v="0"/>
    <n v="0"/>
    <n v="0"/>
    <n v="222.47222222222223"/>
    <n v="198.62111111111111"/>
  </r>
  <r>
    <x v="12"/>
    <s v="Tennessee College of Applied Technology at Paris"/>
    <m/>
    <n v="221281"/>
    <x v="10"/>
    <s v="sem"/>
    <m/>
    <m/>
    <m/>
    <m/>
    <m/>
    <m/>
    <m/>
    <m/>
    <m/>
    <n v="0"/>
    <n v="0"/>
    <n v="0"/>
    <n v="0"/>
    <m/>
    <m/>
    <n v="0"/>
    <n v="0"/>
    <m/>
    <m/>
    <n v="105414"/>
    <n v="96329"/>
    <n v="94003"/>
    <n v="86508"/>
    <n v="112821"/>
    <n v="100508"/>
    <n v="312238"/>
    <n v="346.93111111111114"/>
    <n v="283345"/>
    <n v="314.82777777777778"/>
    <m/>
    <m/>
    <n v="0"/>
    <n v="0"/>
    <m/>
    <m/>
    <m/>
    <m/>
    <m/>
    <m/>
    <m/>
    <m/>
    <n v="0"/>
    <n v="0"/>
    <n v="0"/>
    <n v="0"/>
    <n v="346.93111111111114"/>
    <n v="314.82777777777778"/>
  </r>
  <r>
    <x v="12"/>
    <s v="Tennessee College of Applied Technology at Pulaski"/>
    <m/>
    <n v="221333"/>
    <x v="10"/>
    <s v="sem"/>
    <m/>
    <m/>
    <m/>
    <m/>
    <m/>
    <m/>
    <m/>
    <m/>
    <m/>
    <n v="0"/>
    <n v="0"/>
    <n v="0"/>
    <n v="0"/>
    <m/>
    <m/>
    <n v="0"/>
    <n v="0"/>
    <m/>
    <m/>
    <n v="185331"/>
    <n v="202248"/>
    <n v="65511"/>
    <n v="78194"/>
    <n v="200058"/>
    <n v="171404"/>
    <n v="450900"/>
    <n v="501"/>
    <n v="451846"/>
    <n v="502.05111111111108"/>
    <m/>
    <m/>
    <n v="0"/>
    <n v="0"/>
    <m/>
    <m/>
    <m/>
    <m/>
    <m/>
    <m/>
    <m/>
    <m/>
    <n v="0"/>
    <n v="0"/>
    <n v="0"/>
    <n v="0"/>
    <n v="501"/>
    <n v="502.05111111111108"/>
  </r>
  <r>
    <x v="12"/>
    <s v="Tennessee College of Applied Technology at Ripley"/>
    <m/>
    <n v="221388"/>
    <x v="10"/>
    <s v="sem"/>
    <m/>
    <m/>
    <m/>
    <m/>
    <m/>
    <m/>
    <m/>
    <m/>
    <m/>
    <n v="0"/>
    <n v="0"/>
    <n v="0"/>
    <n v="0"/>
    <m/>
    <m/>
    <n v="0"/>
    <n v="0"/>
    <m/>
    <m/>
    <n v="47310"/>
    <n v="64162"/>
    <n v="37265"/>
    <n v="48522"/>
    <n v="65356"/>
    <n v="59951"/>
    <n v="149931"/>
    <n v="166.59"/>
    <n v="172635"/>
    <n v="191.81666666666666"/>
    <m/>
    <m/>
    <n v="0"/>
    <n v="0"/>
    <m/>
    <m/>
    <m/>
    <m/>
    <m/>
    <m/>
    <m/>
    <m/>
    <n v="0"/>
    <n v="0"/>
    <n v="0"/>
    <n v="0"/>
    <n v="166.59"/>
    <n v="191.81666666666666"/>
  </r>
  <r>
    <x v="12"/>
    <s v="Tennessee College of Applied Technology at Shelbyville"/>
    <m/>
    <n v="221494"/>
    <x v="10"/>
    <s v="sem"/>
    <m/>
    <m/>
    <m/>
    <m/>
    <m/>
    <m/>
    <m/>
    <m/>
    <m/>
    <n v="0"/>
    <n v="0"/>
    <n v="0"/>
    <n v="0"/>
    <m/>
    <m/>
    <n v="0"/>
    <n v="0"/>
    <m/>
    <m/>
    <n v="144774"/>
    <n v="178037"/>
    <n v="127632"/>
    <n v="171167"/>
    <n v="193339"/>
    <n v="198689"/>
    <n v="465745"/>
    <n v="517.49444444444441"/>
    <n v="547893"/>
    <n v="608.77"/>
    <m/>
    <m/>
    <n v="0"/>
    <n v="0"/>
    <m/>
    <m/>
    <m/>
    <m/>
    <m/>
    <m/>
    <m/>
    <m/>
    <n v="0"/>
    <n v="0"/>
    <n v="0"/>
    <n v="0"/>
    <n v="517.49444444444441"/>
    <n v="608.77"/>
  </r>
  <r>
    <x v="12"/>
    <s v="Tennessee College of Applied Technology at Whiteville"/>
    <m/>
    <n v="221634"/>
    <x v="10"/>
    <s v="sem"/>
    <m/>
    <m/>
    <m/>
    <m/>
    <m/>
    <m/>
    <m/>
    <m/>
    <m/>
    <n v="0"/>
    <n v="0"/>
    <n v="0"/>
    <n v="0"/>
    <m/>
    <m/>
    <n v="0"/>
    <n v="0"/>
    <m/>
    <m/>
    <n v="55602"/>
    <n v="61875"/>
    <n v="53933"/>
    <n v="49816"/>
    <n v="77826"/>
    <n v="66806"/>
    <n v="187361"/>
    <n v="208.17888888888888"/>
    <n v="178497"/>
    <n v="198.33"/>
    <m/>
    <m/>
    <n v="0"/>
    <n v="0"/>
    <m/>
    <m/>
    <m/>
    <m/>
    <m/>
    <m/>
    <m/>
    <m/>
    <n v="0"/>
    <n v="0"/>
    <n v="0"/>
    <n v="0"/>
    <n v="208.17888888888888"/>
    <n v="198.33"/>
  </r>
  <r>
    <x v="13"/>
    <s v="Texas A&amp;M University "/>
    <m/>
    <n v="228723"/>
    <x v="0"/>
    <s v="sem"/>
    <m/>
    <m/>
    <n v="0"/>
    <n v="548158"/>
    <n v="570991"/>
    <n v="73891"/>
    <n v="80963"/>
    <n v="604505"/>
    <n v="626371"/>
    <n v="1226554"/>
    <n v="40885.133333333331"/>
    <n v="1278325"/>
    <n v="42610.833333333336"/>
    <n v="0"/>
    <n v="0"/>
    <n v="1226554"/>
    <n v="1278325"/>
    <m/>
    <m/>
    <m/>
    <m/>
    <m/>
    <m/>
    <m/>
    <m/>
    <n v="0"/>
    <n v="0"/>
    <n v="0"/>
    <n v="0"/>
    <m/>
    <m/>
    <n v="0"/>
    <n v="0"/>
    <m/>
    <m/>
    <n v="90269"/>
    <n v="92596"/>
    <n v="30688"/>
    <n v="32317"/>
    <n v="100334"/>
    <n v="101496"/>
    <n v="221291"/>
    <n v="9220.4583333333339"/>
    <n v="226409"/>
    <n v="9433.7083333333339"/>
    <n v="50105.591666666667"/>
    <n v="52044.541666666672"/>
  </r>
  <r>
    <x v="13"/>
    <s v="Texas Tech University "/>
    <m/>
    <n v="229115"/>
    <x v="0"/>
    <s v="sem"/>
    <m/>
    <m/>
    <n v="0"/>
    <n v="332367"/>
    <n v="341904"/>
    <n v="59892"/>
    <n v="68715"/>
    <n v="372141"/>
    <n v="382212"/>
    <n v="764400"/>
    <n v="25480"/>
    <n v="792831"/>
    <n v="26427.7"/>
    <n v="123"/>
    <n v="108"/>
    <n v="764400"/>
    <n v="792831"/>
    <m/>
    <m/>
    <m/>
    <m/>
    <m/>
    <m/>
    <m/>
    <m/>
    <n v="0"/>
    <n v="0"/>
    <n v="0"/>
    <n v="0"/>
    <m/>
    <m/>
    <n v="0"/>
    <n v="0"/>
    <m/>
    <m/>
    <n v="50498"/>
    <n v="50131"/>
    <n v="22285"/>
    <n v="24256"/>
    <n v="53010"/>
    <n v="52496"/>
    <n v="125793"/>
    <n v="5241.375"/>
    <n v="126883"/>
    <n v="5286.791666666667"/>
    <n v="30721.375"/>
    <n v="31714.491666666669"/>
  </r>
  <r>
    <x v="13"/>
    <s v="University of Houston"/>
    <m/>
    <n v="225511"/>
    <x v="0"/>
    <s v="sem"/>
    <m/>
    <m/>
    <n v="0"/>
    <n v="368766"/>
    <n v="388383"/>
    <n v="60860"/>
    <n v="66038"/>
    <n v="413450"/>
    <n v="429330"/>
    <n v="843076"/>
    <n v="28102.533333333333"/>
    <n v="883751"/>
    <n v="29458.366666666665"/>
    <n v="14"/>
    <n v="16"/>
    <n v="843076"/>
    <n v="883751"/>
    <m/>
    <m/>
    <m/>
    <m/>
    <m/>
    <m/>
    <m/>
    <m/>
    <n v="0"/>
    <n v="0"/>
    <n v="0"/>
    <n v="0"/>
    <m/>
    <m/>
    <n v="0"/>
    <n v="0"/>
    <m/>
    <m/>
    <n v="75416"/>
    <n v="75293"/>
    <n v="18270"/>
    <n v="22559"/>
    <n v="78206"/>
    <n v="77752"/>
    <n v="171892"/>
    <n v="7162.166666666667"/>
    <n v="175604"/>
    <n v="7316.833333333333"/>
    <n v="35264.699999999997"/>
    <n v="36775.199999999997"/>
  </r>
  <r>
    <x v="13"/>
    <s v="University of North Texas"/>
    <m/>
    <n v="227216"/>
    <x v="0"/>
    <s v="sem"/>
    <m/>
    <m/>
    <n v="0"/>
    <n v="339523"/>
    <n v="349165"/>
    <n v="68298"/>
    <n v="68151"/>
    <n v="382797"/>
    <n v="389502"/>
    <n v="790618"/>
    <n v="26353.933333333334"/>
    <n v="806818"/>
    <n v="26893.933333333334"/>
    <n v="0"/>
    <n v="0"/>
    <n v="790618"/>
    <n v="806818"/>
    <m/>
    <m/>
    <m/>
    <m/>
    <m/>
    <m/>
    <m/>
    <m/>
    <n v="0"/>
    <n v="0"/>
    <n v="0"/>
    <n v="0"/>
    <m/>
    <m/>
    <n v="0"/>
    <n v="0"/>
    <m/>
    <m/>
    <n v="41290"/>
    <n v="43562"/>
    <n v="17552"/>
    <n v="18631"/>
    <n v="42776"/>
    <n v="43233"/>
    <n v="101618"/>
    <n v="4234.083333333333"/>
    <n v="105426"/>
    <n v="4392.75"/>
    <n v="30588.016666666666"/>
    <n v="31286.683333333334"/>
  </r>
  <r>
    <x v="13"/>
    <s v="University of Texas at Arlington"/>
    <m/>
    <n v="228769"/>
    <x v="0"/>
    <s v="sem"/>
    <m/>
    <m/>
    <n v="0"/>
    <n v="274782"/>
    <n v="281567"/>
    <n v="87781"/>
    <n v="94869"/>
    <n v="267683"/>
    <n v="282527"/>
    <n v="630246"/>
    <n v="21008.2"/>
    <n v="658963"/>
    <n v="21965.433333333334"/>
    <n v="788"/>
    <n v="559"/>
    <n v="630246"/>
    <n v="658963"/>
    <m/>
    <m/>
    <m/>
    <m/>
    <m/>
    <m/>
    <m/>
    <m/>
    <n v="0"/>
    <n v="0"/>
    <n v="0"/>
    <n v="0"/>
    <m/>
    <m/>
    <n v="0"/>
    <n v="0"/>
    <m/>
    <m/>
    <n v="71266"/>
    <n v="76233"/>
    <n v="39515"/>
    <n v="46525"/>
    <n v="67498"/>
    <n v="71825"/>
    <n v="178279"/>
    <n v="7428.291666666667"/>
    <n v="194583"/>
    <n v="8107.625"/>
    <n v="28436.491666666669"/>
    <n v="30073.058333333334"/>
  </r>
  <r>
    <x v="13"/>
    <s v="University of Texas at Austin"/>
    <m/>
    <n v="228778"/>
    <x v="0"/>
    <s v="sem"/>
    <m/>
    <m/>
    <n v="0"/>
    <n v="487116"/>
    <n v="488630"/>
    <n v="48350"/>
    <n v="47829"/>
    <n v="524591"/>
    <n v="533782"/>
    <n v="1060057"/>
    <n v="35335.23333333333"/>
    <n v="1070241"/>
    <n v="35674.699999999997"/>
    <n v="0"/>
    <n v="0"/>
    <n v="1060057"/>
    <n v="1070241"/>
    <m/>
    <m/>
    <m/>
    <m/>
    <m/>
    <m/>
    <m/>
    <m/>
    <n v="0"/>
    <n v="0"/>
    <n v="0"/>
    <n v="0"/>
    <m/>
    <m/>
    <n v="0"/>
    <n v="0"/>
    <m/>
    <m/>
    <n v="112301"/>
    <n v="109824"/>
    <n v="20440"/>
    <n v="19064"/>
    <n v="114613"/>
    <n v="113870"/>
    <n v="247354"/>
    <n v="10306.416666666666"/>
    <n v="242758"/>
    <n v="10114.916666666666"/>
    <n v="45641.649999999994"/>
    <n v="45789.616666666661"/>
  </r>
  <r>
    <x v="13"/>
    <s v="University of Texas at Dallas"/>
    <m/>
    <n v="228787"/>
    <x v="0"/>
    <s v="sem"/>
    <m/>
    <m/>
    <n v="0"/>
    <n v="170592"/>
    <n v="186475"/>
    <n v="24204"/>
    <n v="26794"/>
    <n v="200257"/>
    <n v="224237"/>
    <n v="395053"/>
    <n v="13168.433333333332"/>
    <n v="437506"/>
    <n v="14583.533333333333"/>
    <n v="0"/>
    <n v="0"/>
    <n v="395053"/>
    <n v="437506"/>
    <m/>
    <m/>
    <m/>
    <m/>
    <m/>
    <m/>
    <m/>
    <m/>
    <n v="0"/>
    <n v="0"/>
    <n v="0"/>
    <n v="0"/>
    <m/>
    <m/>
    <n v="0"/>
    <n v="0"/>
    <m/>
    <m/>
    <n v="65948"/>
    <n v="67850"/>
    <n v="20884"/>
    <n v="20636"/>
    <n v="70377"/>
    <n v="73750"/>
    <n v="157209"/>
    <n v="6550.375"/>
    <n v="162236"/>
    <n v="6759.833333333333"/>
    <n v="19718.808333333334"/>
    <n v="21343.366666666665"/>
  </r>
  <r>
    <x v="13"/>
    <s v="Texas Woman's University"/>
    <s v="Met the criteria for Four-Year 1 in 2016-17."/>
    <n v="229179"/>
    <x v="1"/>
    <s v="sem"/>
    <m/>
    <m/>
    <n v="0"/>
    <n v="98748"/>
    <n v="105136"/>
    <n v="22119"/>
    <n v="23000"/>
    <n v="113726"/>
    <n v="117017"/>
    <n v="234593"/>
    <n v="7819.7666666666664"/>
    <n v="245153"/>
    <n v="8171.7666666666664"/>
    <n v="4519"/>
    <n v="6687"/>
    <n v="234593"/>
    <n v="245153"/>
    <m/>
    <m/>
    <m/>
    <m/>
    <m/>
    <m/>
    <m/>
    <m/>
    <n v="0"/>
    <n v="0"/>
    <n v="0"/>
    <n v="0"/>
    <m/>
    <m/>
    <n v="0"/>
    <n v="0"/>
    <m/>
    <m/>
    <n v="34581"/>
    <n v="34416"/>
    <n v="23352"/>
    <n v="22668"/>
    <n v="35538"/>
    <n v="36248"/>
    <n v="93471"/>
    <n v="3894.625"/>
    <n v="93332"/>
    <n v="3888.8333333333335"/>
    <n v="11714.391666666666"/>
    <n v="12060.6"/>
  </r>
  <r>
    <x v="13"/>
    <s v="University of Texas at El Paso"/>
    <m/>
    <n v="228796"/>
    <x v="1"/>
    <s v="sem"/>
    <m/>
    <m/>
    <n v="0"/>
    <n v="205495"/>
    <n v="209768"/>
    <n v="54255"/>
    <n v="53057"/>
    <n v="221904"/>
    <n v="226067"/>
    <n v="481654"/>
    <n v="16055.133333333333"/>
    <n v="488892"/>
    <n v="16296.4"/>
    <n v="0"/>
    <n v="0"/>
    <n v="481654"/>
    <n v="488892"/>
    <m/>
    <m/>
    <m/>
    <m/>
    <m/>
    <m/>
    <m/>
    <m/>
    <n v="0"/>
    <n v="0"/>
    <n v="0"/>
    <n v="0"/>
    <m/>
    <m/>
    <n v="0"/>
    <n v="0"/>
    <m/>
    <m/>
    <n v="22378"/>
    <n v="23362"/>
    <n v="11899"/>
    <n v="12044"/>
    <n v="20290"/>
    <n v="20860"/>
    <n v="54567"/>
    <n v="2273.625"/>
    <n v="56266"/>
    <n v="2344.4166666666665"/>
    <n v="18328.758333333331"/>
    <n v="18640.816666666666"/>
  </r>
  <r>
    <x v="13"/>
    <s v="University of Texas at San Antonio"/>
    <s v="Reclassified: Met the criteria for Four-Year 1 in 2014-15, 2015-16, and 2016-17."/>
    <n v="229027"/>
    <x v="0"/>
    <s v="sem"/>
    <m/>
    <m/>
    <n v="0"/>
    <n v="261805"/>
    <n v="272411"/>
    <n v="46168"/>
    <n v="54903"/>
    <n v="303123"/>
    <n v="302061"/>
    <n v="611096"/>
    <n v="20369.866666666665"/>
    <n v="629375"/>
    <n v="20979.166666666668"/>
    <n v="117"/>
    <n v="87"/>
    <n v="611096"/>
    <n v="629375"/>
    <m/>
    <m/>
    <m/>
    <m/>
    <m/>
    <m/>
    <m/>
    <m/>
    <n v="0"/>
    <n v="0"/>
    <n v="0"/>
    <n v="0"/>
    <m/>
    <m/>
    <n v="0"/>
    <n v="0"/>
    <m/>
    <m/>
    <n v="27260"/>
    <n v="26454"/>
    <n v="10681"/>
    <n v="10932"/>
    <n v="28694"/>
    <n v="28941"/>
    <n v="66635"/>
    <n v="2776.4583333333335"/>
    <n v="66327"/>
    <n v="2763.625"/>
    <n v="23146.324999999997"/>
    <n v="23742.791666666668"/>
  </r>
  <r>
    <x v="13"/>
    <s v="Angelo State University"/>
    <m/>
    <n v="222831"/>
    <x v="2"/>
    <s v="sem"/>
    <m/>
    <m/>
    <n v="0"/>
    <n v="60364"/>
    <n v="70415"/>
    <n v="12627"/>
    <n v="13994"/>
    <n v="76236"/>
    <n v="87624"/>
    <n v="149227"/>
    <n v="4974.2333333333336"/>
    <n v="172033"/>
    <n v="5734.4333333333334"/>
    <n v="8599"/>
    <n v="20843"/>
    <n v="149227"/>
    <n v="172033"/>
    <m/>
    <m/>
    <m/>
    <m/>
    <m/>
    <m/>
    <m/>
    <m/>
    <n v="0"/>
    <n v="0"/>
    <n v="0"/>
    <n v="0"/>
    <m/>
    <m/>
    <n v="0"/>
    <n v="0"/>
    <m/>
    <m/>
    <n v="8234"/>
    <n v="10363"/>
    <n v="4462"/>
    <n v="7745"/>
    <n v="6536"/>
    <n v="8038"/>
    <n v="19232"/>
    <n v="801.33333333333337"/>
    <n v="26146"/>
    <n v="1089.4166666666667"/>
    <n v="5775.5666666666666"/>
    <n v="6823.85"/>
  </r>
  <r>
    <x v="13"/>
    <s v="Lamar University"/>
    <m/>
    <n v="226091"/>
    <x v="2"/>
    <s v="sem"/>
    <m/>
    <m/>
    <n v="0"/>
    <n v="95009"/>
    <n v="97413"/>
    <n v="26862"/>
    <n v="27186"/>
    <n v="98987"/>
    <n v="98858"/>
    <n v="220858"/>
    <n v="7361.9333333333334"/>
    <n v="223457"/>
    <n v="7448.5666666666666"/>
    <n v="1547"/>
    <n v="1953"/>
    <n v="220858"/>
    <n v="223457"/>
    <m/>
    <m/>
    <m/>
    <m/>
    <m/>
    <m/>
    <m/>
    <m/>
    <n v="0"/>
    <n v="0"/>
    <n v="0"/>
    <n v="0"/>
    <m/>
    <m/>
    <n v="0"/>
    <n v="0"/>
    <m/>
    <m/>
    <n v="46260"/>
    <n v="45322"/>
    <n v="47611"/>
    <n v="47624"/>
    <n v="24748"/>
    <n v="22550"/>
    <n v="118619"/>
    <n v="4942.458333333333"/>
    <n v="115496"/>
    <n v="4812.333333333333"/>
    <n v="12304.391666666666"/>
    <n v="12260.9"/>
  </r>
  <r>
    <x v="13"/>
    <s v="Midwestern State University"/>
    <m/>
    <n v="226833"/>
    <x v="2"/>
    <s v="sem"/>
    <m/>
    <m/>
    <n v="0"/>
    <n v="55615"/>
    <n v="56885"/>
    <n v="11510"/>
    <n v="11681"/>
    <n v="61160"/>
    <n v="60782"/>
    <n v="128285"/>
    <n v="4276.166666666667"/>
    <n v="129348"/>
    <n v="4311.6000000000004"/>
    <n v="70"/>
    <n v="127"/>
    <n v="128285"/>
    <n v="129348"/>
    <m/>
    <m/>
    <m/>
    <m/>
    <m/>
    <m/>
    <m/>
    <m/>
    <n v="0"/>
    <n v="0"/>
    <n v="0"/>
    <n v="0"/>
    <m/>
    <m/>
    <n v="0"/>
    <n v="0"/>
    <m/>
    <m/>
    <n v="3649"/>
    <n v="4141"/>
    <n v="2130"/>
    <n v="2225"/>
    <n v="3880"/>
    <n v="3794"/>
    <n v="9659"/>
    <n v="402.45833333333331"/>
    <n v="10160"/>
    <n v="423.33333333333331"/>
    <n v="4678.625"/>
    <n v="4734.9333333333334"/>
  </r>
  <r>
    <x v="13"/>
    <s v="Prairie View A&amp;M University"/>
    <m/>
    <n v="227526"/>
    <x v="2"/>
    <s v="sem"/>
    <m/>
    <m/>
    <n v="0"/>
    <n v="84837"/>
    <n v="84922"/>
    <n v="14222"/>
    <n v="15146"/>
    <n v="92084"/>
    <n v="99310"/>
    <n v="191143"/>
    <n v="6371.4333333333334"/>
    <n v="199378"/>
    <n v="6645.9333333333334"/>
    <n v="0"/>
    <n v="0"/>
    <n v="191143"/>
    <n v="199378"/>
    <m/>
    <m/>
    <m/>
    <m/>
    <m/>
    <m/>
    <m/>
    <m/>
    <n v="0"/>
    <n v="0"/>
    <n v="0"/>
    <n v="0"/>
    <m/>
    <m/>
    <n v="0"/>
    <n v="0"/>
    <m/>
    <m/>
    <n v="9812"/>
    <n v="9406"/>
    <n v="4564"/>
    <n v="4701"/>
    <n v="8940"/>
    <n v="9125"/>
    <n v="23316"/>
    <n v="971.5"/>
    <n v="23232"/>
    <n v="968"/>
    <n v="7342.9333333333334"/>
    <n v="7613.9333333333334"/>
  </r>
  <r>
    <x v="13"/>
    <s v="Sam Houston State University "/>
    <m/>
    <n v="227881"/>
    <x v="2"/>
    <s v="sem"/>
    <m/>
    <m/>
    <n v="0"/>
    <n v="195411"/>
    <n v="202816"/>
    <n v="41247"/>
    <n v="41798"/>
    <n v="218326"/>
    <n v="224678"/>
    <n v="454984"/>
    <n v="15166.133333333333"/>
    <n v="469292"/>
    <n v="15643.066666666668"/>
    <n v="0"/>
    <n v="0"/>
    <n v="454984"/>
    <n v="469292"/>
    <m/>
    <m/>
    <m/>
    <m/>
    <m/>
    <m/>
    <m/>
    <m/>
    <n v="0"/>
    <n v="0"/>
    <n v="0"/>
    <n v="0"/>
    <m/>
    <m/>
    <n v="0"/>
    <n v="0"/>
    <m/>
    <m/>
    <n v="15565"/>
    <n v="15295"/>
    <n v="10378"/>
    <n v="9274"/>
    <n v="15828"/>
    <n v="15441"/>
    <n v="41771"/>
    <n v="1740.4583333333333"/>
    <n v="40010"/>
    <n v="1667.0833333333333"/>
    <n v="16906.591666666667"/>
    <n v="17310.150000000001"/>
  </r>
  <r>
    <x v="13"/>
    <s v="Stephen F. Austin State University"/>
    <m/>
    <n v="228431"/>
    <x v="2"/>
    <s v="sem"/>
    <m/>
    <m/>
    <n v="0"/>
    <n v="124227"/>
    <n v="124183"/>
    <n v="24581"/>
    <n v="24603"/>
    <n v="136325"/>
    <n v="139217"/>
    <n v="285133"/>
    <n v="9504.4333333333325"/>
    <n v="288003"/>
    <n v="9600.1"/>
    <n v="3064"/>
    <n v="3153"/>
    <n v="285133"/>
    <n v="288003"/>
    <m/>
    <m/>
    <m/>
    <m/>
    <m/>
    <m/>
    <m/>
    <m/>
    <n v="0"/>
    <n v="0"/>
    <n v="0"/>
    <n v="0"/>
    <m/>
    <m/>
    <n v="0"/>
    <n v="0"/>
    <m/>
    <m/>
    <n v="10072"/>
    <n v="10619"/>
    <n v="7777"/>
    <n v="7844"/>
    <n v="10674"/>
    <n v="10750"/>
    <n v="28523"/>
    <n v="1188.4583333333333"/>
    <n v="29213"/>
    <n v="1217.2083333333333"/>
    <n v="10692.891666666666"/>
    <n v="10817.308333333334"/>
  </r>
  <r>
    <x v="13"/>
    <s v="Sul Ross State University "/>
    <m/>
    <n v="228501"/>
    <x v="2"/>
    <s v="sem"/>
    <m/>
    <m/>
    <n v="0"/>
    <n v="14245"/>
    <n v="14343"/>
    <n v="2710"/>
    <n v="2873"/>
    <n v="16422"/>
    <n v="17443"/>
    <n v="33377"/>
    <n v="1112.5666666666666"/>
    <n v="34659"/>
    <n v="1155.3"/>
    <n v="1048"/>
    <n v="1056"/>
    <n v="33377"/>
    <n v="34659"/>
    <m/>
    <m/>
    <m/>
    <m/>
    <m/>
    <m/>
    <m/>
    <m/>
    <n v="0"/>
    <n v="0"/>
    <n v="0"/>
    <n v="0"/>
    <m/>
    <m/>
    <n v="0"/>
    <n v="0"/>
    <m/>
    <m/>
    <n v="3526"/>
    <n v="3782"/>
    <n v="3007"/>
    <n v="3121"/>
    <n v="3541"/>
    <n v="3664"/>
    <n v="10074"/>
    <n v="419.75"/>
    <n v="10567"/>
    <n v="440.29166666666669"/>
    <n v="1532.3166666666666"/>
    <n v="1595.5916666666667"/>
  </r>
  <r>
    <x v="13"/>
    <s v="Tarleton State University"/>
    <m/>
    <n v="228529"/>
    <x v="2"/>
    <s v="sem"/>
    <m/>
    <m/>
    <n v="0"/>
    <n v="113621"/>
    <n v="119710"/>
    <n v="25735"/>
    <n v="28081"/>
    <n v="129140"/>
    <n v="136677"/>
    <n v="268496"/>
    <n v="8949.8666666666668"/>
    <n v="284468"/>
    <n v="9482.2666666666664"/>
    <n v="0"/>
    <n v="0"/>
    <n v="268496"/>
    <n v="284468"/>
    <m/>
    <m/>
    <m/>
    <m/>
    <m/>
    <m/>
    <m/>
    <m/>
    <n v="0"/>
    <n v="0"/>
    <n v="0"/>
    <n v="0"/>
    <m/>
    <m/>
    <n v="0"/>
    <n v="0"/>
    <m/>
    <m/>
    <n v="8943"/>
    <n v="8934"/>
    <n v="6076"/>
    <n v="5697"/>
    <n v="9176"/>
    <n v="9307"/>
    <n v="24195"/>
    <n v="1008.125"/>
    <n v="23938"/>
    <n v="997.41666666666663"/>
    <n v="9957.9916666666668"/>
    <n v="10479.683333333332"/>
  </r>
  <r>
    <x v="13"/>
    <s v="Texas A&amp;M International University"/>
    <m/>
    <n v="226152"/>
    <x v="2"/>
    <s v="sem"/>
    <m/>
    <m/>
    <n v="0"/>
    <n v="65958"/>
    <n v="64924"/>
    <n v="13590"/>
    <n v="18813"/>
    <n v="72854"/>
    <n v="77046"/>
    <n v="152402"/>
    <n v="5080.0666666666666"/>
    <n v="160783"/>
    <n v="5359.4333333333334"/>
    <n v="9991"/>
    <n v="10733"/>
    <n v="152402"/>
    <n v="160783"/>
    <m/>
    <m/>
    <m/>
    <m/>
    <m/>
    <m/>
    <m/>
    <m/>
    <n v="0"/>
    <n v="0"/>
    <n v="0"/>
    <n v="0"/>
    <m/>
    <m/>
    <n v="0"/>
    <n v="0"/>
    <m/>
    <m/>
    <n v="5178"/>
    <n v="790"/>
    <n v="3293"/>
    <n v="7672"/>
    <n v="5242"/>
    <n v="4773"/>
    <n v="13713"/>
    <n v="571.375"/>
    <n v="13235"/>
    <n v="551.45833333333337"/>
    <n v="5651.4416666666666"/>
    <n v="5910.8916666666664"/>
  </r>
  <r>
    <x v="13"/>
    <s v="Texas A&amp;M University-Commerce"/>
    <m/>
    <n v="224554"/>
    <x v="2"/>
    <s v="sem"/>
    <m/>
    <m/>
    <n v="0"/>
    <n v="77628"/>
    <n v="78842"/>
    <n v="16537"/>
    <n v="20360"/>
    <n v="87259"/>
    <n v="87542"/>
    <n v="181424"/>
    <n v="6047.4666666666662"/>
    <n v="186744"/>
    <n v="6224.8"/>
    <n v="2886"/>
    <n v="3769"/>
    <n v="181424"/>
    <n v="186744"/>
    <m/>
    <m/>
    <m/>
    <m/>
    <m/>
    <m/>
    <m/>
    <m/>
    <n v="0"/>
    <n v="0"/>
    <n v="0"/>
    <n v="0"/>
    <m/>
    <m/>
    <n v="0"/>
    <n v="0"/>
    <m/>
    <m/>
    <n v="31329"/>
    <n v="25349"/>
    <n v="20652"/>
    <n v="27474"/>
    <n v="31006"/>
    <n v="29573"/>
    <n v="82987"/>
    <n v="3457.7916666666665"/>
    <n v="82396"/>
    <n v="3433.1666666666665"/>
    <n v="9505.2583333333332"/>
    <n v="9657.9666666666672"/>
  </r>
  <r>
    <x v="13"/>
    <s v="Texas A&amp;M University-Corpus Christi "/>
    <m/>
    <n v="224147"/>
    <x v="2"/>
    <s v="sem"/>
    <m/>
    <m/>
    <n v="0"/>
    <n v="101328"/>
    <n v="104704"/>
    <n v="22664"/>
    <n v="23574"/>
    <n v="113195"/>
    <n v="110375"/>
    <n v="237187"/>
    <n v="7906.2333333333336"/>
    <n v="238653"/>
    <n v="7955.1"/>
    <n v="957"/>
    <n v="0"/>
    <n v="237187"/>
    <n v="238653"/>
    <m/>
    <m/>
    <m/>
    <m/>
    <m/>
    <m/>
    <m/>
    <m/>
    <n v="0"/>
    <n v="0"/>
    <n v="0"/>
    <n v="0"/>
    <m/>
    <m/>
    <n v="0"/>
    <n v="0"/>
    <m/>
    <m/>
    <n v="11719"/>
    <n v="11960"/>
    <n v="7591"/>
    <n v="8762"/>
    <n v="11030"/>
    <n v="11887"/>
    <n v="30340"/>
    <n v="1264.1666666666667"/>
    <n v="32609"/>
    <n v="1358.7083333333333"/>
    <n v="9170.4"/>
    <n v="9313.8083333333343"/>
  </r>
  <r>
    <x v="13"/>
    <s v="Texas A&amp;M University-Kingsville"/>
    <m/>
    <n v="228705"/>
    <x v="2"/>
    <s v="sem"/>
    <m/>
    <m/>
    <n v="0"/>
    <n v="68966"/>
    <n v="72827"/>
    <n v="10936"/>
    <n v="11121"/>
    <n v="78870"/>
    <n v="80491"/>
    <n v="158772"/>
    <n v="5292.4"/>
    <n v="164439"/>
    <n v="5481.3"/>
    <n v="10481"/>
    <n v="11349"/>
    <n v="158772"/>
    <n v="164439"/>
    <m/>
    <m/>
    <m/>
    <m/>
    <m/>
    <m/>
    <m/>
    <m/>
    <n v="0"/>
    <n v="0"/>
    <n v="0"/>
    <n v="0"/>
    <m/>
    <m/>
    <n v="0"/>
    <n v="0"/>
    <m/>
    <m/>
    <n v="19453"/>
    <n v="20413"/>
    <n v="13314"/>
    <n v="13431"/>
    <n v="20638"/>
    <n v="19392"/>
    <n v="53405"/>
    <n v="2225.2083333333335"/>
    <n v="53236"/>
    <n v="2218.1666666666665"/>
    <n v="7517.6083333333336"/>
    <n v="7699.4666666666672"/>
  </r>
  <r>
    <x v="13"/>
    <s v="Texas Southern University "/>
    <s v="Met the criteria for Four-Year 2 in 2016-17."/>
    <n v="229063"/>
    <x v="2"/>
    <s v="sem"/>
    <m/>
    <m/>
    <n v="0"/>
    <n v="77417"/>
    <n v="78554"/>
    <n v="9683"/>
    <n v="9620"/>
    <n v="91511"/>
    <n v="89281"/>
    <n v="178611"/>
    <n v="5953.7"/>
    <n v="177455"/>
    <n v="5915.166666666667"/>
    <n v="102"/>
    <n v="0"/>
    <n v="178611"/>
    <n v="177455"/>
    <m/>
    <m/>
    <m/>
    <m/>
    <m/>
    <m/>
    <m/>
    <m/>
    <n v="0"/>
    <n v="0"/>
    <n v="0"/>
    <n v="0"/>
    <m/>
    <m/>
    <n v="0"/>
    <n v="0"/>
    <m/>
    <m/>
    <n v="22523"/>
    <n v="22872"/>
    <n v="4771"/>
    <n v="5103"/>
    <n v="23483"/>
    <n v="23891"/>
    <n v="50777"/>
    <n v="2115.7083333333335"/>
    <n v="51866"/>
    <n v="2161.0833333333335"/>
    <n v="8069.4083333333328"/>
    <n v="8076.25"/>
  </r>
  <r>
    <x v="13"/>
    <s v="Texas State University"/>
    <s v="Reclassified: Met the criteria for Four-Year 2 in 2014-15, 2015-16, and 2016-17."/>
    <n v="228459"/>
    <x v="1"/>
    <s v="sem"/>
    <m/>
    <m/>
    <n v="0"/>
    <n v="364827"/>
    <n v="379492"/>
    <n v="61323"/>
    <n v="63923"/>
    <n v="415617"/>
    <n v="425169"/>
    <n v="841767"/>
    <n v="28058.9"/>
    <n v="868584"/>
    <n v="28952.799999999999"/>
    <n v="0"/>
    <n v="0"/>
    <n v="841767"/>
    <n v="868584"/>
    <m/>
    <m/>
    <m/>
    <m/>
    <m/>
    <m/>
    <m/>
    <m/>
    <n v="0"/>
    <n v="0"/>
    <n v="0"/>
    <n v="0"/>
    <m/>
    <m/>
    <n v="0"/>
    <n v="0"/>
    <m/>
    <m/>
    <n v="29707"/>
    <n v="29472"/>
    <n v="12209"/>
    <n v="12298"/>
    <n v="31420"/>
    <n v="32206"/>
    <n v="73336"/>
    <n v="3055.6666666666665"/>
    <n v="73976"/>
    <n v="3082.3333333333335"/>
    <n v="31114.566666666669"/>
    <n v="32035.133333333331"/>
  </r>
  <r>
    <x v="13"/>
    <s v="University of Houston-Clear Lake "/>
    <m/>
    <n v="225414"/>
    <x v="2"/>
    <s v="sem"/>
    <m/>
    <m/>
    <n v="0"/>
    <n v="48929"/>
    <n v="51981"/>
    <n v="13306"/>
    <n v="15018"/>
    <n v="54490"/>
    <n v="56530"/>
    <n v="116725"/>
    <n v="3890.8333333333335"/>
    <n v="123529"/>
    <n v="4117.6333333333332"/>
    <n v="0"/>
    <n v="0"/>
    <n v="116725"/>
    <n v="123529"/>
    <m/>
    <m/>
    <m/>
    <m/>
    <m/>
    <m/>
    <m/>
    <m/>
    <n v="0"/>
    <n v="0"/>
    <n v="0"/>
    <n v="0"/>
    <m/>
    <m/>
    <n v="0"/>
    <n v="0"/>
    <m/>
    <m/>
    <n v="23066"/>
    <n v="22208"/>
    <n v="10402"/>
    <n v="9580"/>
    <n v="23888"/>
    <n v="20633"/>
    <n v="57356"/>
    <n v="2389.8333333333335"/>
    <n v="52421"/>
    <n v="2184.2083333333335"/>
    <n v="6280.666666666667"/>
    <n v="6301.8416666666672"/>
  </r>
  <r>
    <x v="13"/>
    <s v="University of Texas - Rio Grande Valley"/>
    <m/>
    <n v="227368"/>
    <x v="2"/>
    <s v="sem"/>
    <m/>
    <m/>
    <n v="0"/>
    <n v="273257"/>
    <n v="266157"/>
    <n v="78120"/>
    <n v="64392"/>
    <n v="286363"/>
    <n v="288092"/>
    <n v="637740"/>
    <n v="21258"/>
    <n v="618641"/>
    <n v="20621.366666666665"/>
    <n v="11448"/>
    <n v="13779"/>
    <n v="637740"/>
    <n v="618641"/>
    <m/>
    <m/>
    <m/>
    <m/>
    <m/>
    <m/>
    <m/>
    <m/>
    <n v="0"/>
    <n v="0"/>
    <n v="0"/>
    <n v="0"/>
    <m/>
    <m/>
    <n v="0"/>
    <n v="0"/>
    <m/>
    <m/>
    <n v="26271"/>
    <n v="23798"/>
    <n v="18653"/>
    <n v="15069"/>
    <n v="24931"/>
    <n v="20673"/>
    <n v="69855"/>
    <n v="2910.625"/>
    <n v="59540"/>
    <n v="2480.8333333333335"/>
    <n v="24168.625"/>
    <n v="23102.199999999997"/>
  </r>
  <r>
    <x v="13"/>
    <s v="University of Texas at Tyler"/>
    <m/>
    <n v="228802"/>
    <x v="2"/>
    <s v="sem"/>
    <m/>
    <m/>
    <n v="0"/>
    <n v="63918"/>
    <n v="68182"/>
    <n v="12981"/>
    <n v="13877"/>
    <n v="72898"/>
    <n v="78872"/>
    <n v="149797"/>
    <n v="4993.2333333333336"/>
    <n v="160931"/>
    <n v="5364.3666666666668"/>
    <n v="1378"/>
    <n v="3507"/>
    <n v="149797"/>
    <n v="160931"/>
    <m/>
    <m/>
    <m/>
    <m/>
    <m/>
    <m/>
    <m/>
    <m/>
    <n v="0"/>
    <n v="0"/>
    <n v="0"/>
    <n v="0"/>
    <m/>
    <m/>
    <n v="0"/>
    <n v="0"/>
    <m/>
    <m/>
    <n v="13953"/>
    <n v="14473"/>
    <n v="11397"/>
    <n v="12216"/>
    <n v="13502"/>
    <n v="14419"/>
    <n v="38852"/>
    <n v="1618.8333333333333"/>
    <n v="41108"/>
    <n v="1712.8333333333333"/>
    <n v="6612.0666666666666"/>
    <n v="7077.2"/>
  </r>
  <r>
    <x v="13"/>
    <s v="University of Texas of the Permian Basin"/>
    <m/>
    <n v="229018"/>
    <x v="2"/>
    <s v="sem"/>
    <m/>
    <m/>
    <n v="0"/>
    <n v="44272"/>
    <n v="48570"/>
    <n v="16192"/>
    <n v="14218"/>
    <n v="45547"/>
    <n v="51882"/>
    <n v="106011"/>
    <n v="3533.7"/>
    <n v="114670"/>
    <n v="3822.3333333333335"/>
    <n v="11981"/>
    <n v="15910"/>
    <n v="106011"/>
    <n v="114670"/>
    <m/>
    <m/>
    <m/>
    <m/>
    <m/>
    <m/>
    <m/>
    <m/>
    <n v="0"/>
    <n v="0"/>
    <n v="0"/>
    <n v="0"/>
    <m/>
    <m/>
    <n v="0"/>
    <n v="0"/>
    <m/>
    <m/>
    <n v="3889"/>
    <n v="4224"/>
    <n v="3864"/>
    <n v="3123"/>
    <n v="2920"/>
    <n v="4089"/>
    <n v="10673"/>
    <n v="444.70833333333331"/>
    <n v="11436"/>
    <n v="476.5"/>
    <n v="3978.4083333333333"/>
    <n v="4298.8333333333339"/>
  </r>
  <r>
    <x v="13"/>
    <s v="West Texas A&amp;M University"/>
    <m/>
    <n v="229814"/>
    <x v="2"/>
    <s v="sem"/>
    <m/>
    <m/>
    <n v="0"/>
    <n v="81349"/>
    <n v="84786"/>
    <n v="12960"/>
    <n v="13154"/>
    <n v="92135"/>
    <n v="92879"/>
    <n v="186444"/>
    <n v="6214.8"/>
    <n v="190819"/>
    <n v="6360.6333333333332"/>
    <n v="0"/>
    <n v="0"/>
    <n v="186444"/>
    <n v="190819"/>
    <m/>
    <m/>
    <m/>
    <m/>
    <m/>
    <m/>
    <m/>
    <m/>
    <n v="0"/>
    <n v="0"/>
    <n v="0"/>
    <n v="0"/>
    <m/>
    <m/>
    <n v="0"/>
    <n v="0"/>
    <m/>
    <m/>
    <n v="11925"/>
    <n v="13936"/>
    <n v="7615"/>
    <n v="8562"/>
    <n v="12942"/>
    <n v="14119"/>
    <n v="32482"/>
    <n v="1353.4166666666667"/>
    <n v="36617"/>
    <n v="1525.7083333333333"/>
    <n v="7568.2166666666672"/>
    <n v="7886.3416666666662"/>
  </r>
  <r>
    <x v="13"/>
    <s v="Texas A &amp; M University - Central Texas"/>
    <m/>
    <n v="483036"/>
    <x v="3"/>
    <s v="sem"/>
    <m/>
    <m/>
    <n v="0"/>
    <n v="16280"/>
    <n v="16382"/>
    <n v="8415"/>
    <n v="9392"/>
    <n v="14870"/>
    <n v="15931"/>
    <n v="39565"/>
    <n v="1318.8333333333333"/>
    <n v="41705"/>
    <n v="1390.1666666666667"/>
    <n v="0"/>
    <n v="0"/>
    <n v="39565"/>
    <n v="41705"/>
    <m/>
    <m/>
    <m/>
    <m/>
    <m/>
    <m/>
    <m/>
    <m/>
    <n v="0"/>
    <n v="0"/>
    <n v="0"/>
    <n v="0"/>
    <m/>
    <m/>
    <n v="0"/>
    <n v="0"/>
    <m/>
    <m/>
    <n v="3737"/>
    <n v="3770"/>
    <n v="2946"/>
    <n v="2880"/>
    <n v="3620"/>
    <n v="3567"/>
    <n v="10303"/>
    <n v="429.29166666666669"/>
    <n v="10217"/>
    <n v="425.70833333333331"/>
    <n v="1748.125"/>
    <n v="1815.875"/>
  </r>
  <r>
    <x v="13"/>
    <s v="Texas A&amp;M -Texarkana"/>
    <m/>
    <n v="224545"/>
    <x v="3"/>
    <s v="sem"/>
    <m/>
    <m/>
    <n v="0"/>
    <n v="14364"/>
    <n v="14991"/>
    <n v="3853"/>
    <n v="5081"/>
    <n v="15300"/>
    <n v="17301"/>
    <n v="33517"/>
    <n v="1117.2333333333333"/>
    <n v="37373"/>
    <n v="1245.7666666666667"/>
    <n v="0"/>
    <n v="0"/>
    <n v="33517"/>
    <n v="37373"/>
    <m/>
    <m/>
    <m/>
    <m/>
    <m/>
    <m/>
    <m/>
    <m/>
    <n v="0"/>
    <n v="0"/>
    <n v="0"/>
    <n v="0"/>
    <m/>
    <m/>
    <n v="0"/>
    <n v="0"/>
    <m/>
    <m/>
    <n v="2499"/>
    <n v="2268"/>
    <n v="1530"/>
    <n v="1869"/>
    <n v="2245"/>
    <n v="2260"/>
    <n v="6274"/>
    <n v="261.41666666666669"/>
    <n v="6397"/>
    <n v="266.54166666666669"/>
    <n v="1378.65"/>
    <n v="1512.3083333333334"/>
  </r>
  <r>
    <x v="13"/>
    <s v="University of Houston-Victoria"/>
    <m/>
    <n v="225502"/>
    <x v="3"/>
    <s v="sem"/>
    <m/>
    <m/>
    <n v="0"/>
    <n v="29113"/>
    <n v="27663"/>
    <n v="9353"/>
    <n v="8362"/>
    <n v="29500"/>
    <n v="29995"/>
    <n v="67966"/>
    <n v="2265.5333333333333"/>
    <n v="66020"/>
    <n v="2200.6666666666665"/>
    <n v="0"/>
    <n v="39"/>
    <n v="67966"/>
    <n v="66020"/>
    <m/>
    <m/>
    <m/>
    <m/>
    <m/>
    <m/>
    <m/>
    <m/>
    <n v="0"/>
    <n v="0"/>
    <n v="0"/>
    <n v="0"/>
    <m/>
    <m/>
    <n v="0"/>
    <n v="0"/>
    <m/>
    <m/>
    <n v="7707"/>
    <n v="6789"/>
    <n v="3936"/>
    <n v="3699"/>
    <n v="7278"/>
    <n v="7271"/>
    <n v="18921"/>
    <n v="788.375"/>
    <n v="17759"/>
    <n v="739.95833333333337"/>
    <n v="3053.9083333333333"/>
    <n v="2940.625"/>
  </r>
  <r>
    <x v="13"/>
    <s v="Sul Ross State University-Rio Grande College"/>
    <m/>
    <s v="228501B"/>
    <x v="4"/>
    <s v="sem"/>
    <m/>
    <m/>
    <n v="0"/>
    <n v="5742"/>
    <n v="5839"/>
    <n v="3054"/>
    <n v="3417"/>
    <n v="6137"/>
    <n v="6449"/>
    <n v="14933"/>
    <n v="497.76666666666665"/>
    <n v="15705"/>
    <n v="523.5"/>
    <n v="0"/>
    <n v="0"/>
    <n v="14933"/>
    <n v="15705"/>
    <m/>
    <m/>
    <m/>
    <m/>
    <m/>
    <m/>
    <m/>
    <m/>
    <n v="0"/>
    <n v="0"/>
    <n v="0"/>
    <n v="0"/>
    <m/>
    <m/>
    <n v="0"/>
    <n v="0"/>
    <m/>
    <m/>
    <n v="1113"/>
    <n v="861"/>
    <n v="747"/>
    <n v="729"/>
    <n v="807"/>
    <n v="771"/>
    <n v="2667"/>
    <n v="111.125"/>
    <n v="2361"/>
    <n v="98.375"/>
    <n v="608.89166666666665"/>
    <n v="621.875"/>
  </r>
  <r>
    <x v="13"/>
    <s v="Texas A &amp; M University - San Antonio"/>
    <m/>
    <n v="870501"/>
    <x v="4"/>
    <s v="sem"/>
    <m/>
    <m/>
    <n v="0"/>
    <n v="30102"/>
    <n v="32508"/>
    <n v="9204"/>
    <n v="10259"/>
    <n v="33293"/>
    <n v="45452"/>
    <n v="72599"/>
    <n v="2419.9666666666667"/>
    <n v="88219"/>
    <n v="2940.6333333333332"/>
    <n v="0"/>
    <n v="0"/>
    <n v="72599"/>
    <n v="88219"/>
    <m/>
    <m/>
    <m/>
    <m/>
    <m/>
    <m/>
    <m/>
    <m/>
    <n v="0"/>
    <n v="0"/>
    <n v="0"/>
    <n v="0"/>
    <m/>
    <m/>
    <n v="0"/>
    <n v="0"/>
    <m/>
    <m/>
    <n v="6073"/>
    <n v="5101"/>
    <n v="2871"/>
    <n v="2513"/>
    <n v="5892"/>
    <n v="5556"/>
    <n v="14836"/>
    <n v="618.16666666666663"/>
    <n v="13170"/>
    <n v="548.75"/>
    <n v="3038.1333333333332"/>
    <n v="3489.3833333333332"/>
  </r>
  <r>
    <x v="13"/>
    <s v="University of Houston-Downtown"/>
    <m/>
    <n v="225432"/>
    <x v="4"/>
    <s v="sem"/>
    <m/>
    <m/>
    <n v="0"/>
    <n v="119835"/>
    <n v="111357"/>
    <n v="30859"/>
    <n v="30926"/>
    <n v="121104"/>
    <n v="117070"/>
    <n v="271798"/>
    <n v="9059.9333333333325"/>
    <n v="259353"/>
    <n v="8645.1"/>
    <n v="841"/>
    <n v="539"/>
    <n v="271798"/>
    <n v="259353"/>
    <m/>
    <m/>
    <m/>
    <m/>
    <m/>
    <m/>
    <m/>
    <m/>
    <n v="0"/>
    <n v="0"/>
    <n v="0"/>
    <n v="0"/>
    <m/>
    <m/>
    <n v="0"/>
    <n v="0"/>
    <m/>
    <m/>
    <n v="4311"/>
    <n v="8106"/>
    <n v="3814"/>
    <n v="7997"/>
    <n v="4578"/>
    <n v="6201"/>
    <n v="12703"/>
    <n v="529.29166666666663"/>
    <n v="22304"/>
    <n v="929.33333333333337"/>
    <n v="9589.2249999999985"/>
    <n v="9574.4333333333343"/>
  </r>
  <r>
    <x v="13"/>
    <s v="Texas A&amp;M University at Galveston"/>
    <s v="Reclassified: Met the criteria for Four-Year 5 in 2014-15, 2015-16, and 2016-17."/>
    <n v="228714"/>
    <x v="4"/>
    <s v="sem"/>
    <m/>
    <m/>
    <n v="0"/>
    <n v="27892"/>
    <n v="27180"/>
    <n v="4984"/>
    <n v="4756"/>
    <n v="29566"/>
    <n v="30305"/>
    <n v="62442"/>
    <n v="2081.4"/>
    <n v="62241"/>
    <n v="2074.6999999999998"/>
    <n v="0"/>
    <n v="0"/>
    <n v="62442"/>
    <n v="62241"/>
    <m/>
    <m/>
    <m/>
    <m/>
    <m/>
    <m/>
    <m/>
    <m/>
    <n v="0"/>
    <n v="0"/>
    <n v="0"/>
    <n v="0"/>
    <m/>
    <m/>
    <n v="0"/>
    <n v="0"/>
    <m/>
    <m/>
    <n v="956"/>
    <n v="1144"/>
    <n v="248"/>
    <n v="272"/>
    <n v="1006"/>
    <n v="1214"/>
    <n v="2210"/>
    <n v="92.083333333333329"/>
    <n v="2630"/>
    <n v="109.58333333333333"/>
    <n v="2173.4833333333336"/>
    <n v="2184.2833333333333"/>
  </r>
  <r>
    <x v="13"/>
    <s v="Brazosport College "/>
    <m/>
    <n v="223506"/>
    <x v="11"/>
    <s v="sem"/>
    <m/>
    <n v="29871"/>
    <n v="30118"/>
    <n v="10028"/>
    <n v="11638"/>
    <n v="3968"/>
    <n v="3123"/>
    <n v="30818"/>
    <n v="31306"/>
    <n v="74685"/>
    <n v="2489.5"/>
    <n v="76185"/>
    <n v="2539.5"/>
    <n v="11058"/>
    <n v="11885"/>
    <n v="74685"/>
    <n v="76185"/>
    <n v="7034"/>
    <n v="6046"/>
    <n v="9257"/>
    <n v="7332"/>
    <n v="5883"/>
    <n v="6205"/>
    <n v="7615"/>
    <n v="2726"/>
    <n v="29789"/>
    <n v="33.098888888888887"/>
    <n v="22309"/>
    <n v="24.787777777777777"/>
    <m/>
    <m/>
    <n v="0"/>
    <n v="22309"/>
    <m/>
    <m/>
    <m/>
    <m/>
    <m/>
    <m/>
    <m/>
    <m/>
    <n v="0"/>
    <n v="0"/>
    <n v="0"/>
    <n v="0"/>
    <n v="2522.5988888888887"/>
    <n v="2564.2877777777776"/>
  </r>
  <r>
    <x v="13"/>
    <s v="Midland College "/>
    <m/>
    <n v="226806"/>
    <x v="11"/>
    <s v="sem"/>
    <m/>
    <n v="42765"/>
    <n v="46467"/>
    <n v="13035"/>
    <n v="13794"/>
    <n v="9233"/>
    <n v="9039"/>
    <n v="42475"/>
    <n v="44376"/>
    <n v="107508"/>
    <n v="3583.6"/>
    <n v="113676"/>
    <n v="3789.2"/>
    <n v="10716"/>
    <n v="10576"/>
    <n v="107508"/>
    <n v="113676"/>
    <n v="47429"/>
    <n v="54748"/>
    <n v="40021"/>
    <n v="39356"/>
    <n v="55056"/>
    <n v="51307"/>
    <n v="49700"/>
    <n v="27274"/>
    <n v="192206"/>
    <n v="213.56222222222223"/>
    <n v="172685"/>
    <n v="191.87222222222223"/>
    <m/>
    <m/>
    <n v="0"/>
    <n v="172685"/>
    <m/>
    <m/>
    <m/>
    <m/>
    <m/>
    <m/>
    <m/>
    <m/>
    <n v="0"/>
    <n v="0"/>
    <n v="0"/>
    <n v="0"/>
    <n v="3797.1622222222222"/>
    <n v="3981.0722222222221"/>
  </r>
  <r>
    <x v="13"/>
    <s v="South Texas College"/>
    <m/>
    <n v="409315"/>
    <x v="11"/>
    <s v="sem"/>
    <m/>
    <n v="247175"/>
    <n v="271347"/>
    <n v="48822"/>
    <n v="54262"/>
    <n v="35647"/>
    <n v="33488"/>
    <n v="271880"/>
    <n v="269789"/>
    <n v="603524"/>
    <n v="20117.466666666667"/>
    <n v="628886"/>
    <n v="20962.866666666665"/>
    <n v="183431"/>
    <n v="197977"/>
    <n v="603524"/>
    <n v="628886"/>
    <n v="136782"/>
    <n v="44476"/>
    <n v="102854"/>
    <n v="47067"/>
    <n v="102282"/>
    <n v="45462"/>
    <n v="431892"/>
    <n v="62601"/>
    <n v="773810"/>
    <n v="859.78888888888889"/>
    <n v="199606"/>
    <n v="221.78444444444443"/>
    <m/>
    <m/>
    <n v="0"/>
    <n v="199606"/>
    <m/>
    <m/>
    <m/>
    <m/>
    <m/>
    <m/>
    <m/>
    <m/>
    <n v="0"/>
    <n v="0"/>
    <n v="0"/>
    <n v="0"/>
    <n v="20977.255555555555"/>
    <n v="21184.65111111111"/>
  </r>
  <r>
    <x v="13"/>
    <s v="Amarillo College "/>
    <m/>
    <n v="222576"/>
    <x v="6"/>
    <s v="sem"/>
    <m/>
    <n v="77487"/>
    <n v="69673"/>
    <n v="20982"/>
    <n v="29805"/>
    <n v="0"/>
    <n v="0"/>
    <n v="73768"/>
    <n v="62519"/>
    <n v="172237"/>
    <n v="5741.2333333333336"/>
    <n v="161997"/>
    <n v="5399.9"/>
    <n v="23204"/>
    <n v="24867"/>
    <n v="172237"/>
    <n v="161997"/>
    <n v="92533"/>
    <n v="115509"/>
    <n v="132243"/>
    <n v="123880"/>
    <n v="108166"/>
    <n v="104718"/>
    <n v="131129"/>
    <n v="100288"/>
    <n v="464071"/>
    <n v="515.6344444444444"/>
    <n v="444395"/>
    <n v="493.77222222222224"/>
    <m/>
    <m/>
    <n v="0"/>
    <n v="444395"/>
    <m/>
    <m/>
    <m/>
    <m/>
    <m/>
    <m/>
    <m/>
    <m/>
    <n v="0"/>
    <n v="0"/>
    <n v="0"/>
    <n v="0"/>
    <n v="6256.8677777777775"/>
    <n v="5893.6722222222215"/>
  </r>
  <r>
    <x v="13"/>
    <s v="Austin Community College "/>
    <m/>
    <n v="222992"/>
    <x v="6"/>
    <s v="sem"/>
    <m/>
    <n v="298769"/>
    <n v="292536"/>
    <n v="156806"/>
    <n v="150022"/>
    <n v="0"/>
    <n v="0"/>
    <n v="279347"/>
    <n v="279501"/>
    <n v="734922"/>
    <n v="24497.4"/>
    <n v="722059"/>
    <n v="24068.633333333335"/>
    <n v="66324"/>
    <n v="75281"/>
    <n v="734922"/>
    <n v="722059"/>
    <n v="118359"/>
    <n v="139587"/>
    <n v="77575"/>
    <n v="60448"/>
    <n v="193385"/>
    <n v="166974"/>
    <n v="127573"/>
    <n v="111056"/>
    <n v="516892"/>
    <n v="574.32444444444445"/>
    <n v="478065"/>
    <n v="531.18333333333328"/>
    <m/>
    <m/>
    <n v="0"/>
    <n v="478065"/>
    <m/>
    <m/>
    <m/>
    <m/>
    <m/>
    <m/>
    <m/>
    <m/>
    <n v="0"/>
    <n v="0"/>
    <n v="0"/>
    <n v="0"/>
    <n v="25071.724444444444"/>
    <n v="24599.816666666669"/>
  </r>
  <r>
    <x v="13"/>
    <s v="Blinn College "/>
    <m/>
    <n v="223427"/>
    <x v="6"/>
    <s v="sem"/>
    <m/>
    <n v="180570"/>
    <n v="177804"/>
    <n v="36960"/>
    <n v="32754"/>
    <n v="16697"/>
    <n v="16186"/>
    <n v="192492"/>
    <n v="184355"/>
    <n v="426719"/>
    <n v="14223.966666666667"/>
    <n v="411099"/>
    <n v="13703.3"/>
    <n v="14855"/>
    <n v="16421"/>
    <n v="426719"/>
    <n v="411099"/>
    <n v="50604"/>
    <n v="28618"/>
    <n v="46312"/>
    <n v="24810"/>
    <n v="37280"/>
    <n v="23693"/>
    <n v="28340"/>
    <n v="45642"/>
    <n v="162536"/>
    <n v="180.59555555555556"/>
    <n v="122763"/>
    <n v="136.40333333333334"/>
    <m/>
    <m/>
    <n v="0"/>
    <n v="122763"/>
    <m/>
    <m/>
    <m/>
    <m/>
    <m/>
    <m/>
    <m/>
    <m/>
    <n v="0"/>
    <n v="0"/>
    <n v="0"/>
    <n v="0"/>
    <n v="14404.562222222223"/>
    <n v="13839.703333333333"/>
  </r>
  <r>
    <x v="13"/>
    <s v="Brookhaven College  (DCCCD)"/>
    <m/>
    <n v="223524"/>
    <x v="6"/>
    <s v="sem"/>
    <m/>
    <n v="75078"/>
    <n v="67181"/>
    <n v="48072"/>
    <n v="62079"/>
    <n v="0"/>
    <n v="0"/>
    <n v="65049"/>
    <n v="57618"/>
    <n v="188199"/>
    <n v="6273.3"/>
    <n v="186878"/>
    <n v="6229.2666666666664"/>
    <n v="11358"/>
    <n v="13479"/>
    <n v="188199"/>
    <n v="186878"/>
    <n v="45900"/>
    <n v="60983"/>
    <n v="49887"/>
    <n v="53780"/>
    <n v="61753"/>
    <n v="56660"/>
    <n v="72283"/>
    <n v="67663"/>
    <n v="229823"/>
    <n v="255.35888888888888"/>
    <n v="239086"/>
    <n v="265.65111111111111"/>
    <m/>
    <m/>
    <n v="0"/>
    <n v="239086"/>
    <m/>
    <m/>
    <m/>
    <m/>
    <m/>
    <m/>
    <m/>
    <m/>
    <n v="0"/>
    <n v="0"/>
    <n v="0"/>
    <n v="0"/>
    <n v="6528.6588888888891"/>
    <n v="6494.9177777777777"/>
  </r>
  <r>
    <x v="13"/>
    <s v="Central Texas College "/>
    <m/>
    <n v="223816"/>
    <x v="6"/>
    <s v="sem"/>
    <m/>
    <n v="112824"/>
    <n v="102195"/>
    <n v="60545"/>
    <n v="60299"/>
    <n v="7292"/>
    <n v="5899"/>
    <n v="80869"/>
    <n v="77312"/>
    <n v="261530"/>
    <n v="8717.6666666666661"/>
    <n v="245705"/>
    <n v="8190.166666666667"/>
    <n v="16164"/>
    <n v="16678"/>
    <n v="261530"/>
    <n v="245705"/>
    <n v="90859"/>
    <n v="87523"/>
    <n v="88222"/>
    <n v="92506"/>
    <n v="100807"/>
    <n v="81615"/>
    <n v="88136"/>
    <n v="80509"/>
    <n v="368024"/>
    <n v="408.91555555555556"/>
    <n v="342153"/>
    <n v="380.17"/>
    <m/>
    <m/>
    <n v="0"/>
    <n v="342153"/>
    <m/>
    <m/>
    <m/>
    <m/>
    <m/>
    <m/>
    <m/>
    <m/>
    <n v="0"/>
    <n v="0"/>
    <n v="0"/>
    <n v="0"/>
    <n v="9126.5822222222214"/>
    <n v="8570.3366666666661"/>
  </r>
  <r>
    <x v="13"/>
    <s v="Collin County Community College District"/>
    <m/>
    <n v="247834"/>
    <x v="6"/>
    <s v="sem"/>
    <m/>
    <n v="220760"/>
    <n v="226408"/>
    <n v="62130"/>
    <n v="62228"/>
    <n v="0"/>
    <n v="0"/>
    <n v="254521"/>
    <n v="262032"/>
    <n v="537411"/>
    <n v="17913.7"/>
    <n v="550668"/>
    <n v="18355.599999999999"/>
    <n v="31907"/>
    <n v="40227"/>
    <n v="537411"/>
    <n v="550668"/>
    <n v="156530"/>
    <n v="149736"/>
    <n v="108651"/>
    <n v="143783"/>
    <n v="140827"/>
    <n v="146040"/>
    <n v="226331"/>
    <n v="199155"/>
    <n v="632339"/>
    <n v="702.59888888888884"/>
    <n v="638714"/>
    <n v="709.68222222222221"/>
    <m/>
    <m/>
    <n v="0"/>
    <n v="638714"/>
    <m/>
    <m/>
    <m/>
    <m/>
    <m/>
    <m/>
    <m/>
    <m/>
    <n v="0"/>
    <n v="0"/>
    <n v="0"/>
    <n v="0"/>
    <n v="18616.29888888889"/>
    <n v="19065.28222222222"/>
  </r>
  <r>
    <x v="13"/>
    <s v="Del Mar College "/>
    <m/>
    <n v="224350"/>
    <x v="6"/>
    <s v="sem"/>
    <m/>
    <n v="78898"/>
    <n v="83657"/>
    <n v="21794"/>
    <n v="15828"/>
    <n v="8751"/>
    <n v="17055"/>
    <n v="86258"/>
    <n v="92151"/>
    <n v="195701"/>
    <n v="6523.3666666666668"/>
    <n v="208691"/>
    <n v="6956.3666666666668"/>
    <n v="22882"/>
    <n v="26312"/>
    <n v="195701"/>
    <n v="208691"/>
    <n v="130032"/>
    <n v="146614"/>
    <n v="89582"/>
    <n v="88805"/>
    <n v="68392"/>
    <n v="90632"/>
    <n v="340330"/>
    <n v="95075"/>
    <n v="628336"/>
    <n v="698.15111111111116"/>
    <n v="421126"/>
    <n v="467.91777777777776"/>
    <m/>
    <m/>
    <n v="0"/>
    <n v="421126"/>
    <m/>
    <m/>
    <m/>
    <m/>
    <m/>
    <m/>
    <m/>
    <m/>
    <n v="0"/>
    <n v="0"/>
    <n v="0"/>
    <n v="0"/>
    <n v="7221.5177777777781"/>
    <n v="7424.2844444444445"/>
  </r>
  <r>
    <x v="13"/>
    <s v="Eastfield College  (DCCCD)"/>
    <m/>
    <n v="224572"/>
    <x v="6"/>
    <s v="sem"/>
    <m/>
    <n v="104046"/>
    <n v="99610"/>
    <n v="54829"/>
    <n v="56544"/>
    <n v="0"/>
    <n v="0"/>
    <n v="77686"/>
    <n v="78718"/>
    <n v="236561"/>
    <n v="7885.3666666666668"/>
    <n v="234872"/>
    <n v="7829.0666666666666"/>
    <n v="26052"/>
    <n v="31692"/>
    <n v="236561"/>
    <n v="234872"/>
    <n v="63715"/>
    <n v="64774"/>
    <n v="73818"/>
    <n v="43498"/>
    <n v="77246"/>
    <n v="26294"/>
    <n v="77972"/>
    <n v="50537"/>
    <n v="292751"/>
    <n v="325.2788888888889"/>
    <n v="185103"/>
    <n v="205.67"/>
    <m/>
    <m/>
    <n v="0"/>
    <n v="185103"/>
    <m/>
    <m/>
    <m/>
    <m/>
    <m/>
    <m/>
    <m/>
    <m/>
    <n v="0"/>
    <n v="0"/>
    <n v="0"/>
    <n v="0"/>
    <n v="8210.6455555555549"/>
    <n v="8034.7366666666667"/>
  </r>
  <r>
    <x v="13"/>
    <s v="El Centro College  (DCCCD)"/>
    <m/>
    <n v="224615"/>
    <x v="6"/>
    <s v="sem"/>
    <m/>
    <n v="69440"/>
    <n v="64671"/>
    <n v="26077"/>
    <n v="26295"/>
    <n v="0"/>
    <n v="0"/>
    <n v="60371"/>
    <n v="61390"/>
    <n v="155888"/>
    <n v="5196.2666666666664"/>
    <n v="152356"/>
    <n v="5078.5333333333338"/>
    <n v="15090"/>
    <n v="17012"/>
    <n v="155888"/>
    <n v="152356"/>
    <n v="291136"/>
    <n v="261605"/>
    <n v="329586"/>
    <n v="263112"/>
    <n v="275549"/>
    <n v="196345"/>
    <n v="294081"/>
    <n v="222050"/>
    <n v="1190352"/>
    <n v="1322.6133333333332"/>
    <n v="943112"/>
    <n v="1047.9022222222222"/>
    <m/>
    <m/>
    <n v="0"/>
    <n v="943112"/>
    <m/>
    <m/>
    <m/>
    <m/>
    <m/>
    <m/>
    <m/>
    <m/>
    <n v="0"/>
    <n v="0"/>
    <n v="0"/>
    <n v="0"/>
    <n v="6518.8799999999992"/>
    <n v="6126.4355555555558"/>
  </r>
  <r>
    <x v="13"/>
    <s v="El Paso County Community College District"/>
    <m/>
    <n v="224642"/>
    <x v="6"/>
    <s v="sem"/>
    <m/>
    <n v="223941"/>
    <n v="222886"/>
    <n v="52906"/>
    <n v="54439"/>
    <n v="0"/>
    <n v="0"/>
    <n v="239078"/>
    <n v="245915"/>
    <n v="515925"/>
    <n v="17197.5"/>
    <n v="523240"/>
    <n v="17441.333333333332"/>
    <n v="74850"/>
    <n v="88462"/>
    <n v="515925"/>
    <n v="523240"/>
    <n v="108159"/>
    <n v="100999"/>
    <n v="103110"/>
    <n v="91633"/>
    <n v="120682"/>
    <n v="93047"/>
    <n v="132866"/>
    <n v="92845"/>
    <n v="464817"/>
    <n v="516.46333333333337"/>
    <n v="378524"/>
    <n v="420.58222222222224"/>
    <m/>
    <m/>
    <n v="0"/>
    <n v="378524"/>
    <m/>
    <m/>
    <m/>
    <m/>
    <m/>
    <m/>
    <m/>
    <m/>
    <n v="0"/>
    <n v="0"/>
    <n v="0"/>
    <n v="0"/>
    <n v="17713.963333333333"/>
    <n v="17861.915555555555"/>
  </r>
  <r>
    <x v="13"/>
    <s v="Houston Community College"/>
    <m/>
    <n v="225423"/>
    <x v="6"/>
    <s v="sem"/>
    <m/>
    <n v="485439"/>
    <n v="469016"/>
    <n v="274483"/>
    <n v="267361"/>
    <n v="0"/>
    <n v="0"/>
    <n v="347588"/>
    <n v="342803"/>
    <n v="1107510"/>
    <n v="36917"/>
    <n v="1079180"/>
    <n v="35972.666666666664"/>
    <n v="72303"/>
    <n v="85997"/>
    <n v="1107510"/>
    <n v="1079180"/>
    <n v="627990"/>
    <n v="504893"/>
    <n v="486298"/>
    <n v="444821"/>
    <n v="439365"/>
    <n v="446890"/>
    <n v="760044"/>
    <n v="834029"/>
    <n v="2313697"/>
    <n v="2570.7744444444443"/>
    <n v="2230633"/>
    <n v="2478.4811111111112"/>
    <m/>
    <m/>
    <n v="0"/>
    <n v="2230633"/>
    <m/>
    <m/>
    <m/>
    <m/>
    <m/>
    <m/>
    <m/>
    <m/>
    <n v="0"/>
    <n v="0"/>
    <n v="0"/>
    <n v="0"/>
    <n v="39487.774444444447"/>
    <n v="38451.147777777776"/>
  </r>
  <r>
    <x v="13"/>
    <s v="Laredo Community College "/>
    <m/>
    <n v="226134"/>
    <x v="6"/>
    <s v="sem"/>
    <m/>
    <n v="65528"/>
    <n v="65683"/>
    <n v="12366"/>
    <n v="13286"/>
    <n v="4017"/>
    <n v="3974"/>
    <n v="68759"/>
    <n v="70746"/>
    <n v="150670"/>
    <n v="5022.333333333333"/>
    <n v="153689"/>
    <n v="5122.9666666666662"/>
    <n v="9109"/>
    <n v="16192"/>
    <n v="150670"/>
    <n v="153689"/>
    <n v="22645"/>
    <n v="12630"/>
    <n v="27573"/>
    <n v="19048"/>
    <n v="27472"/>
    <n v="15290"/>
    <n v="17610"/>
    <n v="13686"/>
    <n v="95300"/>
    <n v="105.88888888888889"/>
    <n v="60654"/>
    <n v="67.393333333333331"/>
    <m/>
    <m/>
    <n v="0"/>
    <n v="60654"/>
    <m/>
    <m/>
    <m/>
    <m/>
    <m/>
    <m/>
    <m/>
    <m/>
    <n v="0"/>
    <n v="0"/>
    <n v="0"/>
    <n v="0"/>
    <n v="5128.2222222222217"/>
    <n v="5190.3599999999997"/>
  </r>
  <r>
    <x v="13"/>
    <s v="Lone Star College System District"/>
    <m/>
    <n v="227182"/>
    <x v="6"/>
    <s v="sem"/>
    <m/>
    <n v="526670"/>
    <n v="549668"/>
    <n v="257257"/>
    <n v="256657"/>
    <n v="0"/>
    <n v="0"/>
    <n v="484207"/>
    <n v="510195"/>
    <n v="1268134"/>
    <n v="42271.133333333331"/>
    <n v="1316520"/>
    <n v="43884"/>
    <n v="113657"/>
    <n v="139373"/>
    <n v="1268134"/>
    <n v="1316520"/>
    <n v="147976"/>
    <n v="136439"/>
    <n v="150855"/>
    <n v="124164"/>
    <n v="116489"/>
    <n v="98567"/>
    <n v="179314"/>
    <n v="158802"/>
    <n v="594634"/>
    <n v="660.70444444444445"/>
    <n v="517972"/>
    <n v="575.5244444444445"/>
    <m/>
    <m/>
    <n v="0"/>
    <n v="517972"/>
    <m/>
    <m/>
    <m/>
    <m/>
    <m/>
    <m/>
    <m/>
    <m/>
    <n v="0"/>
    <n v="0"/>
    <n v="0"/>
    <n v="0"/>
    <n v="42931.837777777779"/>
    <n v="44459.524444444447"/>
  </r>
  <r>
    <x v="13"/>
    <s v="McLennan Community College "/>
    <m/>
    <n v="226578"/>
    <x v="6"/>
    <s v="sem"/>
    <m/>
    <n v="73925"/>
    <n v="73089"/>
    <n v="17671"/>
    <n v="18718"/>
    <n v="9913"/>
    <n v="11648"/>
    <n v="75271"/>
    <n v="77874"/>
    <n v="176780"/>
    <n v="5892.666666666667"/>
    <n v="181329"/>
    <n v="6044.3"/>
    <n v="11567"/>
    <n v="14996"/>
    <n v="176780"/>
    <n v="181329"/>
    <n v="45371"/>
    <n v="41221"/>
    <n v="26415"/>
    <n v="24833"/>
    <n v="54811"/>
    <n v="39013"/>
    <n v="58285"/>
    <n v="14337"/>
    <n v="184882"/>
    <n v="205.42444444444445"/>
    <n v="119404"/>
    <n v="132.67111111111112"/>
    <m/>
    <m/>
    <n v="0"/>
    <n v="119404"/>
    <m/>
    <m/>
    <m/>
    <m/>
    <m/>
    <m/>
    <m/>
    <m/>
    <n v="0"/>
    <n v="0"/>
    <n v="0"/>
    <n v="0"/>
    <n v="6098.0911111111118"/>
    <n v="6176.971111111111"/>
  </r>
  <r>
    <x v="13"/>
    <s v="Navarro College "/>
    <m/>
    <n v="227146"/>
    <x v="6"/>
    <s v="sem"/>
    <m/>
    <n v="89473"/>
    <n v="82746"/>
    <n v="20694"/>
    <n v="11943"/>
    <n v="6298"/>
    <n v="11075"/>
    <n v="85634"/>
    <n v="81199"/>
    <n v="202099"/>
    <n v="6736.6333333333332"/>
    <n v="186963"/>
    <n v="6232.1"/>
    <n v="34270"/>
    <n v="40642"/>
    <n v="202099"/>
    <n v="186963"/>
    <n v="38819"/>
    <n v="45704"/>
    <n v="46989"/>
    <n v="35898"/>
    <n v="35110"/>
    <n v="59662"/>
    <n v="58321"/>
    <n v="39076"/>
    <n v="179239"/>
    <n v="199.15444444444444"/>
    <n v="180340"/>
    <n v="200.37777777777777"/>
    <m/>
    <m/>
    <n v="0"/>
    <n v="180340"/>
    <m/>
    <m/>
    <m/>
    <m/>
    <m/>
    <m/>
    <m/>
    <m/>
    <n v="0"/>
    <n v="0"/>
    <n v="0"/>
    <n v="0"/>
    <n v="6935.7877777777776"/>
    <n v="6432.4777777777781"/>
  </r>
  <r>
    <x v="13"/>
    <s v="North Central Texas Community College"/>
    <m/>
    <n v="224110"/>
    <x v="6"/>
    <s v="sem"/>
    <m/>
    <n v="78630"/>
    <n v="74094"/>
    <n v="24398"/>
    <n v="24148"/>
    <n v="0"/>
    <n v="0"/>
    <n v="76457"/>
    <n v="73991"/>
    <n v="179485"/>
    <n v="5982.833333333333"/>
    <n v="172233"/>
    <n v="5741.1"/>
    <n v="16147"/>
    <n v="16352"/>
    <n v="179485"/>
    <n v="172233"/>
    <n v="17319"/>
    <n v="15819"/>
    <n v="7251"/>
    <n v="8160"/>
    <n v="10154"/>
    <n v="6692"/>
    <n v="19576"/>
    <n v="14637"/>
    <n v="54300"/>
    <n v="60.333333333333336"/>
    <n v="45308"/>
    <n v="50.342222222222219"/>
    <m/>
    <m/>
    <n v="0"/>
    <n v="45308"/>
    <m/>
    <m/>
    <m/>
    <m/>
    <m/>
    <m/>
    <m/>
    <m/>
    <n v="0"/>
    <n v="0"/>
    <n v="0"/>
    <n v="0"/>
    <n v="6043.1666666666661"/>
    <n v="5791.4422222222229"/>
  </r>
  <r>
    <x v="13"/>
    <s v="North Lake College  (DCCCD)"/>
    <m/>
    <n v="227191"/>
    <x v="6"/>
    <s v="sem"/>
    <m/>
    <n v="68132"/>
    <n v="71488"/>
    <n v="42220"/>
    <n v="43895"/>
    <n v="0"/>
    <n v="0"/>
    <n v="57340"/>
    <n v="50856"/>
    <n v="167692"/>
    <n v="5589.7333333333336"/>
    <n v="166239"/>
    <n v="5541.3"/>
    <n v="9762"/>
    <n v="11028"/>
    <n v="167692"/>
    <n v="166239"/>
    <n v="133503"/>
    <n v="183717"/>
    <n v="132114"/>
    <n v="110245"/>
    <n v="103195"/>
    <n v="91881"/>
    <n v="216893"/>
    <n v="196523"/>
    <n v="585705"/>
    <n v="650.7833333333333"/>
    <n v="582366"/>
    <n v="647.07333333333338"/>
    <m/>
    <m/>
    <n v="0"/>
    <n v="582366"/>
    <m/>
    <m/>
    <m/>
    <m/>
    <m/>
    <m/>
    <m/>
    <m/>
    <n v="0"/>
    <n v="0"/>
    <n v="0"/>
    <n v="0"/>
    <n v="6240.5166666666664"/>
    <n v="6188.3733333333339"/>
  </r>
  <r>
    <x v="13"/>
    <s v="Northwest Vista College (ACCD)"/>
    <m/>
    <n v="420398"/>
    <x v="6"/>
    <s v="sem"/>
    <m/>
    <n v="121549"/>
    <n v="125855"/>
    <n v="42171"/>
    <n v="42743"/>
    <n v="0"/>
    <n v="0"/>
    <n v="126459"/>
    <n v="126786"/>
    <n v="290179"/>
    <n v="9672.6333333333332"/>
    <n v="295384"/>
    <n v="9846.1333333333332"/>
    <n v="29434"/>
    <n v="32457"/>
    <n v="290179"/>
    <n v="295384"/>
    <n v="13052"/>
    <n v="9992"/>
    <n v="22794"/>
    <n v="15418"/>
    <n v="22328"/>
    <n v="7516"/>
    <n v="16037"/>
    <n v="23524"/>
    <n v="74211"/>
    <n v="82.456666666666663"/>
    <n v="56450"/>
    <n v="62.722222222222221"/>
    <m/>
    <m/>
    <n v="0"/>
    <n v="56450"/>
    <m/>
    <m/>
    <m/>
    <m/>
    <m/>
    <m/>
    <m/>
    <m/>
    <n v="0"/>
    <n v="0"/>
    <n v="0"/>
    <n v="0"/>
    <n v="9755.09"/>
    <n v="9908.8555555555558"/>
  </r>
  <r>
    <x v="13"/>
    <s v="Palo Alto College  (ACCD)"/>
    <m/>
    <n v="246354"/>
    <x v="6"/>
    <s v="sem"/>
    <m/>
    <n v="62146"/>
    <n v="67037"/>
    <n v="27960"/>
    <n v="28571"/>
    <n v="0"/>
    <n v="0"/>
    <n v="56708"/>
    <n v="62320"/>
    <n v="146814"/>
    <n v="4893.8"/>
    <n v="157928"/>
    <n v="5264.2666666666664"/>
    <n v="15970"/>
    <n v="25256"/>
    <n v="146814"/>
    <n v="157928"/>
    <n v="8340"/>
    <n v="10928"/>
    <n v="9478"/>
    <n v="3984"/>
    <n v="2832"/>
    <n v="8008"/>
    <n v="16524"/>
    <n v="33427"/>
    <n v="37174"/>
    <n v="41.304444444444442"/>
    <n v="56347"/>
    <n v="62.607777777777777"/>
    <m/>
    <m/>
    <n v="0"/>
    <n v="56347"/>
    <m/>
    <m/>
    <m/>
    <m/>
    <m/>
    <m/>
    <m/>
    <m/>
    <n v="0"/>
    <n v="0"/>
    <n v="0"/>
    <n v="0"/>
    <n v="4935.1044444444442"/>
    <n v="5326.8744444444446"/>
  </r>
  <r>
    <x v="13"/>
    <s v="Richland College  (DCCCD)"/>
    <m/>
    <n v="227766"/>
    <x v="6"/>
    <s v="sem"/>
    <m/>
    <n v="135377"/>
    <n v="132588"/>
    <n v="74807"/>
    <n v="77046"/>
    <n v="0"/>
    <n v="0"/>
    <n v="112141"/>
    <n v="112674"/>
    <n v="322325"/>
    <n v="10744.166666666666"/>
    <n v="322308"/>
    <n v="10743.6"/>
    <n v="37140"/>
    <n v="42710"/>
    <n v="322325"/>
    <n v="322308"/>
    <n v="133327"/>
    <n v="133258"/>
    <n v="158354"/>
    <n v="149364"/>
    <n v="150596"/>
    <n v="112463"/>
    <n v="196736"/>
    <n v="146651"/>
    <n v="639013"/>
    <n v="710.01444444444439"/>
    <n v="541736"/>
    <n v="601.92888888888888"/>
    <m/>
    <m/>
    <n v="0"/>
    <n v="541736"/>
    <m/>
    <m/>
    <m/>
    <m/>
    <m/>
    <m/>
    <m/>
    <m/>
    <n v="0"/>
    <n v="0"/>
    <n v="0"/>
    <n v="0"/>
    <n v="11454.181111111111"/>
    <n v="11345.52888888889"/>
  </r>
  <r>
    <x v="13"/>
    <s v="San Antonio College (ACCD)"/>
    <m/>
    <n v="227924"/>
    <x v="6"/>
    <s v="sem"/>
    <m/>
    <n v="167140"/>
    <n v="158683"/>
    <n v="64441"/>
    <n v="59038"/>
    <n v="0"/>
    <n v="0"/>
    <n v="136780"/>
    <n v="130335"/>
    <n v="368361"/>
    <n v="12278.7"/>
    <n v="348056"/>
    <n v="11601.866666666667"/>
    <n v="29763"/>
    <n v="31072"/>
    <n v="368361"/>
    <n v="348056"/>
    <n v="64687"/>
    <n v="46480"/>
    <n v="58639"/>
    <n v="42512"/>
    <n v="55450"/>
    <n v="41347"/>
    <n v="48012"/>
    <n v="36236"/>
    <n v="226788"/>
    <n v="251.98666666666668"/>
    <n v="166575"/>
    <n v="185.08333333333334"/>
    <m/>
    <m/>
    <n v="0"/>
    <n v="166575"/>
    <m/>
    <m/>
    <m/>
    <m/>
    <m/>
    <m/>
    <m/>
    <m/>
    <n v="0"/>
    <n v="0"/>
    <n v="0"/>
    <n v="0"/>
    <n v="12530.686666666668"/>
    <n v="11786.95"/>
  </r>
  <r>
    <x v="13"/>
    <s v="San Jacinto College"/>
    <m/>
    <n v="227979"/>
    <x v="6"/>
    <s v="sem"/>
    <m/>
    <n v="232986"/>
    <n v="244034"/>
    <n v="107137"/>
    <n v="113468"/>
    <n v="0"/>
    <n v="0"/>
    <n v="219630"/>
    <n v="223626"/>
    <n v="559753"/>
    <n v="18658.433333333334"/>
    <n v="581128"/>
    <n v="19370.933333333334"/>
    <n v="39056"/>
    <n v="43986"/>
    <n v="559753"/>
    <n v="581128"/>
    <n v="100816"/>
    <n v="103573"/>
    <n v="68733"/>
    <n v="50388"/>
    <n v="114969"/>
    <n v="117529"/>
    <n v="101482"/>
    <n v="100059"/>
    <n v="386000"/>
    <n v="428.88888888888891"/>
    <n v="371549"/>
    <n v="412.83222222222224"/>
    <m/>
    <m/>
    <n v="0"/>
    <n v="371549"/>
    <m/>
    <m/>
    <m/>
    <m/>
    <m/>
    <m/>
    <m/>
    <m/>
    <n v="0"/>
    <n v="0"/>
    <n v="0"/>
    <n v="0"/>
    <n v="19087.322222222225"/>
    <n v="19783.765555555558"/>
  </r>
  <r>
    <x v="13"/>
    <s v="South Plains College "/>
    <m/>
    <n v="228158"/>
    <x v="6"/>
    <s v="sem"/>
    <m/>
    <n v="86540"/>
    <n v="83698"/>
    <n v="13479"/>
    <n v="12593"/>
    <n v="6696"/>
    <n v="6449"/>
    <n v="90191"/>
    <n v="90200"/>
    <n v="196906"/>
    <n v="6563.5333333333338"/>
    <n v="192940"/>
    <n v="6431.333333333333"/>
    <n v="16574"/>
    <n v="15292"/>
    <n v="196906"/>
    <n v="192940"/>
    <n v="54026"/>
    <n v="58562"/>
    <n v="62626"/>
    <n v="54341"/>
    <n v="54780"/>
    <n v="29924"/>
    <n v="71749"/>
    <n v="44754"/>
    <n v="243181"/>
    <n v="270.20111111111112"/>
    <n v="187581"/>
    <n v="208.42333333333335"/>
    <m/>
    <m/>
    <n v="0"/>
    <n v="187581"/>
    <m/>
    <m/>
    <m/>
    <m/>
    <m/>
    <m/>
    <m/>
    <m/>
    <n v="0"/>
    <n v="0"/>
    <n v="0"/>
    <n v="0"/>
    <n v="6833.7344444444452"/>
    <n v="6639.7566666666662"/>
  </r>
  <r>
    <x v="13"/>
    <s v="St. Philip's College  (ACCD)"/>
    <m/>
    <n v="227854"/>
    <x v="6"/>
    <s v="sem"/>
    <m/>
    <n v="80150"/>
    <n v="81483"/>
    <n v="34872"/>
    <n v="33443"/>
    <n v="0"/>
    <n v="0"/>
    <n v="69848"/>
    <n v="70967"/>
    <n v="184870"/>
    <n v="6162.333333333333"/>
    <n v="185893"/>
    <n v="6196.4333333333334"/>
    <n v="26669"/>
    <n v="33418"/>
    <n v="184870"/>
    <n v="185893"/>
    <n v="35755"/>
    <n v="22668"/>
    <n v="33708"/>
    <n v="29200"/>
    <n v="32559"/>
    <n v="19926"/>
    <n v="28255"/>
    <n v="17486"/>
    <n v="130277"/>
    <n v="144.75222222222223"/>
    <n v="89280"/>
    <n v="99.2"/>
    <m/>
    <m/>
    <n v="0"/>
    <n v="89280"/>
    <m/>
    <m/>
    <m/>
    <m/>
    <m/>
    <m/>
    <m/>
    <m/>
    <n v="0"/>
    <n v="0"/>
    <n v="0"/>
    <n v="0"/>
    <n v="6307.0855555555554"/>
    <n v="6295.6333333333332"/>
  </r>
  <r>
    <x v="13"/>
    <s v="Tarrant County College"/>
    <m/>
    <n v="228547"/>
    <x v="6"/>
    <s v="sem"/>
    <m/>
    <n v="388247"/>
    <n v="389745"/>
    <n v="199216"/>
    <n v="185050"/>
    <n v="0"/>
    <n v="0"/>
    <n v="364906"/>
    <n v="358642"/>
    <n v="952369"/>
    <n v="31745.633333333335"/>
    <n v="933437"/>
    <n v="31114.566666666666"/>
    <n v="49687"/>
    <n v="84960"/>
    <n v="952369"/>
    <n v="933437"/>
    <n v="200454"/>
    <n v="231266"/>
    <n v="190411"/>
    <n v="228072"/>
    <n v="186594"/>
    <n v="166906"/>
    <n v="225357"/>
    <n v="214732"/>
    <n v="802816"/>
    <n v="892.01777777777772"/>
    <n v="840976"/>
    <n v="934.41777777777781"/>
    <m/>
    <m/>
    <n v="0"/>
    <n v="840976"/>
    <m/>
    <m/>
    <m/>
    <m/>
    <m/>
    <m/>
    <m/>
    <m/>
    <n v="0"/>
    <n v="0"/>
    <n v="0"/>
    <n v="0"/>
    <n v="32637.651111111114"/>
    <n v="32048.984444444442"/>
  </r>
  <r>
    <x v="13"/>
    <s v="Trinity Valley Community College"/>
    <m/>
    <n v="225308"/>
    <x v="6"/>
    <s v="sem"/>
    <m/>
    <n v="58850"/>
    <n v="56635"/>
    <n v="12876"/>
    <n v="13301"/>
    <n v="11288"/>
    <n v="11169"/>
    <n v="58858"/>
    <n v="61729"/>
    <n v="141872"/>
    <n v="4729.0666666666666"/>
    <n v="142834"/>
    <n v="4761.1333333333332"/>
    <n v="22796"/>
    <n v="27984"/>
    <n v="141872"/>
    <n v="142834"/>
    <n v="73122"/>
    <n v="83083"/>
    <n v="41052"/>
    <n v="90753"/>
    <n v="82730"/>
    <n v="104945"/>
    <n v="65378"/>
    <n v="108507"/>
    <n v="262282"/>
    <n v="291.42444444444442"/>
    <n v="387288"/>
    <n v="430.32"/>
    <m/>
    <m/>
    <n v="0"/>
    <n v="387288"/>
    <m/>
    <m/>
    <m/>
    <m/>
    <m/>
    <m/>
    <m/>
    <m/>
    <n v="0"/>
    <n v="0"/>
    <n v="0"/>
    <n v="0"/>
    <n v="5020.4911111111114"/>
    <n v="5191.4533333333329"/>
  </r>
  <r>
    <x v="13"/>
    <s v="Tyler Junior College "/>
    <m/>
    <n v="229355"/>
    <x v="6"/>
    <s v="sem"/>
    <m/>
    <n v="103583"/>
    <n v="100258"/>
    <n v="25643"/>
    <n v="28688"/>
    <n v="7056"/>
    <n v="6447"/>
    <n v="96088"/>
    <n v="97196"/>
    <n v="232370"/>
    <n v="7745.666666666667"/>
    <n v="232589"/>
    <n v="7752.9666666666662"/>
    <n v="19804"/>
    <n v="20304"/>
    <n v="232370"/>
    <n v="232589"/>
    <n v="58370"/>
    <n v="43256"/>
    <n v="31229"/>
    <n v="37959"/>
    <n v="44245"/>
    <n v="38151"/>
    <n v="46697"/>
    <n v="46032"/>
    <n v="180541"/>
    <n v="200.60111111111112"/>
    <n v="165398"/>
    <n v="183.77555555555554"/>
    <m/>
    <m/>
    <n v="0"/>
    <n v="165398"/>
    <m/>
    <m/>
    <m/>
    <m/>
    <m/>
    <m/>
    <m/>
    <m/>
    <n v="0"/>
    <n v="0"/>
    <n v="0"/>
    <n v="0"/>
    <n v="7946.2677777777781"/>
    <n v="7936.7422222222222"/>
  </r>
  <r>
    <x v="13"/>
    <s v="Alvin Community College "/>
    <m/>
    <n v="222567"/>
    <x v="7"/>
    <s v="sem"/>
    <m/>
    <n v="39806"/>
    <n v="42393"/>
    <n v="17370"/>
    <n v="18966"/>
    <n v="0"/>
    <n v="0"/>
    <n v="40333"/>
    <n v="44424"/>
    <n v="97509"/>
    <n v="3250.3"/>
    <n v="105783"/>
    <n v="3526.1"/>
    <n v="16792"/>
    <n v="21156"/>
    <n v="97509"/>
    <n v="105783"/>
    <n v="32476"/>
    <n v="31404"/>
    <n v="30660"/>
    <n v="17393"/>
    <n v="35120"/>
    <n v="25451"/>
    <n v="23917"/>
    <n v="31024"/>
    <n v="122173"/>
    <n v="135.74777777777777"/>
    <n v="105272"/>
    <n v="116.96888888888888"/>
    <m/>
    <m/>
    <n v="0"/>
    <n v="105272"/>
    <m/>
    <m/>
    <m/>
    <m/>
    <m/>
    <m/>
    <m/>
    <m/>
    <n v="0"/>
    <n v="0"/>
    <n v="0"/>
    <n v="0"/>
    <n v="3386.0477777777778"/>
    <n v="3643.068888888889"/>
  </r>
  <r>
    <x v="13"/>
    <s v="Angelina College "/>
    <m/>
    <n v="222822"/>
    <x v="7"/>
    <s v="sem"/>
    <m/>
    <n v="40585"/>
    <n v="40605"/>
    <n v="7499"/>
    <n v="7987"/>
    <n v="4345"/>
    <n v="4169"/>
    <n v="42371"/>
    <n v="43651"/>
    <n v="94800"/>
    <n v="3160"/>
    <n v="96412"/>
    <n v="3213.7333333333331"/>
    <n v="15867"/>
    <n v="16952"/>
    <n v="94800"/>
    <n v="96412"/>
    <n v="80767"/>
    <n v="19870"/>
    <n v="16796"/>
    <n v="65558"/>
    <n v="81471"/>
    <n v="57159"/>
    <n v="43712"/>
    <n v="29692"/>
    <n v="222746"/>
    <n v="247.49555555555557"/>
    <n v="172279"/>
    <n v="191.42111111111112"/>
    <m/>
    <m/>
    <n v="0"/>
    <n v="172279"/>
    <m/>
    <m/>
    <m/>
    <m/>
    <m/>
    <m/>
    <m/>
    <m/>
    <n v="0"/>
    <n v="0"/>
    <n v="0"/>
    <n v="0"/>
    <n v="3407.4955555555557"/>
    <n v="3405.1544444444444"/>
  </r>
  <r>
    <x v="13"/>
    <s v="Cedar Valley College  (DCCCD)"/>
    <m/>
    <n v="223773"/>
    <x v="7"/>
    <s v="sem"/>
    <m/>
    <n v="43999"/>
    <n v="42812"/>
    <n v="25497"/>
    <n v="28384"/>
    <n v="0"/>
    <n v="0"/>
    <n v="37118"/>
    <n v="37888"/>
    <n v="106614"/>
    <n v="3553.8"/>
    <n v="109084"/>
    <n v="3636.1333333333332"/>
    <n v="17439"/>
    <n v="19987"/>
    <n v="106614"/>
    <n v="109084"/>
    <n v="42851"/>
    <n v="41919"/>
    <n v="48234"/>
    <n v="26597"/>
    <n v="33029"/>
    <n v="61598"/>
    <n v="68273"/>
    <n v="36740"/>
    <n v="192387"/>
    <n v="213.76333333333332"/>
    <n v="166854"/>
    <n v="185.39333333333335"/>
    <m/>
    <m/>
    <n v="0"/>
    <n v="166854"/>
    <m/>
    <m/>
    <m/>
    <m/>
    <m/>
    <m/>
    <m/>
    <m/>
    <n v="0"/>
    <n v="0"/>
    <n v="0"/>
    <n v="0"/>
    <n v="3767.5633333333335"/>
    <n v="3821.5266666666666"/>
  </r>
  <r>
    <x v="13"/>
    <s v="Cisco Junior College"/>
    <m/>
    <n v="223898"/>
    <x v="7"/>
    <s v="sem"/>
    <m/>
    <n v="32444"/>
    <n v="30089"/>
    <n v="5614"/>
    <n v="5475"/>
    <n v="1801"/>
    <n v="1866"/>
    <n v="31207"/>
    <n v="29382"/>
    <n v="71066"/>
    <n v="2368.8666666666668"/>
    <n v="66812"/>
    <n v="2227.0666666666666"/>
    <n v="8040"/>
    <n v="8358"/>
    <n v="71066"/>
    <n v="66812"/>
    <n v="1968"/>
    <n v="1400"/>
    <n v="4224"/>
    <n v="4900"/>
    <n v="2700"/>
    <n v="3600"/>
    <n v="7620"/>
    <n v="4328"/>
    <n v="16512"/>
    <n v="18.346666666666668"/>
    <n v="14228"/>
    <n v="15.808888888888889"/>
    <m/>
    <m/>
    <n v="0"/>
    <n v="14228"/>
    <m/>
    <m/>
    <m/>
    <m/>
    <m/>
    <m/>
    <m/>
    <m/>
    <n v="0"/>
    <n v="0"/>
    <n v="0"/>
    <n v="0"/>
    <n v="2387.2133333333336"/>
    <n v="2242.8755555555554"/>
  </r>
  <r>
    <x v="13"/>
    <s v="Coastal Bend College"/>
    <m/>
    <n v="223320"/>
    <x v="7"/>
    <s v="sem"/>
    <m/>
    <n v="31051"/>
    <n v="34548"/>
    <n v="6445"/>
    <n v="8259"/>
    <n v="3212"/>
    <n v="3430"/>
    <n v="35280"/>
    <n v="37858"/>
    <n v="75988"/>
    <n v="2532.9333333333334"/>
    <n v="84095"/>
    <n v="2803.1666666666665"/>
    <n v="13740"/>
    <n v="14406"/>
    <n v="75988"/>
    <n v="84095"/>
    <n v="30553"/>
    <n v="38000"/>
    <n v="47851"/>
    <n v="51488"/>
    <n v="42918"/>
    <n v="46272"/>
    <n v="62204"/>
    <n v="13093"/>
    <n v="183526"/>
    <n v="203.91777777777779"/>
    <n v="148853"/>
    <n v="165.39222222222222"/>
    <m/>
    <m/>
    <n v="0"/>
    <n v="148853"/>
    <m/>
    <m/>
    <m/>
    <m/>
    <m/>
    <m/>
    <m/>
    <m/>
    <n v="0"/>
    <n v="0"/>
    <n v="0"/>
    <n v="0"/>
    <n v="2736.8511111111111"/>
    <n v="2968.5588888888888"/>
  </r>
  <r>
    <x v="13"/>
    <s v="College of the Mainland"/>
    <m/>
    <n v="226408"/>
    <x v="7"/>
    <s v="sem"/>
    <m/>
    <n v="32025"/>
    <n v="32679"/>
    <n v="7189"/>
    <n v="6915"/>
    <n v="6237"/>
    <n v="6025"/>
    <n v="30814"/>
    <n v="31332"/>
    <n v="76265"/>
    <n v="2542.1666666666665"/>
    <n v="76951"/>
    <n v="2565.0333333333333"/>
    <n v="14165"/>
    <n v="15109"/>
    <n v="76265"/>
    <n v="76951"/>
    <n v="46317"/>
    <n v="39449"/>
    <n v="23915"/>
    <n v="18886"/>
    <n v="34422"/>
    <n v="26632"/>
    <n v="19956"/>
    <n v="24797"/>
    <n v="124610"/>
    <n v="138.45555555555555"/>
    <n v="109764"/>
    <n v="121.96"/>
    <m/>
    <m/>
    <n v="0"/>
    <n v="109764"/>
    <m/>
    <m/>
    <m/>
    <m/>
    <m/>
    <m/>
    <m/>
    <m/>
    <n v="0"/>
    <n v="0"/>
    <n v="0"/>
    <n v="0"/>
    <n v="2680.6222222222223"/>
    <n v="2686.9933333333333"/>
  </r>
  <r>
    <x v="13"/>
    <s v="Grayson County College "/>
    <m/>
    <n v="225070"/>
    <x v="7"/>
    <s v="sem"/>
    <m/>
    <n v="40085"/>
    <n v="40125"/>
    <n v="7662"/>
    <n v="7116"/>
    <n v="2816"/>
    <n v="0"/>
    <n v="41111"/>
    <n v="41925"/>
    <n v="91674"/>
    <n v="3055.8"/>
    <n v="89166"/>
    <n v="2972.2"/>
    <n v="8366"/>
    <n v="10412"/>
    <n v="91674"/>
    <n v="89166"/>
    <n v="14929"/>
    <n v="12424"/>
    <n v="15581"/>
    <n v="9932"/>
    <n v="11852"/>
    <n v="14700"/>
    <n v="17688"/>
    <n v="15071"/>
    <n v="60050"/>
    <n v="66.722222222222229"/>
    <n v="52127"/>
    <n v="57.918888888888887"/>
    <m/>
    <m/>
    <n v="0"/>
    <n v="52127"/>
    <m/>
    <m/>
    <m/>
    <m/>
    <m/>
    <m/>
    <m/>
    <m/>
    <n v="0"/>
    <n v="0"/>
    <n v="0"/>
    <n v="0"/>
    <n v="3122.5222222222224"/>
    <n v="3030.1188888888887"/>
  </r>
  <r>
    <x v="13"/>
    <s v="Hill College"/>
    <m/>
    <n v="225371"/>
    <x v="7"/>
    <s v="sem"/>
    <m/>
    <n v="34973"/>
    <n v="33885"/>
    <n v="7866"/>
    <n v="9472"/>
    <n v="2511"/>
    <n v="2486"/>
    <n v="34261"/>
    <n v="34826"/>
    <n v="79611"/>
    <n v="2653.7"/>
    <n v="80669"/>
    <n v="2688.9666666666667"/>
    <n v="10006"/>
    <n v="10143"/>
    <n v="79611"/>
    <n v="80669"/>
    <n v="33517"/>
    <n v="16987"/>
    <n v="25684"/>
    <n v="21659"/>
    <n v="16214"/>
    <n v="13794"/>
    <n v="25314"/>
    <n v="25877"/>
    <n v="100729"/>
    <n v="111.92111111111112"/>
    <n v="78317"/>
    <n v="87.018888888888895"/>
    <m/>
    <m/>
    <n v="0"/>
    <n v="78317"/>
    <m/>
    <m/>
    <m/>
    <m/>
    <m/>
    <m/>
    <m/>
    <m/>
    <n v="0"/>
    <n v="0"/>
    <n v="0"/>
    <n v="0"/>
    <n v="2765.6211111111111"/>
    <n v="2775.9855555555555"/>
  </r>
  <r>
    <x v="13"/>
    <s v="Howard College (HCJCD)"/>
    <m/>
    <n v="225520"/>
    <x v="7"/>
    <s v="sem"/>
    <m/>
    <n v="26056"/>
    <n v="26195"/>
    <n v="3688"/>
    <n v="4176"/>
    <n v="1600"/>
    <n v="1988"/>
    <n v="29553"/>
    <n v="32001"/>
    <n v="60897"/>
    <n v="2029.9"/>
    <n v="64360"/>
    <n v="2145.3333333333335"/>
    <n v="17667"/>
    <n v="19478"/>
    <n v="60897"/>
    <n v="64360"/>
    <n v="130658"/>
    <n v="124964"/>
    <n v="128260"/>
    <n v="137861"/>
    <n v="140947"/>
    <n v="132667"/>
    <n v="131190"/>
    <n v="136533"/>
    <n v="531055"/>
    <n v="590.06111111111113"/>
    <n v="532025"/>
    <n v="591.13888888888891"/>
    <m/>
    <m/>
    <n v="0"/>
    <n v="532025"/>
    <m/>
    <m/>
    <m/>
    <m/>
    <m/>
    <m/>
    <m/>
    <m/>
    <n v="0"/>
    <n v="0"/>
    <n v="0"/>
    <n v="0"/>
    <n v="2619.9611111111112"/>
    <n v="2736.4722222222226"/>
  </r>
  <r>
    <x v="13"/>
    <s v="Kilgore College "/>
    <m/>
    <n v="226019"/>
    <x v="7"/>
    <s v="sem"/>
    <m/>
    <n v="48648"/>
    <n v="46017"/>
    <n v="8222"/>
    <n v="8345"/>
    <n v="3596"/>
    <n v="0"/>
    <n v="51106"/>
    <n v="56188"/>
    <n v="111572"/>
    <n v="3719.0666666666666"/>
    <n v="110550"/>
    <n v="3685"/>
    <n v="10155"/>
    <n v="13024"/>
    <n v="111572"/>
    <n v="110550"/>
    <n v="137223"/>
    <n v="31653"/>
    <n v="123916"/>
    <n v="167281"/>
    <n v="155975"/>
    <n v="103479"/>
    <n v="93064"/>
    <n v="87713"/>
    <n v="510178"/>
    <n v="566.86444444444442"/>
    <n v="390126"/>
    <n v="433.47333333333336"/>
    <m/>
    <m/>
    <n v="0"/>
    <n v="390126"/>
    <m/>
    <m/>
    <m/>
    <m/>
    <m/>
    <m/>
    <m/>
    <m/>
    <n v="0"/>
    <n v="0"/>
    <n v="0"/>
    <n v="0"/>
    <n v="4285.931111111111"/>
    <n v="4118.4733333333334"/>
  </r>
  <r>
    <x v="13"/>
    <s v="Lamar Institute of Technology"/>
    <m/>
    <n v="441760"/>
    <x v="7"/>
    <s v="sem"/>
    <m/>
    <n v="25250"/>
    <n v="25346"/>
    <n v="5287"/>
    <n v="5328"/>
    <n v="0"/>
    <n v="0"/>
    <n v="28508"/>
    <n v="27537"/>
    <n v="59045"/>
    <n v="1968.1666666666667"/>
    <n v="58211"/>
    <n v="1940.3666666666666"/>
    <n v="594"/>
    <n v="663"/>
    <n v="59045"/>
    <n v="58211"/>
    <n v="32443"/>
    <n v="50671"/>
    <n v="36368"/>
    <n v="59577"/>
    <n v="39479"/>
    <n v="42767"/>
    <n v="43894"/>
    <n v="50664"/>
    <n v="152184"/>
    <n v="169.09333333333333"/>
    <n v="203679"/>
    <n v="226.31"/>
    <m/>
    <m/>
    <n v="0"/>
    <n v="203679"/>
    <m/>
    <m/>
    <m/>
    <m/>
    <m/>
    <m/>
    <m/>
    <m/>
    <n v="0"/>
    <n v="0"/>
    <n v="0"/>
    <n v="0"/>
    <n v="2137.2600000000002"/>
    <n v="2166.6766666666667"/>
  </r>
  <r>
    <x v="13"/>
    <s v="Lamar State College-Port Arthur"/>
    <s v="Reclassified: Met the criteria for Two-Year 3 in 2014-15 and 2015-16 and 2016-17."/>
    <n v="226116"/>
    <x v="8"/>
    <s v="sem"/>
    <m/>
    <n v="17861"/>
    <n v="17736"/>
    <n v="3677"/>
    <n v="5057"/>
    <n v="1033"/>
    <n v="1018"/>
    <n v="16406"/>
    <n v="18076"/>
    <n v="38977"/>
    <n v="1299.2333333333333"/>
    <n v="41887"/>
    <n v="1396.2333333333333"/>
    <n v="2044"/>
    <n v="3198"/>
    <n v="38977"/>
    <n v="41887"/>
    <n v="37069"/>
    <n v="42521"/>
    <n v="111008"/>
    <n v="89284"/>
    <n v="33150"/>
    <n v="57998"/>
    <n v="116712"/>
    <n v="102236"/>
    <n v="297939"/>
    <n v="331.04333333333335"/>
    <n v="292039"/>
    <n v="324.48777777777775"/>
    <m/>
    <m/>
    <n v="0"/>
    <n v="292039"/>
    <m/>
    <m/>
    <m/>
    <m/>
    <m/>
    <m/>
    <m/>
    <m/>
    <n v="0"/>
    <n v="0"/>
    <n v="0"/>
    <n v="0"/>
    <n v="1630.2766666666666"/>
    <n v="1720.721111111111"/>
  </r>
  <r>
    <x v="13"/>
    <s v="Lee College "/>
    <s v="Met the criteria for Two-Year 1 in 2016-17."/>
    <n v="226204"/>
    <x v="7"/>
    <s v="sem"/>
    <m/>
    <n v="54083"/>
    <n v="63550"/>
    <n v="24513"/>
    <n v="27098"/>
    <n v="3064"/>
    <n v="2544"/>
    <n v="48328"/>
    <n v="55741"/>
    <n v="129988"/>
    <n v="4332.9333333333334"/>
    <n v="148933"/>
    <n v="4964.4333333333334"/>
    <n v="13945"/>
    <n v="15605"/>
    <n v="129988"/>
    <n v="148933"/>
    <n v="10710"/>
    <n v="26640"/>
    <n v="12122"/>
    <n v="16785"/>
    <n v="12554"/>
    <n v="6064"/>
    <n v="29938"/>
    <n v="17550"/>
    <n v="65324"/>
    <n v="72.582222222222228"/>
    <n v="67039"/>
    <n v="74.487777777777779"/>
    <m/>
    <m/>
    <n v="0"/>
    <n v="67039"/>
    <m/>
    <m/>
    <m/>
    <m/>
    <m/>
    <m/>
    <m/>
    <m/>
    <n v="0"/>
    <n v="0"/>
    <n v="0"/>
    <n v="0"/>
    <n v="4405.5155555555557"/>
    <n v="5038.9211111111108"/>
  </r>
  <r>
    <x v="13"/>
    <s v="Mountain View College  (DCCCD)"/>
    <s v="Met the criteria for Two-Year 1 in 2016-17."/>
    <n v="226930"/>
    <x v="7"/>
    <s v="sem"/>
    <m/>
    <n v="54614"/>
    <n v="60235"/>
    <n v="32096"/>
    <n v="31045"/>
    <n v="0"/>
    <n v="0"/>
    <n v="57131"/>
    <n v="57659"/>
    <n v="143841"/>
    <n v="4794.7"/>
    <n v="148939"/>
    <n v="4964.6333333333332"/>
    <n v="17760"/>
    <n v="21050"/>
    <n v="143841"/>
    <n v="148939"/>
    <n v="26871"/>
    <n v="31909"/>
    <n v="30151"/>
    <n v="32826"/>
    <n v="49020"/>
    <n v="36973"/>
    <n v="30892"/>
    <n v="22274"/>
    <n v="136934"/>
    <n v="152.14888888888888"/>
    <n v="123982"/>
    <n v="137.75777777777779"/>
    <m/>
    <m/>
    <n v="0"/>
    <n v="123982"/>
    <m/>
    <m/>
    <m/>
    <m/>
    <m/>
    <m/>
    <m/>
    <m/>
    <n v="0"/>
    <n v="0"/>
    <n v="0"/>
    <n v="0"/>
    <n v="4946.8488888888887"/>
    <n v="5102.3911111111111"/>
  </r>
  <r>
    <x v="13"/>
    <s v="Northeast Texas Community College "/>
    <m/>
    <n v="227225"/>
    <x v="7"/>
    <s v="sem"/>
    <m/>
    <n v="26425"/>
    <n v="25432"/>
    <n v="4506"/>
    <n v="6440"/>
    <n v="0"/>
    <n v="0"/>
    <n v="25978"/>
    <n v="28359"/>
    <n v="56909"/>
    <n v="1896.9666666666667"/>
    <n v="60231"/>
    <n v="2007.7"/>
    <n v="3415"/>
    <n v="7469"/>
    <n v="56909"/>
    <n v="60231"/>
    <n v="6237"/>
    <n v="9388"/>
    <n v="13063"/>
    <n v="9770"/>
    <n v="9845"/>
    <n v="16491"/>
    <n v="15802"/>
    <n v="16814"/>
    <n v="44947"/>
    <n v="49.941111111111113"/>
    <n v="52463"/>
    <n v="58.292222222222222"/>
    <m/>
    <m/>
    <n v="0"/>
    <n v="52463"/>
    <m/>
    <m/>
    <m/>
    <m/>
    <m/>
    <m/>
    <m/>
    <m/>
    <n v="0"/>
    <n v="0"/>
    <n v="0"/>
    <n v="0"/>
    <n v="1946.9077777777777"/>
    <n v="2065.9922222222222"/>
  </r>
  <r>
    <x v="13"/>
    <s v="Odessa College "/>
    <m/>
    <n v="227304"/>
    <x v="7"/>
    <s v="sem"/>
    <m/>
    <n v="40295"/>
    <n v="28411"/>
    <n v="18956"/>
    <n v="21050"/>
    <n v="5126"/>
    <n v="5766"/>
    <n v="45361"/>
    <n v="52983"/>
    <n v="109738"/>
    <n v="3657.9333333333334"/>
    <n v="108210"/>
    <n v="3607"/>
    <n v="15099"/>
    <n v="18056"/>
    <n v="109738"/>
    <n v="108210"/>
    <n v="95680"/>
    <n v="50415"/>
    <n v="58820"/>
    <n v="53720"/>
    <n v="81181"/>
    <n v="56939"/>
    <n v="81454"/>
    <n v="62601"/>
    <n v="317135"/>
    <n v="352.37222222222221"/>
    <n v="223675"/>
    <n v="248.52777777777777"/>
    <m/>
    <m/>
    <n v="0"/>
    <n v="223675"/>
    <m/>
    <m/>
    <m/>
    <m/>
    <m/>
    <m/>
    <m/>
    <m/>
    <n v="0"/>
    <n v="0"/>
    <n v="0"/>
    <n v="0"/>
    <n v="4010.3055555555557"/>
    <n v="3855.5277777777778"/>
  </r>
  <r>
    <x v="13"/>
    <s v="Paris Junior College"/>
    <m/>
    <n v="227401"/>
    <x v="7"/>
    <s v="sem"/>
    <m/>
    <n v="44847"/>
    <n v="41051"/>
    <n v="10828"/>
    <n v="10068"/>
    <n v="4807"/>
    <n v="4946"/>
    <n v="45945"/>
    <n v="42579"/>
    <n v="106427"/>
    <n v="3547.5666666666666"/>
    <n v="98644"/>
    <n v="3288.1333333333332"/>
    <n v="15088"/>
    <n v="17241"/>
    <n v="106427"/>
    <n v="98644"/>
    <n v="29825"/>
    <n v="25430"/>
    <n v="22497"/>
    <n v="30095"/>
    <n v="10301"/>
    <n v="23958"/>
    <n v="46343"/>
    <n v="45407"/>
    <n v="108966"/>
    <n v="121.07333333333334"/>
    <n v="124890"/>
    <n v="138.76666666666668"/>
    <m/>
    <m/>
    <n v="0"/>
    <n v="124890"/>
    <m/>
    <m/>
    <m/>
    <m/>
    <m/>
    <m/>
    <m/>
    <m/>
    <n v="0"/>
    <n v="0"/>
    <n v="0"/>
    <n v="0"/>
    <n v="3668.64"/>
    <n v="3426.9"/>
  </r>
  <r>
    <x v="13"/>
    <s v="Southwest Texas Junior College "/>
    <m/>
    <n v="228316"/>
    <x v="7"/>
    <s v="sem"/>
    <m/>
    <n v="42948"/>
    <n v="44037"/>
    <n v="6668"/>
    <n v="5567"/>
    <n v="4139"/>
    <n v="4007"/>
    <n v="46902"/>
    <n v="50721"/>
    <n v="100657"/>
    <n v="3355.2333333333331"/>
    <n v="104332"/>
    <n v="3477.7333333333331"/>
    <n v="17172"/>
    <n v="19781"/>
    <n v="100657"/>
    <n v="104332"/>
    <n v="10052"/>
    <n v="22108"/>
    <n v="15014"/>
    <n v="33395"/>
    <n v="40085"/>
    <n v="10335"/>
    <n v="10304"/>
    <n v="9905"/>
    <n v="75455"/>
    <n v="83.838888888888889"/>
    <n v="75743"/>
    <n v="84.158888888888896"/>
    <m/>
    <m/>
    <n v="0"/>
    <n v="75743"/>
    <m/>
    <m/>
    <m/>
    <m/>
    <m/>
    <m/>
    <m/>
    <m/>
    <n v="0"/>
    <n v="0"/>
    <n v="0"/>
    <n v="0"/>
    <n v="3439.0722222222221"/>
    <n v="3561.8922222222218"/>
  </r>
  <r>
    <x v="13"/>
    <s v="Temple College "/>
    <m/>
    <n v="228608"/>
    <x v="7"/>
    <s v="sem"/>
    <m/>
    <n v="44901"/>
    <n v="42993"/>
    <n v="12076"/>
    <n v="12018"/>
    <n v="0"/>
    <n v="0"/>
    <n v="46935"/>
    <n v="45302"/>
    <n v="103912"/>
    <n v="3463.7333333333331"/>
    <n v="100313"/>
    <n v="3343.7666666666669"/>
    <n v="13259"/>
    <n v="13610"/>
    <n v="103912"/>
    <n v="100313"/>
    <n v="20324"/>
    <n v="11856"/>
    <n v="22900"/>
    <n v="29955"/>
    <n v="19955"/>
    <n v="16360"/>
    <n v="37995"/>
    <n v="21111"/>
    <n v="101174"/>
    <n v="112.41555555555556"/>
    <n v="79282"/>
    <n v="88.091111111111104"/>
    <m/>
    <m/>
    <n v="0"/>
    <n v="79282"/>
    <m/>
    <m/>
    <m/>
    <m/>
    <m/>
    <m/>
    <m/>
    <m/>
    <n v="0"/>
    <n v="0"/>
    <n v="0"/>
    <n v="0"/>
    <n v="3576.1488888888889"/>
    <n v="3431.8577777777782"/>
  </r>
  <r>
    <x v="13"/>
    <s v="Texarkana College "/>
    <m/>
    <n v="228699"/>
    <x v="7"/>
    <s v="sem"/>
    <m/>
    <n v="31878"/>
    <n v="29921"/>
    <n v="6844"/>
    <n v="6327"/>
    <n v="0"/>
    <n v="0"/>
    <n v="37406"/>
    <n v="38735"/>
    <n v="76128"/>
    <n v="2537.6"/>
    <n v="74983"/>
    <n v="2499.4333333333334"/>
    <n v="13993"/>
    <n v="16114"/>
    <n v="76128"/>
    <n v="74983"/>
    <n v="82945"/>
    <n v="76631"/>
    <n v="77155"/>
    <n v="82181"/>
    <n v="70724"/>
    <n v="80581"/>
    <n v="93032"/>
    <n v="80104"/>
    <n v="323856"/>
    <n v="359.84"/>
    <n v="319497"/>
    <n v="354.99666666666667"/>
    <m/>
    <m/>
    <n v="0"/>
    <n v="319497"/>
    <m/>
    <m/>
    <m/>
    <m/>
    <m/>
    <m/>
    <m/>
    <m/>
    <n v="0"/>
    <n v="0"/>
    <n v="0"/>
    <n v="0"/>
    <n v="2897.44"/>
    <n v="2854.4300000000003"/>
  </r>
  <r>
    <x v="13"/>
    <s v="Texas Southmost College "/>
    <m/>
    <n v="229072"/>
    <x v="7"/>
    <s v="sem"/>
    <m/>
    <n v="34144"/>
    <n v="35045"/>
    <n v="2395"/>
    <n v="2279"/>
    <n v="2533"/>
    <n v="1361"/>
    <n v="31235"/>
    <n v="38436"/>
    <n v="70307"/>
    <n v="2343.5666666666666"/>
    <n v="77121"/>
    <n v="2570.6999999999998"/>
    <n v="10397"/>
    <n v="12785"/>
    <n v="70307"/>
    <n v="77121"/>
    <n v="33532"/>
    <n v="8096"/>
    <n v="10040"/>
    <n v="3800"/>
    <n v="13840"/>
    <n v="8496"/>
    <n v="13080"/>
    <n v="8148"/>
    <n v="70492"/>
    <n v="78.324444444444438"/>
    <n v="28540"/>
    <n v="31.711111111111112"/>
    <m/>
    <m/>
    <n v="0"/>
    <n v="28540"/>
    <m/>
    <m/>
    <m/>
    <m/>
    <m/>
    <m/>
    <m/>
    <m/>
    <n v="0"/>
    <n v="0"/>
    <n v="0"/>
    <n v="0"/>
    <n v="2421.8911111111111"/>
    <n v="2602.411111111111"/>
  </r>
  <r>
    <x v="13"/>
    <s v="Texas State Technical College-Harlingen "/>
    <m/>
    <n v="229319"/>
    <x v="7"/>
    <s v="sem"/>
    <m/>
    <n v="43512"/>
    <n v="40201"/>
    <n v="24557"/>
    <n v="26173"/>
    <n v="0"/>
    <n v="0"/>
    <n v="43519"/>
    <n v="48886"/>
    <n v="111588"/>
    <n v="3719.6"/>
    <n v="115260"/>
    <n v="3842"/>
    <n v="12502"/>
    <n v="18542"/>
    <n v="111588"/>
    <n v="115260"/>
    <n v="29972"/>
    <n v="22780"/>
    <n v="55465"/>
    <n v="41022"/>
    <n v="34193"/>
    <n v="22091"/>
    <n v="30247"/>
    <n v="17002"/>
    <n v="149877"/>
    <n v="166.53"/>
    <n v="102895"/>
    <n v="114.32777777777778"/>
    <m/>
    <m/>
    <n v="0"/>
    <n v="102895"/>
    <m/>
    <m/>
    <m/>
    <m/>
    <m/>
    <m/>
    <m/>
    <m/>
    <n v="0"/>
    <n v="0"/>
    <n v="0"/>
    <n v="0"/>
    <n v="3886.13"/>
    <n v="3956.3277777777776"/>
  </r>
  <r>
    <x v="13"/>
    <s v="Texas State Technical College-Waco"/>
    <m/>
    <n v="228680"/>
    <x v="7"/>
    <s v="sem"/>
    <m/>
    <n v="40694"/>
    <n v="39122"/>
    <n v="29051"/>
    <n v="27868"/>
    <n v="0"/>
    <n v="0"/>
    <n v="41289"/>
    <n v="43939"/>
    <n v="111034"/>
    <n v="3701.1333333333332"/>
    <n v="110929"/>
    <n v="3697.6333333333332"/>
    <n v="3614"/>
    <n v="4318"/>
    <n v="111034"/>
    <n v="110929"/>
    <n v="3980"/>
    <n v="1120"/>
    <n v="3800"/>
    <n v="4216"/>
    <n v="1128"/>
    <n v="2658"/>
    <n v="0"/>
    <n v="1190"/>
    <n v="8908"/>
    <n v="9.8977777777777778"/>
    <n v="9184"/>
    <n v="10.204444444444444"/>
    <m/>
    <m/>
    <n v="0"/>
    <n v="9184"/>
    <m/>
    <m/>
    <m/>
    <m/>
    <m/>
    <m/>
    <m/>
    <m/>
    <n v="0"/>
    <n v="0"/>
    <n v="0"/>
    <n v="0"/>
    <n v="3711.0311111111109"/>
    <n v="3707.8377777777778"/>
  </r>
  <r>
    <x v="13"/>
    <s v="Vernon College "/>
    <m/>
    <n v="229504"/>
    <x v="7"/>
    <s v="sem"/>
    <m/>
    <n v="25202"/>
    <n v="25245"/>
    <n v="2997"/>
    <n v="3000"/>
    <n v="4565"/>
    <n v="4158"/>
    <n v="25557"/>
    <n v="26227"/>
    <n v="58321"/>
    <n v="1944.0333333333333"/>
    <n v="58630"/>
    <n v="1954.3333333333333"/>
    <n v="4375"/>
    <n v="5739"/>
    <n v="58321"/>
    <n v="58630"/>
    <n v="65312"/>
    <n v="61735"/>
    <n v="50689"/>
    <n v="48328"/>
    <n v="35088"/>
    <n v="46400"/>
    <n v="89631"/>
    <n v="54249"/>
    <n v="240720"/>
    <n v="267.46666666666664"/>
    <n v="210712"/>
    <n v="234.12444444444444"/>
    <m/>
    <m/>
    <n v="0"/>
    <n v="210712"/>
    <m/>
    <m/>
    <m/>
    <m/>
    <m/>
    <m/>
    <m/>
    <m/>
    <n v="0"/>
    <n v="0"/>
    <n v="0"/>
    <n v="0"/>
    <n v="2211.5"/>
    <n v="2188.4577777777777"/>
  </r>
  <r>
    <x v="13"/>
    <s v="Victoria College "/>
    <m/>
    <n v="229540"/>
    <x v="7"/>
    <s v="sem"/>
    <m/>
    <n v="29339"/>
    <n v="28856"/>
    <n v="9092"/>
    <n v="8308"/>
    <n v="0"/>
    <n v="0"/>
    <n v="32053"/>
    <n v="31258"/>
    <n v="70484"/>
    <n v="2349.4666666666667"/>
    <n v="68422"/>
    <n v="2280.7333333333331"/>
    <n v="6117"/>
    <n v="6858"/>
    <n v="70484"/>
    <n v="68422"/>
    <n v="50333"/>
    <n v="44248"/>
    <n v="19263"/>
    <n v="21531"/>
    <n v="38952"/>
    <n v="13741"/>
    <n v="63824"/>
    <n v="44716"/>
    <n v="172372"/>
    <n v="191.52444444444444"/>
    <n v="124236"/>
    <n v="138.04"/>
    <m/>
    <m/>
    <n v="0"/>
    <n v="124236"/>
    <m/>
    <m/>
    <m/>
    <m/>
    <m/>
    <m/>
    <m/>
    <m/>
    <n v="0"/>
    <n v="0"/>
    <n v="0"/>
    <n v="0"/>
    <n v="2540.991111111111"/>
    <n v="2418.7733333333331"/>
  </r>
  <r>
    <x v="13"/>
    <s v="Weatherford College "/>
    <m/>
    <n v="229799"/>
    <x v="7"/>
    <s v="sem"/>
    <m/>
    <n v="46464"/>
    <n v="46450"/>
    <n v="7626"/>
    <n v="7546"/>
    <n v="4464"/>
    <n v="4130"/>
    <n v="48854"/>
    <n v="49346"/>
    <n v="107408"/>
    <n v="3580.2666666666669"/>
    <n v="107472"/>
    <n v="3582.4"/>
    <n v="10827"/>
    <n v="11651"/>
    <n v="107408"/>
    <n v="107472"/>
    <n v="149568"/>
    <n v="43637"/>
    <n v="30466"/>
    <n v="36491"/>
    <n v="42369"/>
    <n v="29866"/>
    <n v="211390"/>
    <n v="29744"/>
    <n v="433793"/>
    <n v="481.99222222222221"/>
    <n v="139738"/>
    <n v="155.26444444444445"/>
    <m/>
    <m/>
    <n v="0"/>
    <n v="139738"/>
    <m/>
    <m/>
    <m/>
    <m/>
    <m/>
    <m/>
    <m/>
    <m/>
    <n v="0"/>
    <n v="0"/>
    <n v="0"/>
    <n v="0"/>
    <n v="4062.258888888889"/>
    <n v="3737.6644444444446"/>
  </r>
  <r>
    <x v="13"/>
    <s v="Wharton County Junior College "/>
    <m/>
    <n v="229841"/>
    <x v="7"/>
    <s v="sem"/>
    <m/>
    <n v="59698"/>
    <n v="59887"/>
    <n v="13036"/>
    <n v="11956"/>
    <n v="6056"/>
    <n v="6096"/>
    <n v="65723"/>
    <n v="65395"/>
    <n v="144513"/>
    <n v="4817.1000000000004"/>
    <n v="143334"/>
    <n v="4777.8"/>
    <n v="9399"/>
    <n v="8099"/>
    <n v="144513"/>
    <n v="143334"/>
    <n v="13943"/>
    <n v="10885"/>
    <n v="7840"/>
    <n v="9653"/>
    <n v="12724"/>
    <n v="9847"/>
    <n v="10761"/>
    <n v="7402"/>
    <n v="45268"/>
    <n v="50.297777777777775"/>
    <n v="37787"/>
    <n v="41.985555555555557"/>
    <m/>
    <m/>
    <n v="0"/>
    <n v="37787"/>
    <m/>
    <m/>
    <m/>
    <m/>
    <m/>
    <m/>
    <m/>
    <m/>
    <n v="0"/>
    <n v="0"/>
    <n v="0"/>
    <n v="0"/>
    <n v="4867.3977777777782"/>
    <n v="4819.7855555555561"/>
  </r>
  <r>
    <x v="13"/>
    <s v="Clarendon College "/>
    <m/>
    <n v="223922"/>
    <x v="8"/>
    <s v="sem"/>
    <m/>
    <n v="11211"/>
    <n v="11843"/>
    <n v="2541"/>
    <n v="2337"/>
    <n v="738"/>
    <n v="632"/>
    <n v="12907"/>
    <n v="14152"/>
    <n v="27397"/>
    <n v="913.23333333333335"/>
    <n v="28964"/>
    <n v="965.4666666666667"/>
    <n v="4439"/>
    <n v="6044"/>
    <n v="27397"/>
    <n v="28964"/>
    <n v="5898"/>
    <n v="6780"/>
    <n v="6427"/>
    <n v="8284"/>
    <n v="1572"/>
    <n v="7632"/>
    <n v="6862"/>
    <n v="4888"/>
    <n v="20759"/>
    <n v="23.065555555555555"/>
    <n v="27584"/>
    <n v="30.648888888888887"/>
    <m/>
    <m/>
    <n v="0"/>
    <n v="27584"/>
    <m/>
    <m/>
    <m/>
    <m/>
    <m/>
    <m/>
    <m/>
    <m/>
    <n v="0"/>
    <n v="0"/>
    <n v="0"/>
    <n v="0"/>
    <n v="936.29888888888888"/>
    <n v="996.1155555555556"/>
  </r>
  <r>
    <x v="13"/>
    <s v="Frank Phillips College "/>
    <m/>
    <n v="224891"/>
    <x v="8"/>
    <s v="sem"/>
    <m/>
    <n v="11655"/>
    <n v="11867"/>
    <n v="1641"/>
    <n v="1732"/>
    <n v="618"/>
    <n v="700"/>
    <n v="12372"/>
    <n v="13426"/>
    <n v="26286"/>
    <n v="876.2"/>
    <n v="27725"/>
    <n v="924.16666666666663"/>
    <n v="7957"/>
    <n v="10224"/>
    <n v="26286"/>
    <n v="27725"/>
    <n v="33357"/>
    <n v="32739"/>
    <n v="28725"/>
    <n v="18032"/>
    <n v="25851"/>
    <n v="14588"/>
    <n v="15387"/>
    <n v="24711"/>
    <n v="103320"/>
    <n v="114.8"/>
    <n v="90070"/>
    <n v="100.07777777777778"/>
    <m/>
    <m/>
    <n v="0"/>
    <n v="90070"/>
    <m/>
    <m/>
    <m/>
    <m/>
    <m/>
    <m/>
    <m/>
    <m/>
    <n v="0"/>
    <n v="0"/>
    <n v="0"/>
    <n v="0"/>
    <n v="991"/>
    <n v="1024.2444444444445"/>
  </r>
  <r>
    <x v="13"/>
    <s v="Galveston College "/>
    <m/>
    <n v="224961"/>
    <x v="8"/>
    <s v="sem"/>
    <m/>
    <n v="17400"/>
    <n v="16715"/>
    <n v="4252"/>
    <n v="4218"/>
    <n v="3435"/>
    <n v="3592"/>
    <n v="16412"/>
    <n v="17295"/>
    <n v="41499"/>
    <n v="1383.3"/>
    <n v="41820"/>
    <n v="1394"/>
    <n v="3458"/>
    <n v="4515"/>
    <n v="41499"/>
    <n v="41820"/>
    <n v="7520"/>
    <n v="11599"/>
    <n v="3704"/>
    <n v="8337"/>
    <n v="3984"/>
    <n v="3012"/>
    <n v="16315"/>
    <n v="19700"/>
    <n v="31523"/>
    <n v="35.025555555555556"/>
    <n v="42648"/>
    <n v="47.386666666666663"/>
    <m/>
    <m/>
    <n v="0"/>
    <n v="42648"/>
    <m/>
    <m/>
    <m/>
    <m/>
    <m/>
    <m/>
    <m/>
    <m/>
    <n v="0"/>
    <n v="0"/>
    <n v="0"/>
    <n v="0"/>
    <n v="1418.3255555555554"/>
    <n v="1441.3866666666668"/>
  </r>
  <r>
    <x v="13"/>
    <s v="Lamar State College-Orange"/>
    <m/>
    <n v="226107"/>
    <x v="8"/>
    <s v="sem"/>
    <m/>
    <n v="19087"/>
    <n v="18905"/>
    <n v="5696"/>
    <n v="5798"/>
    <n v="0"/>
    <n v="0"/>
    <n v="21101"/>
    <n v="21007"/>
    <n v="45884"/>
    <n v="1529.4666666666667"/>
    <n v="45710"/>
    <n v="1523.6666666666667"/>
    <n v="3825"/>
    <n v="3320"/>
    <n v="45884"/>
    <n v="45710"/>
    <n v="11059"/>
    <n v="3239"/>
    <n v="4067"/>
    <n v="1349"/>
    <n v="4764"/>
    <n v="1528"/>
    <n v="6916"/>
    <n v="1804"/>
    <n v="26806"/>
    <n v="29.784444444444443"/>
    <n v="7920"/>
    <n v="8.8000000000000007"/>
    <m/>
    <m/>
    <n v="0"/>
    <n v="7920"/>
    <m/>
    <m/>
    <m/>
    <m/>
    <m/>
    <m/>
    <m/>
    <m/>
    <n v="0"/>
    <n v="0"/>
    <n v="0"/>
    <n v="0"/>
    <n v="1559.2511111111112"/>
    <n v="1532.4666666666667"/>
  </r>
  <r>
    <x v="13"/>
    <s v="Northeast Lakeview College (ACCD)"/>
    <m/>
    <s v="???1"/>
    <x v="8"/>
    <s v="sem"/>
    <m/>
    <n v="15964"/>
    <n v="24471"/>
    <n v="7755"/>
    <n v="8443"/>
    <n v="0"/>
    <n v="0"/>
    <n v="19402"/>
    <n v="22699"/>
    <n v="43121"/>
    <n v="1437.3666666666666"/>
    <n v="55613"/>
    <n v="1853.7666666666667"/>
    <n v="24"/>
    <n v="0"/>
    <n v="43121"/>
    <n v="55613"/>
    <n v="1808"/>
    <n v="4520"/>
    <n v="552"/>
    <n v="10052"/>
    <n v="6528"/>
    <n v="2536"/>
    <n v="2680"/>
    <n v="1320"/>
    <n v="11568"/>
    <n v="12.853333333333333"/>
    <n v="18428"/>
    <n v="20.475555555555555"/>
    <m/>
    <m/>
    <n v="0"/>
    <n v="18428"/>
    <m/>
    <m/>
    <m/>
    <m/>
    <m/>
    <m/>
    <m/>
    <m/>
    <n v="0"/>
    <n v="0"/>
    <n v="0"/>
    <n v="0"/>
    <n v="1450.2199999999998"/>
    <n v="1874.2422222222222"/>
  </r>
  <r>
    <x v="13"/>
    <s v="Panola College"/>
    <m/>
    <n v="227386"/>
    <x v="8"/>
    <s v="sem"/>
    <m/>
    <n v="24672"/>
    <n v="24360"/>
    <n v="2848"/>
    <n v="3983"/>
    <n v="1766"/>
    <n v="1399"/>
    <n v="27379"/>
    <n v="27374"/>
    <n v="56665"/>
    <n v="1888.8333333333333"/>
    <n v="57116"/>
    <n v="1903.8666666666666"/>
    <n v="6149"/>
    <n v="6650"/>
    <n v="56665"/>
    <n v="57116"/>
    <n v="13245"/>
    <n v="10454"/>
    <n v="7942"/>
    <n v="9625"/>
    <n v="12179"/>
    <n v="12748"/>
    <n v="7868"/>
    <n v="9159"/>
    <n v="41234"/>
    <n v="45.815555555555555"/>
    <n v="41986"/>
    <n v="46.651111111111113"/>
    <m/>
    <m/>
    <n v="0"/>
    <n v="41986"/>
    <m/>
    <m/>
    <m/>
    <m/>
    <m/>
    <m/>
    <m/>
    <m/>
    <n v="0"/>
    <n v="0"/>
    <n v="0"/>
    <n v="0"/>
    <n v="1934.6488888888889"/>
    <n v="1950.5177777777776"/>
  </r>
  <r>
    <x v="13"/>
    <s v="Ranger College "/>
    <m/>
    <n v="227687"/>
    <x v="8"/>
    <s v="sem"/>
    <m/>
    <n v="19111"/>
    <n v="18614"/>
    <n v="3510"/>
    <n v="3927"/>
    <n v="1060"/>
    <n v="1032"/>
    <n v="20731"/>
    <n v="21783"/>
    <n v="44412"/>
    <n v="1480.4"/>
    <n v="45356"/>
    <n v="1511.8666666666666"/>
    <n v="8345"/>
    <n v="10180"/>
    <n v="44412"/>
    <n v="45356"/>
    <n v="8711"/>
    <n v="5612"/>
    <n v="24916"/>
    <n v="45020"/>
    <n v="12542"/>
    <n v="24890"/>
    <n v="10075"/>
    <n v="12548"/>
    <n v="56244"/>
    <n v="62.493333333333332"/>
    <n v="88070"/>
    <n v="97.855555555555554"/>
    <m/>
    <m/>
    <n v="0"/>
    <n v="88070"/>
    <m/>
    <m/>
    <m/>
    <m/>
    <m/>
    <m/>
    <m/>
    <m/>
    <n v="0"/>
    <n v="0"/>
    <n v="0"/>
    <n v="0"/>
    <n v="1542.8933333333334"/>
    <n v="1609.7222222222222"/>
  </r>
  <r>
    <x v="13"/>
    <s v="Southwest Collegiate Institute for the Deaf (HCJCD)"/>
    <m/>
    <n v="382911"/>
    <x v="8"/>
    <s v="sem"/>
    <m/>
    <n v="1121"/>
    <n v="1079"/>
    <n v="0"/>
    <n v="3"/>
    <n v="0"/>
    <n v="0"/>
    <n v="1219"/>
    <n v="1141"/>
    <n v="2340"/>
    <n v="78"/>
    <n v="2223"/>
    <n v="74.099999999999994"/>
    <n v="0"/>
    <n v="0"/>
    <n v="2340"/>
    <n v="2223"/>
    <m/>
    <m/>
    <m/>
    <m/>
    <m/>
    <m/>
    <m/>
    <m/>
    <n v="0"/>
    <n v="0"/>
    <n v="0"/>
    <n v="0"/>
    <m/>
    <m/>
    <n v="0"/>
    <n v="0"/>
    <m/>
    <m/>
    <m/>
    <m/>
    <m/>
    <m/>
    <m/>
    <m/>
    <n v="0"/>
    <n v="0"/>
    <n v="0"/>
    <n v="0"/>
    <n v="78"/>
    <n v="74.099999999999994"/>
  </r>
  <r>
    <x v="13"/>
    <s v="Texas State Technical College-Marshall"/>
    <m/>
    <n v="408394"/>
    <x v="8"/>
    <s v="sem"/>
    <m/>
    <n v="6613"/>
    <n v="8155"/>
    <n v="4029"/>
    <n v="4904"/>
    <n v="0"/>
    <n v="0"/>
    <n v="7917"/>
    <n v="7917"/>
    <n v="18559"/>
    <n v="618.63333333333333"/>
    <n v="20976"/>
    <n v="699.2"/>
    <n v="1829"/>
    <n v="1829"/>
    <n v="18559"/>
    <n v="20976"/>
    <n v="7368"/>
    <n v="2984"/>
    <n v="6032"/>
    <n v="4848"/>
    <n v="7408"/>
    <n v="5288"/>
    <n v="4312"/>
    <n v="5664"/>
    <n v="25120"/>
    <n v="27.911111111111111"/>
    <n v="18784"/>
    <n v="20.871111111111112"/>
    <m/>
    <m/>
    <n v="0"/>
    <n v="18784"/>
    <m/>
    <m/>
    <m/>
    <m/>
    <m/>
    <m/>
    <m/>
    <m/>
    <n v="0"/>
    <n v="0"/>
    <n v="0"/>
    <n v="0"/>
    <n v="646.54444444444448"/>
    <n v="720.07111111111112"/>
  </r>
  <r>
    <x v="13"/>
    <s v="Texas State Technical College-West Texas"/>
    <m/>
    <n v="229328"/>
    <x v="8"/>
    <s v="sem"/>
    <m/>
    <n v="10066"/>
    <n v="8926"/>
    <n v="6532"/>
    <n v="6684"/>
    <n v="0"/>
    <n v="0"/>
    <n v="10833"/>
    <n v="12266"/>
    <n v="27431"/>
    <n v="914.36666666666667"/>
    <n v="27876"/>
    <n v="929.2"/>
    <n v="2817"/>
    <n v="1901"/>
    <n v="27431"/>
    <n v="27876"/>
    <n v="1513"/>
    <n v="0"/>
    <n v="1547"/>
    <n v="1176"/>
    <n v="945"/>
    <n v="672"/>
    <n v="1752"/>
    <n v="0"/>
    <n v="5757"/>
    <n v="6.3966666666666665"/>
    <n v="1848"/>
    <n v="2.0533333333333332"/>
    <m/>
    <m/>
    <n v="0"/>
    <n v="1848"/>
    <m/>
    <m/>
    <m/>
    <m/>
    <m/>
    <m/>
    <m/>
    <m/>
    <n v="0"/>
    <n v="0"/>
    <n v="0"/>
    <n v="0"/>
    <n v="920.76333333333332"/>
    <n v="931.25333333333333"/>
  </r>
  <r>
    <x v="13"/>
    <s v="Western Texas College "/>
    <m/>
    <n v="229832"/>
    <x v="8"/>
    <s v="sem"/>
    <m/>
    <n v="16396"/>
    <n v="16761"/>
    <n v="7275"/>
    <n v="8006"/>
    <n v="2918"/>
    <n v="3929"/>
    <n v="16972"/>
    <n v="17048"/>
    <n v="43561"/>
    <n v="1452.0333333333333"/>
    <n v="45744"/>
    <n v="1524.8"/>
    <n v="8621"/>
    <n v="8855"/>
    <n v="43561"/>
    <n v="45744"/>
    <n v="12853"/>
    <n v="32671"/>
    <n v="25382"/>
    <n v="23447"/>
    <n v="11821"/>
    <n v="7234"/>
    <n v="29433"/>
    <n v="33968"/>
    <n v="79489"/>
    <n v="88.321111111111108"/>
    <n v="97320"/>
    <n v="108.13333333333334"/>
    <m/>
    <m/>
    <n v="0"/>
    <n v="97320"/>
    <m/>
    <m/>
    <m/>
    <m/>
    <m/>
    <m/>
    <m/>
    <m/>
    <n v="0"/>
    <n v="0"/>
    <n v="0"/>
    <n v="0"/>
    <n v="1540.3544444444444"/>
    <n v="1632.9333333333334"/>
  </r>
  <r>
    <x v="13"/>
    <s v="Alamo Community College District (ACCD)"/>
    <m/>
    <m/>
    <x v="12"/>
    <s v="sem"/>
    <m/>
    <n v="446949"/>
    <n v="457529"/>
    <n v="177199"/>
    <n v="172238"/>
    <n v="0"/>
    <n v="0"/>
    <n v="409197"/>
    <n v="413107"/>
    <n v="1033345"/>
    <n v="34444.833333333336"/>
    <n v="1042874"/>
    <n v="34762.466666666667"/>
    <n v="101860"/>
    <n v="122203"/>
    <n v="1033345"/>
    <n v="1042874"/>
    <n v="123642"/>
    <n v="94588"/>
    <n v="125171"/>
    <n v="101166"/>
    <n v="119697"/>
    <n v="79333"/>
    <n v="111508"/>
    <n v="111993"/>
    <n v="480018"/>
    <n v="533.35333333333335"/>
    <n v="387080"/>
    <n v="430.0888888888889"/>
    <m/>
    <m/>
    <n v="0"/>
    <n v="387080"/>
    <m/>
    <m/>
    <m/>
    <m/>
    <m/>
    <m/>
    <m/>
    <m/>
    <n v="0"/>
    <n v="0"/>
    <n v="0"/>
    <n v="0"/>
    <n v="34978.186666666668"/>
    <n v="35192.555555555555"/>
  </r>
  <r>
    <x v="13"/>
    <s v="Dallas County Community College District (DCCD)"/>
    <m/>
    <m/>
    <x v="12"/>
    <s v="sem"/>
    <m/>
    <n v="550686"/>
    <n v="538585"/>
    <n v="303598"/>
    <n v="325288"/>
    <n v="0"/>
    <n v="0"/>
    <n v="466836"/>
    <n v="456803"/>
    <n v="1321120"/>
    <n v="44037.333333333336"/>
    <n v="1320676"/>
    <n v="44022.533333333333"/>
    <n v="134601"/>
    <n v="156958"/>
    <n v="1321120"/>
    <n v="1320676"/>
    <n v="737303"/>
    <n v="778165"/>
    <n v="822144"/>
    <n v="679422"/>
    <n v="750388"/>
    <n v="582214"/>
    <n v="957130"/>
    <n v="742438"/>
    <n v="3266965"/>
    <n v="3629.9611111111112"/>
    <n v="2782239"/>
    <n v="3091.3766666666666"/>
    <m/>
    <m/>
    <n v="0"/>
    <n v="2782239"/>
    <m/>
    <m/>
    <m/>
    <m/>
    <m/>
    <m/>
    <m/>
    <m/>
    <n v="0"/>
    <n v="0"/>
    <n v="0"/>
    <n v="0"/>
    <n v="47667.294444444444"/>
    <n v="47113.909999999996"/>
  </r>
  <r>
    <x v="13"/>
    <s v="Howard County Community/Junior College District (HCJCD)"/>
    <m/>
    <m/>
    <x v="12"/>
    <s v="sem"/>
    <m/>
    <n v="27177"/>
    <n v="27274"/>
    <n v="3688"/>
    <n v="4179"/>
    <n v="1600"/>
    <n v="1988"/>
    <n v="30772"/>
    <n v="33142"/>
    <n v="63237"/>
    <n v="2107.9"/>
    <n v="66583"/>
    <n v="2219.4333333333334"/>
    <n v="17667"/>
    <n v="19478"/>
    <n v="63237"/>
    <n v="66583"/>
    <n v="130658"/>
    <n v="124964"/>
    <n v="128260"/>
    <n v="137861"/>
    <n v="140947"/>
    <n v="132667"/>
    <n v="131190"/>
    <n v="136533"/>
    <n v="531055"/>
    <n v="590.06111111111113"/>
    <n v="532025"/>
    <n v="591.13888888888891"/>
    <m/>
    <m/>
    <n v="0"/>
    <n v="532025"/>
    <m/>
    <m/>
    <m/>
    <m/>
    <m/>
    <m/>
    <m/>
    <m/>
    <n v="0"/>
    <n v="0"/>
    <n v="0"/>
    <n v="0"/>
    <n v="2697.9611111111112"/>
    <n v="2810.5722222222221"/>
  </r>
  <r>
    <x v="13"/>
    <s v="University of North Texas at Dallas"/>
    <s v="New fall 2009. No degrees yet granted."/>
    <n v="443711"/>
    <x v="13"/>
    <s v="sem"/>
    <m/>
    <n v="0"/>
    <n v="0"/>
    <n v="17970"/>
    <n v="19606"/>
    <n v="5282"/>
    <n v="5332"/>
    <n v="20795"/>
    <n v="25236"/>
    <n v="44047"/>
    <n v="1468.2333333333333"/>
    <n v="50174"/>
    <n v="1672.4666666666667"/>
    <n v="0"/>
    <n v="0"/>
    <n v="44047"/>
    <n v="50174"/>
    <m/>
    <m/>
    <m/>
    <m/>
    <m/>
    <m/>
    <m/>
    <m/>
    <n v="0"/>
    <n v="0"/>
    <n v="0"/>
    <n v="0"/>
    <m/>
    <m/>
    <n v="0"/>
    <n v="0"/>
    <m/>
    <m/>
    <n v="1668"/>
    <n v="5146"/>
    <n v="1343"/>
    <n v="2451"/>
    <n v="5211"/>
    <n v="7154"/>
    <n v="8222"/>
    <n v="342.58333333333331"/>
    <n v="14751"/>
    <n v="614.625"/>
    <n v="1810.8166666666666"/>
    <n v="2287.0916666666667"/>
  </r>
  <r>
    <x v="13"/>
    <s v="Alamo Community College District (ACCD)"/>
    <m/>
    <m/>
    <x v="14"/>
    <s v="sem"/>
    <m/>
    <n v="430985"/>
    <n v="433058"/>
    <n v="169444"/>
    <n v="163795"/>
    <n v="0"/>
    <n v="0"/>
    <n v="389795"/>
    <n v="390408"/>
    <n v="990224"/>
    <n v="33007.466666666667"/>
    <n v="987261"/>
    <n v="32908.699999999997"/>
    <n v="101836"/>
    <n v="122203"/>
    <n v="990224"/>
    <n v="987261"/>
    <n v="121834"/>
    <n v="90068"/>
    <n v="124619"/>
    <n v="91114"/>
    <n v="113169"/>
    <n v="76797"/>
    <n v="108828"/>
    <n v="110673"/>
    <n v="468450"/>
    <n v="520.5"/>
    <n v="368652"/>
    <n v="409.61333333333334"/>
    <m/>
    <m/>
    <n v="0"/>
    <n v="368652"/>
    <m/>
    <m/>
    <m/>
    <m/>
    <m/>
    <m/>
    <m/>
    <m/>
    <n v="0"/>
    <n v="0"/>
    <n v="0"/>
    <n v="0"/>
    <n v="33527.966666666667"/>
    <n v="33318.313333333332"/>
  </r>
  <r>
    <x v="13"/>
    <s v="Dallas County Community College District (DCCD)"/>
    <m/>
    <m/>
    <x v="14"/>
    <s v="sem"/>
    <m/>
    <n v="452073"/>
    <n v="435538"/>
    <n v="246005"/>
    <n v="265859"/>
    <n v="0"/>
    <n v="0"/>
    <n v="372587"/>
    <n v="361256"/>
    <n v="1070665"/>
    <n v="35688.833333333336"/>
    <n v="1062653"/>
    <n v="35421.76666666667"/>
    <n v="99402"/>
    <n v="115921"/>
    <n v="1070665"/>
    <n v="1062653"/>
    <n v="667581"/>
    <n v="704337"/>
    <n v="743759"/>
    <n v="619999"/>
    <n v="668339"/>
    <n v="483643"/>
    <n v="857965"/>
    <n v="683424"/>
    <n v="2937644"/>
    <n v="3264.048888888889"/>
    <n v="2491403"/>
    <n v="2768.2255555555557"/>
    <m/>
    <m/>
    <n v="0"/>
    <n v="2491403"/>
    <m/>
    <m/>
    <m/>
    <m/>
    <m/>
    <m/>
    <m/>
    <m/>
    <n v="0"/>
    <n v="0"/>
    <n v="0"/>
    <n v="0"/>
    <n v="38952.882222222222"/>
    <n v="38189.992222222223"/>
  </r>
  <r>
    <x v="13"/>
    <s v="Dallas County Community College District (DCCD)"/>
    <m/>
    <m/>
    <x v="15"/>
    <s v="sem"/>
    <m/>
    <n v="98613"/>
    <n v="103047"/>
    <n v="57593"/>
    <n v="59429"/>
    <n v="0"/>
    <n v="0"/>
    <n v="94249"/>
    <n v="95547"/>
    <n v="250455"/>
    <n v="8348.5"/>
    <n v="258023"/>
    <n v="8600.7666666666664"/>
    <n v="35199"/>
    <n v="41037"/>
    <n v="250455"/>
    <n v="258023"/>
    <n v="69722"/>
    <n v="73828"/>
    <n v="78385"/>
    <n v="59423"/>
    <n v="82049"/>
    <n v="98571"/>
    <n v="99165"/>
    <n v="59014"/>
    <n v="329321"/>
    <n v="365.91222222222223"/>
    <n v="290836"/>
    <n v="323.15111111111111"/>
    <m/>
    <m/>
    <n v="0"/>
    <n v="290836"/>
    <m/>
    <m/>
    <m/>
    <m/>
    <m/>
    <m/>
    <m/>
    <m/>
    <n v="0"/>
    <n v="0"/>
    <n v="0"/>
    <n v="0"/>
    <n v="8714.4122222222213"/>
    <n v="8923.9177777777768"/>
  </r>
  <r>
    <x v="13"/>
    <s v="Howard County Community/Junior College District (HCJCD)"/>
    <m/>
    <m/>
    <x v="15"/>
    <s v="sem"/>
    <m/>
    <n v="26056"/>
    <n v="26195"/>
    <n v="3688"/>
    <n v="4176"/>
    <n v="1600"/>
    <n v="1988"/>
    <n v="29553"/>
    <n v="32001"/>
    <n v="60897"/>
    <n v="2029.9"/>
    <n v="64360"/>
    <n v="2145.3333333333335"/>
    <n v="17667"/>
    <n v="19478"/>
    <n v="60897"/>
    <n v="64360"/>
    <n v="130658"/>
    <n v="124964"/>
    <n v="128260"/>
    <n v="137861"/>
    <n v="140947"/>
    <n v="132667"/>
    <n v="131190"/>
    <n v="136533"/>
    <n v="531055"/>
    <n v="590.06111111111113"/>
    <n v="532025"/>
    <n v="591.13888888888891"/>
    <m/>
    <m/>
    <n v="0"/>
    <n v="532025"/>
    <m/>
    <m/>
    <m/>
    <m/>
    <m/>
    <m/>
    <m/>
    <m/>
    <n v="0"/>
    <n v="0"/>
    <n v="0"/>
    <n v="0"/>
    <n v="2619.9611111111112"/>
    <n v="2736.4722222222226"/>
  </r>
  <r>
    <x v="13"/>
    <s v="Alamo Community College District (ACCD)"/>
    <m/>
    <m/>
    <x v="16"/>
    <s v="sem"/>
    <m/>
    <n v="15964"/>
    <n v="24471"/>
    <n v="7755"/>
    <n v="8443"/>
    <n v="0"/>
    <n v="0"/>
    <n v="19402"/>
    <n v="22699"/>
    <n v="43121"/>
    <n v="1437.3666666666666"/>
    <n v="55613"/>
    <n v="1853.7666666666667"/>
    <n v="24"/>
    <n v="0"/>
    <n v="43121"/>
    <n v="55613"/>
    <n v="1808"/>
    <n v="4520"/>
    <n v="552"/>
    <n v="10052"/>
    <n v="6528"/>
    <n v="2536"/>
    <n v="2680"/>
    <n v="1320"/>
    <n v="11568"/>
    <n v="12.853333333333333"/>
    <n v="18428"/>
    <n v="20.475555555555555"/>
    <m/>
    <m/>
    <n v="0"/>
    <n v="18428"/>
    <m/>
    <m/>
    <m/>
    <m/>
    <m/>
    <m/>
    <m/>
    <m/>
    <n v="0"/>
    <n v="0"/>
    <n v="0"/>
    <n v="0"/>
    <n v="1450.2199999999998"/>
    <n v="1874.2422222222222"/>
  </r>
  <r>
    <x v="13"/>
    <s v="Howard County Community/Junior College District (HCJCD)"/>
    <m/>
    <m/>
    <x v="16"/>
    <s v="sem"/>
    <m/>
    <n v="1121"/>
    <n v="1079"/>
    <n v="0"/>
    <n v="3"/>
    <n v="0"/>
    <n v="0"/>
    <n v="1219"/>
    <n v="1141"/>
    <n v="2340"/>
    <n v="78"/>
    <n v="2223"/>
    <n v="74.099999999999994"/>
    <n v="0"/>
    <n v="0"/>
    <n v="2340"/>
    <n v="2223"/>
    <n v="0"/>
    <n v="0"/>
    <n v="0"/>
    <n v="0"/>
    <n v="0"/>
    <n v="0"/>
    <n v="0"/>
    <n v="0"/>
    <n v="0"/>
    <n v="0"/>
    <n v="0"/>
    <n v="0"/>
    <m/>
    <m/>
    <n v="0"/>
    <n v="0"/>
    <m/>
    <m/>
    <m/>
    <m/>
    <m/>
    <m/>
    <m/>
    <m/>
    <n v="0"/>
    <n v="0"/>
    <n v="0"/>
    <n v="0"/>
    <n v="78"/>
    <n v="74.099999999999994"/>
  </r>
  <r>
    <x v="13"/>
    <s v="Texas State Technical College-North Texas"/>
    <s v="New Fall 2016"/>
    <m/>
    <x v="13"/>
    <s v="sem"/>
    <m/>
    <m/>
    <n v="0"/>
    <m/>
    <n v="0"/>
    <m/>
    <n v="0"/>
    <m/>
    <n v="2566"/>
    <n v="0"/>
    <n v="0"/>
    <n v="2566"/>
    <n v="85.533333333333331"/>
    <m/>
    <n v="0"/>
    <n v="0"/>
    <n v="2566"/>
    <m/>
    <m/>
    <m/>
    <m/>
    <m/>
    <m/>
    <m/>
    <m/>
    <n v="0"/>
    <n v="0"/>
    <n v="0"/>
    <n v="0"/>
    <m/>
    <m/>
    <n v="0"/>
    <n v="0"/>
    <m/>
    <m/>
    <m/>
    <m/>
    <m/>
    <m/>
    <m/>
    <m/>
    <n v="0"/>
    <n v="0"/>
    <n v="0"/>
    <n v="0"/>
    <n v="0"/>
    <n v="85.533333333333331"/>
  </r>
  <r>
    <x v="13"/>
    <s v="Texas State Technical College-Fort Bend"/>
    <s v="New Fall 2016"/>
    <m/>
    <x v="13"/>
    <s v="sem"/>
    <m/>
    <m/>
    <n v="0"/>
    <m/>
    <n v="0"/>
    <m/>
    <n v="0"/>
    <m/>
    <n v="2830"/>
    <n v="0"/>
    <n v="0"/>
    <n v="2830"/>
    <n v="94.333333333333329"/>
    <m/>
    <n v="0"/>
    <n v="0"/>
    <n v="2830"/>
    <m/>
    <m/>
    <m/>
    <m/>
    <m/>
    <m/>
    <m/>
    <m/>
    <n v="0"/>
    <n v="0"/>
    <n v="0"/>
    <n v="0"/>
    <m/>
    <m/>
    <n v="0"/>
    <n v="0"/>
    <m/>
    <m/>
    <m/>
    <m/>
    <m/>
    <m/>
    <m/>
    <m/>
    <n v="0"/>
    <n v="0"/>
    <n v="0"/>
    <n v="0"/>
    <n v="0"/>
    <n v="94.333333333333329"/>
  </r>
  <r>
    <x v="14"/>
    <s v="George Mason University "/>
    <m/>
    <n v="232186"/>
    <x v="0"/>
    <s v="sem"/>
    <m/>
    <m/>
    <m/>
    <n v="284102"/>
    <n v="294967.5"/>
    <n v="53435"/>
    <n v="52960"/>
    <n v="302855.5"/>
    <n v="316483"/>
    <n v="640392.5"/>
    <n v="21346.416666666668"/>
    <n v="664410.5"/>
    <n v="22147.016666666666"/>
    <n v="16141"/>
    <n v="15812"/>
    <n v="640392.5"/>
    <n v="664410.5"/>
    <m/>
    <m/>
    <m/>
    <m/>
    <m/>
    <m/>
    <m/>
    <m/>
    <n v="0"/>
    <n v="0"/>
    <n v="0"/>
    <n v="0"/>
    <m/>
    <m/>
    <n v="0"/>
    <n v="0"/>
    <m/>
    <m/>
    <n v="72782"/>
    <n v="71093.8"/>
    <n v="18432"/>
    <n v="17389"/>
    <n v="72083.5"/>
    <n v="74714.5"/>
    <n v="163297.5"/>
    <n v="6804.0625"/>
    <n v="163197.29999999999"/>
    <n v="6799.8874999999998"/>
    <n v="28150.479166666668"/>
    <n v="28946.904166666667"/>
  </r>
  <r>
    <x v="14"/>
    <s v="Old Dominion University "/>
    <m/>
    <n v="232982"/>
    <x v="0"/>
    <s v="sem"/>
    <m/>
    <m/>
    <m/>
    <n v="224529"/>
    <n v="224955"/>
    <n v="55397"/>
    <n v="54737"/>
    <n v="245454"/>
    <n v="242315"/>
    <n v="525380"/>
    <n v="17512.666666666668"/>
    <n v="522007"/>
    <n v="17400.233333333334"/>
    <n v="66"/>
    <n v="73"/>
    <n v="525380"/>
    <n v="522007"/>
    <m/>
    <m/>
    <m/>
    <m/>
    <m/>
    <m/>
    <m/>
    <m/>
    <n v="0"/>
    <n v="0"/>
    <n v="0"/>
    <n v="0"/>
    <m/>
    <m/>
    <n v="0"/>
    <n v="0"/>
    <m/>
    <m/>
    <n v="27242"/>
    <n v="25957"/>
    <n v="13603"/>
    <n v="13362"/>
    <n v="27178"/>
    <n v="26908"/>
    <n v="68023"/>
    <n v="2834.2916666666665"/>
    <n v="66227"/>
    <n v="2759.4583333333335"/>
    <n v="20346.958333333336"/>
    <n v="20159.691666666666"/>
  </r>
  <r>
    <x v="14"/>
    <s v="University of Virginia"/>
    <m/>
    <n v="234076"/>
    <x v="0"/>
    <s v="sem"/>
    <m/>
    <m/>
    <m/>
    <n v="230413"/>
    <n v="236143"/>
    <n v="18270"/>
    <n v="17273"/>
    <n v="239828.5"/>
    <n v="237561"/>
    <n v="488511.5"/>
    <n v="16283.716666666667"/>
    <n v="490977"/>
    <n v="16365.9"/>
    <n v="0"/>
    <n v="0"/>
    <n v="488511.5"/>
    <n v="490977"/>
    <m/>
    <m/>
    <m/>
    <m/>
    <m/>
    <m/>
    <m/>
    <m/>
    <n v="0"/>
    <n v="0"/>
    <n v="0"/>
    <n v="0"/>
    <m/>
    <m/>
    <n v="0"/>
    <n v="0"/>
    <m/>
    <m/>
    <n v="83438.5"/>
    <n v="82177"/>
    <n v="14352"/>
    <n v="14278"/>
    <n v="83050"/>
    <n v="85854"/>
    <n v="180840.5"/>
    <n v="7535.020833333333"/>
    <n v="182309"/>
    <n v="7596.208333333333"/>
    <n v="23818.737499999999"/>
    <n v="23962.108333333334"/>
  </r>
  <r>
    <x v="14"/>
    <s v="Virginia Commonwealth University"/>
    <m/>
    <n v="234030"/>
    <x v="0"/>
    <s v="sem"/>
    <m/>
    <m/>
    <m/>
    <n v="298822"/>
    <n v="295047.5"/>
    <n v="39960.5"/>
    <n v="37762.5"/>
    <n v="322337.5"/>
    <n v="323259"/>
    <n v="661120"/>
    <n v="22037.333333333332"/>
    <n v="656069"/>
    <n v="21868.966666666667"/>
    <n v="7673"/>
    <n v="7729"/>
    <n v="661120"/>
    <n v="656069"/>
    <m/>
    <m/>
    <m/>
    <m/>
    <m/>
    <m/>
    <m/>
    <m/>
    <n v="0"/>
    <n v="0"/>
    <n v="0"/>
    <n v="0"/>
    <m/>
    <m/>
    <n v="0"/>
    <n v="0"/>
    <m/>
    <m/>
    <n v="59693.5"/>
    <n v="60278"/>
    <n v="11708.5"/>
    <n v="11847.5"/>
    <n v="61948.5"/>
    <n v="60692.5"/>
    <n v="133350.5"/>
    <n v="5556.270833333333"/>
    <n v="132818"/>
    <n v="5534.083333333333"/>
    <n v="27593.604166666664"/>
    <n v="27403.05"/>
  </r>
  <r>
    <x v="14"/>
    <s v="Virginia Tech "/>
    <m/>
    <n v="233921"/>
    <x v="0"/>
    <s v="sem"/>
    <m/>
    <m/>
    <m/>
    <n v="359738"/>
    <n v="374222"/>
    <n v="33893"/>
    <n v="33106"/>
    <n v="389183"/>
    <n v="394355"/>
    <n v="782814"/>
    <n v="26093.8"/>
    <n v="801683"/>
    <n v="26722.766666666666"/>
    <n v="0"/>
    <n v="0"/>
    <n v="782814"/>
    <n v="801683"/>
    <m/>
    <m/>
    <m/>
    <m/>
    <m/>
    <m/>
    <m/>
    <m/>
    <n v="0"/>
    <n v="0"/>
    <n v="0"/>
    <n v="0"/>
    <m/>
    <m/>
    <n v="0"/>
    <n v="0"/>
    <m/>
    <m/>
    <n v="64843"/>
    <n v="67544"/>
    <n v="7661"/>
    <n v="6357"/>
    <n v="69586"/>
    <n v="72129"/>
    <n v="142090"/>
    <n v="5920.416666666667"/>
    <n v="146030"/>
    <n v="6084.583333333333"/>
    <n v="32014.216666666667"/>
    <n v="32807.35"/>
  </r>
  <r>
    <x v="14"/>
    <s v="College of William &amp; Mary"/>
    <m/>
    <n v="231624"/>
    <x v="1"/>
    <s v="sem"/>
    <m/>
    <m/>
    <m/>
    <n v="86903.6"/>
    <n v="87109.3"/>
    <n v="8631"/>
    <n v="8911"/>
    <n v="90795.3"/>
    <n v="90343.3"/>
    <n v="186329.90000000002"/>
    <n v="6210.9966666666678"/>
    <n v="186363.6"/>
    <n v="6212.12"/>
    <n v="0"/>
    <n v="0"/>
    <n v="186329.90000000002"/>
    <n v="186363.6"/>
    <m/>
    <m/>
    <m/>
    <m/>
    <m/>
    <m/>
    <m/>
    <m/>
    <n v="0"/>
    <n v="0"/>
    <n v="0"/>
    <n v="0"/>
    <m/>
    <m/>
    <n v="0"/>
    <n v="0"/>
    <m/>
    <m/>
    <n v="24289.5"/>
    <n v="25992.5"/>
    <n v="4353.5"/>
    <n v="3994"/>
    <n v="26074"/>
    <n v="27906.5"/>
    <n v="54717"/>
    <n v="2279.875"/>
    <n v="57893"/>
    <n v="2412.2083333333335"/>
    <n v="8490.8716666666678"/>
    <n v="8624.3283333333329"/>
  </r>
  <r>
    <x v="14"/>
    <s v="James Madison University"/>
    <m/>
    <n v="232423"/>
    <x v="2"/>
    <s v="sem"/>
    <m/>
    <m/>
    <m/>
    <n v="261923"/>
    <n v="266631"/>
    <n v="27605"/>
    <n v="29862"/>
    <n v="283191"/>
    <n v="284856"/>
    <n v="572719"/>
    <n v="19090.633333333335"/>
    <n v="581349"/>
    <n v="19378.3"/>
    <n v="6114"/>
    <n v="4824"/>
    <n v="572719"/>
    <n v="581349"/>
    <m/>
    <m/>
    <m/>
    <m/>
    <m/>
    <m/>
    <m/>
    <m/>
    <n v="0"/>
    <n v="0"/>
    <n v="0"/>
    <n v="0"/>
    <m/>
    <m/>
    <n v="0"/>
    <n v="0"/>
    <m/>
    <m/>
    <n v="13061"/>
    <n v="13550"/>
    <n v="7160"/>
    <n v="7325"/>
    <n v="15034"/>
    <n v="14382"/>
    <n v="35255"/>
    <n v="1468.9583333333333"/>
    <n v="35257"/>
    <n v="1469.0416666666667"/>
    <n v="20559.591666666667"/>
    <n v="20847.341666666667"/>
  </r>
  <r>
    <x v="14"/>
    <s v="Longwood University "/>
    <m/>
    <n v="232566"/>
    <x v="2"/>
    <s v="sem"/>
    <m/>
    <m/>
    <m/>
    <n v="61851"/>
    <n v="61622"/>
    <n v="9954"/>
    <n v="9765"/>
    <n v="63561"/>
    <n v="60712.5"/>
    <n v="135366"/>
    <n v="4512.2"/>
    <n v="132099.5"/>
    <n v="4403.3166666666666"/>
    <n v="1346"/>
    <n v="1998"/>
    <n v="135366"/>
    <n v="132099.5"/>
    <m/>
    <m/>
    <m/>
    <m/>
    <m/>
    <m/>
    <m/>
    <m/>
    <n v="0"/>
    <n v="0"/>
    <n v="0"/>
    <n v="0"/>
    <m/>
    <m/>
    <n v="0"/>
    <n v="0"/>
    <m/>
    <m/>
    <n v="2818"/>
    <n v="2773"/>
    <n v="2848"/>
    <n v="2303"/>
    <n v="2935"/>
    <n v="3084"/>
    <n v="8601"/>
    <n v="358.375"/>
    <n v="8160"/>
    <n v="340"/>
    <n v="4870.5749999999998"/>
    <n v="4743.3166666666666"/>
  </r>
  <r>
    <x v="14"/>
    <s v="Norfolk State University "/>
    <m/>
    <n v="232937"/>
    <x v="2"/>
    <s v="sem"/>
    <m/>
    <m/>
    <m/>
    <n v="65661"/>
    <n v="55394"/>
    <n v="7911"/>
    <n v="7778"/>
    <n v="61923"/>
    <n v="65164"/>
    <n v="135495"/>
    <n v="4516.5"/>
    <n v="128336"/>
    <n v="4277.8666666666668"/>
    <n v="433"/>
    <n v="331"/>
    <n v="135495"/>
    <n v="128336"/>
    <m/>
    <m/>
    <m/>
    <m/>
    <m/>
    <m/>
    <m/>
    <m/>
    <n v="0"/>
    <n v="0"/>
    <n v="0"/>
    <n v="0"/>
    <m/>
    <m/>
    <n v="0"/>
    <n v="0"/>
    <m/>
    <m/>
    <n v="5212"/>
    <n v="4807"/>
    <n v="701"/>
    <n v="608"/>
    <n v="5106"/>
    <n v="5923"/>
    <n v="11019"/>
    <n v="459.125"/>
    <n v="11338"/>
    <n v="472.41666666666669"/>
    <n v="4975.625"/>
    <n v="4750.2833333333338"/>
  </r>
  <r>
    <x v="14"/>
    <s v="Radford University"/>
    <s v="Met the criteria for Four-Year 2 in 2016-17."/>
    <n v="233277"/>
    <x v="2"/>
    <s v="sem"/>
    <m/>
    <m/>
    <m/>
    <n v="121297"/>
    <n v="120134"/>
    <n v="11066"/>
    <n v="10497"/>
    <n v="130137"/>
    <n v="124328"/>
    <n v="262500"/>
    <n v="8750"/>
    <n v="254959"/>
    <n v="8498.6333333333332"/>
    <n v="0"/>
    <n v="0"/>
    <n v="262500"/>
    <n v="254959"/>
    <m/>
    <m/>
    <m/>
    <m/>
    <m/>
    <m/>
    <m/>
    <m/>
    <n v="0"/>
    <n v="0"/>
    <n v="0"/>
    <n v="0"/>
    <m/>
    <m/>
    <n v="0"/>
    <n v="0"/>
    <m/>
    <m/>
    <n v="7624"/>
    <n v="7533"/>
    <n v="3713"/>
    <n v="3587"/>
    <n v="7863"/>
    <n v="8338"/>
    <n v="19200"/>
    <n v="800"/>
    <n v="19458"/>
    <n v="810.75"/>
    <n v="9550"/>
    <n v="9309.3833333333332"/>
  </r>
  <r>
    <x v="14"/>
    <s v="University of Mary Washington "/>
    <m/>
    <n v="232681"/>
    <x v="2"/>
    <s v="sem"/>
    <m/>
    <m/>
    <m/>
    <n v="54910"/>
    <n v="55543"/>
    <n v="4690"/>
    <n v="4894"/>
    <n v="59702"/>
    <n v="60157"/>
    <n v="119302"/>
    <n v="3976.7333333333331"/>
    <n v="120594"/>
    <n v="4019.8"/>
    <n v="54"/>
    <n v="32"/>
    <n v="119302"/>
    <n v="120594"/>
    <m/>
    <m/>
    <m/>
    <m/>
    <m/>
    <m/>
    <m/>
    <m/>
    <n v="0"/>
    <n v="0"/>
    <n v="0"/>
    <n v="0"/>
    <m/>
    <m/>
    <n v="0"/>
    <n v="0"/>
    <m/>
    <m/>
    <n v="2164.4"/>
    <n v="2041"/>
    <n v="1070"/>
    <n v="1048"/>
    <n v="2417"/>
    <n v="2470"/>
    <n v="5651.4"/>
    <n v="235.47499999999999"/>
    <n v="5559"/>
    <n v="231.625"/>
    <n v="4212.208333333333"/>
    <n v="4251.4250000000002"/>
  </r>
  <r>
    <x v="14"/>
    <s v="Virginia State University "/>
    <m/>
    <n v="234155"/>
    <x v="2"/>
    <s v="sem"/>
    <m/>
    <m/>
    <m/>
    <n v="63192"/>
    <n v="58666"/>
    <n v="3465"/>
    <n v="3911"/>
    <n v="66136"/>
    <n v="63436.9"/>
    <n v="132793"/>
    <n v="4426.4333333333334"/>
    <n v="126013.9"/>
    <n v="4200.4633333333331"/>
    <n v="0"/>
    <n v="0"/>
    <n v="132793"/>
    <n v="126013.9"/>
    <m/>
    <m/>
    <m/>
    <m/>
    <m/>
    <m/>
    <m/>
    <m/>
    <n v="0"/>
    <n v="0"/>
    <n v="0"/>
    <n v="0"/>
    <m/>
    <m/>
    <n v="0"/>
    <n v="0"/>
    <m/>
    <m/>
    <n v="3594"/>
    <n v="3134"/>
    <n v="609"/>
    <n v="447"/>
    <n v="3392"/>
    <n v="3427"/>
    <n v="7595"/>
    <n v="316.45833333333331"/>
    <n v="7008"/>
    <n v="292"/>
    <n v="4742.8916666666664"/>
    <n v="4492.4633333333331"/>
  </r>
  <r>
    <x v="14"/>
    <s v="Christopher Newport University"/>
    <s v="Met the criteria for Four-Year 4 in 2016-17."/>
    <n v="231712"/>
    <x v="4"/>
    <s v="sem"/>
    <m/>
    <m/>
    <m/>
    <n v="71331"/>
    <n v="70932"/>
    <n v="1203"/>
    <n v="1249"/>
    <n v="75257"/>
    <n v="73809"/>
    <n v="147791"/>
    <n v="4926.3666666666668"/>
    <n v="145990"/>
    <n v="4866.333333333333"/>
    <n v="57"/>
    <n v="102"/>
    <n v="147791"/>
    <n v="145990"/>
    <m/>
    <m/>
    <m/>
    <m/>
    <m/>
    <m/>
    <m/>
    <m/>
    <n v="0"/>
    <n v="0"/>
    <n v="0"/>
    <n v="0"/>
    <m/>
    <m/>
    <n v="0"/>
    <n v="0"/>
    <m/>
    <m/>
    <n v="1284"/>
    <n v="1250"/>
    <n v="613"/>
    <n v="638"/>
    <n v="1385"/>
    <n v="1392"/>
    <n v="3282"/>
    <n v="136.75"/>
    <n v="3280"/>
    <n v="136.66666666666666"/>
    <n v="5063.1166666666668"/>
    <n v="5003"/>
  </r>
  <r>
    <x v="14"/>
    <s v="University of Virginia's College at Wise "/>
    <m/>
    <n v="233897"/>
    <x v="5"/>
    <s v="sem"/>
    <m/>
    <m/>
    <m/>
    <n v="23496"/>
    <n v="21350"/>
    <n v="5708"/>
    <n v="5569"/>
    <n v="22802"/>
    <n v="22912"/>
    <n v="52006"/>
    <n v="1733.5333333333333"/>
    <n v="49831"/>
    <n v="1661.0333333333333"/>
    <n v="449"/>
    <n v="432"/>
    <n v="52006"/>
    <n v="49831"/>
    <m/>
    <m/>
    <m/>
    <m/>
    <m/>
    <m/>
    <m/>
    <m/>
    <n v="0"/>
    <n v="0"/>
    <n v="0"/>
    <n v="0"/>
    <m/>
    <m/>
    <n v="0"/>
    <n v="0"/>
    <m/>
    <m/>
    <m/>
    <m/>
    <m/>
    <m/>
    <m/>
    <m/>
    <n v="0"/>
    <n v="0"/>
    <n v="0"/>
    <n v="0"/>
    <n v="1733.5333333333333"/>
    <n v="1661.0333333333333"/>
  </r>
  <r>
    <x v="14"/>
    <s v="J.S. Reynolds Community College"/>
    <s v="Met the criteria for Two-Year 2 in 2016-17. "/>
    <n v="232414"/>
    <x v="6"/>
    <s v="sem"/>
    <m/>
    <m/>
    <m/>
    <n v="92271"/>
    <n v="82868"/>
    <n v="33671"/>
    <n v="31545"/>
    <n v="90084"/>
    <n v="85469"/>
    <n v="216026"/>
    <n v="7200.8666666666668"/>
    <n v="199882"/>
    <n v="6662.7333333333336"/>
    <n v="16807"/>
    <n v="23240"/>
    <n v="216026"/>
    <n v="199882"/>
    <m/>
    <m/>
    <m/>
    <m/>
    <m/>
    <m/>
    <m/>
    <m/>
    <n v="0"/>
    <n v="0"/>
    <n v="0"/>
    <n v="0"/>
    <m/>
    <m/>
    <n v="0"/>
    <n v="0"/>
    <m/>
    <m/>
    <m/>
    <m/>
    <m/>
    <m/>
    <m/>
    <m/>
    <n v="0"/>
    <n v="0"/>
    <n v="0"/>
    <n v="0"/>
    <n v="7200.8666666666668"/>
    <n v="6662.7333333333336"/>
  </r>
  <r>
    <x v="14"/>
    <s v="John Tyler Community College"/>
    <s v="Met the criteria for Two-Year 2 in 2016-17. "/>
    <n v="232450"/>
    <x v="6"/>
    <s v="sem"/>
    <m/>
    <m/>
    <m/>
    <n v="70008"/>
    <n v="70277"/>
    <n v="18698"/>
    <n v="18859"/>
    <n v="76688"/>
    <n v="73885"/>
    <n v="165394"/>
    <n v="5513.1333333333332"/>
    <n v="163021"/>
    <n v="5434.0333333333338"/>
    <n v="45125"/>
    <n v="50106"/>
    <n v="165394"/>
    <n v="163021"/>
    <m/>
    <m/>
    <m/>
    <m/>
    <m/>
    <m/>
    <m/>
    <m/>
    <n v="0"/>
    <n v="0"/>
    <n v="0"/>
    <n v="0"/>
    <m/>
    <m/>
    <n v="0"/>
    <n v="0"/>
    <m/>
    <m/>
    <m/>
    <m/>
    <m/>
    <m/>
    <m/>
    <m/>
    <n v="0"/>
    <n v="0"/>
    <n v="0"/>
    <n v="0"/>
    <n v="5513.1333333333332"/>
    <n v="5434.0333333333338"/>
  </r>
  <r>
    <x v="14"/>
    <s v="Northern Virginia Community College "/>
    <m/>
    <n v="232946"/>
    <x v="6"/>
    <s v="sem"/>
    <m/>
    <m/>
    <m/>
    <n v="426055.5"/>
    <n v="418452"/>
    <n v="157192"/>
    <n v="148052.5"/>
    <n v="453988"/>
    <n v="435968"/>
    <n v="1037235.5"/>
    <n v="34574.51666666667"/>
    <n v="1002472.5"/>
    <n v="33415.75"/>
    <n v="62676"/>
    <n v="86358"/>
    <n v="1037235.5"/>
    <n v="1002472.5"/>
    <m/>
    <m/>
    <m/>
    <m/>
    <m/>
    <m/>
    <m/>
    <m/>
    <n v="0"/>
    <n v="0"/>
    <n v="0"/>
    <n v="0"/>
    <m/>
    <m/>
    <n v="0"/>
    <n v="0"/>
    <m/>
    <m/>
    <m/>
    <m/>
    <m/>
    <m/>
    <m/>
    <m/>
    <n v="0"/>
    <n v="0"/>
    <n v="0"/>
    <n v="0"/>
    <n v="34574.51666666667"/>
    <n v="33415.75"/>
  </r>
  <r>
    <x v="14"/>
    <s v="Thomas Nelson Community College "/>
    <s v="Met the criteria for Two-Year 2 in 2016-17. "/>
    <n v="233754"/>
    <x v="6"/>
    <s v="sem"/>
    <m/>
    <m/>
    <m/>
    <n v="81747"/>
    <n v="75576"/>
    <n v="23591"/>
    <n v="23811"/>
    <n v="81214"/>
    <n v="76037"/>
    <n v="186552"/>
    <n v="6218.4"/>
    <n v="175424"/>
    <n v="5847.4666666666662"/>
    <n v="18578"/>
    <n v="20873"/>
    <n v="186552"/>
    <n v="175424"/>
    <m/>
    <m/>
    <m/>
    <m/>
    <m/>
    <m/>
    <m/>
    <m/>
    <n v="0"/>
    <n v="0"/>
    <n v="0"/>
    <n v="0"/>
    <m/>
    <m/>
    <n v="0"/>
    <n v="0"/>
    <m/>
    <m/>
    <m/>
    <m/>
    <m/>
    <m/>
    <m/>
    <m/>
    <n v="0"/>
    <n v="0"/>
    <n v="0"/>
    <n v="0"/>
    <n v="6218.4"/>
    <n v="5847.4666666666662"/>
  </r>
  <r>
    <x v="14"/>
    <s v="Tidewater Community College "/>
    <m/>
    <n v="233772"/>
    <x v="6"/>
    <s v="sem"/>
    <m/>
    <m/>
    <m/>
    <n v="233794"/>
    <n v="211185"/>
    <n v="75337"/>
    <n v="76138"/>
    <n v="233258"/>
    <n v="213676"/>
    <n v="542389"/>
    <n v="18079.633333333335"/>
    <n v="500999"/>
    <n v="16699.966666666667"/>
    <n v="23955"/>
    <n v="26516"/>
    <n v="542389"/>
    <n v="500999"/>
    <m/>
    <m/>
    <m/>
    <m/>
    <m/>
    <m/>
    <m/>
    <m/>
    <n v="0"/>
    <n v="0"/>
    <n v="0"/>
    <n v="0"/>
    <m/>
    <m/>
    <n v="0"/>
    <n v="0"/>
    <m/>
    <m/>
    <m/>
    <m/>
    <m/>
    <m/>
    <m/>
    <m/>
    <n v="0"/>
    <n v="0"/>
    <n v="0"/>
    <n v="0"/>
    <n v="18079.633333333335"/>
    <n v="16699.966666666667"/>
  </r>
  <r>
    <x v="14"/>
    <s v="Blue Ridge Community College "/>
    <s v="Met the criteria for Two-Year 3 in 2016-17. "/>
    <n v="231536"/>
    <x v="7"/>
    <s v="sem"/>
    <m/>
    <m/>
    <m/>
    <n v="35738"/>
    <n v="32321"/>
    <n v="9397"/>
    <n v="9323"/>
    <n v="36911"/>
    <n v="34993"/>
    <n v="82046"/>
    <n v="2734.8666666666668"/>
    <n v="76637"/>
    <n v="2554.5666666666666"/>
    <n v="11167"/>
    <n v="13414"/>
    <n v="82046"/>
    <n v="76637"/>
    <m/>
    <m/>
    <m/>
    <m/>
    <m/>
    <m/>
    <m/>
    <m/>
    <n v="0"/>
    <n v="0"/>
    <n v="0"/>
    <n v="0"/>
    <m/>
    <m/>
    <n v="0"/>
    <n v="0"/>
    <m/>
    <m/>
    <m/>
    <m/>
    <m/>
    <m/>
    <m/>
    <m/>
    <n v="0"/>
    <n v="0"/>
    <n v="0"/>
    <n v="0"/>
    <n v="2734.8666666666668"/>
    <n v="2554.5666666666666"/>
  </r>
  <r>
    <x v="14"/>
    <s v="Central Virginia Community College "/>
    <s v="Met the criteria for Two-Year 3 in 2016-17. "/>
    <n v="231697"/>
    <x v="7"/>
    <s v="sem"/>
    <m/>
    <m/>
    <m/>
    <n v="33880"/>
    <n v="32641"/>
    <n v="7373"/>
    <n v="7733"/>
    <n v="36608"/>
    <n v="35006"/>
    <n v="77861"/>
    <n v="2595.3666666666668"/>
    <n v="75380"/>
    <n v="2512.6666666666665"/>
    <n v="35848"/>
    <n v="35767"/>
    <n v="77861"/>
    <n v="75380"/>
    <m/>
    <m/>
    <m/>
    <m/>
    <m/>
    <m/>
    <m/>
    <m/>
    <n v="0"/>
    <n v="0"/>
    <n v="0"/>
    <n v="0"/>
    <m/>
    <m/>
    <n v="0"/>
    <n v="0"/>
    <m/>
    <m/>
    <m/>
    <m/>
    <m/>
    <m/>
    <m/>
    <m/>
    <n v="0"/>
    <n v="0"/>
    <n v="0"/>
    <n v="0"/>
    <n v="2595.3666666666668"/>
    <n v="2512.6666666666665"/>
  </r>
  <r>
    <x v="14"/>
    <s v="Danville Community College "/>
    <s v="Met the criteria for Two-Year 3 in 2016-17. "/>
    <n v="231882"/>
    <x v="7"/>
    <s v="sem"/>
    <m/>
    <m/>
    <m/>
    <n v="29759"/>
    <n v="28105"/>
    <n v="7890"/>
    <n v="7174"/>
    <n v="31445"/>
    <n v="28976"/>
    <n v="69094"/>
    <n v="2303.1333333333332"/>
    <n v="64255"/>
    <n v="2141.8333333333335"/>
    <n v="30058"/>
    <n v="31375"/>
    <n v="69094"/>
    <n v="64255"/>
    <m/>
    <m/>
    <m/>
    <m/>
    <m/>
    <m/>
    <m/>
    <m/>
    <n v="0"/>
    <n v="0"/>
    <n v="0"/>
    <n v="0"/>
    <m/>
    <m/>
    <n v="0"/>
    <n v="0"/>
    <m/>
    <m/>
    <m/>
    <m/>
    <m/>
    <m/>
    <m/>
    <m/>
    <n v="0"/>
    <n v="0"/>
    <n v="0"/>
    <n v="0"/>
    <n v="2303.1333333333332"/>
    <n v="2141.8333333333335"/>
  </r>
  <r>
    <x v="14"/>
    <s v="Germanna Community College"/>
    <m/>
    <n v="232195"/>
    <x v="7"/>
    <s v="sem"/>
    <m/>
    <m/>
    <m/>
    <n v="57447"/>
    <n v="53995"/>
    <n v="16103"/>
    <n v="15454"/>
    <n v="59548"/>
    <n v="56321"/>
    <n v="133098"/>
    <n v="4436.6000000000004"/>
    <n v="125770"/>
    <n v="4192.333333333333"/>
    <n v="21287"/>
    <n v="22873"/>
    <n v="133098"/>
    <n v="125770"/>
    <m/>
    <m/>
    <m/>
    <m/>
    <m/>
    <m/>
    <m/>
    <m/>
    <n v="0"/>
    <n v="0"/>
    <n v="0"/>
    <n v="0"/>
    <m/>
    <m/>
    <n v="0"/>
    <n v="0"/>
    <m/>
    <m/>
    <m/>
    <m/>
    <m/>
    <m/>
    <m/>
    <m/>
    <n v="0"/>
    <n v="0"/>
    <n v="0"/>
    <n v="0"/>
    <n v="4436.6000000000004"/>
    <n v="4192.333333333333"/>
  </r>
  <r>
    <x v="14"/>
    <s v="Lord Fairfax Community College"/>
    <m/>
    <n v="232575"/>
    <x v="7"/>
    <s v="sem"/>
    <m/>
    <m/>
    <m/>
    <n v="50535"/>
    <n v="48707"/>
    <n v="12607"/>
    <n v="12209"/>
    <n v="57424"/>
    <n v="57039"/>
    <n v="120566"/>
    <n v="4018.8666666666668"/>
    <n v="117955"/>
    <n v="3931.8333333333335"/>
    <n v="54418"/>
    <n v="61508"/>
    <n v="120566"/>
    <n v="117955"/>
    <m/>
    <m/>
    <m/>
    <m/>
    <m/>
    <m/>
    <m/>
    <m/>
    <n v="0"/>
    <n v="0"/>
    <n v="0"/>
    <n v="0"/>
    <m/>
    <m/>
    <n v="0"/>
    <n v="0"/>
    <m/>
    <m/>
    <m/>
    <m/>
    <m/>
    <m/>
    <m/>
    <m/>
    <n v="0"/>
    <n v="0"/>
    <n v="0"/>
    <n v="0"/>
    <n v="4018.8666666666668"/>
    <n v="3931.8333333333335"/>
  </r>
  <r>
    <x v="14"/>
    <s v="New River Community College "/>
    <s v="Met the criteria for Two-Year 3 in 2016-17. "/>
    <n v="232867"/>
    <x v="7"/>
    <s v="sem"/>
    <m/>
    <m/>
    <m/>
    <n v="38000"/>
    <n v="36576"/>
    <n v="6990"/>
    <n v="7546"/>
    <n v="40612"/>
    <n v="40547"/>
    <n v="85602"/>
    <n v="2853.4"/>
    <n v="84669"/>
    <n v="2822.3"/>
    <n v="32411"/>
    <n v="34733"/>
    <n v="85602"/>
    <n v="84669"/>
    <m/>
    <m/>
    <m/>
    <m/>
    <m/>
    <m/>
    <m/>
    <m/>
    <n v="0"/>
    <n v="0"/>
    <n v="0"/>
    <n v="0"/>
    <m/>
    <m/>
    <n v="0"/>
    <n v="0"/>
    <m/>
    <m/>
    <m/>
    <m/>
    <m/>
    <m/>
    <m/>
    <m/>
    <n v="0"/>
    <n v="0"/>
    <n v="0"/>
    <n v="0"/>
    <n v="2853.4"/>
    <n v="2822.3"/>
  </r>
  <r>
    <x v="14"/>
    <s v="Patrick Henry Community College "/>
    <s v="Met the criteria for Two-Year 3 in 2015-16 and 2016-17. "/>
    <n v="233019"/>
    <x v="7"/>
    <s v="sem"/>
    <m/>
    <m/>
    <m/>
    <n v="26551"/>
    <n v="23661"/>
    <n v="5567"/>
    <n v="4084"/>
    <n v="26748"/>
    <n v="25433"/>
    <n v="58866"/>
    <n v="1962.2"/>
    <n v="53178"/>
    <n v="1772.6"/>
    <n v="28079"/>
    <n v="27314"/>
    <n v="58866"/>
    <n v="53178"/>
    <m/>
    <m/>
    <m/>
    <m/>
    <m/>
    <m/>
    <m/>
    <m/>
    <n v="0"/>
    <n v="0"/>
    <n v="0"/>
    <n v="0"/>
    <m/>
    <m/>
    <n v="0"/>
    <n v="0"/>
    <m/>
    <m/>
    <m/>
    <m/>
    <m/>
    <m/>
    <m/>
    <m/>
    <n v="0"/>
    <n v="0"/>
    <n v="0"/>
    <n v="0"/>
    <n v="1962.2"/>
    <n v="1772.6"/>
  </r>
  <r>
    <x v="14"/>
    <s v="Piedmont Virginia Community College "/>
    <s v="Met the criteria for Two-Year 3 in 2016-17. "/>
    <n v="233116"/>
    <x v="7"/>
    <s v="sem"/>
    <m/>
    <m/>
    <m/>
    <n v="37878"/>
    <n v="37876"/>
    <n v="10353"/>
    <n v="10543"/>
    <n v="41071"/>
    <n v="41340"/>
    <n v="89302"/>
    <n v="2976.7333333333331"/>
    <n v="89759"/>
    <n v="2991.9666666666667"/>
    <n v="31786"/>
    <n v="35215"/>
    <n v="89302"/>
    <n v="89759"/>
    <m/>
    <m/>
    <m/>
    <m/>
    <m/>
    <m/>
    <m/>
    <m/>
    <n v="0"/>
    <n v="0"/>
    <n v="0"/>
    <n v="0"/>
    <m/>
    <m/>
    <n v="0"/>
    <n v="0"/>
    <m/>
    <m/>
    <m/>
    <m/>
    <m/>
    <m/>
    <m/>
    <m/>
    <n v="0"/>
    <n v="0"/>
    <n v="0"/>
    <n v="0"/>
    <n v="2976.7333333333331"/>
    <n v="2991.9666666666667"/>
  </r>
  <r>
    <x v="14"/>
    <s v="Southside Virginia Community College"/>
    <s v="Met the criteria for Two-Year 3 in 2016-17. "/>
    <n v="233639"/>
    <x v="7"/>
    <s v="sem"/>
    <m/>
    <m/>
    <m/>
    <n v="40879"/>
    <n v="35617"/>
    <n v="9566"/>
    <n v="8554"/>
    <n v="39757"/>
    <n v="34593"/>
    <n v="90202"/>
    <n v="3006.7333333333331"/>
    <n v="78764"/>
    <n v="2625.4666666666667"/>
    <n v="67449"/>
    <n v="63570"/>
    <n v="90202"/>
    <n v="78764"/>
    <m/>
    <m/>
    <m/>
    <m/>
    <m/>
    <m/>
    <m/>
    <m/>
    <n v="0"/>
    <n v="0"/>
    <n v="0"/>
    <n v="0"/>
    <m/>
    <m/>
    <n v="0"/>
    <n v="0"/>
    <m/>
    <m/>
    <m/>
    <m/>
    <m/>
    <m/>
    <m/>
    <m/>
    <n v="0"/>
    <n v="0"/>
    <n v="0"/>
    <n v="0"/>
    <n v="3006.7333333333331"/>
    <n v="2625.4666666666667"/>
  </r>
  <r>
    <x v="14"/>
    <s v="Virginia Western Community College "/>
    <m/>
    <n v="233949"/>
    <x v="7"/>
    <s v="sem"/>
    <m/>
    <m/>
    <m/>
    <n v="65732"/>
    <n v="59662"/>
    <n v="15306"/>
    <n v="14829"/>
    <n v="62563"/>
    <n v="62890"/>
    <n v="143601"/>
    <n v="4786.7"/>
    <n v="137381"/>
    <n v="4579.3666666666668"/>
    <n v="57799"/>
    <n v="56586"/>
    <n v="143601"/>
    <n v="137381"/>
    <m/>
    <m/>
    <m/>
    <m/>
    <m/>
    <m/>
    <m/>
    <m/>
    <n v="0"/>
    <n v="0"/>
    <n v="0"/>
    <n v="0"/>
    <m/>
    <m/>
    <n v="0"/>
    <n v="0"/>
    <m/>
    <m/>
    <m/>
    <m/>
    <m/>
    <m/>
    <m/>
    <m/>
    <n v="0"/>
    <n v="0"/>
    <n v="0"/>
    <n v="0"/>
    <n v="4786.7"/>
    <n v="4579.3666666666668"/>
  </r>
  <r>
    <x v="14"/>
    <s v="Wytheville Community College "/>
    <s v="Met the criteria for Two-Year 3 in 2015-16 and 2016-17. "/>
    <n v="234377"/>
    <x v="7"/>
    <s v="sem"/>
    <m/>
    <m/>
    <m/>
    <n v="24696"/>
    <n v="22648"/>
    <n v="6381"/>
    <n v="6226"/>
    <n v="24555"/>
    <n v="23257"/>
    <n v="55632"/>
    <n v="1854.4"/>
    <n v="52131"/>
    <n v="1737.7"/>
    <n v="27441"/>
    <n v="27694"/>
    <n v="55632"/>
    <n v="52131"/>
    <m/>
    <m/>
    <m/>
    <m/>
    <m/>
    <m/>
    <m/>
    <m/>
    <n v="0"/>
    <n v="0"/>
    <n v="0"/>
    <n v="0"/>
    <m/>
    <m/>
    <n v="0"/>
    <n v="0"/>
    <m/>
    <m/>
    <m/>
    <m/>
    <m/>
    <m/>
    <m/>
    <m/>
    <n v="0"/>
    <n v="0"/>
    <n v="0"/>
    <n v="0"/>
    <n v="1854.4"/>
    <n v="1737.7"/>
  </r>
  <r>
    <x v="14"/>
    <s v="D.S. Lancaster Community College "/>
    <m/>
    <n v="231873"/>
    <x v="8"/>
    <s v="sem"/>
    <m/>
    <m/>
    <m/>
    <n v="9947"/>
    <n v="9427"/>
    <n v="1449"/>
    <n v="1702"/>
    <n v="10286"/>
    <n v="11432"/>
    <n v="21682"/>
    <n v="722.73333333333335"/>
    <n v="22561"/>
    <n v="752.0333333333333"/>
    <n v="9335"/>
    <n v="10335"/>
    <n v="21682"/>
    <n v="22561"/>
    <m/>
    <m/>
    <m/>
    <m/>
    <m/>
    <m/>
    <m/>
    <m/>
    <n v="0"/>
    <n v="0"/>
    <n v="0"/>
    <n v="0"/>
    <m/>
    <m/>
    <n v="0"/>
    <n v="0"/>
    <m/>
    <m/>
    <m/>
    <m/>
    <m/>
    <m/>
    <m/>
    <m/>
    <n v="0"/>
    <n v="0"/>
    <n v="0"/>
    <n v="0"/>
    <n v="722.73333333333335"/>
    <n v="752.0333333333333"/>
  </r>
  <r>
    <x v="14"/>
    <s v="Eastern Shore Community College"/>
    <m/>
    <n v="232052"/>
    <x v="8"/>
    <s v="sem"/>
    <m/>
    <m/>
    <m/>
    <n v="6843"/>
    <n v="5633"/>
    <n v="893"/>
    <n v="821"/>
    <n v="6041"/>
    <n v="5531"/>
    <n v="13777"/>
    <n v="459.23333333333335"/>
    <n v="11985"/>
    <n v="399.5"/>
    <n v="5505"/>
    <n v="4941"/>
    <n v="13777"/>
    <n v="11985"/>
    <m/>
    <m/>
    <m/>
    <m/>
    <m/>
    <m/>
    <m/>
    <m/>
    <n v="0"/>
    <n v="0"/>
    <n v="0"/>
    <n v="0"/>
    <m/>
    <m/>
    <n v="0"/>
    <n v="0"/>
    <m/>
    <m/>
    <m/>
    <m/>
    <m/>
    <m/>
    <m/>
    <m/>
    <n v="0"/>
    <n v="0"/>
    <n v="0"/>
    <n v="0"/>
    <n v="459.23333333333335"/>
    <n v="399.5"/>
  </r>
  <r>
    <x v="14"/>
    <s v="Mountain Empire Community College"/>
    <m/>
    <n v="232788"/>
    <x v="8"/>
    <s v="sem"/>
    <m/>
    <m/>
    <m/>
    <n v="22336"/>
    <n v="22822"/>
    <n v="5391"/>
    <n v="5304"/>
    <n v="25394"/>
    <n v="24168"/>
    <n v="53121"/>
    <n v="1770.7"/>
    <n v="52294"/>
    <n v="1743.1333333333334"/>
    <n v="23769"/>
    <n v="25012"/>
    <n v="53121"/>
    <n v="52294"/>
    <m/>
    <m/>
    <m/>
    <m/>
    <m/>
    <m/>
    <m/>
    <m/>
    <n v="0"/>
    <n v="0"/>
    <n v="0"/>
    <n v="0"/>
    <m/>
    <m/>
    <n v="0"/>
    <n v="0"/>
    <m/>
    <m/>
    <m/>
    <m/>
    <m/>
    <m/>
    <m/>
    <m/>
    <n v="0"/>
    <n v="0"/>
    <n v="0"/>
    <n v="0"/>
    <n v="1770.7"/>
    <n v="1743.1333333333334"/>
  </r>
  <r>
    <x v="14"/>
    <s v="Paul D. Camp Community College"/>
    <m/>
    <n v="233037"/>
    <x v="8"/>
    <s v="sem"/>
    <m/>
    <m/>
    <m/>
    <n v="9679"/>
    <n v="10778"/>
    <n v="3586"/>
    <n v="3161"/>
    <n v="11021"/>
    <n v="11367"/>
    <n v="24286"/>
    <n v="809.5333333333333"/>
    <n v="25306"/>
    <n v="843.5333333333333"/>
    <n v="11633"/>
    <n v="16040"/>
    <n v="24286"/>
    <n v="25306"/>
    <m/>
    <m/>
    <m/>
    <m/>
    <m/>
    <m/>
    <m/>
    <m/>
    <n v="0"/>
    <n v="0"/>
    <n v="0"/>
    <n v="0"/>
    <m/>
    <m/>
    <n v="0"/>
    <n v="0"/>
    <m/>
    <m/>
    <m/>
    <m/>
    <m/>
    <m/>
    <m/>
    <m/>
    <n v="0"/>
    <n v="0"/>
    <n v="0"/>
    <n v="0"/>
    <n v="809.5333333333333"/>
    <n v="843.5333333333333"/>
  </r>
  <r>
    <x v="14"/>
    <s v="Rappahannock Community College"/>
    <m/>
    <n v="233310"/>
    <x v="8"/>
    <s v="sem"/>
    <m/>
    <m/>
    <m/>
    <n v="23232"/>
    <n v="23905"/>
    <n v="4973"/>
    <n v="5424"/>
    <n v="27753"/>
    <n v="27284"/>
    <n v="55958"/>
    <n v="1865.2666666666667"/>
    <n v="56613"/>
    <n v="1887.1"/>
    <n v="46129"/>
    <n v="49556"/>
    <n v="55958"/>
    <n v="56613"/>
    <m/>
    <m/>
    <m/>
    <m/>
    <m/>
    <m/>
    <m/>
    <m/>
    <n v="0"/>
    <n v="0"/>
    <n v="0"/>
    <n v="0"/>
    <m/>
    <m/>
    <n v="0"/>
    <n v="0"/>
    <m/>
    <m/>
    <m/>
    <m/>
    <m/>
    <m/>
    <m/>
    <m/>
    <n v="0"/>
    <n v="0"/>
    <n v="0"/>
    <n v="0"/>
    <n v="1865.2666666666667"/>
    <n v="1887.1"/>
  </r>
  <r>
    <x v="14"/>
    <s v="Richard Bland College "/>
    <m/>
    <n v="233338"/>
    <x v="8"/>
    <s v="sem"/>
    <m/>
    <m/>
    <m/>
    <n v="13926"/>
    <n v="17178"/>
    <n v="1145"/>
    <n v="869"/>
    <n v="19238"/>
    <n v="20912"/>
    <n v="34309"/>
    <n v="1143.6333333333334"/>
    <n v="38959"/>
    <n v="1298.6333333333334"/>
    <n v="13359"/>
    <n v="20729"/>
    <n v="34309"/>
    <n v="38959"/>
    <m/>
    <m/>
    <m/>
    <m/>
    <m/>
    <m/>
    <m/>
    <m/>
    <n v="0"/>
    <n v="0"/>
    <n v="0"/>
    <n v="0"/>
    <m/>
    <m/>
    <n v="0"/>
    <n v="0"/>
    <m/>
    <m/>
    <m/>
    <m/>
    <m/>
    <m/>
    <m/>
    <m/>
    <n v="0"/>
    <n v="0"/>
    <n v="0"/>
    <n v="0"/>
    <n v="1143.6333333333334"/>
    <n v="1298.6333333333334"/>
  </r>
  <r>
    <x v="14"/>
    <s v="Southwest Virginia Community College "/>
    <m/>
    <n v="233648"/>
    <x v="8"/>
    <s v="sem"/>
    <m/>
    <m/>
    <m/>
    <n v="22410"/>
    <n v="22437"/>
    <n v="7164"/>
    <n v="7483"/>
    <n v="24576"/>
    <n v="24060"/>
    <n v="54150"/>
    <n v="1805"/>
    <n v="53980"/>
    <n v="1799.3333333333333"/>
    <n v="14855"/>
    <n v="14729"/>
    <n v="54150"/>
    <n v="53980"/>
    <m/>
    <m/>
    <m/>
    <m/>
    <m/>
    <m/>
    <m/>
    <m/>
    <n v="0"/>
    <n v="0"/>
    <n v="0"/>
    <n v="0"/>
    <m/>
    <m/>
    <n v="0"/>
    <n v="0"/>
    <m/>
    <m/>
    <m/>
    <m/>
    <m/>
    <m/>
    <m/>
    <m/>
    <n v="0"/>
    <n v="0"/>
    <n v="0"/>
    <n v="0"/>
    <n v="1805"/>
    <n v="1799.3333333333333"/>
  </r>
  <r>
    <x v="14"/>
    <s v="Virginia Highlands Community College "/>
    <m/>
    <n v="233903"/>
    <x v="8"/>
    <s v="sem"/>
    <m/>
    <m/>
    <m/>
    <n v="20928"/>
    <n v="19728"/>
    <n v="4017"/>
    <n v="3396"/>
    <n v="21908"/>
    <n v="22381"/>
    <n v="46853"/>
    <n v="1561.7666666666667"/>
    <n v="45505"/>
    <n v="1516.8333333333333"/>
    <n v="17371"/>
    <n v="19069"/>
    <n v="46853"/>
    <n v="45505"/>
    <m/>
    <m/>
    <m/>
    <m/>
    <m/>
    <m/>
    <m/>
    <m/>
    <n v="0"/>
    <n v="0"/>
    <n v="0"/>
    <n v="0"/>
    <m/>
    <m/>
    <n v="0"/>
    <n v="0"/>
    <m/>
    <m/>
    <m/>
    <m/>
    <m/>
    <m/>
    <m/>
    <m/>
    <n v="0"/>
    <n v="0"/>
    <n v="0"/>
    <n v="0"/>
    <n v="1561.7666666666667"/>
    <n v="1516.8333333333333"/>
  </r>
  <r>
    <x v="14"/>
    <s v="All Community Colleges except R. Bland"/>
    <m/>
    <s v="All CC - Bland"/>
    <x v="12"/>
    <s v="sem"/>
    <m/>
    <m/>
    <m/>
    <n v="1460345.5"/>
    <n v="1406247"/>
    <n v="443495"/>
    <n v="434940.5"/>
    <n v="1519453"/>
    <n v="1474565"/>
    <n v="3423293.5"/>
    <n v="114109.78333333334"/>
    <n v="3315752.5"/>
    <n v="110525.08333333333"/>
    <n v="693481"/>
    <n v="757256"/>
    <n v="3423293.5"/>
    <n v="3315752.5"/>
    <m/>
    <m/>
    <m/>
    <m/>
    <m/>
    <m/>
    <m/>
    <m/>
    <n v="0"/>
    <n v="0"/>
    <n v="0"/>
    <n v="0"/>
    <m/>
    <m/>
    <n v="0"/>
    <n v="0"/>
    <m/>
    <m/>
    <m/>
    <m/>
    <m/>
    <m/>
    <m/>
    <m/>
    <n v="0"/>
    <n v="0"/>
    <n v="0"/>
    <n v="0"/>
    <n v="114109.78333333334"/>
    <n v="110525.08333333333"/>
  </r>
  <r>
    <x v="14"/>
    <m/>
    <s v="all 8's"/>
    <m/>
    <x v="14"/>
    <s v="sem"/>
    <m/>
    <m/>
    <m/>
    <n v="903875.5"/>
    <n v="858358"/>
    <n v="308489"/>
    <n v="298405.5"/>
    <n v="935232"/>
    <n v="885035"/>
    <n v="2147596.5"/>
    <n v="71586.55"/>
    <n v="2041798.5"/>
    <n v="68059.95"/>
    <n v="167141"/>
    <n v="207093"/>
    <n v="2147596.5"/>
    <n v="2041798.5"/>
    <m/>
    <m/>
    <m/>
    <m/>
    <m/>
    <m/>
    <m/>
    <m/>
    <n v="0"/>
    <n v="0"/>
    <n v="0"/>
    <n v="0"/>
    <m/>
    <m/>
    <n v="0"/>
    <n v="0"/>
    <m/>
    <m/>
    <m/>
    <m/>
    <m/>
    <m/>
    <m/>
    <m/>
    <n v="0"/>
    <n v="0"/>
    <n v="0"/>
    <n v="0"/>
    <n v="71586.55"/>
    <n v="68059.95"/>
  </r>
  <r>
    <x v="14"/>
    <m/>
    <s v="all 9's"/>
    <m/>
    <x v="15"/>
    <s v="sem"/>
    <m/>
    <m/>
    <m/>
    <n v="463431"/>
    <n v="411809"/>
    <n v="112924"/>
    <n v="103675"/>
    <n v="482636"/>
    <n v="440395"/>
    <n v="1058991"/>
    <n v="35299.699999999997"/>
    <n v="955879"/>
    <n v="31862.633333333335"/>
    <n v="421512"/>
    <n v="410049"/>
    <n v="1058991"/>
    <n v="955879"/>
    <m/>
    <m/>
    <m/>
    <m/>
    <m/>
    <m/>
    <m/>
    <m/>
    <n v="0"/>
    <n v="0"/>
    <n v="0"/>
    <n v="0"/>
    <m/>
    <m/>
    <n v="0"/>
    <n v="0"/>
    <m/>
    <m/>
    <m/>
    <m/>
    <m/>
    <m/>
    <m/>
    <m/>
    <n v="0"/>
    <n v="0"/>
    <n v="0"/>
    <n v="0"/>
    <n v="35299.699999999997"/>
    <n v="31862.633333333335"/>
  </r>
  <r>
    <x v="14"/>
    <s v="Richard Bland College B"/>
    <m/>
    <n v="233338"/>
    <x v="16"/>
    <s v="sem"/>
    <m/>
    <m/>
    <m/>
    <n v="13926"/>
    <n v="17178"/>
    <n v="1145"/>
    <n v="869"/>
    <n v="19238"/>
    <n v="20912"/>
    <n v="34309"/>
    <n v="1143.6333333333334"/>
    <n v="38959"/>
    <n v="1298.6333333333334"/>
    <n v="13359"/>
    <n v="20729"/>
    <n v="34309"/>
    <n v="38959"/>
    <m/>
    <m/>
    <m/>
    <m/>
    <m/>
    <m/>
    <m/>
    <m/>
    <n v="0"/>
    <n v="0"/>
    <n v="0"/>
    <n v="0"/>
    <m/>
    <m/>
    <n v="0"/>
    <n v="0"/>
    <m/>
    <m/>
    <m/>
    <m/>
    <m/>
    <m/>
    <m/>
    <m/>
    <n v="0"/>
    <n v="0"/>
    <n v="0"/>
    <n v="0"/>
    <n v="1143.6333333333334"/>
    <n v="1298.6333333333334"/>
  </r>
  <r>
    <x v="14"/>
    <m/>
    <s v="All'10's except R.B."/>
    <m/>
    <x v="16"/>
    <s v="sem"/>
    <m/>
    <m/>
    <m/>
    <n v="93039"/>
    <n v="114730"/>
    <n v="22082"/>
    <n v="27291"/>
    <n v="101585"/>
    <n v="126223"/>
    <n v="216706"/>
    <n v="7223.5333333333338"/>
    <n v="268244"/>
    <n v="8941.4666666666672"/>
    <n v="104828"/>
    <n v="139682"/>
    <n v="216706"/>
    <n v="268244"/>
    <m/>
    <m/>
    <m/>
    <m/>
    <m/>
    <m/>
    <m/>
    <m/>
    <n v="0"/>
    <n v="0"/>
    <n v="0"/>
    <n v="0"/>
    <m/>
    <m/>
    <n v="0"/>
    <n v="0"/>
    <m/>
    <m/>
    <m/>
    <m/>
    <m/>
    <m/>
    <m/>
    <m/>
    <n v="0"/>
    <n v="0"/>
    <n v="0"/>
    <n v="0"/>
    <n v="7223.5333333333338"/>
    <n v="8941.4666666666672"/>
  </r>
  <r>
    <x v="15"/>
    <s v="West Virginia University"/>
    <m/>
    <n v="238032"/>
    <x v="0"/>
    <s v="sem"/>
    <s v="sem"/>
    <m/>
    <m/>
    <n v="295191"/>
    <n v="291463"/>
    <n v="41586"/>
    <n v="41350"/>
    <n v="315348"/>
    <n v="312694"/>
    <n v="652125"/>
    <n v="21737.5"/>
    <n v="645507"/>
    <n v="21516.9"/>
    <n v="4737"/>
    <n v="6112"/>
    <n v="652125"/>
    <n v="645507"/>
    <m/>
    <m/>
    <m/>
    <m/>
    <m/>
    <m/>
    <m/>
    <m/>
    <n v="0"/>
    <n v="0"/>
    <n v="0"/>
    <n v="0"/>
    <m/>
    <m/>
    <n v="0"/>
    <n v="0"/>
    <m/>
    <m/>
    <n v="45511"/>
    <n v="44297"/>
    <n v="13052"/>
    <n v="12596"/>
    <n v="45441"/>
    <n v="43081"/>
    <n v="104004"/>
    <n v="4333.5"/>
    <n v="99974"/>
    <n v="4165.583333333333"/>
    <n v="26071"/>
    <n v="25682.483333333334"/>
  </r>
  <r>
    <x v="15"/>
    <s v="Marshall University "/>
    <m/>
    <n v="237525"/>
    <x v="2"/>
    <s v="sem"/>
    <s v="sem"/>
    <m/>
    <m/>
    <n v="117475"/>
    <n v="117073"/>
    <n v="13801"/>
    <n v="11988"/>
    <n v="130472"/>
    <n v="131018"/>
    <n v="261748"/>
    <n v="8724.9333333333325"/>
    <n v="260079"/>
    <n v="8669.2999999999993"/>
    <n v="5608"/>
    <n v="7934"/>
    <n v="261748"/>
    <n v="260079"/>
    <m/>
    <m/>
    <m/>
    <m/>
    <m/>
    <m/>
    <m/>
    <m/>
    <n v="0"/>
    <n v="0"/>
    <n v="0"/>
    <n v="0"/>
    <m/>
    <m/>
    <n v="0"/>
    <n v="0"/>
    <m/>
    <m/>
    <n v="28637"/>
    <n v="31725"/>
    <n v="11744"/>
    <n v="12423"/>
    <n v="29487"/>
    <n v="30363"/>
    <n v="69868"/>
    <n v="2911.1666666666665"/>
    <n v="74511"/>
    <n v="3104.625"/>
    <n v="11636.099999999999"/>
    <n v="11773.924999999999"/>
  </r>
  <r>
    <x v="15"/>
    <s v="Fairmont State University"/>
    <m/>
    <n v="237367"/>
    <x v="4"/>
    <s v="sem"/>
    <s v="sem"/>
    <m/>
    <m/>
    <n v="45683"/>
    <n v="47392"/>
    <n v="4549"/>
    <n v="4893"/>
    <n v="51351"/>
    <n v="51782"/>
    <n v="101583"/>
    <n v="3386.1"/>
    <n v="104067"/>
    <n v="3468.9"/>
    <n v="283"/>
    <n v="311"/>
    <n v="101583"/>
    <n v="104067"/>
    <m/>
    <m/>
    <m/>
    <m/>
    <m/>
    <m/>
    <m/>
    <m/>
    <n v="0"/>
    <n v="0"/>
    <n v="0"/>
    <n v="0"/>
    <m/>
    <m/>
    <n v="0"/>
    <n v="0"/>
    <m/>
    <m/>
    <n v="1703"/>
    <n v="1610"/>
    <n v="716"/>
    <n v="926"/>
    <n v="1588"/>
    <n v="1979"/>
    <n v="4007"/>
    <n v="166.95833333333334"/>
    <n v="4515"/>
    <n v="188.125"/>
    <n v="3553.0583333333334"/>
    <n v="3657.0250000000001"/>
  </r>
  <r>
    <x v="15"/>
    <s v="Shepherd University "/>
    <m/>
    <n v="237792"/>
    <x v="4"/>
    <s v="sem"/>
    <s v="sem"/>
    <m/>
    <m/>
    <n v="45057"/>
    <n v="42770"/>
    <n v="4045"/>
    <n v="4092"/>
    <n v="47486"/>
    <n v="44187"/>
    <n v="96588"/>
    <n v="3219.6"/>
    <n v="91049"/>
    <n v="3034.9666666666667"/>
    <n v="118"/>
    <n v="124"/>
    <n v="96588"/>
    <n v="91049"/>
    <m/>
    <m/>
    <m/>
    <m/>
    <m/>
    <m/>
    <m/>
    <m/>
    <n v="0"/>
    <n v="0"/>
    <n v="0"/>
    <n v="0"/>
    <m/>
    <m/>
    <n v="0"/>
    <n v="0"/>
    <m/>
    <m/>
    <n v="1848"/>
    <n v="1916"/>
    <n v="955"/>
    <n v="1153"/>
    <n v="1492"/>
    <n v="2224"/>
    <n v="4295"/>
    <n v="178.95833333333334"/>
    <n v="5293"/>
    <n v="220.54166666666666"/>
    <n v="3398.5583333333334"/>
    <n v="3255.5083333333332"/>
  </r>
  <r>
    <x v="15"/>
    <s v="Bluefield State College "/>
    <m/>
    <n v="237215"/>
    <x v="5"/>
    <s v="sem"/>
    <s v="sem"/>
    <m/>
    <m/>
    <n v="18472"/>
    <n v="17879"/>
    <n v="1470"/>
    <n v="1456"/>
    <n v="19537"/>
    <n v="17904"/>
    <n v="39479"/>
    <n v="1315.9666666666667"/>
    <n v="37239"/>
    <n v="1241.3"/>
    <n v="302"/>
    <n v="197"/>
    <n v="39479"/>
    <n v="37239"/>
    <m/>
    <m/>
    <m/>
    <m/>
    <m/>
    <m/>
    <m/>
    <m/>
    <n v="0"/>
    <n v="0"/>
    <n v="0"/>
    <n v="0"/>
    <m/>
    <m/>
    <n v="0"/>
    <n v="0"/>
    <m/>
    <m/>
    <m/>
    <m/>
    <m/>
    <m/>
    <m/>
    <m/>
    <n v="0"/>
    <n v="0"/>
    <n v="0"/>
    <n v="0"/>
    <n v="1315.9666666666667"/>
    <n v="1241.3"/>
  </r>
  <r>
    <x v="15"/>
    <s v="Concord University "/>
    <s v="Reclassified: Met the criteria for Four-Year 5 in 2014-15, 2015-16, and 2016-17."/>
    <n v="237330"/>
    <x v="4"/>
    <s v="sem"/>
    <s v="sem"/>
    <m/>
    <m/>
    <n v="28993"/>
    <n v="28578"/>
    <n v="3035"/>
    <n v="2908"/>
    <n v="31002"/>
    <n v="29564"/>
    <n v="63030"/>
    <n v="2101"/>
    <n v="61050"/>
    <n v="2035"/>
    <n v="287"/>
    <n v="325"/>
    <n v="63030"/>
    <n v="61050"/>
    <m/>
    <m/>
    <m/>
    <m/>
    <m/>
    <m/>
    <m/>
    <m/>
    <n v="0"/>
    <n v="0"/>
    <n v="0"/>
    <n v="0"/>
    <m/>
    <m/>
    <n v="0"/>
    <n v="0"/>
    <m/>
    <m/>
    <n v="2113"/>
    <n v="2020"/>
    <n v="1566"/>
    <n v="1779"/>
    <n v="2319"/>
    <n v="2262"/>
    <n v="5998"/>
    <n v="249.91666666666666"/>
    <n v="6061"/>
    <n v="252.54166666666666"/>
    <n v="2350.9166666666665"/>
    <n v="2287.5416666666665"/>
  </r>
  <r>
    <x v="15"/>
    <s v="Glenville State College "/>
    <m/>
    <n v="237385"/>
    <x v="5"/>
    <s v="sem"/>
    <s v="sem"/>
    <m/>
    <m/>
    <n v="17240"/>
    <n v="16538.400000000001"/>
    <n v="1459"/>
    <n v="1303"/>
    <n v="18696.3"/>
    <n v="18674.099999999999"/>
    <n v="37395.300000000003"/>
    <n v="1246.51"/>
    <n v="36515.5"/>
    <n v="1217.1833333333334"/>
    <n v="2050"/>
    <n v="1778"/>
    <n v="37395.300000000003"/>
    <n v="36515.5"/>
    <m/>
    <m/>
    <m/>
    <m/>
    <m/>
    <m/>
    <m/>
    <m/>
    <n v="0"/>
    <n v="0"/>
    <n v="0"/>
    <n v="0"/>
    <m/>
    <m/>
    <n v="0"/>
    <n v="0"/>
    <m/>
    <m/>
    <m/>
    <m/>
    <m/>
    <m/>
    <m/>
    <m/>
    <n v="0"/>
    <n v="0"/>
    <n v="0"/>
    <n v="0"/>
    <n v="1246.51"/>
    <n v="1217.1833333333334"/>
  </r>
  <r>
    <x v="15"/>
    <s v="West Liberty University"/>
    <s v="Reclassified: Met the criteria for Four-Year 5 in 2014-15, 2015-16, and 2016-17."/>
    <n v="237932"/>
    <x v="4"/>
    <s v="sem"/>
    <s v="sem"/>
    <m/>
    <m/>
    <n v="32120"/>
    <n v="28573"/>
    <n v="2255"/>
    <n v="1648"/>
    <n v="31549"/>
    <n v="30800"/>
    <n v="65924"/>
    <n v="2197.4666666666667"/>
    <n v="61021"/>
    <n v="2034.0333333333333"/>
    <n v="1513"/>
    <n v="1301"/>
    <n v="65924"/>
    <n v="61021"/>
    <m/>
    <m/>
    <m/>
    <m/>
    <m/>
    <m/>
    <m/>
    <m/>
    <n v="0"/>
    <n v="0"/>
    <n v="0"/>
    <n v="0"/>
    <m/>
    <m/>
    <n v="0"/>
    <n v="0"/>
    <m/>
    <m/>
    <n v="1849"/>
    <n v="1627"/>
    <n v="1133"/>
    <n v="892"/>
    <n v="1540"/>
    <n v="1705"/>
    <n v="4522"/>
    <n v="188.41666666666666"/>
    <n v="4224"/>
    <n v="176"/>
    <n v="2385.8833333333332"/>
    <n v="2210.0333333333333"/>
  </r>
  <r>
    <x v="15"/>
    <s v="West Virginia State University "/>
    <m/>
    <n v="237899"/>
    <x v="5"/>
    <s v="sem"/>
    <s v="sem"/>
    <m/>
    <m/>
    <n v="30505"/>
    <n v="29223"/>
    <n v="2865"/>
    <n v="2390"/>
    <n v="33966"/>
    <n v="34006"/>
    <n v="67336"/>
    <n v="2244.5333333333333"/>
    <n v="65619"/>
    <n v="2187.3000000000002"/>
    <n v="6015"/>
    <n v="8770"/>
    <n v="67336"/>
    <n v="65619"/>
    <m/>
    <m/>
    <m/>
    <m/>
    <m/>
    <m/>
    <m/>
    <m/>
    <n v="0"/>
    <n v="0"/>
    <n v="0"/>
    <n v="0"/>
    <m/>
    <m/>
    <n v="0"/>
    <n v="0"/>
    <m/>
    <m/>
    <n v="349"/>
    <n v="463"/>
    <n v="94"/>
    <n v="124"/>
    <n v="440"/>
    <n v="701"/>
    <n v="883"/>
    <n v="36.791666666666664"/>
    <n v="1288"/>
    <n v="53.666666666666664"/>
    <n v="2281.3249999999998"/>
    <n v="2240.9666666666667"/>
  </r>
  <r>
    <x v="15"/>
    <s v="West Virginia University at Parkersburg"/>
    <m/>
    <n v="237686"/>
    <x v="5"/>
    <s v="sem"/>
    <s v="sem"/>
    <m/>
    <m/>
    <n v="27270"/>
    <n v="25374"/>
    <n v="5131"/>
    <n v="4676"/>
    <n v="28215"/>
    <n v="27645"/>
    <n v="60616"/>
    <n v="2020.5333333333333"/>
    <n v="57695"/>
    <n v="1923.1666666666667"/>
    <n v="3072"/>
    <n v="2611"/>
    <n v="60616"/>
    <n v="57695"/>
    <m/>
    <m/>
    <m/>
    <m/>
    <m/>
    <m/>
    <m/>
    <m/>
    <n v="0"/>
    <n v="0"/>
    <n v="0"/>
    <n v="0"/>
    <m/>
    <m/>
    <n v="0"/>
    <n v="0"/>
    <m/>
    <m/>
    <m/>
    <m/>
    <m/>
    <m/>
    <m/>
    <m/>
    <n v="0"/>
    <n v="0"/>
    <n v="0"/>
    <n v="0"/>
    <n v="2020.5333333333333"/>
    <n v="1923.1666666666667"/>
  </r>
  <r>
    <x v="15"/>
    <s v="West Virginia University Institute of Technology"/>
    <m/>
    <n v="237950"/>
    <x v="5"/>
    <s v="sem"/>
    <s v="sem"/>
    <m/>
    <m/>
    <n v="15332"/>
    <n v="15008"/>
    <n v="1015"/>
    <n v="1044"/>
    <n v="16470"/>
    <n v="16611"/>
    <n v="32817"/>
    <n v="1093.9000000000001"/>
    <n v="32663"/>
    <n v="1088.7666666666667"/>
    <n v="1152"/>
    <n v="1600"/>
    <n v="32817"/>
    <n v="32663"/>
    <m/>
    <m/>
    <m/>
    <m/>
    <m/>
    <m/>
    <m/>
    <m/>
    <n v="0"/>
    <n v="0"/>
    <n v="0"/>
    <n v="0"/>
    <m/>
    <m/>
    <n v="0"/>
    <n v="0"/>
    <m/>
    <m/>
    <m/>
    <m/>
    <m/>
    <m/>
    <m/>
    <m/>
    <n v="0"/>
    <n v="0"/>
    <n v="0"/>
    <n v="0"/>
    <n v="1093.9000000000001"/>
    <n v="1088.7666666666667"/>
  </r>
  <r>
    <x v="15"/>
    <s v="Potomac State College of West Virginia University"/>
    <m/>
    <n v="237701"/>
    <x v="11"/>
    <s v="sem"/>
    <s v="sem"/>
    <m/>
    <m/>
    <n v="17451"/>
    <n v="16237"/>
    <n v="1233"/>
    <n v="1015"/>
    <n v="18868"/>
    <n v="17550"/>
    <n v="37552"/>
    <n v="1251.7333333333333"/>
    <n v="34802"/>
    <n v="1160.0666666666666"/>
    <n v="2557"/>
    <n v="2524"/>
    <n v="37552"/>
    <n v="34802"/>
    <m/>
    <m/>
    <m/>
    <m/>
    <m/>
    <m/>
    <m/>
    <m/>
    <n v="0"/>
    <n v="0"/>
    <n v="0"/>
    <n v="0"/>
    <m/>
    <m/>
    <n v="0"/>
    <n v="0"/>
    <m/>
    <m/>
    <m/>
    <m/>
    <m/>
    <m/>
    <m/>
    <m/>
    <n v="0"/>
    <n v="0"/>
    <n v="0"/>
    <n v="0"/>
    <n v="1251.7333333333333"/>
    <n v="1160.0666666666666"/>
  </r>
  <r>
    <x v="15"/>
    <s v="New River Community &amp; Technical College"/>
    <s v="Reclassified: Met the criteria for Two-Year 3 in 2014-15 and 2015-16 and 2016-17."/>
    <n v="447582"/>
    <x v="8"/>
    <s v="sem"/>
    <s v="sem"/>
    <m/>
    <m/>
    <n v="21186"/>
    <n v="16690"/>
    <n v="2599"/>
    <n v="3311"/>
    <n v="18811"/>
    <n v="16967"/>
    <n v="42596"/>
    <n v="1419.8666666666666"/>
    <n v="36968"/>
    <n v="1232.2666666666667"/>
    <n v="984"/>
    <n v="1874"/>
    <n v="42596"/>
    <n v="36968"/>
    <m/>
    <m/>
    <m/>
    <m/>
    <m/>
    <m/>
    <m/>
    <m/>
    <n v="0"/>
    <n v="0"/>
    <n v="0"/>
    <n v="0"/>
    <m/>
    <m/>
    <n v="0"/>
    <n v="0"/>
    <m/>
    <m/>
    <m/>
    <m/>
    <m/>
    <m/>
    <m/>
    <m/>
    <n v="0"/>
    <n v="0"/>
    <n v="0"/>
    <n v="0"/>
    <n v="1419.8666666666666"/>
    <n v="1232.2666666666667"/>
  </r>
  <r>
    <x v="15"/>
    <s v="Pierpont Community &amp; Technical College"/>
    <s v="Reclassified: Met the criteria for Two-Year 3 in 2014-15 and 2015-16 and 2016-17."/>
    <n v="443492"/>
    <x v="8"/>
    <s v="sem"/>
    <s v="sem"/>
    <m/>
    <m/>
    <n v="20117"/>
    <n v="18506"/>
    <n v="1976"/>
    <n v="1954"/>
    <n v="22666"/>
    <n v="20581"/>
    <n v="44759"/>
    <n v="1491.9666666666667"/>
    <n v="41041"/>
    <n v="1368.0333333333333"/>
    <n v="4466"/>
    <n v="4014"/>
    <n v="44759"/>
    <n v="41041"/>
    <m/>
    <m/>
    <m/>
    <m/>
    <m/>
    <m/>
    <m/>
    <m/>
    <n v="0"/>
    <n v="0"/>
    <n v="0"/>
    <n v="0"/>
    <m/>
    <m/>
    <n v="0"/>
    <n v="0"/>
    <m/>
    <m/>
    <m/>
    <m/>
    <m/>
    <m/>
    <m/>
    <m/>
    <n v="0"/>
    <n v="0"/>
    <n v="0"/>
    <n v="0"/>
    <n v="1491.9666666666667"/>
    <n v="1368.0333333333333"/>
  </r>
  <r>
    <x v="15"/>
    <s v="Blue Ridge Community &amp; Technical College"/>
    <m/>
    <n v="446774"/>
    <x v="8"/>
    <s v="sem"/>
    <s v="sem"/>
    <m/>
    <m/>
    <n v="26991.8"/>
    <n v="26394.3"/>
    <n v="3066"/>
    <n v="3006"/>
    <n v="29979.8"/>
    <n v="29273"/>
    <n v="60037.599999999999"/>
    <n v="2001.2533333333333"/>
    <n v="58673.3"/>
    <n v="1955.7766666666669"/>
    <n v="1992.4"/>
    <n v="2429.1999999999998"/>
    <n v="60037.599999999999"/>
    <n v="58673.3"/>
    <m/>
    <m/>
    <m/>
    <m/>
    <m/>
    <m/>
    <m/>
    <m/>
    <n v="0"/>
    <n v="0"/>
    <n v="0"/>
    <n v="0"/>
    <m/>
    <m/>
    <n v="0"/>
    <n v="0"/>
    <m/>
    <m/>
    <m/>
    <m/>
    <m/>
    <m/>
    <m/>
    <m/>
    <n v="0"/>
    <n v="0"/>
    <n v="0"/>
    <n v="0"/>
    <n v="2001.2533333333333"/>
    <n v="1955.7766666666669"/>
  </r>
  <r>
    <x v="15"/>
    <s v="BridgeValley Community &amp; Technical College"/>
    <m/>
    <n v="484932"/>
    <x v="8"/>
    <s v="sem"/>
    <s v="sem"/>
    <m/>
    <m/>
    <n v="19190"/>
    <n v="18929"/>
    <n v="2160"/>
    <n v="2218"/>
    <n v="22118.5"/>
    <n v="20551"/>
    <n v="43468.5"/>
    <n v="1448.95"/>
    <n v="41698"/>
    <n v="1389.9333333333334"/>
    <n v="1506"/>
    <n v="1041"/>
    <n v="43468.5"/>
    <n v="41698"/>
    <m/>
    <m/>
    <m/>
    <m/>
    <m/>
    <m/>
    <m/>
    <m/>
    <n v="0"/>
    <n v="0"/>
    <n v="0"/>
    <n v="0"/>
    <m/>
    <m/>
    <n v="0"/>
    <n v="0"/>
    <m/>
    <m/>
    <m/>
    <m/>
    <m/>
    <m/>
    <m/>
    <m/>
    <n v="0"/>
    <n v="0"/>
    <n v="0"/>
    <n v="0"/>
    <n v="1448.95"/>
    <n v="1389.9333333333334"/>
  </r>
  <r>
    <x v="15"/>
    <s v="Eastern West Virginia Community &amp; Technical College"/>
    <m/>
    <n v="438708"/>
    <x v="8"/>
    <s v="sem"/>
    <s v="sem"/>
    <m/>
    <m/>
    <n v="5643"/>
    <n v="5168"/>
    <n v="1027"/>
    <n v="652"/>
    <n v="6934"/>
    <n v="5506"/>
    <n v="13604"/>
    <n v="453.46666666666664"/>
    <n v="11326"/>
    <n v="377.53333333333336"/>
    <n v="2063"/>
    <n v="2199"/>
    <n v="13604"/>
    <n v="11326"/>
    <m/>
    <m/>
    <m/>
    <m/>
    <m/>
    <m/>
    <m/>
    <m/>
    <n v="0"/>
    <n v="0"/>
    <n v="0"/>
    <n v="0"/>
    <m/>
    <m/>
    <n v="0"/>
    <n v="0"/>
    <m/>
    <m/>
    <m/>
    <m/>
    <m/>
    <m/>
    <m/>
    <m/>
    <n v="0"/>
    <n v="0"/>
    <n v="0"/>
    <n v="0"/>
    <n v="453.46666666666664"/>
    <n v="377.53333333333336"/>
  </r>
  <r>
    <x v="15"/>
    <s v="Mountwest Community &amp; Technical College"/>
    <m/>
    <n v="444954"/>
    <x v="8"/>
    <s v="sem"/>
    <s v="sem"/>
    <m/>
    <m/>
    <n v="19787"/>
    <n v="19971"/>
    <n v="3948"/>
    <n v="3488"/>
    <n v="21539"/>
    <n v="22184"/>
    <n v="45274"/>
    <n v="1509.1333333333334"/>
    <n v="45643"/>
    <n v="1521.4333333333334"/>
    <n v="1301"/>
    <n v="2019"/>
    <n v="45274"/>
    <n v="45643"/>
    <m/>
    <m/>
    <m/>
    <m/>
    <m/>
    <m/>
    <m/>
    <m/>
    <n v="0"/>
    <n v="0"/>
    <n v="0"/>
    <n v="0"/>
    <m/>
    <m/>
    <n v="0"/>
    <n v="0"/>
    <m/>
    <m/>
    <m/>
    <m/>
    <m/>
    <m/>
    <m/>
    <m/>
    <n v="0"/>
    <n v="0"/>
    <n v="0"/>
    <n v="0"/>
    <n v="1509.1333333333334"/>
    <n v="1521.4333333333334"/>
  </r>
  <r>
    <x v="15"/>
    <s v="Southern West Virginia Community &amp; Technical College "/>
    <m/>
    <n v="237817"/>
    <x v="8"/>
    <s v="sem"/>
    <s v="sem"/>
    <m/>
    <m/>
    <n v="17542"/>
    <n v="17642"/>
    <n v="1238"/>
    <n v="1289"/>
    <n v="18681"/>
    <n v="19457"/>
    <n v="37461"/>
    <n v="1248.7"/>
    <n v="38388"/>
    <n v="1279.5999999999999"/>
    <n v="1081"/>
    <n v="776"/>
    <n v="37461"/>
    <n v="38388"/>
    <m/>
    <m/>
    <m/>
    <m/>
    <m/>
    <m/>
    <m/>
    <m/>
    <n v="0"/>
    <n v="0"/>
    <n v="0"/>
    <n v="0"/>
    <m/>
    <m/>
    <n v="0"/>
    <n v="0"/>
    <m/>
    <m/>
    <m/>
    <m/>
    <m/>
    <m/>
    <m/>
    <m/>
    <n v="0"/>
    <n v="0"/>
    <n v="0"/>
    <n v="0"/>
    <n v="1248.7"/>
    <n v="1279.5999999999999"/>
  </r>
  <r>
    <x v="15"/>
    <s v="West Virginia Northern Community College"/>
    <m/>
    <n v="238014"/>
    <x v="8"/>
    <s v="sem"/>
    <s v="sem"/>
    <m/>
    <m/>
    <n v="16874.2"/>
    <n v="16133.8"/>
    <n v="4180"/>
    <n v="3937"/>
    <n v="18429.400000000001"/>
    <n v="17746.599999999999"/>
    <n v="39483.600000000006"/>
    <n v="1316.1200000000001"/>
    <n v="37817.399999999994"/>
    <n v="1260.5799999999997"/>
    <n v="3028"/>
    <n v="3431"/>
    <n v="39483.600000000006"/>
    <n v="37817.399999999994"/>
    <m/>
    <m/>
    <m/>
    <m/>
    <m/>
    <m/>
    <m/>
    <m/>
    <n v="0"/>
    <n v="0"/>
    <n v="0"/>
    <n v="0"/>
    <m/>
    <m/>
    <n v="0"/>
    <n v="0"/>
    <m/>
    <m/>
    <m/>
    <m/>
    <m/>
    <m/>
    <m/>
    <m/>
    <n v="0"/>
    <n v="0"/>
    <n v="0"/>
    <n v="0"/>
    <n v="1316.1200000000001"/>
    <n v="1260.5799999999997"/>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77">
  <r>
    <x v="0"/>
    <s v="Auburn University"/>
    <m/>
    <n v="100858"/>
    <x v="0"/>
    <s v="sem"/>
    <m/>
    <m/>
    <m/>
    <n v="268440"/>
    <n v="282499"/>
    <n v="51741"/>
    <n v="53683"/>
    <n v="302489"/>
    <n v="315484"/>
    <n v="622670"/>
    <n v="20755.666666666668"/>
    <n v="651666"/>
    <n v="21722.2"/>
    <n v="61"/>
    <n v="57"/>
    <n v="622670"/>
    <n v="651666"/>
    <m/>
    <m/>
    <m/>
    <m/>
    <m/>
    <m/>
    <m/>
    <m/>
    <n v="0"/>
    <n v="0"/>
    <n v="0"/>
    <n v="0"/>
    <m/>
    <m/>
    <n v="0"/>
    <n v="0"/>
  </r>
  <r>
    <x v="0"/>
    <s v="University of Alabama "/>
    <m/>
    <n v="100751"/>
    <x v="0"/>
    <s v="sem"/>
    <m/>
    <m/>
    <m/>
    <n v="386563"/>
    <n v="403250"/>
    <n v="67656"/>
    <n v="65716"/>
    <n v="430243"/>
    <n v="440877"/>
    <n v="884462"/>
    <n v="29482.066666666666"/>
    <n v="909843"/>
    <n v="30328.1"/>
    <n v="5593"/>
    <n v="6160"/>
    <n v="884462"/>
    <n v="909843"/>
    <m/>
    <m/>
    <m/>
    <m/>
    <m/>
    <m/>
    <m/>
    <m/>
    <n v="0"/>
    <n v="0"/>
    <n v="0"/>
    <n v="0"/>
    <m/>
    <m/>
    <n v="0"/>
    <n v="0"/>
  </r>
  <r>
    <x v="0"/>
    <s v="University of Alabama at Birmingham"/>
    <s v="Met the criteria for Four-Year 1 in 2016-17."/>
    <n v="100663"/>
    <x v="1"/>
    <s v="sem"/>
    <m/>
    <m/>
    <m/>
    <n v="112991"/>
    <n v="112871"/>
    <n v="26100"/>
    <n v="27708"/>
    <n v="123892"/>
    <n v="132973"/>
    <n v="262983"/>
    <n v="8766.1"/>
    <n v="273552"/>
    <n v="9118.4"/>
    <n v="31"/>
    <n v="170"/>
    <n v="262983"/>
    <n v="273552"/>
    <m/>
    <m/>
    <m/>
    <m/>
    <m/>
    <m/>
    <m/>
    <m/>
    <n v="0"/>
    <n v="0"/>
    <n v="0"/>
    <n v="0"/>
    <m/>
    <m/>
    <n v="0"/>
    <n v="0"/>
  </r>
  <r>
    <x v="0"/>
    <s v="University of Alabama in Huntsville"/>
    <m/>
    <n v="100706"/>
    <x v="1"/>
    <s v="sem"/>
    <m/>
    <m/>
    <m/>
    <n v="64786"/>
    <n v="70191"/>
    <n v="13914"/>
    <n v="13171"/>
    <n v="75343"/>
    <n v="82944"/>
    <n v="154043"/>
    <n v="5134.7666666666664"/>
    <n v="166306"/>
    <n v="5543.5333333333338"/>
    <n v="511"/>
    <n v="640"/>
    <n v="154043"/>
    <n v="166306"/>
    <m/>
    <m/>
    <m/>
    <m/>
    <m/>
    <m/>
    <m/>
    <m/>
    <n v="0"/>
    <n v="0"/>
    <n v="0"/>
    <n v="0"/>
    <m/>
    <m/>
    <n v="0"/>
    <n v="0"/>
  </r>
  <r>
    <x v="0"/>
    <s v="Alabama Agricultural &amp; Mechanical University"/>
    <m/>
    <n v="100654"/>
    <x v="2"/>
    <s v="sem"/>
    <m/>
    <m/>
    <m/>
    <n v="48321"/>
    <n v="51436"/>
    <n v="4202"/>
    <n v="4209"/>
    <n v="65574"/>
    <n v="71575"/>
    <n v="118097"/>
    <n v="3936.5666666666666"/>
    <n v="127220"/>
    <n v="4240.666666666667"/>
    <n v="0"/>
    <n v="0"/>
    <n v="118097"/>
    <n v="127220"/>
    <m/>
    <m/>
    <m/>
    <m/>
    <m/>
    <m/>
    <m/>
    <m/>
    <n v="0"/>
    <n v="0"/>
    <n v="0"/>
    <n v="0"/>
    <m/>
    <m/>
    <n v="0"/>
    <n v="0"/>
  </r>
  <r>
    <x v="0"/>
    <s v="Jacksonville State University "/>
    <m/>
    <n v="101480"/>
    <x v="2"/>
    <s v="sem"/>
    <m/>
    <m/>
    <m/>
    <n v="83498"/>
    <n v="81171"/>
    <n v="17065"/>
    <n v="17221"/>
    <n v="87002"/>
    <n v="88712"/>
    <n v="187565"/>
    <n v="6252.166666666667"/>
    <n v="187104"/>
    <n v="6236.8"/>
    <n v="3573"/>
    <n v="5067"/>
    <n v="187565"/>
    <n v="187104"/>
    <m/>
    <m/>
    <m/>
    <m/>
    <m/>
    <m/>
    <m/>
    <m/>
    <n v="0"/>
    <n v="0"/>
    <n v="0"/>
    <n v="0"/>
    <m/>
    <m/>
    <n v="0"/>
    <n v="0"/>
  </r>
  <r>
    <x v="0"/>
    <s v="Troy University"/>
    <m/>
    <n v="102368"/>
    <x v="2"/>
    <s v="sem"/>
    <m/>
    <m/>
    <m/>
    <n v="116695"/>
    <n v="118926"/>
    <n v="20021"/>
    <n v="19382"/>
    <n v="127244"/>
    <n v="134033"/>
    <n v="263960"/>
    <n v="8798.6666666666661"/>
    <n v="272341"/>
    <n v="9078.0333333333328"/>
    <n v="1531"/>
    <n v="1997"/>
    <n v="263960"/>
    <n v="272341"/>
    <m/>
    <m/>
    <m/>
    <m/>
    <m/>
    <m/>
    <m/>
    <m/>
    <n v="0"/>
    <n v="0"/>
    <n v="0"/>
    <n v="0"/>
    <m/>
    <m/>
    <n v="0"/>
    <n v="0"/>
  </r>
  <r>
    <x v="0"/>
    <s v="University of South Alabama"/>
    <s v="Met the criteria for Four-Year 2 in 2016-17."/>
    <n v="102094"/>
    <x v="2"/>
    <s v="sem"/>
    <m/>
    <m/>
    <m/>
    <n v="121008"/>
    <n v="128650"/>
    <n v="23609"/>
    <n v="25714"/>
    <n v="137096"/>
    <n v="141442"/>
    <n v="281713"/>
    <n v="9390.4333333333325"/>
    <n v="295806"/>
    <n v="9860.2000000000007"/>
    <n v="712"/>
    <n v="816"/>
    <n v="281713"/>
    <n v="295806"/>
    <m/>
    <m/>
    <m/>
    <m/>
    <m/>
    <m/>
    <m/>
    <m/>
    <n v="0"/>
    <n v="0"/>
    <n v="0"/>
    <n v="0"/>
    <m/>
    <m/>
    <n v="0"/>
    <n v="0"/>
  </r>
  <r>
    <x v="0"/>
    <s v="Alabama State University "/>
    <m/>
    <n v="100724"/>
    <x v="3"/>
    <s v="sem"/>
    <m/>
    <m/>
    <m/>
    <n v="66828"/>
    <n v="63470"/>
    <n v="10100"/>
    <n v="11537"/>
    <n v="72910"/>
    <n v="71475"/>
    <n v="149838"/>
    <n v="4994.6000000000004"/>
    <n v="146482"/>
    <n v="4882.7333333333336"/>
    <n v="120"/>
    <n v="399"/>
    <n v="149838"/>
    <n v="146482"/>
    <m/>
    <m/>
    <m/>
    <m/>
    <m/>
    <m/>
    <m/>
    <m/>
    <n v="0"/>
    <n v="0"/>
    <n v="0"/>
    <n v="0"/>
    <m/>
    <m/>
    <n v="0"/>
    <n v="0"/>
  </r>
  <r>
    <x v="0"/>
    <s v="Auburn University at Montgomery"/>
    <s v="Met the criteria for Four-Year 3 in 2016-17."/>
    <n v="100830"/>
    <x v="3"/>
    <s v="sem"/>
    <m/>
    <m/>
    <m/>
    <n v="45597"/>
    <n v="44602"/>
    <n v="10864"/>
    <n v="10284"/>
    <n v="50202"/>
    <n v="50643"/>
    <n v="106663"/>
    <n v="3555.4333333333334"/>
    <n v="105529"/>
    <n v="3517.6333333333332"/>
    <n v="108"/>
    <n v="120"/>
    <n v="106663"/>
    <n v="105529"/>
    <m/>
    <m/>
    <m/>
    <m/>
    <m/>
    <m/>
    <m/>
    <m/>
    <n v="0"/>
    <n v="0"/>
    <n v="0"/>
    <n v="0"/>
    <m/>
    <m/>
    <n v="0"/>
    <n v="0"/>
  </r>
  <r>
    <x v="0"/>
    <s v="University of North Alabama"/>
    <s v="Reclassified: Met the criteria for Four-Year 3 in 2014-15 and 2015-16 and 2016-17."/>
    <n v="101879"/>
    <x v="2"/>
    <s v="sem"/>
    <m/>
    <m/>
    <m/>
    <n v="65539"/>
    <n v="69435"/>
    <n v="11357"/>
    <n v="12579"/>
    <n v="74779"/>
    <n v="78234"/>
    <n v="151675"/>
    <n v="5055.833333333333"/>
    <n v="160248"/>
    <n v="5341.6"/>
    <n v="1905"/>
    <n v="2084"/>
    <n v="151675"/>
    <n v="160248"/>
    <m/>
    <m/>
    <m/>
    <m/>
    <m/>
    <m/>
    <m/>
    <m/>
    <n v="0"/>
    <n v="0"/>
    <n v="0"/>
    <n v="0"/>
    <m/>
    <m/>
    <n v="0"/>
    <n v="0"/>
  </r>
  <r>
    <x v="0"/>
    <s v="University of Montevallo"/>
    <m/>
    <n v="101709"/>
    <x v="4"/>
    <s v="sem"/>
    <m/>
    <m/>
    <m/>
    <n v="32692"/>
    <n v="31118"/>
    <n v="3960"/>
    <n v="3748"/>
    <n v="34467"/>
    <n v="32828"/>
    <n v="71119"/>
    <n v="2370.6333333333332"/>
    <n v="67694"/>
    <n v="2256.4666666666667"/>
    <n v="79"/>
    <n v="67"/>
    <n v="71119"/>
    <n v="67694"/>
    <m/>
    <m/>
    <m/>
    <m/>
    <m/>
    <m/>
    <m/>
    <m/>
    <n v="0"/>
    <n v="0"/>
    <n v="0"/>
    <n v="0"/>
    <m/>
    <m/>
    <n v="0"/>
    <n v="0"/>
  </r>
  <r>
    <x v="0"/>
    <s v="University of West Alabama"/>
    <m/>
    <n v="101587"/>
    <x v="4"/>
    <s v="sem"/>
    <m/>
    <m/>
    <m/>
    <n v="23194"/>
    <n v="24240"/>
    <n v="3417"/>
    <n v="3517"/>
    <n v="26347"/>
    <n v="27398"/>
    <n v="52958"/>
    <n v="1765.2666666666667"/>
    <n v="55155"/>
    <n v="1838.5"/>
    <n v="538"/>
    <n v="459"/>
    <n v="52958"/>
    <n v="55155"/>
    <m/>
    <m/>
    <m/>
    <m/>
    <m/>
    <m/>
    <m/>
    <m/>
    <n v="0"/>
    <n v="0"/>
    <n v="0"/>
    <n v="0"/>
    <m/>
    <m/>
    <n v="0"/>
    <n v="0"/>
  </r>
  <r>
    <x v="0"/>
    <s v="Athens State University"/>
    <m/>
    <s v="100812"/>
    <x v="5"/>
    <s v="sem"/>
    <m/>
    <m/>
    <m/>
    <n v="27909"/>
    <n v="27438"/>
    <n v="13925"/>
    <n v="13758"/>
    <n v="28582"/>
    <n v="28322"/>
    <n v="70416"/>
    <n v="2347.1999999999998"/>
    <n v="69518"/>
    <n v="2317.2666666666669"/>
    <n v="0"/>
    <n v="0"/>
    <n v="70416"/>
    <n v="69518"/>
    <m/>
    <m/>
    <m/>
    <m/>
    <m/>
    <m/>
    <m/>
    <m/>
    <n v="0"/>
    <n v="0"/>
    <n v="0"/>
    <n v="0"/>
    <m/>
    <m/>
    <n v="0"/>
    <n v="0"/>
  </r>
  <r>
    <x v="0"/>
    <s v="Jefferson State Community College"/>
    <m/>
    <n v="101505"/>
    <x v="6"/>
    <s v="sem"/>
    <m/>
    <m/>
    <m/>
    <n v="63475"/>
    <n v="63108"/>
    <n v="34347"/>
    <n v="33576"/>
    <n v="72520"/>
    <n v="72945"/>
    <n v="170342"/>
    <n v="5678.0666666666666"/>
    <n v="169629"/>
    <n v="5654.3"/>
    <n v="8099"/>
    <n v="9603"/>
    <n v="170342"/>
    <n v="169629"/>
    <m/>
    <m/>
    <m/>
    <m/>
    <m/>
    <m/>
    <m/>
    <m/>
    <n v="0"/>
    <n v="0"/>
    <n v="0"/>
    <n v="0"/>
    <m/>
    <m/>
    <n v="0"/>
    <n v="0"/>
  </r>
  <r>
    <x v="0"/>
    <s v="John C. Calhoun State Community College "/>
    <m/>
    <n v="101514"/>
    <x v="6"/>
    <s v="sem"/>
    <m/>
    <m/>
    <m/>
    <n v="88381"/>
    <n v="81719"/>
    <n v="39190"/>
    <n v="36350"/>
    <n v="89515"/>
    <n v="88103"/>
    <n v="217086"/>
    <n v="7236.2"/>
    <n v="206172"/>
    <n v="6872.4"/>
    <n v="8700"/>
    <n v="9765"/>
    <n v="217086"/>
    <n v="206172"/>
    <m/>
    <m/>
    <m/>
    <m/>
    <m/>
    <m/>
    <m/>
    <m/>
    <n v="0"/>
    <n v="0"/>
    <n v="0"/>
    <n v="0"/>
    <m/>
    <m/>
    <n v="0"/>
    <n v="0"/>
  </r>
  <r>
    <x v="0"/>
    <s v="Bevill State Community College"/>
    <m/>
    <n v="102429"/>
    <x v="7"/>
    <s v="sem"/>
    <m/>
    <m/>
    <m/>
    <n v="33070"/>
    <n v="34096"/>
    <n v="15523"/>
    <n v="16188"/>
    <n v="35895"/>
    <n v="36363"/>
    <n v="84488"/>
    <n v="2816.2666666666669"/>
    <n v="86647"/>
    <n v="2888.2333333333331"/>
    <n v="4969"/>
    <n v="5606"/>
    <n v="84488"/>
    <n v="86647"/>
    <m/>
    <m/>
    <m/>
    <m/>
    <m/>
    <m/>
    <m/>
    <m/>
    <n v="0"/>
    <n v="0"/>
    <n v="0"/>
    <n v="0"/>
    <m/>
    <m/>
    <n v="0"/>
    <n v="0"/>
  </r>
  <r>
    <x v="0"/>
    <s v="Bishop State Community College"/>
    <m/>
    <n v="102030"/>
    <x v="7"/>
    <s v="sem"/>
    <m/>
    <m/>
    <m/>
    <n v="30950"/>
    <n v="29366"/>
    <n v="10858"/>
    <n v="10188"/>
    <n v="30316"/>
    <n v="29533"/>
    <n v="72124"/>
    <n v="2404.1333333333332"/>
    <n v="69087"/>
    <n v="2302.9"/>
    <n v="3022"/>
    <n v="3488"/>
    <n v="72124"/>
    <n v="69087"/>
    <m/>
    <m/>
    <m/>
    <m/>
    <m/>
    <m/>
    <m/>
    <m/>
    <n v="0"/>
    <n v="0"/>
    <n v="0"/>
    <n v="0"/>
    <m/>
    <m/>
    <n v="0"/>
    <n v="0"/>
  </r>
  <r>
    <x v="0"/>
    <s v="Enterprise-Ozark Community College"/>
    <s v="Reclassified: Met the criteria for Two-Year 3 in 2014-15, 2015-16, and 2016-17."/>
    <n v="101143"/>
    <x v="8"/>
    <s v="sem"/>
    <m/>
    <m/>
    <m/>
    <n v="18637"/>
    <n v="17337"/>
    <n v="6708"/>
    <n v="5827"/>
    <n v="19300"/>
    <n v="17619"/>
    <n v="44645"/>
    <n v="1488.1666666666667"/>
    <n v="40783"/>
    <n v="1359.4333333333334"/>
    <n v="3899"/>
    <n v="4549.5"/>
    <n v="44645"/>
    <n v="40783"/>
    <m/>
    <m/>
    <m/>
    <m/>
    <m/>
    <m/>
    <m/>
    <m/>
    <n v="0"/>
    <n v="0"/>
    <n v="0"/>
    <n v="0"/>
    <m/>
    <m/>
    <n v="0"/>
    <n v="0"/>
  </r>
  <r>
    <x v="0"/>
    <s v="Gadsden State Community College"/>
    <m/>
    <n v="101240"/>
    <x v="7"/>
    <s v="sem"/>
    <m/>
    <m/>
    <m/>
    <n v="48967"/>
    <n v="46880"/>
    <n v="19473"/>
    <n v="20126"/>
    <n v="50607"/>
    <n v="50963"/>
    <n v="119047"/>
    <n v="3968.2333333333331"/>
    <n v="117969"/>
    <n v="3932.3"/>
    <n v="3356"/>
    <n v="4713"/>
    <n v="119047"/>
    <n v="117969"/>
    <m/>
    <m/>
    <m/>
    <m/>
    <m/>
    <m/>
    <m/>
    <m/>
    <n v="0"/>
    <n v="0"/>
    <n v="0"/>
    <n v="0"/>
    <m/>
    <m/>
    <n v="0"/>
    <n v="0"/>
  </r>
  <r>
    <x v="0"/>
    <s v="George C. Wallace State Community College - Dothan"/>
    <m/>
    <n v="101286"/>
    <x v="7"/>
    <s v="sem"/>
    <m/>
    <m/>
    <m/>
    <n v="43238"/>
    <n v="40110"/>
    <n v="19161"/>
    <n v="17372"/>
    <n v="45555"/>
    <n v="42446"/>
    <n v="107954"/>
    <n v="3598.4666666666667"/>
    <n v="99928"/>
    <n v="3330.9333333333334"/>
    <n v="5240"/>
    <n v="5542"/>
    <n v="107954"/>
    <n v="99928"/>
    <m/>
    <m/>
    <m/>
    <m/>
    <m/>
    <m/>
    <m/>
    <m/>
    <n v="0"/>
    <n v="0"/>
    <n v="0"/>
    <n v="0"/>
    <m/>
    <m/>
    <n v="0"/>
    <n v="0"/>
  </r>
  <r>
    <x v="0"/>
    <s v="James H. Faulkner State Community College"/>
    <m/>
    <n v="101161"/>
    <x v="7"/>
    <s v="sem"/>
    <m/>
    <m/>
    <m/>
    <n v="45677"/>
    <n v="45876"/>
    <n v="19322"/>
    <n v="18866"/>
    <n v="49973"/>
    <n v="50261"/>
    <n v="114972"/>
    <n v="3832.4"/>
    <n v="115003"/>
    <n v="3833.4333333333334"/>
    <n v="3028"/>
    <n v="2051"/>
    <n v="114972"/>
    <n v="115003"/>
    <m/>
    <m/>
    <m/>
    <m/>
    <m/>
    <m/>
    <m/>
    <m/>
    <n v="0"/>
    <n v="0"/>
    <n v="0"/>
    <n v="0"/>
    <m/>
    <m/>
    <n v="0"/>
    <n v="0"/>
  </r>
  <r>
    <x v="0"/>
    <s v="Lawson State Community College "/>
    <m/>
    <n v="101569"/>
    <x v="7"/>
    <s v="sem"/>
    <m/>
    <m/>
    <m/>
    <n v="29363"/>
    <n v="30199"/>
    <n v="11150"/>
    <n v="11234"/>
    <n v="33450"/>
    <n v="32929"/>
    <n v="73963"/>
    <n v="2465.4333333333334"/>
    <n v="74362"/>
    <n v="2478.7333333333331"/>
    <n v="1283"/>
    <n v="2166"/>
    <n v="73963"/>
    <n v="74362"/>
    <m/>
    <m/>
    <m/>
    <m/>
    <m/>
    <m/>
    <m/>
    <m/>
    <n v="0"/>
    <n v="0"/>
    <n v="0"/>
    <n v="0"/>
    <m/>
    <m/>
    <n v="0"/>
    <n v="0"/>
  </r>
  <r>
    <x v="0"/>
    <s v="Northeast Alabama State Community College "/>
    <s v="Met the criteria for Two-Year 3 in 2015-16 and 2016-17."/>
    <n v="101897"/>
    <x v="7"/>
    <s v="sem"/>
    <m/>
    <m/>
    <m/>
    <n v="22853"/>
    <n v="22693"/>
    <n v="9114"/>
    <n v="9856"/>
    <n v="25274"/>
    <n v="24625"/>
    <n v="57241"/>
    <n v="1908.0333333333333"/>
    <n v="57174"/>
    <n v="1905.8"/>
    <n v="5915"/>
    <n v="6188"/>
    <n v="57241"/>
    <n v="57174"/>
    <m/>
    <m/>
    <m/>
    <m/>
    <m/>
    <m/>
    <m/>
    <m/>
    <n v="0"/>
    <n v="0"/>
    <n v="0"/>
    <n v="0"/>
    <m/>
    <m/>
    <n v="0"/>
    <n v="0"/>
  </r>
  <r>
    <x v="0"/>
    <s v="Northwest-Shoals Community College"/>
    <m/>
    <n v="101736"/>
    <x v="7"/>
    <s v="sem"/>
    <m/>
    <m/>
    <m/>
    <n v="32099"/>
    <n v="29500"/>
    <n v="12217"/>
    <n v="11564"/>
    <n v="33729"/>
    <n v="33313"/>
    <n v="78045"/>
    <n v="2601.5"/>
    <n v="74377"/>
    <n v="2479.2333333333331"/>
    <n v="5282"/>
    <n v="5438"/>
    <n v="78045"/>
    <n v="74377"/>
    <m/>
    <m/>
    <m/>
    <m/>
    <m/>
    <m/>
    <m/>
    <m/>
    <n v="0"/>
    <n v="0"/>
    <n v="0"/>
    <n v="0"/>
    <m/>
    <m/>
    <n v="0"/>
    <n v="0"/>
  </r>
  <r>
    <x v="0"/>
    <s v="Shelton State Community College"/>
    <m/>
    <n v="102067"/>
    <x v="7"/>
    <s v="sem"/>
    <m/>
    <m/>
    <m/>
    <n v="43730"/>
    <n v="40846"/>
    <n v="20194"/>
    <n v="21217"/>
    <n v="47297"/>
    <n v="46389"/>
    <n v="111221"/>
    <n v="3707.3666666666668"/>
    <n v="108452"/>
    <n v="3615.0666666666666"/>
    <n v="1713"/>
    <n v="1774"/>
    <n v="111221"/>
    <n v="108452"/>
    <m/>
    <m/>
    <m/>
    <m/>
    <m/>
    <m/>
    <m/>
    <m/>
    <n v="0"/>
    <n v="0"/>
    <n v="0"/>
    <n v="0"/>
    <m/>
    <m/>
    <n v="0"/>
    <n v="0"/>
  </r>
  <r>
    <x v="0"/>
    <s v="Southern Union State Community College"/>
    <m/>
    <n v="251260"/>
    <x v="7"/>
    <s v="sem"/>
    <m/>
    <m/>
    <m/>
    <n v="47479"/>
    <n v="46483"/>
    <n v="20187"/>
    <n v="19741"/>
    <n v="50250"/>
    <n v="49024"/>
    <n v="117916"/>
    <n v="3930.5333333333333"/>
    <n v="115248"/>
    <n v="3841.6"/>
    <n v="1443"/>
    <n v="2055"/>
    <n v="117916"/>
    <n v="115248"/>
    <m/>
    <m/>
    <m/>
    <m/>
    <m/>
    <m/>
    <m/>
    <m/>
    <n v="0"/>
    <n v="0"/>
    <n v="0"/>
    <n v="0"/>
    <m/>
    <m/>
    <n v="0"/>
    <n v="0"/>
  </r>
  <r>
    <x v="0"/>
    <s v="Wallace Community College - Hanceville"/>
    <m/>
    <n v="101295"/>
    <x v="7"/>
    <s v="sem"/>
    <m/>
    <m/>
    <m/>
    <n v="51463"/>
    <n v="50671"/>
    <n v="21595"/>
    <n v="21620"/>
    <n v="56467"/>
    <n v="56916"/>
    <n v="129525"/>
    <n v="4317.5"/>
    <n v="129207"/>
    <n v="4306.8999999999996"/>
    <n v="7022"/>
    <n v="5387"/>
    <n v="129525"/>
    <n v="129207"/>
    <m/>
    <m/>
    <m/>
    <m/>
    <m/>
    <m/>
    <m/>
    <m/>
    <n v="0"/>
    <n v="0"/>
    <n v="0"/>
    <n v="0"/>
    <m/>
    <m/>
    <n v="0"/>
    <n v="0"/>
  </r>
  <r>
    <x v="0"/>
    <s v="Alabama Southern Community College"/>
    <m/>
    <n v="101949"/>
    <x v="8"/>
    <s v="sem"/>
    <m/>
    <m/>
    <m/>
    <n v="14544"/>
    <n v="13603"/>
    <n v="4295"/>
    <n v="4794"/>
    <n v="14742"/>
    <n v="14255"/>
    <n v="33581"/>
    <n v="1119.3666666666666"/>
    <n v="32652"/>
    <n v="1088.4000000000001"/>
    <n v="2127"/>
    <n v="2125"/>
    <n v="33581"/>
    <n v="32652"/>
    <m/>
    <m/>
    <m/>
    <m/>
    <m/>
    <m/>
    <m/>
    <m/>
    <n v="0"/>
    <n v="0"/>
    <n v="0"/>
    <n v="0"/>
    <m/>
    <m/>
    <n v="0"/>
    <n v="0"/>
  </r>
  <r>
    <x v="0"/>
    <s v="Central Alabama Community College"/>
    <m/>
    <n v="100760"/>
    <x v="8"/>
    <s v="sem"/>
    <m/>
    <m/>
    <m/>
    <n v="17716"/>
    <n v="16720"/>
    <n v="6577"/>
    <n v="6157"/>
    <n v="18575"/>
    <n v="18080"/>
    <n v="42868"/>
    <n v="1428.9333333333334"/>
    <n v="40957"/>
    <n v="1365.2333333333333"/>
    <n v="1489"/>
    <n v="2248"/>
    <n v="42868"/>
    <n v="40957"/>
    <m/>
    <m/>
    <m/>
    <m/>
    <m/>
    <m/>
    <m/>
    <m/>
    <n v="0"/>
    <n v="0"/>
    <n v="0"/>
    <n v="0"/>
    <m/>
    <m/>
    <n v="0"/>
    <n v="0"/>
  </r>
  <r>
    <x v="0"/>
    <s v="Chattahoochee Valley State Community College "/>
    <m/>
    <n v="101028"/>
    <x v="8"/>
    <s v="sem"/>
    <m/>
    <m/>
    <m/>
    <n v="17771"/>
    <n v="16745"/>
    <n v="6812"/>
    <n v="6066"/>
    <n v="17259"/>
    <n v="15709"/>
    <n v="41842"/>
    <n v="1394.7333333333333"/>
    <n v="38520"/>
    <n v="1284"/>
    <n v="748"/>
    <n v="1070"/>
    <n v="41842"/>
    <n v="38520"/>
    <m/>
    <m/>
    <m/>
    <m/>
    <m/>
    <m/>
    <m/>
    <m/>
    <n v="0"/>
    <n v="0"/>
    <n v="0"/>
    <n v="0"/>
    <m/>
    <m/>
    <n v="0"/>
    <n v="0"/>
  </r>
  <r>
    <x v="0"/>
    <s v="George Corley Wallace State Community College - Selma"/>
    <m/>
    <n v="101301"/>
    <x v="8"/>
    <s v="sem"/>
    <m/>
    <m/>
    <m/>
    <n v="17041"/>
    <n v="15830"/>
    <n v="9634"/>
    <n v="10898"/>
    <n v="16887"/>
    <n v="17187"/>
    <n v="43562"/>
    <n v="1452.0666666666666"/>
    <n v="43915"/>
    <n v="1463.8333333333333"/>
    <n v="2893"/>
    <n v="2488"/>
    <n v="43562"/>
    <n v="43915"/>
    <m/>
    <m/>
    <m/>
    <m/>
    <m/>
    <m/>
    <m/>
    <m/>
    <n v="0"/>
    <n v="0"/>
    <n v="0"/>
    <n v="0"/>
    <m/>
    <m/>
    <n v="0"/>
    <n v="0"/>
  </r>
  <r>
    <x v="0"/>
    <s v="Jefferson Davis Community College"/>
    <m/>
    <n v="101499"/>
    <x v="8"/>
    <s v="sem"/>
    <m/>
    <m/>
    <m/>
    <n v="11210"/>
    <n v="11750"/>
    <n v="4765"/>
    <n v="4951"/>
    <n v="12093"/>
    <n v="10899"/>
    <n v="28068"/>
    <n v="935.6"/>
    <n v="27600"/>
    <n v="920"/>
    <n v="376"/>
    <n v="275"/>
    <n v="28068"/>
    <n v="27600"/>
    <m/>
    <m/>
    <m/>
    <m/>
    <m/>
    <m/>
    <m/>
    <m/>
    <n v="0"/>
    <n v="0"/>
    <n v="0"/>
    <n v="0"/>
    <m/>
    <m/>
    <n v="0"/>
    <n v="0"/>
  </r>
  <r>
    <x v="0"/>
    <s v="Lurleen B. Wallace Community College "/>
    <m/>
    <n v="101602"/>
    <x v="8"/>
    <s v="sem"/>
    <m/>
    <m/>
    <m/>
    <n v="14667"/>
    <n v="16503"/>
    <n v="7250"/>
    <n v="7100"/>
    <n v="17982"/>
    <n v="18189"/>
    <n v="39899"/>
    <n v="1329.9666666666667"/>
    <n v="41792"/>
    <n v="1393.0666666666666"/>
    <n v="2537"/>
    <n v="2450"/>
    <n v="39899"/>
    <n v="41792"/>
    <m/>
    <m/>
    <m/>
    <m/>
    <m/>
    <m/>
    <m/>
    <m/>
    <n v="0"/>
    <n v="0"/>
    <n v="0"/>
    <n v="0"/>
    <m/>
    <m/>
    <n v="0"/>
    <n v="0"/>
  </r>
  <r>
    <x v="0"/>
    <s v="Snead State Community College "/>
    <s v="Met the criteria for Two-Year 2 in 2015-16 and 2016-17."/>
    <n v="102076"/>
    <x v="8"/>
    <s v="sem"/>
    <m/>
    <m/>
    <m/>
    <n v="25199"/>
    <n v="25795"/>
    <n v="8981"/>
    <n v="9897"/>
    <n v="28862"/>
    <n v="26251"/>
    <n v="63042"/>
    <n v="2101.4"/>
    <n v="61943"/>
    <n v="2064.7666666666669"/>
    <n v="2241"/>
    <n v="2326"/>
    <n v="63042"/>
    <n v="61943"/>
    <m/>
    <m/>
    <m/>
    <m/>
    <m/>
    <m/>
    <m/>
    <m/>
    <n v="0"/>
    <n v="0"/>
    <n v="0"/>
    <n v="0"/>
    <m/>
    <m/>
    <n v="0"/>
    <n v="0"/>
  </r>
  <r>
    <x v="0"/>
    <s v="Trenholm State Technical College "/>
    <m/>
    <n v="102313"/>
    <x v="9"/>
    <s v="sem"/>
    <m/>
    <m/>
    <m/>
    <n v="13213"/>
    <n v="14750"/>
    <n v="8511"/>
    <n v="8319"/>
    <n v="14363"/>
    <n v="15487"/>
    <n v="36087"/>
    <n v="1202.9000000000001"/>
    <n v="38556"/>
    <n v="1285.2"/>
    <n v="1100"/>
    <n v="1985"/>
    <n v="36087"/>
    <n v="38556"/>
    <m/>
    <m/>
    <m/>
    <m/>
    <m/>
    <m/>
    <m/>
    <m/>
    <n v="0"/>
    <n v="0"/>
    <n v="0"/>
    <n v="0"/>
    <m/>
    <m/>
    <n v="0"/>
    <n v="0"/>
  </r>
  <r>
    <x v="0"/>
    <s v="J.F. Drake State Technical College "/>
    <m/>
    <n v="101462"/>
    <x v="10"/>
    <s v="sem"/>
    <m/>
    <m/>
    <m/>
    <n v="9324"/>
    <n v="8249"/>
    <n v="4358"/>
    <n v="3909"/>
    <n v="9187"/>
    <n v="8374"/>
    <n v="22869"/>
    <n v="762.3"/>
    <n v="20532"/>
    <n v="684.4"/>
    <n v="974"/>
    <n v="320"/>
    <n v="22869"/>
    <n v="20532"/>
    <m/>
    <m/>
    <m/>
    <m/>
    <m/>
    <m/>
    <m/>
    <m/>
    <n v="0"/>
    <n v="0"/>
    <n v="0"/>
    <n v="0"/>
    <m/>
    <m/>
    <n v="0"/>
    <n v="0"/>
  </r>
  <r>
    <x v="0"/>
    <s v="J.F. Ingram State Technical College "/>
    <m/>
    <n v="101471"/>
    <x v="10"/>
    <s v="sem"/>
    <m/>
    <m/>
    <m/>
    <n v="6408"/>
    <n v="5665"/>
    <n v="5621"/>
    <n v="6664"/>
    <n v="5555"/>
    <n v="5995"/>
    <n v="17584"/>
    <n v="586.13333333333333"/>
    <n v="18324"/>
    <n v="610.79999999999995"/>
    <n v="0"/>
    <n v="0"/>
    <n v="17584"/>
    <n v="18324"/>
    <m/>
    <m/>
    <m/>
    <m/>
    <m/>
    <m/>
    <m/>
    <m/>
    <n v="0"/>
    <n v="0"/>
    <n v="0"/>
    <n v="0"/>
    <m/>
    <m/>
    <n v="0"/>
    <n v="0"/>
  </r>
  <r>
    <x v="0"/>
    <s v="Reid State Technical College "/>
    <m/>
    <n v="101994"/>
    <x v="10"/>
    <s v="sem"/>
    <m/>
    <m/>
    <m/>
    <n v="4265"/>
    <n v="4321"/>
    <n v="3166"/>
    <n v="2588"/>
    <n v="5351"/>
    <n v="4596"/>
    <n v="12782"/>
    <n v="426.06666666666666"/>
    <n v="11505"/>
    <n v="383.5"/>
    <n v="1466"/>
    <n v="1077"/>
    <n v="12782"/>
    <n v="11505"/>
    <m/>
    <m/>
    <m/>
    <m/>
    <m/>
    <m/>
    <m/>
    <m/>
    <n v="0"/>
    <n v="0"/>
    <n v="0"/>
    <n v="0"/>
    <m/>
    <m/>
    <n v="0"/>
    <n v="0"/>
  </r>
  <r>
    <x v="1"/>
    <s v="University of Arkansas, Fayetteville"/>
    <m/>
    <n v="106397"/>
    <x v="0"/>
    <s v="sem"/>
    <s v="sem"/>
    <m/>
    <m/>
    <n v="278945"/>
    <n v="284249"/>
    <n v="42509"/>
    <n v="42737"/>
    <n v="307647"/>
    <n v="311746"/>
    <n v="629101"/>
    <n v="20970.033333333333"/>
    <n v="638732"/>
    <n v="21291.066666666666"/>
    <n v="4956"/>
    <n v="2313"/>
    <n v="629101"/>
    <n v="638732"/>
    <m/>
    <m/>
    <m/>
    <m/>
    <m/>
    <m/>
    <m/>
    <m/>
    <n v="0"/>
    <n v="0"/>
    <n v="0"/>
    <n v="0"/>
    <m/>
    <m/>
    <n v="0"/>
    <n v="0"/>
  </r>
  <r>
    <x v="1"/>
    <s v="University of Arkansas at Little Rock"/>
    <m/>
    <n v="106245"/>
    <x v="1"/>
    <s v="sem"/>
    <s v="sem"/>
    <m/>
    <m/>
    <n v="91192"/>
    <n v="90564"/>
    <n v="20591"/>
    <n v="18671"/>
    <n v="100883"/>
    <n v="99705"/>
    <n v="212666"/>
    <n v="7088.8666666666668"/>
    <n v="208940"/>
    <n v="6964.666666666667"/>
    <n v="18674"/>
    <n v="20891"/>
    <n v="212666"/>
    <n v="208940"/>
    <m/>
    <m/>
    <m/>
    <m/>
    <m/>
    <m/>
    <m/>
    <m/>
    <n v="0"/>
    <n v="0"/>
    <n v="0"/>
    <n v="0"/>
    <m/>
    <m/>
    <n v="0"/>
    <n v="0"/>
  </r>
  <r>
    <x v="1"/>
    <s v="Arkansas State University"/>
    <m/>
    <n v="106458"/>
    <x v="2"/>
    <s v="sem"/>
    <s v="sem"/>
    <m/>
    <m/>
    <n v="118647"/>
    <n v="118628"/>
    <n v="20368"/>
    <n v="20790"/>
    <n v="126257"/>
    <n v="129184"/>
    <n v="265272"/>
    <n v="8842.4"/>
    <n v="268602"/>
    <n v="8953.4"/>
    <n v="3769"/>
    <n v="5801"/>
    <n v="265272"/>
    <n v="268602"/>
    <m/>
    <m/>
    <m/>
    <m/>
    <m/>
    <m/>
    <m/>
    <m/>
    <n v="0"/>
    <n v="0"/>
    <n v="0"/>
    <n v="0"/>
    <m/>
    <m/>
    <n v="0"/>
    <n v="0"/>
  </r>
  <r>
    <x v="1"/>
    <s v="Arkansas Tech University"/>
    <m/>
    <n v="106467"/>
    <x v="2"/>
    <s v="sem"/>
    <s v="sem"/>
    <m/>
    <m/>
    <n v="103407"/>
    <n v="100720"/>
    <n v="12561"/>
    <n v="11465"/>
    <n v="114789"/>
    <n v="111424"/>
    <n v="230757"/>
    <n v="7691.9"/>
    <n v="223609"/>
    <n v="7453.6333333333332"/>
    <n v="11586"/>
    <n v="12620"/>
    <n v="230757"/>
    <n v="223609"/>
    <m/>
    <m/>
    <m/>
    <m/>
    <m/>
    <m/>
    <m/>
    <m/>
    <n v="0"/>
    <n v="0"/>
    <n v="0"/>
    <n v="0"/>
    <m/>
    <m/>
    <n v="0"/>
    <n v="0"/>
  </r>
  <r>
    <x v="1"/>
    <s v="University of Central Arkansas "/>
    <m/>
    <n v="106704"/>
    <x v="2"/>
    <s v="sem"/>
    <s v="sem"/>
    <m/>
    <m/>
    <n v="120885"/>
    <n v="121281"/>
    <n v="17934"/>
    <n v="19371"/>
    <n v="134060"/>
    <n v="129803"/>
    <n v="272879"/>
    <n v="9095.9666666666672"/>
    <n v="270455"/>
    <n v="9015.1666666666661"/>
    <n v="2592"/>
    <n v="2750"/>
    <n v="272879"/>
    <n v="270455"/>
    <m/>
    <m/>
    <m/>
    <m/>
    <m/>
    <m/>
    <m/>
    <m/>
    <n v="0"/>
    <n v="0"/>
    <n v="0"/>
    <n v="0"/>
    <m/>
    <m/>
    <n v="0"/>
    <n v="0"/>
  </r>
  <r>
    <x v="1"/>
    <s v="Henderson State University"/>
    <m/>
    <n v="107071"/>
    <x v="3"/>
    <s v="sem"/>
    <s v="sem"/>
    <m/>
    <m/>
    <n v="40270"/>
    <n v="40143"/>
    <n v="5167"/>
    <n v="5172"/>
    <n v="43649"/>
    <n v="43523"/>
    <n v="89086"/>
    <n v="2969.5333333333333"/>
    <n v="88838"/>
    <n v="2961.2666666666669"/>
    <n v="40"/>
    <n v="166"/>
    <n v="89086"/>
    <n v="88838"/>
    <m/>
    <m/>
    <m/>
    <m/>
    <m/>
    <m/>
    <m/>
    <m/>
    <n v="0"/>
    <n v="0"/>
    <n v="0"/>
    <n v="0"/>
    <m/>
    <m/>
    <n v="0"/>
    <n v="0"/>
  </r>
  <r>
    <x v="1"/>
    <s v="Southern Arkansas University"/>
    <m/>
    <n v="107983"/>
    <x v="3"/>
    <s v="sem"/>
    <s v="sem"/>
    <m/>
    <m/>
    <n v="37408"/>
    <n v="40633"/>
    <n v="4817"/>
    <n v="4738"/>
    <n v="44073"/>
    <n v="46293"/>
    <n v="86298"/>
    <n v="2876.6"/>
    <n v="91664"/>
    <n v="3055.4666666666667"/>
    <n v="1276"/>
    <n v="2029"/>
    <n v="86298"/>
    <n v="91664"/>
    <m/>
    <m/>
    <m/>
    <m/>
    <m/>
    <m/>
    <m/>
    <m/>
    <n v="0"/>
    <n v="0"/>
    <n v="0"/>
    <n v="0"/>
    <m/>
    <m/>
    <n v="0"/>
    <n v="0"/>
  </r>
  <r>
    <x v="1"/>
    <s v="University of Arkansas at Monticello"/>
    <m/>
    <n v="106485"/>
    <x v="4"/>
    <s v="sem"/>
    <s v="sem"/>
    <m/>
    <m/>
    <n v="31377"/>
    <n v="29710"/>
    <n v="3838"/>
    <n v="4029"/>
    <n v="32940"/>
    <n v="33939"/>
    <n v="68155"/>
    <n v="2271.8333333333335"/>
    <n v="67678"/>
    <n v="2255.9333333333334"/>
    <n v="6126"/>
    <n v="6769"/>
    <n v="68155"/>
    <n v="67678"/>
    <m/>
    <m/>
    <m/>
    <m/>
    <m/>
    <m/>
    <m/>
    <m/>
    <n v="0"/>
    <n v="0"/>
    <n v="0"/>
    <n v="0"/>
    <m/>
    <m/>
    <n v="0"/>
    <n v="0"/>
  </r>
  <r>
    <x v="1"/>
    <s v="University of Arkansas at Fort Smith"/>
    <m/>
    <n v="108092"/>
    <x v="5"/>
    <s v="sem"/>
    <s v="sem"/>
    <m/>
    <m/>
    <n v="76417"/>
    <n v="72626"/>
    <n v="8422"/>
    <n v="7698"/>
    <n v="81335"/>
    <n v="78210"/>
    <n v="166174"/>
    <n v="5539.1333333333332"/>
    <n v="158534"/>
    <n v="5284.4666666666662"/>
    <n v="11956"/>
    <n v="12315"/>
    <n v="166174"/>
    <n v="158534"/>
    <m/>
    <m/>
    <m/>
    <m/>
    <m/>
    <m/>
    <m/>
    <m/>
    <n v="0"/>
    <n v="0"/>
    <n v="0"/>
    <n v="0"/>
    <m/>
    <m/>
    <n v="0"/>
    <n v="0"/>
  </r>
  <r>
    <x v="1"/>
    <s v="University of Arkansas at Pine Bluff"/>
    <s v="Met the criteria for Four-Year 5 in 2016-17."/>
    <n v="106412"/>
    <x v="5"/>
    <s v="sem"/>
    <s v="sem"/>
    <m/>
    <m/>
    <n v="29717"/>
    <n v="31943"/>
    <n v="5052"/>
    <n v="4489"/>
    <n v="36067"/>
    <n v="38805"/>
    <n v="70836"/>
    <n v="2361.1999999999998"/>
    <n v="75237"/>
    <n v="2507.9"/>
    <n v="3"/>
    <n v="0"/>
    <n v="70836"/>
    <n v="75237"/>
    <m/>
    <m/>
    <m/>
    <m/>
    <m/>
    <m/>
    <m/>
    <m/>
    <n v="0"/>
    <n v="0"/>
    <n v="0"/>
    <n v="0"/>
    <m/>
    <m/>
    <n v="0"/>
    <n v="0"/>
  </r>
  <r>
    <x v="1"/>
    <s v="Northwest Arkansas Community College "/>
    <s v="Met the criteria for Two-Year 2 in 2015-16 and 2016-17. "/>
    <n v="367459"/>
    <x v="6"/>
    <s v="sem"/>
    <s v="sem"/>
    <m/>
    <m/>
    <n v="65320"/>
    <n v="62602"/>
    <n v="14583"/>
    <n v="14597"/>
    <n v="69268"/>
    <n v="70033"/>
    <n v="149171"/>
    <n v="4972.3666666666668"/>
    <n v="147232"/>
    <n v="4907.7333333333336"/>
    <n v="15089"/>
    <n v="17624"/>
    <n v="149171"/>
    <n v="147232"/>
    <m/>
    <m/>
    <m/>
    <m/>
    <m/>
    <m/>
    <m/>
    <m/>
    <n v="0"/>
    <n v="0"/>
    <n v="0"/>
    <n v="0"/>
    <m/>
    <m/>
    <n v="0"/>
    <n v="0"/>
  </r>
  <r>
    <x v="1"/>
    <s v="Pulaski Technical College"/>
    <s v="Met the criteria for Two-Year 2 in 2016-17. "/>
    <n v="107664"/>
    <x v="6"/>
    <s v="sem"/>
    <s v="sem"/>
    <m/>
    <m/>
    <n v="81915"/>
    <n v="67566"/>
    <n v="14732"/>
    <n v="12726"/>
    <n v="73881"/>
    <n v="63785"/>
    <n v="170528"/>
    <n v="5684.2666666666664"/>
    <n v="144077"/>
    <n v="4802.5666666666666"/>
    <n v="5180"/>
    <n v="5982"/>
    <n v="170528"/>
    <n v="144077"/>
    <m/>
    <m/>
    <m/>
    <m/>
    <m/>
    <m/>
    <m/>
    <m/>
    <n v="0"/>
    <n v="0"/>
    <n v="0"/>
    <n v="0"/>
    <m/>
    <m/>
    <n v="0"/>
    <n v="0"/>
  </r>
  <r>
    <x v="1"/>
    <s v="Arkansas State University-Beebe"/>
    <m/>
    <n v="106449"/>
    <x v="7"/>
    <s v="sem"/>
    <s v="sem"/>
    <m/>
    <m/>
    <n v="39417"/>
    <n v="37244"/>
    <n v="8153"/>
    <n v="7503"/>
    <n v="41906"/>
    <n v="41854"/>
    <n v="89476"/>
    <n v="2982.5333333333333"/>
    <n v="86601"/>
    <n v="2886.7"/>
    <n v="8243"/>
    <n v="8674"/>
    <n v="89476"/>
    <n v="86601"/>
    <m/>
    <m/>
    <m/>
    <m/>
    <m/>
    <m/>
    <m/>
    <m/>
    <n v="0"/>
    <n v="0"/>
    <n v="0"/>
    <n v="0"/>
    <m/>
    <m/>
    <n v="0"/>
    <n v="0"/>
  </r>
  <r>
    <x v="1"/>
    <s v="National Park College"/>
    <s v="Met the criteria for Two-Year 3 in 2015-16 and 2016-17. "/>
    <n v="106980"/>
    <x v="7"/>
    <s v="sem"/>
    <s v="sem"/>
    <m/>
    <m/>
    <n v="24727"/>
    <n v="24163"/>
    <n v="3677"/>
    <n v="3405"/>
    <n v="29680"/>
    <n v="28110"/>
    <n v="58084"/>
    <n v="1936.1333333333334"/>
    <n v="55678"/>
    <n v="1855.9333333333334"/>
    <n v="6979"/>
    <n v="6880"/>
    <n v="58084"/>
    <n v="55678"/>
    <m/>
    <m/>
    <m/>
    <m/>
    <m/>
    <m/>
    <m/>
    <m/>
    <n v="0"/>
    <n v="0"/>
    <n v="0"/>
    <n v="0"/>
    <m/>
    <m/>
    <n v="0"/>
    <n v="0"/>
  </r>
  <r>
    <x v="1"/>
    <s v="Arkansas Northeastern College"/>
    <m/>
    <n v="107327"/>
    <x v="8"/>
    <s v="sem"/>
    <s v="sem"/>
    <m/>
    <m/>
    <n v="12276"/>
    <n v="11883"/>
    <n v="2476"/>
    <n v="2658"/>
    <n v="12918"/>
    <n v="13497"/>
    <n v="27670"/>
    <n v="922.33333333333337"/>
    <n v="28038"/>
    <n v="934.6"/>
    <n v="2208"/>
    <n v="2431"/>
    <n v="27670"/>
    <n v="28038"/>
    <m/>
    <m/>
    <m/>
    <m/>
    <m/>
    <m/>
    <m/>
    <m/>
    <n v="0"/>
    <n v="0"/>
    <n v="0"/>
    <n v="0"/>
    <m/>
    <m/>
    <n v="0"/>
    <n v="0"/>
  </r>
  <r>
    <x v="1"/>
    <s v="Arkansas State University Mid-South"/>
    <m/>
    <n v="107318"/>
    <x v="8"/>
    <s v="sem"/>
    <s v="sem"/>
    <m/>
    <m/>
    <n v="13838"/>
    <n v="14013"/>
    <n v="2055"/>
    <n v="2105"/>
    <n v="15950"/>
    <n v="15246"/>
    <n v="31843"/>
    <n v="1061.4333333333334"/>
    <n v="31364"/>
    <n v="1045.4666666666667"/>
    <n v="8238"/>
    <n v="8935"/>
    <n v="31843"/>
    <n v="31364"/>
    <m/>
    <m/>
    <m/>
    <m/>
    <m/>
    <m/>
    <m/>
    <m/>
    <n v="0"/>
    <n v="0"/>
    <n v="0"/>
    <n v="0"/>
    <m/>
    <m/>
    <n v="0"/>
    <n v="0"/>
  </r>
  <r>
    <x v="1"/>
    <s v="Arkansas State University Mountain Home"/>
    <m/>
    <n v="420538"/>
    <x v="8"/>
    <s v="sem"/>
    <s v="sem"/>
    <m/>
    <m/>
    <n v="13873"/>
    <n v="13930"/>
    <n v="3161"/>
    <n v="2909"/>
    <n v="15539"/>
    <n v="15196"/>
    <n v="32573"/>
    <n v="1085.7666666666667"/>
    <n v="32035"/>
    <n v="1067.8333333333333"/>
    <n v="1796"/>
    <n v="2168"/>
    <n v="32573"/>
    <n v="32035"/>
    <m/>
    <m/>
    <m/>
    <m/>
    <m/>
    <m/>
    <m/>
    <m/>
    <n v="0"/>
    <n v="0"/>
    <n v="0"/>
    <n v="0"/>
    <m/>
    <m/>
    <n v="0"/>
    <n v="0"/>
  </r>
  <r>
    <x v="1"/>
    <s v="Arkansas State University-Newport"/>
    <m/>
    <n v="440402"/>
    <x v="8"/>
    <s v="sem"/>
    <s v="sem"/>
    <m/>
    <m/>
    <n v="21194"/>
    <n v="22182"/>
    <n v="8845"/>
    <n v="9579"/>
    <n v="23364"/>
    <n v="23512"/>
    <n v="53403"/>
    <n v="1780.1"/>
    <n v="55273"/>
    <n v="1842.4333333333334"/>
    <n v="12939"/>
    <n v="14358"/>
    <n v="53403"/>
    <n v="55273"/>
    <m/>
    <m/>
    <m/>
    <m/>
    <m/>
    <m/>
    <m/>
    <m/>
    <n v="0"/>
    <n v="0"/>
    <n v="0"/>
    <n v="0"/>
    <m/>
    <m/>
    <n v="0"/>
    <n v="0"/>
  </r>
  <r>
    <x v="1"/>
    <s v="Black River Technical College"/>
    <m/>
    <n v="106625"/>
    <x v="8"/>
    <s v="sem"/>
    <s v="sem"/>
    <m/>
    <m/>
    <n v="19008"/>
    <n v="16789"/>
    <n v="2756"/>
    <n v="2646"/>
    <n v="18567"/>
    <n v="17644"/>
    <n v="40331"/>
    <n v="1344.3666666666666"/>
    <n v="37079"/>
    <n v="1235.9666666666667"/>
    <n v="4252"/>
    <n v="4208"/>
    <n v="40331"/>
    <n v="37079"/>
    <m/>
    <m/>
    <m/>
    <m/>
    <m/>
    <m/>
    <m/>
    <m/>
    <n v="0"/>
    <n v="0"/>
    <n v="0"/>
    <n v="0"/>
    <m/>
    <m/>
    <n v="0"/>
    <n v="0"/>
  </r>
  <r>
    <x v="1"/>
    <s v="College of the Ouachitas"/>
    <m/>
    <n v="107521"/>
    <x v="8"/>
    <s v="sem"/>
    <s v="sem"/>
    <m/>
    <m/>
    <n v="11830"/>
    <n v="9997"/>
    <n v="2925"/>
    <n v="2993"/>
    <n v="11110"/>
    <n v="10721"/>
    <n v="25865"/>
    <n v="862.16666666666663"/>
    <n v="23711"/>
    <n v="790.36666666666667"/>
    <n v="4796"/>
    <n v="4410"/>
    <n v="25865"/>
    <n v="23711"/>
    <m/>
    <m/>
    <m/>
    <m/>
    <m/>
    <m/>
    <m/>
    <m/>
    <n v="0"/>
    <n v="0"/>
    <n v="0"/>
    <n v="0"/>
    <m/>
    <m/>
    <n v="0"/>
    <n v="0"/>
  </r>
  <r>
    <x v="1"/>
    <s v="Cossatot Community College of the University of Arkansas"/>
    <m/>
    <n v="106795"/>
    <x v="8"/>
    <s v="sem"/>
    <s v="sem"/>
    <m/>
    <m/>
    <n v="12880"/>
    <n v="12797"/>
    <n v="2421"/>
    <n v="2568"/>
    <n v="13589"/>
    <n v="13088"/>
    <n v="28890"/>
    <n v="963"/>
    <n v="28453"/>
    <n v="948.43333333333328"/>
    <n v="5520"/>
    <n v="6528"/>
    <n v="28890"/>
    <n v="28453"/>
    <m/>
    <m/>
    <m/>
    <m/>
    <m/>
    <m/>
    <m/>
    <m/>
    <n v="0"/>
    <n v="0"/>
    <n v="0"/>
    <n v="0"/>
    <m/>
    <m/>
    <n v="0"/>
    <n v="0"/>
  </r>
  <r>
    <x v="1"/>
    <s v="East Arkansas Community College "/>
    <m/>
    <n v="106883"/>
    <x v="8"/>
    <s v="sem"/>
    <s v="sem"/>
    <m/>
    <m/>
    <n v="9915"/>
    <n v="9036"/>
    <n v="3224"/>
    <n v="3064"/>
    <n v="10351"/>
    <n v="9529"/>
    <n v="23490"/>
    <n v="783"/>
    <n v="21629"/>
    <n v="720.9666666666667"/>
    <n v="3669"/>
    <n v="4084"/>
    <n v="23490"/>
    <n v="21629"/>
    <m/>
    <m/>
    <m/>
    <m/>
    <m/>
    <m/>
    <m/>
    <m/>
    <n v="0"/>
    <n v="0"/>
    <n v="0"/>
    <n v="0"/>
    <m/>
    <m/>
    <n v="0"/>
    <n v="0"/>
  </r>
  <r>
    <x v="1"/>
    <s v="North Arkansas College"/>
    <m/>
    <n v="107460"/>
    <x v="8"/>
    <s v="sem"/>
    <s v="sem"/>
    <m/>
    <m/>
    <n v="19094"/>
    <n v="17511"/>
    <n v="2324"/>
    <n v="2239"/>
    <n v="19636"/>
    <n v="20055"/>
    <n v="41054"/>
    <n v="1368.4666666666667"/>
    <n v="39805"/>
    <n v="1326.8333333333333"/>
    <n v="2529"/>
    <n v="2734"/>
    <n v="41054"/>
    <n v="39805"/>
    <m/>
    <m/>
    <m/>
    <m/>
    <m/>
    <m/>
    <m/>
    <m/>
    <n v="0"/>
    <n v="0"/>
    <n v="0"/>
    <n v="0"/>
    <m/>
    <m/>
    <n v="0"/>
    <n v="0"/>
  </r>
  <r>
    <x v="1"/>
    <s v="Ozarka College "/>
    <m/>
    <n v="107549"/>
    <x v="8"/>
    <s v="sem"/>
    <s v="sem"/>
    <m/>
    <m/>
    <n v="11959"/>
    <n v="10729"/>
    <n v="2572"/>
    <n v="2277"/>
    <n v="11257"/>
    <n v="11768"/>
    <n v="25788"/>
    <n v="859.6"/>
    <n v="24774"/>
    <n v="825.8"/>
    <n v="2648"/>
    <n v="2967"/>
    <n v="25788"/>
    <n v="24774"/>
    <m/>
    <m/>
    <m/>
    <m/>
    <m/>
    <m/>
    <m/>
    <m/>
    <n v="0"/>
    <n v="0"/>
    <n v="0"/>
    <n v="0"/>
    <m/>
    <m/>
    <n v="0"/>
    <n v="0"/>
  </r>
  <r>
    <x v="1"/>
    <s v="Phillips Community College of the Univ of Arkansas"/>
    <m/>
    <n v="107619"/>
    <x v="8"/>
    <s v="sem"/>
    <s v="sem"/>
    <m/>
    <m/>
    <n v="12722"/>
    <n v="12030"/>
    <n v="1941"/>
    <n v="2348"/>
    <n v="13850"/>
    <n v="14883"/>
    <n v="28513"/>
    <n v="950.43333333333328"/>
    <n v="29261"/>
    <n v="975.36666666666667"/>
    <n v="7344"/>
    <n v="7819"/>
    <n v="28513"/>
    <n v="29261"/>
    <m/>
    <m/>
    <m/>
    <m/>
    <m/>
    <m/>
    <m/>
    <m/>
    <n v="0"/>
    <n v="0"/>
    <n v="0"/>
    <n v="0"/>
    <m/>
    <m/>
    <n v="0"/>
    <n v="0"/>
  </r>
  <r>
    <x v="1"/>
    <s v="Rich Mountain Community College "/>
    <m/>
    <n v="107743"/>
    <x v="8"/>
    <s v="sem"/>
    <s v="sem"/>
    <m/>
    <m/>
    <n v="7084"/>
    <n v="7195"/>
    <n v="1390"/>
    <n v="1334"/>
    <n v="7943"/>
    <n v="7509"/>
    <n v="16417"/>
    <n v="547.23333333333335"/>
    <n v="16038"/>
    <n v="534.6"/>
    <n v="2973"/>
    <n v="2881"/>
    <n v="16417"/>
    <n v="16038"/>
    <m/>
    <m/>
    <m/>
    <m/>
    <m/>
    <m/>
    <m/>
    <m/>
    <n v="0"/>
    <n v="0"/>
    <n v="0"/>
    <n v="0"/>
    <m/>
    <m/>
    <n v="0"/>
    <n v="0"/>
  </r>
  <r>
    <x v="1"/>
    <s v="South Arkansas Community College"/>
    <m/>
    <n v="107974"/>
    <x v="8"/>
    <s v="sem"/>
    <s v="sem"/>
    <m/>
    <m/>
    <n v="14359"/>
    <n v="13116"/>
    <n v="5007"/>
    <n v="4636"/>
    <n v="14458"/>
    <n v="13528"/>
    <n v="33824"/>
    <n v="1127.4666666666667"/>
    <n v="31280"/>
    <n v="1042.6666666666667"/>
    <n v="2742"/>
    <n v="2298"/>
    <n v="33824"/>
    <n v="31280"/>
    <m/>
    <m/>
    <m/>
    <m/>
    <m/>
    <m/>
    <m/>
    <m/>
    <n v="0"/>
    <n v="0"/>
    <n v="0"/>
    <n v="0"/>
    <m/>
    <m/>
    <n v="0"/>
    <n v="0"/>
  </r>
  <r>
    <x v="1"/>
    <s v="Southeast Arkansas College"/>
    <m/>
    <n v="107637"/>
    <x v="8"/>
    <s v="sem"/>
    <s v="sem"/>
    <m/>
    <m/>
    <n v="13275"/>
    <n v="13200"/>
    <n v="3755"/>
    <n v="3429"/>
    <n v="14298"/>
    <n v="13465"/>
    <n v="31328"/>
    <n v="1044.2666666666667"/>
    <n v="30094"/>
    <n v="1003.1333333333333"/>
    <n v="814"/>
    <n v="1210"/>
    <n v="31328"/>
    <n v="30094"/>
    <m/>
    <m/>
    <m/>
    <m/>
    <m/>
    <m/>
    <m/>
    <m/>
    <n v="0"/>
    <n v="0"/>
    <n v="0"/>
    <n v="0"/>
    <m/>
    <m/>
    <n v="0"/>
    <n v="0"/>
  </r>
  <r>
    <x v="1"/>
    <s v="Southern Arkansas University Tech"/>
    <m/>
    <n v="107992"/>
    <x v="8"/>
    <s v="sem"/>
    <s v="sem"/>
    <m/>
    <m/>
    <n v="15991"/>
    <n v="17200"/>
    <n v="4977"/>
    <n v="5029"/>
    <n v="13000"/>
    <n v="11370"/>
    <n v="33968"/>
    <n v="1132.2666666666667"/>
    <n v="33599"/>
    <n v="1119.9666666666667"/>
    <n v="9741"/>
    <n v="8329"/>
    <n v="33968"/>
    <n v="33599"/>
    <m/>
    <m/>
    <m/>
    <m/>
    <m/>
    <m/>
    <m/>
    <m/>
    <n v="0"/>
    <n v="0"/>
    <n v="0"/>
    <n v="0"/>
    <m/>
    <m/>
    <n v="0"/>
    <n v="0"/>
  </r>
  <r>
    <x v="1"/>
    <s v="University of Arkansas Community College at Batesville"/>
    <m/>
    <n v="106999"/>
    <x v="8"/>
    <s v="sem"/>
    <s v="sem"/>
    <m/>
    <m/>
    <n v="12008"/>
    <n v="12187"/>
    <n v="2471"/>
    <n v="2331"/>
    <n v="14299"/>
    <n v="13296"/>
    <n v="28778"/>
    <n v="959.26666666666665"/>
    <n v="27814"/>
    <n v="927.13333333333333"/>
    <n v="2226"/>
    <n v="3059"/>
    <n v="28778"/>
    <n v="27814"/>
    <m/>
    <m/>
    <m/>
    <m/>
    <m/>
    <m/>
    <m/>
    <m/>
    <n v="0"/>
    <n v="0"/>
    <n v="0"/>
    <n v="0"/>
    <m/>
    <m/>
    <n v="0"/>
    <n v="0"/>
  </r>
  <r>
    <x v="1"/>
    <s v="University of Arkansas Community College at Hope"/>
    <m/>
    <n v="107725"/>
    <x v="8"/>
    <s v="sem"/>
    <s v="sem"/>
    <m/>
    <m/>
    <n v="11897"/>
    <n v="12864"/>
    <n v="2150"/>
    <n v="2224"/>
    <n v="13359"/>
    <n v="14324"/>
    <n v="27406"/>
    <n v="913.5333333333333"/>
    <n v="29412"/>
    <n v="980.4"/>
    <n v="2830"/>
    <n v="3668"/>
    <n v="27406"/>
    <n v="29412"/>
    <m/>
    <m/>
    <m/>
    <m/>
    <m/>
    <m/>
    <m/>
    <m/>
    <n v="0"/>
    <n v="0"/>
    <n v="0"/>
    <n v="0"/>
    <m/>
    <m/>
    <n v="0"/>
    <n v="0"/>
  </r>
  <r>
    <x v="1"/>
    <s v="University of Arkansas Community College at Morrilton"/>
    <m/>
    <n v="107585"/>
    <x v="8"/>
    <s v="sem"/>
    <s v="sem"/>
    <m/>
    <m/>
    <n v="19624"/>
    <n v="19997"/>
    <n v="3565"/>
    <n v="3080"/>
    <n v="23090"/>
    <n v="22963"/>
    <n v="46279"/>
    <n v="1542.6333333333334"/>
    <n v="46040"/>
    <n v="1534.6666666666667"/>
    <n v="1033"/>
    <n v="1258"/>
    <n v="46279"/>
    <n v="46040"/>
    <m/>
    <m/>
    <m/>
    <m/>
    <m/>
    <m/>
    <m/>
    <m/>
    <n v="0"/>
    <n v="0"/>
    <n v="0"/>
    <n v="0"/>
    <m/>
    <m/>
    <n v="0"/>
    <n v="0"/>
  </r>
  <r>
    <x v="2"/>
    <s v="University of Delaware"/>
    <m/>
    <s v="130943"/>
    <x v="0"/>
    <s v="sem"/>
    <m/>
    <n v="32196"/>
    <n v="32196"/>
    <n v="251621"/>
    <n v="255095"/>
    <n v="12918"/>
    <n v="17815"/>
    <n v="270598"/>
    <n v="272742"/>
    <n v="567333"/>
    <n v="18911.099999999999"/>
    <n v="577848"/>
    <n v="19261.599999999999"/>
    <m/>
    <m/>
    <n v="0"/>
    <n v="0"/>
    <m/>
    <m/>
    <m/>
    <m/>
    <m/>
    <m/>
    <m/>
    <m/>
    <n v="0"/>
    <n v="0"/>
    <n v="0"/>
    <n v="0"/>
    <m/>
    <m/>
    <n v="0"/>
    <n v="0"/>
  </r>
  <r>
    <x v="2"/>
    <s v="Delaware State University"/>
    <m/>
    <s v="130934"/>
    <x v="2"/>
    <s v="sem"/>
    <m/>
    <m/>
    <m/>
    <n v="54611"/>
    <n v="56310"/>
    <n v="7146"/>
    <n v="16328"/>
    <n v="60195"/>
    <n v="59619"/>
    <n v="121952"/>
    <n v="4065.0666666666666"/>
    <n v="132257"/>
    <n v="4408.5666666666666"/>
    <m/>
    <m/>
    <n v="0"/>
    <n v="0"/>
    <m/>
    <m/>
    <m/>
    <m/>
    <m/>
    <m/>
    <m/>
    <m/>
    <n v="0"/>
    <n v="0"/>
    <n v="0"/>
    <n v="0"/>
    <m/>
    <m/>
    <n v="0"/>
    <n v="0"/>
  </r>
  <r>
    <x v="2"/>
    <s v="Delaware Technical and Community College--Terry"/>
    <s v="Met the criteria for Two-Year 1 in 2015-16. Now meeting criteria for Technical Instituition or College 1 in 2016-17"/>
    <s v="130907"/>
    <x v="7"/>
    <s v="sem"/>
    <m/>
    <m/>
    <m/>
    <n v="116621"/>
    <n v="115568"/>
    <n v="30852"/>
    <n v="30143"/>
    <n v="125587"/>
    <n v="130346"/>
    <n v="273060"/>
    <n v="9102"/>
    <n v="276057"/>
    <n v="9201.9"/>
    <m/>
    <m/>
    <n v="0"/>
    <n v="0"/>
    <m/>
    <m/>
    <m/>
    <m/>
    <m/>
    <m/>
    <m/>
    <m/>
    <n v="0"/>
    <n v="0"/>
    <n v="0"/>
    <n v="0"/>
    <m/>
    <m/>
    <n v="0"/>
    <n v="0"/>
  </r>
  <r>
    <x v="3"/>
    <s v="Florida Atlantic University "/>
    <m/>
    <n v="133669"/>
    <x v="0"/>
    <s v="sem"/>
    <m/>
    <m/>
    <m/>
    <n v="254455"/>
    <n v="261773"/>
    <n v="98605"/>
    <n v="103463"/>
    <n v="278849"/>
    <n v="279034"/>
    <n v="631909"/>
    <n v="21063.633333333335"/>
    <n v="644270"/>
    <n v="21475.666666666668"/>
    <n v="15947"/>
    <n v="14993"/>
    <n v="631909"/>
    <n v="644270"/>
    <m/>
    <m/>
    <m/>
    <m/>
    <m/>
    <m/>
    <m/>
    <m/>
    <n v="0"/>
    <n v="0"/>
    <n v="0"/>
    <n v="0"/>
    <m/>
    <m/>
    <n v="0"/>
    <n v="0"/>
  </r>
  <r>
    <x v="3"/>
    <s v="Florida International University"/>
    <m/>
    <n v="133951"/>
    <x v="0"/>
    <s v="sem"/>
    <m/>
    <m/>
    <m/>
    <n v="440310"/>
    <n v="441139"/>
    <n v="184125"/>
    <n v="190548"/>
    <n v="470100"/>
    <n v="475545"/>
    <n v="1094535"/>
    <n v="36484.5"/>
    <n v="1107232"/>
    <n v="36907.73333333333"/>
    <n v="37000"/>
    <n v="32756"/>
    <n v="1094535"/>
    <n v="1107232"/>
    <m/>
    <m/>
    <m/>
    <m/>
    <m/>
    <m/>
    <m/>
    <m/>
    <n v="0"/>
    <n v="0"/>
    <n v="0"/>
    <n v="0"/>
    <m/>
    <m/>
    <n v="0"/>
    <n v="0"/>
  </r>
  <r>
    <x v="3"/>
    <s v="Florida State University "/>
    <m/>
    <n v="134097"/>
    <x v="0"/>
    <s v="sem"/>
    <m/>
    <m/>
    <m/>
    <n v="404136"/>
    <n v="403575"/>
    <n v="126209"/>
    <n v="126943"/>
    <n v="418565"/>
    <n v="428007"/>
    <n v="948910"/>
    <n v="31630.333333333332"/>
    <n v="958525"/>
    <n v="31950.833333333332"/>
    <n v="503"/>
    <n v="447"/>
    <n v="948910"/>
    <n v="958525"/>
    <m/>
    <m/>
    <m/>
    <m/>
    <m/>
    <m/>
    <m/>
    <m/>
    <n v="0"/>
    <n v="0"/>
    <n v="0"/>
    <n v="0"/>
    <m/>
    <m/>
    <n v="0"/>
    <n v="0"/>
  </r>
  <r>
    <x v="3"/>
    <s v="University of Central Florida "/>
    <m/>
    <n v="132903"/>
    <x v="0"/>
    <s v="sem"/>
    <m/>
    <m/>
    <m/>
    <n v="578497"/>
    <n v="592549"/>
    <n v="207206"/>
    <n v="217710"/>
    <n v="618644"/>
    <n v="633764"/>
    <n v="1404347"/>
    <n v="46811.566666666666"/>
    <n v="1444023"/>
    <n v="48134.1"/>
    <n v="644"/>
    <n v="407"/>
    <n v="1404347"/>
    <n v="1444023"/>
    <m/>
    <m/>
    <m/>
    <m/>
    <m/>
    <m/>
    <m/>
    <m/>
    <n v="0"/>
    <n v="0"/>
    <n v="0"/>
    <n v="0"/>
    <m/>
    <m/>
    <n v="0"/>
    <n v="0"/>
  </r>
  <r>
    <x v="3"/>
    <s v="University of Florida"/>
    <m/>
    <n v="134130"/>
    <x v="0"/>
    <s v="sem"/>
    <m/>
    <m/>
    <m/>
    <n v="422884"/>
    <n v="434964"/>
    <n v="126853"/>
    <n v="129610"/>
    <n v="448638"/>
    <n v="468165"/>
    <n v="998375"/>
    <n v="33279.166666666664"/>
    <n v="1032739"/>
    <n v="34424.633333333331"/>
    <n v="1352"/>
    <n v="1232"/>
    <n v="998375"/>
    <n v="1032739"/>
    <m/>
    <m/>
    <m/>
    <m/>
    <m/>
    <m/>
    <m/>
    <m/>
    <n v="0"/>
    <n v="0"/>
    <n v="0"/>
    <n v="0"/>
    <m/>
    <m/>
    <n v="0"/>
    <n v="0"/>
  </r>
  <r>
    <x v="3"/>
    <s v="University of South Florida "/>
    <m/>
    <n v="137351"/>
    <x v="0"/>
    <s v="sem"/>
    <m/>
    <m/>
    <m/>
    <n v="415901"/>
    <n v="425861"/>
    <n v="153949"/>
    <n v="151664"/>
    <n v="446747"/>
    <n v="449729"/>
    <n v="1016597"/>
    <n v="33886.566666666666"/>
    <n v="1027254"/>
    <n v="34241.800000000003"/>
    <n v="298"/>
    <n v="266"/>
    <n v="1016597"/>
    <n v="1027254"/>
    <m/>
    <m/>
    <m/>
    <m/>
    <m/>
    <m/>
    <m/>
    <m/>
    <n v="0"/>
    <n v="0"/>
    <n v="0"/>
    <n v="0"/>
    <m/>
    <m/>
    <n v="0"/>
    <n v="0"/>
  </r>
  <r>
    <x v="3"/>
    <s v="Florida Agricultural &amp; Mechanical University "/>
    <s v="Met the criteria for Four-Year 2 in 2015-16 and 2016-17."/>
    <n v="133650"/>
    <x v="2"/>
    <s v="sem"/>
    <m/>
    <m/>
    <m/>
    <n v="102835"/>
    <n v="98945"/>
    <n v="25481"/>
    <n v="25117"/>
    <n v="109153"/>
    <n v="103893"/>
    <n v="237469"/>
    <n v="7915.6333333333332"/>
    <n v="227955"/>
    <n v="7598.5"/>
    <n v="2722"/>
    <n v="2236"/>
    <n v="237469"/>
    <n v="227955"/>
    <m/>
    <m/>
    <m/>
    <m/>
    <m/>
    <m/>
    <m/>
    <m/>
    <n v="0"/>
    <n v="0"/>
    <n v="0"/>
    <n v="0"/>
    <m/>
    <m/>
    <n v="0"/>
    <n v="0"/>
  </r>
  <r>
    <x v="3"/>
    <s v="University of North Florida"/>
    <m/>
    <n v="136172"/>
    <x v="2"/>
    <s v="sem"/>
    <m/>
    <m/>
    <m/>
    <n v="152285"/>
    <n v="147554"/>
    <n v="53345"/>
    <n v="54291"/>
    <n v="158874"/>
    <n v="163215"/>
    <n v="364504"/>
    <n v="12150.133333333333"/>
    <n v="365060"/>
    <n v="12168.666666666666"/>
    <n v="133"/>
    <n v="138"/>
    <n v="364504"/>
    <n v="365060"/>
    <m/>
    <m/>
    <m/>
    <m/>
    <m/>
    <m/>
    <m/>
    <m/>
    <n v="0"/>
    <n v="0"/>
    <n v="0"/>
    <n v="0"/>
    <m/>
    <m/>
    <n v="0"/>
    <n v="0"/>
  </r>
  <r>
    <x v="3"/>
    <s v="University of West Florida"/>
    <m/>
    <n v="138354"/>
    <x v="2"/>
    <s v="sem"/>
    <m/>
    <m/>
    <m/>
    <n v="106681"/>
    <n v="107283"/>
    <n v="34065"/>
    <n v="36410"/>
    <n v="114385"/>
    <n v="113066"/>
    <n v="255131"/>
    <n v="8504.3666666666668"/>
    <n v="256759"/>
    <n v="8558.6333333333332"/>
    <n v="959"/>
    <n v="1129"/>
    <n v="255131"/>
    <n v="256759"/>
    <m/>
    <m/>
    <m/>
    <m/>
    <m/>
    <m/>
    <m/>
    <m/>
    <n v="0"/>
    <n v="0"/>
    <n v="0"/>
    <n v="0"/>
    <m/>
    <m/>
    <n v="0"/>
    <n v="0"/>
  </r>
  <r>
    <x v="3"/>
    <s v="Florida Gulf Coast University"/>
    <m/>
    <n v="433660"/>
    <x v="3"/>
    <s v="sem"/>
    <m/>
    <m/>
    <m/>
    <n v="149831"/>
    <n v="152756"/>
    <n v="33283"/>
    <n v="34092"/>
    <n v="165828"/>
    <n v="167621"/>
    <n v="348942"/>
    <n v="11631.4"/>
    <n v="354469"/>
    <n v="11815.633333333333"/>
    <n v="520"/>
    <n v="1424"/>
    <n v="348942"/>
    <n v="354469"/>
    <m/>
    <m/>
    <m/>
    <m/>
    <m/>
    <m/>
    <m/>
    <m/>
    <n v="0"/>
    <n v="0"/>
    <n v="0"/>
    <n v="0"/>
    <m/>
    <m/>
    <n v="0"/>
    <n v="0"/>
  </r>
  <r>
    <x v="3"/>
    <s v="New College of Florida"/>
    <m/>
    <n v="262129"/>
    <x v="5"/>
    <s v="sem"/>
    <m/>
    <m/>
    <m/>
    <n v="12800"/>
    <n v="12328"/>
    <m/>
    <m/>
    <n v="16448"/>
    <n v="16280"/>
    <n v="29248"/>
    <n v="974.93333333333328"/>
    <n v="28608"/>
    <n v="953.6"/>
    <m/>
    <m/>
    <n v="0"/>
    <n v="0"/>
    <m/>
    <m/>
    <m/>
    <m/>
    <m/>
    <m/>
    <m/>
    <m/>
    <n v="0"/>
    <n v="0"/>
    <n v="0"/>
    <n v="0"/>
    <m/>
    <m/>
    <n v="0"/>
    <n v="0"/>
  </r>
  <r>
    <x v="3"/>
    <s v="Eastern Florida State College"/>
    <s v="Met the criteria for Two-Year with Bachelor's in 2015-16 and 2016-17. "/>
    <n v="132693"/>
    <x v="6"/>
    <s v="sem"/>
    <m/>
    <m/>
    <m/>
    <n v="126412"/>
    <n v="127571"/>
    <n v="42722"/>
    <n v="45475"/>
    <n v="135242"/>
    <n v="135979"/>
    <n v="304376"/>
    <n v="10145.866666666667"/>
    <n v="309025"/>
    <n v="10300.833333333334"/>
    <n v="49607"/>
    <n v="53939"/>
    <n v="304376"/>
    <n v="309025"/>
    <m/>
    <m/>
    <n v="280902"/>
    <n v="162802"/>
    <n v="34806"/>
    <n v="24358"/>
    <n v="157443"/>
    <n v="196745"/>
    <n v="473151"/>
    <n v="525.72333333333336"/>
    <n v="383905"/>
    <n v="426.56111111111113"/>
    <n v="37522"/>
    <n v="33765"/>
    <n v="473151"/>
    <n v="383905"/>
  </r>
  <r>
    <x v="3"/>
    <s v="Broward College "/>
    <m/>
    <n v="132709"/>
    <x v="11"/>
    <s v="sem"/>
    <m/>
    <m/>
    <m/>
    <n v="342870"/>
    <n v="349722"/>
    <n v="165391"/>
    <n v="163882"/>
    <n v="352881"/>
    <n v="366228"/>
    <n v="861142"/>
    <n v="28704.733333333334"/>
    <n v="879832"/>
    <n v="29327.733333333334"/>
    <n v="42346"/>
    <n v="52914"/>
    <n v="861142"/>
    <n v="879832"/>
    <m/>
    <m/>
    <n v="175851"/>
    <n v="176907"/>
    <n v="74492"/>
    <n v="94114"/>
    <n v="164023"/>
    <n v="154892"/>
    <n v="414366"/>
    <n v="460.40666666666669"/>
    <n v="425913"/>
    <n v="473.23666666666668"/>
    <n v="0"/>
    <n v="0"/>
    <n v="414366"/>
    <n v="425913"/>
  </r>
  <r>
    <x v="3"/>
    <s v="College of Central Florida"/>
    <m/>
    <n v="132851"/>
    <x v="11"/>
    <s v="sem"/>
    <m/>
    <m/>
    <m/>
    <n v="71601"/>
    <n v="62253"/>
    <n v="23846"/>
    <n v="22034"/>
    <n v="67274"/>
    <n v="66353"/>
    <n v="162721"/>
    <n v="5424.0333333333338"/>
    <n v="150640"/>
    <n v="5021.333333333333"/>
    <n v="16442"/>
    <n v="18366"/>
    <n v="162721"/>
    <n v="150640"/>
    <m/>
    <m/>
    <n v="68992"/>
    <n v="59005"/>
    <n v="35499"/>
    <n v="45119"/>
    <n v="80553"/>
    <n v="85333"/>
    <n v="185044"/>
    <n v="205.60444444444445"/>
    <n v="189457"/>
    <n v="210.50777777777779"/>
    <n v="5310"/>
    <n v="2700"/>
    <n v="185044"/>
    <n v="189457"/>
  </r>
  <r>
    <x v="3"/>
    <s v="Chipola College "/>
    <m/>
    <n v="133021"/>
    <x v="11"/>
    <s v="sem"/>
    <m/>
    <m/>
    <m/>
    <n v="16453"/>
    <n v="16465"/>
    <n v="5253"/>
    <n v="5061"/>
    <n v="18483"/>
    <n v="19177"/>
    <n v="40189"/>
    <n v="1339.6333333333334"/>
    <n v="40703"/>
    <n v="1356.7666666666667"/>
    <n v="6225"/>
    <n v="6878"/>
    <n v="40189"/>
    <n v="40703"/>
    <m/>
    <m/>
    <n v="39717"/>
    <n v="39706"/>
    <n v="17334"/>
    <n v="20996"/>
    <n v="38961"/>
    <n v="63495"/>
    <n v="96012"/>
    <n v="106.68"/>
    <n v="124197"/>
    <n v="137.99666666666667"/>
    <n v="240"/>
    <n v="2610"/>
    <n v="96012"/>
    <n v="124197"/>
  </r>
  <r>
    <x v="3"/>
    <s v="Daytona State College "/>
    <m/>
    <n v="133386"/>
    <x v="11"/>
    <s v="sem"/>
    <m/>
    <m/>
    <m/>
    <n v="119818"/>
    <n v="122735"/>
    <n v="43624"/>
    <n v="41058"/>
    <n v="131403"/>
    <n v="122709"/>
    <n v="294845"/>
    <n v="9828.1666666666661"/>
    <n v="286502"/>
    <n v="9550.0666666666675"/>
    <n v="30118"/>
    <n v="30017"/>
    <n v="294845"/>
    <n v="286502"/>
    <m/>
    <m/>
    <n v="803574"/>
    <n v="663966"/>
    <n v="371776"/>
    <n v="333222"/>
    <n v="669019"/>
    <n v="776898"/>
    <n v="1844369"/>
    <n v="2049.298888888889"/>
    <n v="1774086"/>
    <n v="1971.2066666666667"/>
    <n v="510"/>
    <n v="2298"/>
    <n v="1844369"/>
    <n v="1774086"/>
  </r>
  <r>
    <x v="3"/>
    <s v="Florida SouthWestern State College"/>
    <m/>
    <n v="133508"/>
    <x v="11"/>
    <s v="sem"/>
    <m/>
    <m/>
    <m/>
    <n v="124821"/>
    <n v="129379"/>
    <n v="43376"/>
    <n v="41929"/>
    <n v="138212"/>
    <n v="145982"/>
    <n v="306409"/>
    <n v="10213.633333333333"/>
    <n v="317290"/>
    <n v="10576.333333333334"/>
    <n v="38559"/>
    <n v="42640"/>
    <n v="306409"/>
    <n v="317290"/>
    <m/>
    <m/>
    <n v="3570"/>
    <n v="7357"/>
    <n v="7380"/>
    <n v="12030"/>
    <n v="3600"/>
    <n v="8648"/>
    <n v="14550"/>
    <n v="16.166666666666668"/>
    <n v="28035"/>
    <n v="31.15"/>
    <n v="0"/>
    <n v="0"/>
    <n v="14550"/>
    <n v="28035"/>
  </r>
  <r>
    <x v="3"/>
    <s v="Florida State College at Jacksonville"/>
    <m/>
    <n v="133702"/>
    <x v="11"/>
    <s v="sem"/>
    <s v="sem"/>
    <m/>
    <m/>
    <n v="216565"/>
    <n v="209302"/>
    <n v="115792"/>
    <n v="113783"/>
    <n v="214555"/>
    <n v="208427"/>
    <n v="546912"/>
    <n v="18230.400000000001"/>
    <n v="531512"/>
    <n v="17717.066666666666"/>
    <n v="34852"/>
    <n v="33292"/>
    <n v="546912"/>
    <n v="531512"/>
    <m/>
    <m/>
    <n v="636537"/>
    <n v="484178"/>
    <n v="503133"/>
    <n v="374330"/>
    <n v="514381"/>
    <n v="495961"/>
    <n v="1654051"/>
    <n v="1837.8344444444444"/>
    <n v="1354469"/>
    <n v="1504.9655555555555"/>
    <n v="8042"/>
    <n v="3430"/>
    <n v="1654051"/>
    <n v="1354469"/>
  </r>
  <r>
    <x v="3"/>
    <s v="Florida Keys Community College "/>
    <m/>
    <n v="133960"/>
    <x v="8"/>
    <s v="sem"/>
    <s v="sem"/>
    <m/>
    <m/>
    <n v="8179"/>
    <n v="8085"/>
    <n v="2984"/>
    <n v="3000"/>
    <n v="9083"/>
    <n v="8950"/>
    <n v="20246"/>
    <n v="674.86666666666667"/>
    <n v="20035"/>
    <n v="667.83333333333337"/>
    <n v="1296"/>
    <n v="1487"/>
    <n v="20246"/>
    <n v="20035"/>
    <m/>
    <m/>
    <n v="12642"/>
    <n v="17251"/>
    <n v="6406"/>
    <n v="6807"/>
    <n v="15156"/>
    <n v="12634"/>
    <n v="34204"/>
    <n v="38.004444444444445"/>
    <n v="36692"/>
    <n v="40.768888888888888"/>
    <n v="0"/>
    <n v="0"/>
    <n v="34204"/>
    <n v="36692"/>
  </r>
  <r>
    <x v="3"/>
    <s v="Gulf Coast State College "/>
    <m/>
    <n v="134343"/>
    <x v="11"/>
    <s v="sem"/>
    <s v="sem"/>
    <m/>
    <m/>
    <n v="48288"/>
    <n v="46430"/>
    <n v="13709"/>
    <n v="12651"/>
    <n v="50913"/>
    <n v="49269"/>
    <n v="112910"/>
    <n v="3763.6666666666665"/>
    <n v="108350"/>
    <n v="3611.6666666666665"/>
    <n v="13881"/>
    <n v="14769"/>
    <n v="112910"/>
    <n v="108350"/>
    <m/>
    <m/>
    <n v="54022"/>
    <n v="49269"/>
    <n v="39604"/>
    <n v="38099"/>
    <n v="48809"/>
    <n v="34209"/>
    <n v="142435"/>
    <n v="158.26111111111112"/>
    <n v="121577"/>
    <n v="135.08555555555554"/>
    <n v="0"/>
    <n v="0"/>
    <n v="142435"/>
    <n v="121577"/>
  </r>
  <r>
    <x v="3"/>
    <s v="Hillsborough Community College "/>
    <m/>
    <n v="134495"/>
    <x v="6"/>
    <s v="sem"/>
    <s v="sem"/>
    <m/>
    <m/>
    <n v="230530"/>
    <n v="224631"/>
    <n v="82496"/>
    <n v="83721"/>
    <n v="238404"/>
    <n v="247826"/>
    <n v="551430"/>
    <n v="18381"/>
    <n v="556178"/>
    <n v="18539.266666666666"/>
    <n v="29835"/>
    <n v="39798"/>
    <n v="551430"/>
    <n v="556178"/>
    <m/>
    <m/>
    <n v="739004"/>
    <n v="817949"/>
    <n v="143088"/>
    <n v="117277"/>
    <n v="807136"/>
    <n v="821432"/>
    <n v="1689228"/>
    <n v="1876.92"/>
    <n v="1756658"/>
    <n v="1951.8422222222223"/>
    <n v="0"/>
    <n v="0"/>
    <n v="1689228"/>
    <n v="1756658"/>
  </r>
  <r>
    <x v="3"/>
    <s v="Indian River State College "/>
    <m/>
    <n v="134608"/>
    <x v="11"/>
    <s v="sem"/>
    <s v="sem"/>
    <m/>
    <m/>
    <n v="132017"/>
    <n v="136046"/>
    <n v="62131"/>
    <n v="67030"/>
    <n v="146582"/>
    <n v="148817"/>
    <n v="340730"/>
    <n v="11357.666666666666"/>
    <n v="351893"/>
    <n v="11729.766666666666"/>
    <n v="55499"/>
    <n v="63818"/>
    <n v="340730"/>
    <n v="351893"/>
    <m/>
    <m/>
    <n v="731271"/>
    <n v="710491"/>
    <n v="541249"/>
    <n v="493248"/>
    <n v="764207"/>
    <n v="737124"/>
    <n v="2036727"/>
    <n v="2263.0300000000002"/>
    <n v="1940863"/>
    <n v="2156.5144444444445"/>
    <n v="19307"/>
    <n v="13725"/>
    <n v="2036727"/>
    <n v="1940863"/>
  </r>
  <r>
    <x v="3"/>
    <s v="Florida Gateway College"/>
    <s v="Reclassified: Met the criteria for Two-Year with Bachelor's in 2014-15, 2015-16, and 2016-17."/>
    <n v="135160"/>
    <x v="11"/>
    <s v="sem"/>
    <s v="sem"/>
    <m/>
    <m/>
    <n v="20165"/>
    <n v="21754"/>
    <n v="8312"/>
    <n v="9160"/>
    <n v="21586"/>
    <n v="24999"/>
    <n v="50063"/>
    <n v="1668.7666666666667"/>
    <n v="55913"/>
    <n v="1863.7666666666667"/>
    <n v="13042"/>
    <n v="15823"/>
    <n v="50063"/>
    <n v="55913"/>
    <m/>
    <m/>
    <n v="81314"/>
    <n v="86352"/>
    <n v="53049"/>
    <n v="49840"/>
    <n v="94578"/>
    <n v="86607"/>
    <n v="228941"/>
    <n v="254.37888888888889"/>
    <n v="222799"/>
    <n v="247.55444444444444"/>
    <n v="12417"/>
    <n v="7255"/>
    <n v="228941"/>
    <n v="222799"/>
  </r>
  <r>
    <x v="3"/>
    <s v="Lake-Sumter State College "/>
    <s v="Met the criteria for Two-Year with Bachelor's in 2015-16 and 2016-17."/>
    <n v="135188"/>
    <x v="7"/>
    <s v="sem"/>
    <s v="sem"/>
    <m/>
    <m/>
    <n v="34488"/>
    <n v="34871"/>
    <n v="12581"/>
    <n v="14324"/>
    <n v="38919"/>
    <n v="39082"/>
    <n v="85988"/>
    <n v="2866.2666666666669"/>
    <n v="88277"/>
    <n v="2942.5666666666666"/>
    <n v="9386"/>
    <n v="12476"/>
    <n v="85988"/>
    <n v="88277"/>
    <m/>
    <m/>
    <n v="904"/>
    <n v="903"/>
    <n v="0"/>
    <n v="0"/>
    <n v="634"/>
    <n v="690"/>
    <n v="1538"/>
    <n v="1.7088888888888889"/>
    <n v="1593"/>
    <n v="1.77"/>
    <n v="0"/>
    <n v="0"/>
    <n v="1538"/>
    <n v="1593"/>
  </r>
  <r>
    <x v="3"/>
    <s v="State College of Florida, Manatee-Sarasota"/>
    <m/>
    <n v="135391"/>
    <x v="11"/>
    <s v="sem"/>
    <s v="sem"/>
    <m/>
    <m/>
    <n v="94868"/>
    <n v="93091"/>
    <n v="29945"/>
    <n v="28984"/>
    <n v="99308"/>
    <n v="96248"/>
    <n v="224121"/>
    <n v="7470.7"/>
    <n v="218323"/>
    <n v="7277.4333333333334"/>
    <n v="22271"/>
    <n v="23469"/>
    <n v="224121"/>
    <n v="218323"/>
    <m/>
    <m/>
    <n v="0"/>
    <n v="0"/>
    <n v="0"/>
    <n v="0"/>
    <n v="0"/>
    <n v="0"/>
    <n v="0"/>
    <n v="0"/>
    <n v="0"/>
    <n v="0"/>
    <n v="0"/>
    <n v="0"/>
    <n v="0"/>
    <n v="0"/>
  </r>
  <r>
    <x v="3"/>
    <s v="Miami Dade College "/>
    <m/>
    <n v="135717"/>
    <x v="11"/>
    <s v="sem"/>
    <s v="sem"/>
    <m/>
    <m/>
    <n v="593082"/>
    <n v="562901"/>
    <n v="259832"/>
    <n v="246889"/>
    <n v="603926"/>
    <n v="554330"/>
    <n v="1456840"/>
    <n v="48561.333333333336"/>
    <n v="1364120"/>
    <n v="45470.666666666664"/>
    <n v="42954"/>
    <n v="48267"/>
    <n v="1456840"/>
    <n v="1364120"/>
    <m/>
    <m/>
    <n v="1286127"/>
    <n v="1250559"/>
    <n v="1112401"/>
    <n v="847617"/>
    <n v="1265353"/>
    <n v="925059"/>
    <n v="3663881"/>
    <n v="4070.9788888888888"/>
    <n v="3023235"/>
    <n v="3359.15"/>
    <n v="0"/>
    <n v="0"/>
    <n v="3663881"/>
    <n v="3023235"/>
  </r>
  <r>
    <x v="3"/>
    <s v="North Florida Community College "/>
    <m/>
    <n v="136145"/>
    <x v="8"/>
    <s v="sem"/>
    <s v="sem"/>
    <m/>
    <m/>
    <n v="8579"/>
    <n v="8476"/>
    <n v="3067"/>
    <n v="3269"/>
    <n v="9358"/>
    <n v="9885"/>
    <n v="21004"/>
    <n v="700.13333333333333"/>
    <n v="21630"/>
    <n v="721"/>
    <n v="4984"/>
    <n v="5495"/>
    <n v="21004"/>
    <n v="21630"/>
    <m/>
    <m/>
    <n v="41802"/>
    <n v="43572"/>
    <n v="14160"/>
    <n v="11910"/>
    <n v="50642"/>
    <n v="51718"/>
    <n v="106604"/>
    <n v="118.44888888888889"/>
    <n v="107200"/>
    <n v="119.11111111111111"/>
    <n v="0"/>
    <n v="2400"/>
    <n v="106604"/>
    <n v="107200"/>
  </r>
  <r>
    <x v="3"/>
    <s v="Northwest Florida State College"/>
    <m/>
    <n v="136233"/>
    <x v="11"/>
    <s v="sem"/>
    <s v="sem"/>
    <m/>
    <m/>
    <n v="54351"/>
    <n v="45832"/>
    <n v="22853"/>
    <n v="18001"/>
    <n v="50987"/>
    <n v="49722"/>
    <n v="128191"/>
    <n v="4273.0333333333338"/>
    <n v="113555"/>
    <n v="3785.1666666666665"/>
    <n v="12354"/>
    <n v="13710"/>
    <n v="128191"/>
    <n v="113555"/>
    <m/>
    <m/>
    <n v="135077"/>
    <n v="111931"/>
    <n v="51528"/>
    <n v="52120"/>
    <n v="117697"/>
    <n v="126278"/>
    <n v="304302"/>
    <n v="338.11333333333334"/>
    <n v="290329"/>
    <n v="322.58777777777777"/>
    <n v="0"/>
    <n v="0"/>
    <n v="304302"/>
    <n v="290329"/>
  </r>
  <r>
    <x v="3"/>
    <s v="Palm Beach State College "/>
    <m/>
    <n v="136358"/>
    <x v="11"/>
    <s v="sem"/>
    <s v="sem"/>
    <m/>
    <m/>
    <n v="222195"/>
    <n v="221542"/>
    <n v="95699"/>
    <n v="100718"/>
    <n v="241752"/>
    <n v="246902"/>
    <n v="559646"/>
    <n v="18654.866666666665"/>
    <n v="569162"/>
    <n v="18972.066666666666"/>
    <n v="23176"/>
    <n v="26835"/>
    <n v="559646"/>
    <n v="569162"/>
    <m/>
    <m/>
    <n v="516465"/>
    <n v="482049"/>
    <n v="284670"/>
    <n v="292192"/>
    <n v="526949"/>
    <n v="535953"/>
    <n v="1328084"/>
    <n v="1475.6488888888889"/>
    <n v="1310194"/>
    <n v="1455.7711111111112"/>
    <n v="0"/>
    <n v="0"/>
    <n v="1328084"/>
    <n v="1310194"/>
  </r>
  <r>
    <x v="3"/>
    <s v="Pasco-Hernando State College "/>
    <s v="Met the criteria for Two-Year with Bachelor's in 2016-17. "/>
    <n v="136400"/>
    <x v="6"/>
    <s v="sem"/>
    <s v="sem"/>
    <m/>
    <m/>
    <n v="93520"/>
    <n v="92755"/>
    <n v="28196"/>
    <n v="26685"/>
    <n v="100624"/>
    <n v="103201"/>
    <n v="222340"/>
    <n v="7411.333333333333"/>
    <n v="222641"/>
    <n v="7421.3666666666668"/>
    <n v="23423"/>
    <n v="27159"/>
    <n v="222340"/>
    <n v="222641"/>
    <m/>
    <m/>
    <n v="167173"/>
    <n v="150402"/>
    <n v="80330"/>
    <n v="78662"/>
    <n v="132546"/>
    <n v="120235"/>
    <n v="380049"/>
    <n v="422.27666666666664"/>
    <n v="349299"/>
    <n v="388.11"/>
    <n v="445"/>
    <n v="1420"/>
    <n v="380049"/>
    <n v="349299"/>
  </r>
  <r>
    <x v="3"/>
    <s v="Pensacola State College "/>
    <m/>
    <n v="136473"/>
    <x v="11"/>
    <s v="sem"/>
    <s v="sem"/>
    <m/>
    <m/>
    <n v="81860"/>
    <n v="75512"/>
    <n v="30511"/>
    <n v="28915"/>
    <n v="81997"/>
    <n v="82479"/>
    <n v="194368"/>
    <n v="6478.9333333333334"/>
    <n v="186906"/>
    <n v="6230.2"/>
    <n v="22935"/>
    <n v="21343"/>
    <n v="194368"/>
    <n v="186906"/>
    <m/>
    <m/>
    <n v="297005"/>
    <n v="279154"/>
    <n v="156156"/>
    <n v="146526"/>
    <n v="286915"/>
    <n v="269181"/>
    <n v="740076"/>
    <n v="822.30666666666662"/>
    <n v="694861"/>
    <n v="772.06777777777779"/>
    <n v="0"/>
    <n v="0"/>
    <n v="740076"/>
    <n v="694861"/>
  </r>
  <r>
    <x v="3"/>
    <s v="Polk State College "/>
    <m/>
    <n v="136516"/>
    <x v="11"/>
    <s v="sem"/>
    <s v="sem"/>
    <m/>
    <m/>
    <n v="91347"/>
    <n v="88627"/>
    <n v="31414"/>
    <n v="31844"/>
    <n v="93794"/>
    <n v="95490"/>
    <n v="216555"/>
    <n v="7218.5"/>
    <n v="215961"/>
    <n v="7198.7"/>
    <n v="34600"/>
    <n v="39153"/>
    <n v="216555"/>
    <n v="215961"/>
    <m/>
    <m/>
    <n v="33882"/>
    <n v="28172"/>
    <n v="22002"/>
    <n v="23185"/>
    <n v="26050"/>
    <n v="24550"/>
    <n v="81934"/>
    <n v="91.037777777777777"/>
    <n v="75907"/>
    <n v="84.341111111111104"/>
    <n v="0"/>
    <n v="0"/>
    <n v="81934"/>
    <n v="75907"/>
  </r>
  <r>
    <x v="3"/>
    <s v="St. Johns River State College "/>
    <m/>
    <n v="137281"/>
    <x v="11"/>
    <s v="sem"/>
    <s v="sem"/>
    <m/>
    <m/>
    <n v="55459"/>
    <n v="52369"/>
    <n v="20424"/>
    <n v="18816"/>
    <n v="58232"/>
    <n v="57892"/>
    <n v="134115"/>
    <n v="4470.5"/>
    <n v="129077"/>
    <n v="4302.5666666666666"/>
    <n v="22539"/>
    <n v="23858"/>
    <n v="134115"/>
    <n v="129077"/>
    <m/>
    <m/>
    <n v="80088"/>
    <n v="50254"/>
    <n v="38340"/>
    <n v="18463"/>
    <n v="75728"/>
    <n v="68827"/>
    <n v="194156"/>
    <n v="215.72888888888889"/>
    <n v="137544"/>
    <n v="152.82666666666665"/>
    <n v="0"/>
    <n v="0"/>
    <n v="194156"/>
    <n v="137544"/>
  </r>
  <r>
    <x v="3"/>
    <s v="St. Petersburg College "/>
    <m/>
    <n v="137078"/>
    <x v="11"/>
    <s v="sem"/>
    <s v="sem"/>
    <m/>
    <m/>
    <n v="259243"/>
    <n v="249392"/>
    <n v="87666"/>
    <n v="82359"/>
    <n v="263336"/>
    <n v="250952"/>
    <n v="610245"/>
    <n v="20341.5"/>
    <n v="582703"/>
    <n v="19423.433333333334"/>
    <n v="37922"/>
    <n v="38562"/>
    <n v="610245"/>
    <n v="582703"/>
    <m/>
    <m/>
    <n v="63812"/>
    <n v="60214"/>
    <n v="27956"/>
    <n v="22533"/>
    <n v="50394"/>
    <n v="54526"/>
    <n v="142162"/>
    <n v="157.95777777777778"/>
    <n v="137273"/>
    <n v="152.52555555555554"/>
    <n v="0"/>
    <n v="0"/>
    <n v="142162"/>
    <n v="137273"/>
  </r>
  <r>
    <x v="3"/>
    <s v="Santa Fe College "/>
    <m/>
    <n v="137096"/>
    <x v="11"/>
    <s v="sem"/>
    <s v="sem"/>
    <m/>
    <m/>
    <n v="124028"/>
    <n v="121830"/>
    <n v="53581"/>
    <n v="53205"/>
    <n v="135101"/>
    <n v="140792"/>
    <n v="312710"/>
    <n v="10423.666666666666"/>
    <n v="315827"/>
    <n v="10527.566666666668"/>
    <n v="15516"/>
    <n v="17359"/>
    <n v="312710"/>
    <n v="315827"/>
    <m/>
    <m/>
    <n v="199512"/>
    <n v="242126"/>
    <n v="142883"/>
    <n v="160119"/>
    <n v="267081"/>
    <n v="292227"/>
    <n v="609476"/>
    <n v="677.19555555555553"/>
    <n v="694472"/>
    <n v="771.63555555555558"/>
    <n v="3666"/>
    <n v="2397"/>
    <n v="609476"/>
    <n v="694472"/>
  </r>
  <r>
    <x v="3"/>
    <s v="Seminole State College of Florida"/>
    <m/>
    <n v="137209"/>
    <x v="11"/>
    <s v="sem"/>
    <s v="sem"/>
    <m/>
    <m/>
    <n v="140599"/>
    <n v="131385"/>
    <n v="57678"/>
    <n v="57148"/>
    <n v="147834"/>
    <n v="147005"/>
    <n v="346111"/>
    <n v="11537.033333333333"/>
    <n v="335538"/>
    <n v="11184.6"/>
    <n v="10613"/>
    <n v="12078"/>
    <n v="346111"/>
    <n v="335538"/>
    <m/>
    <m/>
    <n v="459501"/>
    <n v="445639"/>
    <n v="284434"/>
    <n v="300569"/>
    <n v="476727"/>
    <n v="514222"/>
    <n v="1220662"/>
    <n v="1356.2911111111111"/>
    <n v="1260430"/>
    <n v="1400.4777777777779"/>
    <n v="4013"/>
    <n v="2186"/>
    <n v="1220662"/>
    <n v="1260430"/>
  </r>
  <r>
    <x v="3"/>
    <s v="South Florida State College "/>
    <s v="Met the criteria for Two-Year with Bachelor's in 2015-16 and 2016-17. "/>
    <n v="137315"/>
    <x v="7"/>
    <s v="sem"/>
    <s v="sem"/>
    <m/>
    <m/>
    <n v="19280"/>
    <n v="18541"/>
    <n v="5827"/>
    <n v="5712"/>
    <n v="20766"/>
    <n v="21362"/>
    <n v="45873"/>
    <n v="1529.1"/>
    <n v="45615"/>
    <n v="1520.5"/>
    <n v="5961"/>
    <n v="5998"/>
    <n v="45873"/>
    <n v="45615"/>
    <m/>
    <m/>
    <n v="231671"/>
    <n v="224266"/>
    <n v="104101"/>
    <n v="105524"/>
    <n v="272714"/>
    <n v="264896"/>
    <n v="608486"/>
    <n v="676.09555555555551"/>
    <n v="594686"/>
    <n v="660.76222222222225"/>
    <n v="59870"/>
    <n v="64769"/>
    <n v="608486"/>
    <n v="594686"/>
  </r>
  <r>
    <x v="3"/>
    <s v="Tallahassee Community College "/>
    <m/>
    <n v="137759"/>
    <x v="6"/>
    <s v="sem"/>
    <s v="sem"/>
    <m/>
    <m/>
    <n v="108414"/>
    <n v="104580"/>
    <n v="45031"/>
    <n v="44178"/>
    <n v="117184"/>
    <n v="117219"/>
    <n v="270629"/>
    <n v="9020.9666666666672"/>
    <n v="265977"/>
    <n v="8865.9"/>
    <n v="6545"/>
    <n v="7239"/>
    <n v="270629"/>
    <n v="265977"/>
    <m/>
    <m/>
    <n v="134840"/>
    <n v="187126"/>
    <n v="43398"/>
    <n v="38931"/>
    <n v="141124"/>
    <n v="140527"/>
    <n v="319362"/>
    <n v="354.84666666666669"/>
    <n v="366584"/>
    <n v="407.31555555555553"/>
    <n v="0"/>
    <n v="0"/>
    <n v="319362"/>
    <n v="366584"/>
  </r>
  <r>
    <x v="3"/>
    <s v="Valencia College "/>
    <m/>
    <n v="138187"/>
    <x v="11"/>
    <s v="sem"/>
    <s v="sem"/>
    <m/>
    <m/>
    <n v="351731"/>
    <n v="353690"/>
    <n v="156432"/>
    <n v="157126"/>
    <n v="386381"/>
    <n v="390091"/>
    <n v="894544"/>
    <n v="29818.133333333335"/>
    <n v="900907"/>
    <n v="30030.233333333334"/>
    <n v="38054"/>
    <n v="45656"/>
    <n v="894544"/>
    <n v="900907"/>
    <m/>
    <m/>
    <n v="125458"/>
    <n v="120522"/>
    <n v="66883"/>
    <n v="60187"/>
    <n v="69339"/>
    <n v="56200"/>
    <n v="261680"/>
    <n v="290.75555555555553"/>
    <n v="236909"/>
    <n v="263.23222222222222"/>
    <n v="0"/>
    <n v="0"/>
    <n v="261680"/>
    <n v="236909"/>
  </r>
  <r>
    <x v="4"/>
    <s v="Georgia State University (for Fall 2016 and the Dual Enrollment column, the credit hours reported are for GSU +GPC)"/>
    <m/>
    <s v="139940"/>
    <x v="0"/>
    <s v="sem"/>
    <m/>
    <m/>
    <m/>
    <n v="289080.5"/>
    <n v="292434"/>
    <n v="67683"/>
    <n v="66299"/>
    <n v="310230.5"/>
    <n v="487186.5"/>
    <n v="666994"/>
    <n v="22233.133333333335"/>
    <n v="845919.5"/>
    <n v="28197.316666666666"/>
    <n v="3088"/>
    <n v="23215"/>
    <n v="666994"/>
    <n v="845919.5"/>
    <m/>
    <m/>
    <m/>
    <m/>
    <m/>
    <m/>
    <m/>
    <m/>
    <n v="0"/>
    <n v="0"/>
    <n v="0"/>
    <n v="0"/>
    <m/>
    <m/>
    <n v="0"/>
    <n v="0"/>
  </r>
  <r>
    <x v="4"/>
    <s v="University of Georgia"/>
    <m/>
    <s v="139959"/>
    <x v="0"/>
    <s v="sem"/>
    <m/>
    <m/>
    <m/>
    <n v="354588.5"/>
    <n v="358179.6"/>
    <n v="54676"/>
    <n v="62376"/>
    <n v="376144.5"/>
    <n v="382078.8"/>
    <n v="785409"/>
    <n v="26180.3"/>
    <n v="802634.39999999991"/>
    <n v="26754.479999999996"/>
    <n v="512"/>
    <n v="366"/>
    <n v="785409"/>
    <n v="802634.39999999991"/>
    <m/>
    <m/>
    <m/>
    <m/>
    <m/>
    <m/>
    <m/>
    <m/>
    <n v="0"/>
    <n v="0"/>
    <n v="0"/>
    <n v="0"/>
    <m/>
    <m/>
    <n v="0"/>
    <n v="0"/>
  </r>
  <r>
    <x v="4"/>
    <s v="Georgia Institute of Technology"/>
    <m/>
    <s v="139755"/>
    <x v="1"/>
    <s v="sem"/>
    <m/>
    <m/>
    <m/>
    <n v="185478.33"/>
    <n v="188965"/>
    <n v="43114"/>
    <n v="42003"/>
    <n v="205026.66"/>
    <n v="206677"/>
    <n v="433618.99"/>
    <n v="14453.966333333334"/>
    <n v="437645"/>
    <n v="14588.166666666666"/>
    <n v="3637"/>
    <n v="3728"/>
    <n v="433618.99"/>
    <n v="437645"/>
    <m/>
    <m/>
    <m/>
    <m/>
    <m/>
    <m/>
    <m/>
    <m/>
    <n v="0"/>
    <n v="0"/>
    <n v="0"/>
    <n v="0"/>
    <m/>
    <m/>
    <n v="0"/>
    <n v="0"/>
  </r>
  <r>
    <x v="4"/>
    <s v="Georgia Southern University"/>
    <m/>
    <s v="139931"/>
    <x v="2"/>
    <s v="sem"/>
    <m/>
    <m/>
    <m/>
    <n v="218486"/>
    <n v="218839"/>
    <n v="57466"/>
    <n v="58637.83"/>
    <n v="238084"/>
    <n v="242099.39"/>
    <n v="514036"/>
    <n v="17134.533333333333"/>
    <n v="519576.22000000003"/>
    <n v="17319.207333333336"/>
    <n v="2946"/>
    <n v="3624"/>
    <n v="514036"/>
    <n v="519576.22000000003"/>
    <m/>
    <m/>
    <m/>
    <m/>
    <m/>
    <m/>
    <m/>
    <m/>
    <n v="0"/>
    <n v="0"/>
    <n v="0"/>
    <n v="0"/>
    <m/>
    <m/>
    <n v="0"/>
    <n v="0"/>
  </r>
  <r>
    <x v="4"/>
    <s v="Kennesaw State University"/>
    <m/>
    <s v="140164"/>
    <x v="2"/>
    <s v="sem"/>
    <m/>
    <m/>
    <m/>
    <n v="338269"/>
    <n v="352073.82"/>
    <n v="78439"/>
    <n v="78832.83"/>
    <n v="371171"/>
    <n v="394911.39"/>
    <n v="787879"/>
    <n v="26262.633333333335"/>
    <n v="825818.04"/>
    <n v="27527.268"/>
    <n v="7853"/>
    <n v="7789"/>
    <n v="787879"/>
    <n v="825818.04"/>
    <m/>
    <m/>
    <m/>
    <m/>
    <m/>
    <m/>
    <m/>
    <m/>
    <n v="0"/>
    <n v="0"/>
    <n v="0"/>
    <n v="0"/>
    <m/>
    <m/>
    <n v="0"/>
    <n v="0"/>
  </r>
  <r>
    <x v="4"/>
    <s v="University of West Georgia"/>
    <m/>
    <s v="141334"/>
    <x v="2"/>
    <s v="sem"/>
    <m/>
    <m/>
    <m/>
    <n v="122644"/>
    <n v="128292.82"/>
    <n v="24552"/>
    <n v="26774.83"/>
    <n v="139253"/>
    <n v="143926.39000000001"/>
    <n v="286449"/>
    <n v="9548.2999999999993"/>
    <n v="298994.04000000004"/>
    <n v="9966.4680000000008"/>
    <n v="4895"/>
    <n v="7230"/>
    <n v="286449"/>
    <n v="298994.04000000004"/>
    <m/>
    <m/>
    <m/>
    <m/>
    <m/>
    <m/>
    <m/>
    <m/>
    <n v="0"/>
    <n v="0"/>
    <n v="0"/>
    <n v="0"/>
    <m/>
    <m/>
    <n v="0"/>
    <n v="0"/>
  </r>
  <r>
    <x v="4"/>
    <s v="Valdosta State University "/>
    <m/>
    <s v="141264"/>
    <x v="2"/>
    <s v="sem"/>
    <m/>
    <m/>
    <m/>
    <n v="111907"/>
    <n v="106238.82"/>
    <n v="21211"/>
    <n v="21240.83"/>
    <n v="112712"/>
    <n v="112512.39"/>
    <n v="245830"/>
    <n v="8194.3333333333339"/>
    <n v="239992.04"/>
    <n v="7999.7346666666672"/>
    <n v="529"/>
    <n v="1481"/>
    <n v="245830"/>
    <n v="239992.04"/>
    <m/>
    <m/>
    <m/>
    <m/>
    <m/>
    <m/>
    <m/>
    <m/>
    <n v="0"/>
    <n v="0"/>
    <n v="0"/>
    <n v="0"/>
    <m/>
    <m/>
    <n v="0"/>
    <n v="0"/>
  </r>
  <r>
    <x v="4"/>
    <s v="Albany State University "/>
    <m/>
    <s v="138716"/>
    <x v="3"/>
    <s v="sem"/>
    <m/>
    <m/>
    <m/>
    <n v="39934"/>
    <n v="34832.82"/>
    <n v="6486"/>
    <n v="5205.83"/>
    <n v="39613"/>
    <n v="34169.39"/>
    <n v="86033"/>
    <n v="2867.7666666666669"/>
    <n v="74208.040000000008"/>
    <n v="2473.6013333333335"/>
    <n v="527"/>
    <n v="435"/>
    <n v="86033"/>
    <n v="74208.040000000008"/>
    <m/>
    <m/>
    <m/>
    <m/>
    <m/>
    <m/>
    <m/>
    <m/>
    <n v="0"/>
    <n v="0"/>
    <n v="0"/>
    <n v="0"/>
    <m/>
    <m/>
    <n v="0"/>
    <n v="0"/>
  </r>
  <r>
    <x v="4"/>
    <s v="Armstrong State University"/>
    <m/>
    <s v="138789"/>
    <x v="3"/>
    <s v="sem"/>
    <m/>
    <m/>
    <m/>
    <n v="71814"/>
    <n v="71785"/>
    <n v="16602"/>
    <n v="16976"/>
    <n v="77062"/>
    <n v="77381"/>
    <n v="165478"/>
    <n v="5515.9333333333334"/>
    <n v="166142"/>
    <n v="5538.0666666666666"/>
    <n v="843"/>
    <n v="1387"/>
    <n v="165478"/>
    <n v="166142"/>
    <m/>
    <m/>
    <m/>
    <m/>
    <m/>
    <m/>
    <m/>
    <m/>
    <n v="0"/>
    <n v="0"/>
    <n v="0"/>
    <n v="0"/>
    <m/>
    <m/>
    <n v="0"/>
    <n v="0"/>
  </r>
  <r>
    <x v="4"/>
    <s v="Clayton State University"/>
    <m/>
    <s v="139311"/>
    <x v="3"/>
    <s v="sem"/>
    <m/>
    <m/>
    <m/>
    <n v="67632"/>
    <n v="66334.820000000007"/>
    <n v="16106"/>
    <n v="18411.830000000002"/>
    <n v="70234"/>
    <n v="70150.39"/>
    <n v="153972"/>
    <n v="5132.3999999999996"/>
    <n v="154897.04"/>
    <n v="5163.2346666666672"/>
    <n v="8272"/>
    <n v="10825"/>
    <n v="153972"/>
    <n v="154897.04"/>
    <m/>
    <m/>
    <m/>
    <m/>
    <m/>
    <m/>
    <m/>
    <m/>
    <n v="0"/>
    <n v="0"/>
    <n v="0"/>
    <n v="0"/>
    <m/>
    <m/>
    <n v="0"/>
    <n v="0"/>
  </r>
  <r>
    <x v="4"/>
    <s v="Columbus State University"/>
    <m/>
    <s v="139366"/>
    <x v="3"/>
    <s v="sem"/>
    <m/>
    <m/>
    <m/>
    <n v="78134"/>
    <n v="78482.820000000007"/>
    <n v="17339"/>
    <n v="15623.83"/>
    <n v="83882"/>
    <n v="81974.39"/>
    <n v="179355"/>
    <n v="5978.5"/>
    <n v="176081.04"/>
    <n v="5869.3680000000004"/>
    <n v="2413"/>
    <n v="3025"/>
    <n v="179355"/>
    <n v="176081.04"/>
    <m/>
    <m/>
    <m/>
    <m/>
    <m/>
    <m/>
    <m/>
    <m/>
    <n v="0"/>
    <n v="0"/>
    <n v="0"/>
    <n v="0"/>
    <m/>
    <m/>
    <n v="0"/>
    <n v="0"/>
  </r>
  <r>
    <x v="4"/>
    <s v="Fort Valley State University"/>
    <m/>
    <s v="139719"/>
    <x v="3"/>
    <s v="sem"/>
    <m/>
    <m/>
    <m/>
    <n v="28532"/>
    <n v="28650.82"/>
    <n v="5295"/>
    <n v="5095.83"/>
    <n v="30970"/>
    <n v="30541.39"/>
    <n v="64797"/>
    <n v="2159.9"/>
    <n v="64288.04"/>
    <n v="2142.9346666666665"/>
    <n v="461"/>
    <n v="443"/>
    <n v="64797"/>
    <n v="64288.04"/>
    <m/>
    <m/>
    <m/>
    <m/>
    <m/>
    <m/>
    <m/>
    <m/>
    <n v="0"/>
    <n v="0"/>
    <n v="0"/>
    <n v="0"/>
    <m/>
    <m/>
    <n v="0"/>
    <n v="0"/>
  </r>
  <r>
    <x v="4"/>
    <s v="Georgia College and State University"/>
    <m/>
    <s v="139861"/>
    <x v="3"/>
    <s v="sem"/>
    <m/>
    <m/>
    <m/>
    <n v="78683.5"/>
    <n v="79159"/>
    <n v="16730"/>
    <n v="18109"/>
    <n v="84128.5"/>
    <n v="84340"/>
    <n v="179542"/>
    <n v="5984.7333333333336"/>
    <n v="181608"/>
    <n v="6053.6"/>
    <n v="835"/>
    <n v="1044"/>
    <n v="179542"/>
    <n v="181608"/>
    <m/>
    <m/>
    <m/>
    <m/>
    <m/>
    <m/>
    <m/>
    <m/>
    <n v="0"/>
    <n v="0"/>
    <n v="0"/>
    <n v="0"/>
    <m/>
    <m/>
    <n v="0"/>
    <n v="0"/>
  </r>
  <r>
    <x v="4"/>
    <s v="Georgia Regents University"/>
    <m/>
    <s v="482149"/>
    <x v="3"/>
    <s v="sem"/>
    <m/>
    <m/>
    <m/>
    <n v="60688"/>
    <n v="61148"/>
    <n v="10675"/>
    <n v="10573"/>
    <n v="65189"/>
    <n v="67183"/>
    <n v="136552"/>
    <n v="4551.7333333333336"/>
    <n v="138904"/>
    <n v="4630.1333333333332"/>
    <n v="1594"/>
    <n v="2041"/>
    <n v="136552"/>
    <n v="138904"/>
    <m/>
    <m/>
    <m/>
    <m/>
    <m/>
    <m/>
    <m/>
    <m/>
    <n v="0"/>
    <n v="0"/>
    <n v="0"/>
    <n v="0"/>
    <m/>
    <m/>
    <n v="0"/>
    <n v="0"/>
  </r>
  <r>
    <x v="4"/>
    <s v="University of North Georgia"/>
    <m/>
    <n v="482680"/>
    <x v="3"/>
    <s v="sem"/>
    <m/>
    <m/>
    <m/>
    <n v="170466"/>
    <n v="185924.82"/>
    <n v="34179"/>
    <n v="34087.83"/>
    <n v="197268"/>
    <n v="209650.39"/>
    <n v="401913"/>
    <n v="13397.1"/>
    <n v="429663.04000000004"/>
    <n v="14322.101333333334"/>
    <n v="8632"/>
    <n v="12108"/>
    <n v="401913"/>
    <n v="429663.04000000004"/>
    <m/>
    <m/>
    <m/>
    <m/>
    <m/>
    <m/>
    <m/>
    <m/>
    <n v="0"/>
    <n v="0"/>
    <n v="0"/>
    <n v="0"/>
    <m/>
    <m/>
    <n v="0"/>
    <n v="0"/>
  </r>
  <r>
    <x v="4"/>
    <s v="Georgia Southwestern State University"/>
    <s v="Met the criteria for Four-Year 4 in 2015-16 and 2016-17."/>
    <s v="139764"/>
    <x v="4"/>
    <s v="sem"/>
    <m/>
    <m/>
    <m/>
    <n v="26530"/>
    <n v="25996.82"/>
    <n v="7816"/>
    <n v="7862.83"/>
    <n v="28529"/>
    <n v="30157.39"/>
    <n v="62875"/>
    <n v="2095.8333333333335"/>
    <n v="64017.04"/>
    <n v="2133.9013333333332"/>
    <n v="706"/>
    <n v="1254"/>
    <n v="62875"/>
    <n v="64017.04"/>
    <m/>
    <m/>
    <m/>
    <m/>
    <m/>
    <m/>
    <m/>
    <m/>
    <n v="0"/>
    <n v="0"/>
    <n v="0"/>
    <n v="0"/>
    <m/>
    <m/>
    <n v="0"/>
    <n v="0"/>
  </r>
  <r>
    <x v="4"/>
    <s v="Savannah State University"/>
    <m/>
    <s v="140960"/>
    <x v="4"/>
    <s v="sem"/>
    <m/>
    <m/>
    <m/>
    <n v="58201"/>
    <n v="58230.82"/>
    <n v="6851"/>
    <n v="6494.83"/>
    <n v="63250"/>
    <n v="65625.39"/>
    <n v="128302"/>
    <n v="4276.7333333333336"/>
    <n v="130351.04000000001"/>
    <n v="4345.0346666666674"/>
    <n v="1299"/>
    <n v="1708"/>
    <n v="128302"/>
    <n v="130351.04000000001"/>
    <m/>
    <m/>
    <m/>
    <m/>
    <m/>
    <m/>
    <m/>
    <m/>
    <n v="0"/>
    <n v="0"/>
    <n v="0"/>
    <n v="0"/>
    <m/>
    <m/>
    <n v="0"/>
    <n v="0"/>
  </r>
  <r>
    <x v="4"/>
    <s v="Dalton State College "/>
    <m/>
    <s v="139463"/>
    <x v="5"/>
    <s v="sem"/>
    <m/>
    <m/>
    <m/>
    <n v="49654"/>
    <n v="51502.82"/>
    <n v="9428"/>
    <n v="10130.83"/>
    <n v="57481"/>
    <n v="58847.39"/>
    <n v="116563"/>
    <n v="3885.4333333333334"/>
    <n v="120481.04000000001"/>
    <n v="4016.0346666666669"/>
    <n v="3119"/>
    <n v="5287"/>
    <n v="116563"/>
    <n v="120481.04000000001"/>
    <m/>
    <m/>
    <m/>
    <m/>
    <m/>
    <m/>
    <m/>
    <m/>
    <n v="0"/>
    <n v="0"/>
    <n v="0"/>
    <n v="0"/>
    <m/>
    <m/>
    <n v="0"/>
    <n v="0"/>
  </r>
  <r>
    <x v="4"/>
    <s v="Georgia Gwinnett College"/>
    <m/>
    <s v="447689"/>
    <x v="5"/>
    <s v="sem"/>
    <m/>
    <m/>
    <m/>
    <n v="125461"/>
    <n v="129621.82"/>
    <n v="22310"/>
    <n v="23936.83"/>
    <n v="133658"/>
    <n v="140009.39000000001"/>
    <n v="281429"/>
    <n v="9380.9666666666672"/>
    <n v="293568.04000000004"/>
    <n v="9785.601333333334"/>
    <n v="6465"/>
    <n v="7349"/>
    <n v="281429"/>
    <n v="293568.04000000004"/>
    <m/>
    <m/>
    <m/>
    <m/>
    <m/>
    <m/>
    <m/>
    <m/>
    <n v="0"/>
    <n v="0"/>
    <n v="0"/>
    <n v="0"/>
    <m/>
    <m/>
    <n v="0"/>
    <n v="0"/>
  </r>
  <r>
    <x v="4"/>
    <s v="Middle Georgia State College"/>
    <m/>
    <n v="482158"/>
    <x v="5"/>
    <s v="sem"/>
    <m/>
    <m/>
    <m/>
    <n v="78770"/>
    <n v="80078.820000000007"/>
    <n v="19627"/>
    <n v="19293.830000000002"/>
    <n v="84658"/>
    <n v="83925.39"/>
    <n v="183055"/>
    <n v="6101.833333333333"/>
    <n v="183298.04"/>
    <n v="6109.934666666667"/>
    <n v="5156"/>
    <n v="6736"/>
    <n v="183055"/>
    <n v="183298.04"/>
    <m/>
    <m/>
    <m/>
    <m/>
    <m/>
    <m/>
    <m/>
    <m/>
    <n v="0"/>
    <n v="0"/>
    <n v="0"/>
    <n v="0"/>
    <m/>
    <m/>
    <n v="0"/>
    <n v="0"/>
  </r>
  <r>
    <x v="4"/>
    <s v="Abraham Baldwin Agricultural College "/>
    <m/>
    <s v="138558"/>
    <x v="11"/>
    <s v="sem"/>
    <m/>
    <m/>
    <m/>
    <n v="36783"/>
    <n v="37135.82"/>
    <n v="5853"/>
    <n v="6024.83"/>
    <n v="41577"/>
    <n v="42325.39"/>
    <n v="84213"/>
    <n v="2807.1"/>
    <n v="85486.040000000008"/>
    <n v="2849.5346666666669"/>
    <n v="2360"/>
    <n v="2860"/>
    <n v="84213"/>
    <n v="85486.040000000008"/>
    <m/>
    <m/>
    <m/>
    <m/>
    <m/>
    <m/>
    <m/>
    <m/>
    <n v="0"/>
    <n v="0"/>
    <n v="0"/>
    <n v="0"/>
    <m/>
    <m/>
    <n v="0"/>
    <n v="0"/>
  </r>
  <r>
    <x v="4"/>
    <s v="College of Coastal Georgia "/>
    <s v="Reclassified: Met the criteria for Four-Year 6 in 2014-15, 2015-16, and 2016-17. "/>
    <s v="139250"/>
    <x v="5"/>
    <s v="sem"/>
    <m/>
    <m/>
    <m/>
    <n v="31585"/>
    <n v="33308.82"/>
    <n v="6089"/>
    <n v="6779.83"/>
    <n v="35461"/>
    <n v="39404.39"/>
    <n v="73135"/>
    <n v="2437.8333333333335"/>
    <n v="79493.040000000008"/>
    <n v="2649.7680000000005"/>
    <n v="2572"/>
    <n v="3726"/>
    <n v="73135"/>
    <n v="79493.040000000008"/>
    <m/>
    <m/>
    <m/>
    <m/>
    <m/>
    <m/>
    <m/>
    <m/>
    <n v="0"/>
    <n v="0"/>
    <n v="0"/>
    <n v="0"/>
    <m/>
    <m/>
    <n v="0"/>
    <n v="0"/>
  </r>
  <r>
    <x v="4"/>
    <s v="Gordon State College "/>
    <m/>
    <s v="139968"/>
    <x v="11"/>
    <s v="sem"/>
    <m/>
    <m/>
    <m/>
    <n v="41434"/>
    <n v="41472.82"/>
    <n v="5449"/>
    <n v="5132.83"/>
    <n v="47686"/>
    <n v="44897.39"/>
    <n v="94569"/>
    <n v="3152.3"/>
    <n v="91503.040000000008"/>
    <n v="3050.1013333333335"/>
    <n v="2696"/>
    <n v="3792"/>
    <n v="94569"/>
    <n v="91503.040000000008"/>
    <m/>
    <m/>
    <m/>
    <m/>
    <m/>
    <m/>
    <m/>
    <m/>
    <n v="0"/>
    <n v="0"/>
    <n v="0"/>
    <n v="0"/>
    <m/>
    <m/>
    <n v="0"/>
    <n v="0"/>
  </r>
  <r>
    <x v="4"/>
    <s v="Georgia Perimeter College "/>
    <m/>
    <s v="244437"/>
    <x v="6"/>
    <s v="sem"/>
    <m/>
    <m/>
    <m/>
    <n v="196273"/>
    <n v="186368.82"/>
    <n v="70381"/>
    <n v="61398.83"/>
    <n v="188565"/>
    <m/>
    <n v="455219"/>
    <n v="15173.966666666667"/>
    <n v="247767.65000000002"/>
    <n v="8258.9216666666671"/>
    <n v="16133"/>
    <m/>
    <n v="455219"/>
    <n v="0"/>
    <m/>
    <m/>
    <m/>
    <m/>
    <m/>
    <m/>
    <m/>
    <m/>
    <n v="0"/>
    <n v="0"/>
    <n v="0"/>
    <n v="0"/>
    <m/>
    <m/>
    <n v="0"/>
    <n v="0"/>
  </r>
  <r>
    <x v="4"/>
    <s v="Atlanta Metropolitan State College"/>
    <s v="Reclassified: Met the criteria for Two-Year with Bachelor's in 2014-15 and 2015-16 and 2016-17. "/>
    <s v="138901"/>
    <x v="11"/>
    <s v="sem"/>
    <m/>
    <m/>
    <m/>
    <n v="30181"/>
    <n v="27356.82"/>
    <n v="9688"/>
    <n v="8509.83"/>
    <n v="30282"/>
    <n v="26739.39"/>
    <n v="70151"/>
    <n v="2338.3666666666668"/>
    <n v="62606.04"/>
    <n v="2086.8679999999999"/>
    <n v="2539"/>
    <n v="3452"/>
    <n v="70151"/>
    <n v="62606.04"/>
    <m/>
    <m/>
    <m/>
    <m/>
    <m/>
    <m/>
    <m/>
    <m/>
    <n v="0"/>
    <n v="0"/>
    <n v="0"/>
    <n v="0"/>
    <m/>
    <m/>
    <n v="0"/>
    <n v="0"/>
  </r>
  <r>
    <x v="4"/>
    <s v="Bainbridge State College "/>
    <s v="Reclassified: Met the criteria for Two-Year 3 in 2014-15 and 2015-16 and 2016-17."/>
    <s v="139010"/>
    <x v="8"/>
    <s v="sem"/>
    <m/>
    <m/>
    <m/>
    <n v="19564"/>
    <n v="20535.82"/>
    <n v="7965"/>
    <n v="8414.83"/>
    <n v="22530"/>
    <n v="22529.39"/>
    <n v="50059"/>
    <n v="1668.6333333333334"/>
    <n v="51480.04"/>
    <n v="1716.0013333333334"/>
    <n v="4703"/>
    <n v="9222"/>
    <n v="50059"/>
    <n v="51480.04"/>
    <m/>
    <m/>
    <m/>
    <m/>
    <m/>
    <m/>
    <m/>
    <m/>
    <n v="0"/>
    <n v="0"/>
    <n v="0"/>
    <n v="0"/>
    <m/>
    <m/>
    <n v="0"/>
    <n v="0"/>
  </r>
  <r>
    <x v="4"/>
    <s v="Darton State College "/>
    <s v="Reclassified: Met the criteria for Two-Year with Bachelor's in 2014-15 and 2015-16 and 2016-17. "/>
    <s v="138691"/>
    <x v="11"/>
    <s v="sem"/>
    <m/>
    <m/>
    <m/>
    <n v="52603"/>
    <n v="48929.32"/>
    <n v="20341.5"/>
    <n v="18338.830000000002"/>
    <n v="56129"/>
    <n v="40813.89"/>
    <n v="129073.5"/>
    <n v="4302.45"/>
    <n v="108082.04"/>
    <n v="3602.7346666666663"/>
    <n v="3628"/>
    <n v="4552"/>
    <n v="129073.5"/>
    <n v="108082.04"/>
    <m/>
    <m/>
    <m/>
    <m/>
    <m/>
    <m/>
    <m/>
    <m/>
    <n v="0"/>
    <n v="0"/>
    <n v="0"/>
    <n v="0"/>
    <m/>
    <m/>
    <n v="0"/>
    <n v="0"/>
  </r>
  <r>
    <x v="4"/>
    <s v="East Georgia State College"/>
    <s v="Reclassified: Met the criteria for Two-Year with Bachelor's in 2014-15 and 2015-16 and 2016-17. "/>
    <s v="139621"/>
    <x v="11"/>
    <s v="sem"/>
    <m/>
    <m/>
    <m/>
    <n v="29894"/>
    <n v="31141.82"/>
    <n v="5020"/>
    <n v="5559.83"/>
    <n v="35159"/>
    <n v="35741.39"/>
    <n v="70073"/>
    <n v="2335.7666666666669"/>
    <n v="72443.040000000008"/>
    <n v="2414.7680000000005"/>
    <n v="981"/>
    <n v="3286"/>
    <n v="70073"/>
    <n v="72443.040000000008"/>
    <m/>
    <m/>
    <m/>
    <m/>
    <m/>
    <m/>
    <m/>
    <m/>
    <n v="0"/>
    <n v="0"/>
    <n v="0"/>
    <n v="0"/>
    <m/>
    <m/>
    <n v="0"/>
    <n v="0"/>
  </r>
  <r>
    <x v="4"/>
    <s v="Georgia Highlands College"/>
    <s v="Met the criteria for Two-Year with Bachelor's in 2015-16 and 2016-17. "/>
    <s v="139700"/>
    <x v="7"/>
    <s v="sem"/>
    <m/>
    <m/>
    <m/>
    <n v="51441"/>
    <n v="54707.82"/>
    <n v="11658"/>
    <n v="12956.83"/>
    <n v="57851"/>
    <n v="60860.39"/>
    <n v="120950"/>
    <n v="4031.6666666666665"/>
    <n v="128525.04"/>
    <n v="4284.1679999999997"/>
    <n v="2855"/>
    <n v="4464"/>
    <n v="120950"/>
    <n v="128525.04"/>
    <m/>
    <m/>
    <m/>
    <m/>
    <m/>
    <m/>
    <m/>
    <m/>
    <n v="0"/>
    <n v="0"/>
    <n v="0"/>
    <n v="0"/>
    <m/>
    <m/>
    <n v="0"/>
    <n v="0"/>
  </r>
  <r>
    <x v="4"/>
    <s v="South Georgia State College"/>
    <s v="Reclassified: Met the criteria for Two-Year with Bachelor's in 2014-15 and 2015-16 and 2016-17. "/>
    <n v="482699"/>
    <x v="11"/>
    <s v="sem"/>
    <m/>
    <m/>
    <m/>
    <n v="27784"/>
    <n v="28334"/>
    <n v="4539"/>
    <n v="4698"/>
    <n v="31624"/>
    <n v="29225"/>
    <n v="63947"/>
    <n v="2131.5666666666666"/>
    <n v="62257"/>
    <n v="2075.2333333333331"/>
    <n v="4317"/>
    <n v="5523"/>
    <n v="63947"/>
    <n v="62257"/>
    <m/>
    <m/>
    <m/>
    <m/>
    <m/>
    <m/>
    <m/>
    <m/>
    <n v="0"/>
    <n v="0"/>
    <n v="0"/>
    <n v="0"/>
    <m/>
    <m/>
    <n v="0"/>
    <n v="0"/>
  </r>
  <r>
    <x v="4"/>
    <s v="Albany Technical College"/>
    <m/>
    <n v="138682"/>
    <x v="9"/>
    <s v="sem"/>
    <s v="sem"/>
    <m/>
    <m/>
    <n v="35931"/>
    <n v="30423"/>
    <n v="27774"/>
    <n v="22780"/>
    <n v="33583"/>
    <n v="32026"/>
    <n v="97288"/>
    <n v="3242.9333333333334"/>
    <n v="85229"/>
    <n v="2840.9666666666667"/>
    <n v="3873.2"/>
    <n v="5298"/>
    <n v="97288"/>
    <n v="85229"/>
    <m/>
    <m/>
    <m/>
    <m/>
    <m/>
    <m/>
    <m/>
    <m/>
    <n v="0"/>
    <n v="0"/>
    <n v="0"/>
    <n v="0"/>
    <m/>
    <m/>
    <n v="0"/>
    <n v="0"/>
  </r>
  <r>
    <x v="4"/>
    <s v="Athens Technical College"/>
    <m/>
    <n v="246813"/>
    <x v="9"/>
    <s v="sem"/>
    <s v="sem"/>
    <m/>
    <m/>
    <n v="32050"/>
    <n v="30143"/>
    <n v="13898"/>
    <n v="13823"/>
    <n v="34079"/>
    <n v="34503"/>
    <n v="80027"/>
    <n v="2667.5666666666666"/>
    <n v="78469"/>
    <n v="2615.6333333333332"/>
    <n v="3859"/>
    <n v="5343"/>
    <n v="80027"/>
    <n v="78469"/>
    <m/>
    <m/>
    <m/>
    <m/>
    <m/>
    <m/>
    <m/>
    <m/>
    <n v="0"/>
    <n v="0"/>
    <n v="0"/>
    <n v="0"/>
    <m/>
    <m/>
    <n v="0"/>
    <n v="0"/>
  </r>
  <r>
    <x v="4"/>
    <s v="Atlanta Technical College"/>
    <m/>
    <n v="138840"/>
    <x v="9"/>
    <s v="sem"/>
    <s v="sem"/>
    <m/>
    <m/>
    <n v="40337"/>
    <n v="36097"/>
    <n v="28371"/>
    <n v="23972"/>
    <n v="36243"/>
    <n v="36450"/>
    <n v="104951"/>
    <n v="3498.3666666666668"/>
    <n v="96519"/>
    <n v="3217.3"/>
    <n v="3378"/>
    <n v="3336"/>
    <n v="104951"/>
    <n v="96519"/>
    <m/>
    <m/>
    <m/>
    <m/>
    <m/>
    <m/>
    <m/>
    <m/>
    <n v="0"/>
    <n v="0"/>
    <n v="0"/>
    <n v="0"/>
    <m/>
    <m/>
    <n v="0"/>
    <n v="0"/>
  </r>
  <r>
    <x v="4"/>
    <s v="Augusta Technical College"/>
    <m/>
    <n v="138956"/>
    <x v="9"/>
    <s v="sem"/>
    <s v="sem"/>
    <m/>
    <m/>
    <n v="37040"/>
    <n v="36252"/>
    <n v="21382"/>
    <n v="20692"/>
    <n v="41988"/>
    <n v="40968"/>
    <n v="100410"/>
    <n v="3347"/>
    <n v="97912"/>
    <n v="3263.7333333333331"/>
    <n v="2557.3000000000002"/>
    <n v="4191.3999999999996"/>
    <n v="100410"/>
    <n v="97912"/>
    <m/>
    <m/>
    <m/>
    <m/>
    <m/>
    <m/>
    <m/>
    <m/>
    <n v="0"/>
    <n v="0"/>
    <n v="0"/>
    <n v="0"/>
    <m/>
    <m/>
    <n v="0"/>
    <n v="0"/>
  </r>
  <r>
    <x v="4"/>
    <s v="Central Georgia Technical College"/>
    <m/>
    <n v="483045"/>
    <x v="9"/>
    <s v="sem"/>
    <s v="sem"/>
    <m/>
    <m/>
    <n v="69317"/>
    <n v="64577"/>
    <n v="42799"/>
    <n v="37112"/>
    <n v="71886"/>
    <n v="69666"/>
    <n v="184002"/>
    <n v="6133.4"/>
    <n v="171355"/>
    <n v="5711.833333333333"/>
    <n v="11965"/>
    <n v="12455"/>
    <n v="184002"/>
    <n v="171355"/>
    <m/>
    <m/>
    <m/>
    <m/>
    <m/>
    <m/>
    <m/>
    <m/>
    <n v="0"/>
    <n v="0"/>
    <n v="0"/>
    <n v="0"/>
    <m/>
    <m/>
    <n v="0"/>
    <n v="0"/>
  </r>
  <r>
    <x v="4"/>
    <s v="Chattahoochee Technical College"/>
    <m/>
    <n v="140331"/>
    <x v="9"/>
    <s v="sem"/>
    <s v="sem"/>
    <m/>
    <m/>
    <n v="82675"/>
    <n v="77389"/>
    <n v="33540"/>
    <n v="31699"/>
    <n v="83725"/>
    <n v="83826"/>
    <n v="199940"/>
    <n v="6664.666666666667"/>
    <n v="192914"/>
    <n v="6430.4666666666662"/>
    <n v="8596"/>
    <n v="14417.3"/>
    <n v="199940"/>
    <n v="192914"/>
    <m/>
    <m/>
    <m/>
    <m/>
    <m/>
    <m/>
    <m/>
    <m/>
    <n v="0"/>
    <n v="0"/>
    <n v="0"/>
    <n v="0"/>
    <m/>
    <m/>
    <n v="0"/>
    <n v="0"/>
  </r>
  <r>
    <x v="4"/>
    <s v="Coastal Pines Technical College"/>
    <m/>
    <n v="485458"/>
    <x v="9"/>
    <s v="sem"/>
    <s v="sem"/>
    <m/>
    <m/>
    <n v="19824"/>
    <n v="18482"/>
    <n v="10093"/>
    <n v="9242"/>
    <n v="19993"/>
    <n v="21867"/>
    <n v="49910"/>
    <n v="1663.6666666666667"/>
    <n v="49591"/>
    <n v="1653.0333333333333"/>
    <n v="8489"/>
    <n v="11339"/>
    <n v="49910"/>
    <n v="49591"/>
    <m/>
    <m/>
    <m/>
    <m/>
    <m/>
    <m/>
    <m/>
    <m/>
    <n v="0"/>
    <n v="0"/>
    <n v="0"/>
    <n v="0"/>
    <m/>
    <m/>
    <n v="0"/>
    <n v="0"/>
  </r>
  <r>
    <x v="4"/>
    <s v="Columbus Technical College"/>
    <m/>
    <n v="139357"/>
    <x v="9"/>
    <s v="sem"/>
    <s v="sem"/>
    <m/>
    <m/>
    <n v="28967"/>
    <n v="27799.1"/>
    <n v="15894"/>
    <n v="13835.3"/>
    <n v="30659"/>
    <n v="27110.9"/>
    <n v="75520"/>
    <n v="2517.3333333333335"/>
    <n v="68745.299999999988"/>
    <n v="2291.5099999999998"/>
    <n v="7381"/>
    <n v="8214.2999999999993"/>
    <n v="75520"/>
    <n v="68745.299999999988"/>
    <m/>
    <m/>
    <m/>
    <m/>
    <m/>
    <m/>
    <m/>
    <m/>
    <n v="0"/>
    <n v="0"/>
    <n v="0"/>
    <n v="0"/>
    <m/>
    <m/>
    <n v="0"/>
    <n v="0"/>
  </r>
  <r>
    <x v="4"/>
    <s v="Georgia Northwestern Technical College"/>
    <m/>
    <n v="139384"/>
    <x v="9"/>
    <s v="sem"/>
    <s v="sem"/>
    <m/>
    <m/>
    <n v="48221"/>
    <n v="49784"/>
    <n v="21118"/>
    <n v="17128"/>
    <n v="51948"/>
    <n v="52258"/>
    <n v="121287"/>
    <n v="4042.9"/>
    <n v="119170"/>
    <n v="3972.3333333333335"/>
    <n v="14681"/>
    <n v="21650"/>
    <n v="121287"/>
    <n v="119170"/>
    <m/>
    <m/>
    <m/>
    <m/>
    <m/>
    <m/>
    <m/>
    <m/>
    <n v="0"/>
    <n v="0"/>
    <n v="0"/>
    <n v="0"/>
    <m/>
    <m/>
    <n v="0"/>
    <n v="0"/>
  </r>
  <r>
    <x v="4"/>
    <s v="Georgia Piedmont Technical College"/>
    <m/>
    <n v="244446"/>
    <x v="9"/>
    <s v="sem"/>
    <s v="sem"/>
    <m/>
    <m/>
    <n v="34781"/>
    <n v="31721.5"/>
    <n v="20930"/>
    <n v="20681"/>
    <n v="32736"/>
    <n v="33930.5"/>
    <n v="88447"/>
    <n v="2948.2333333333331"/>
    <n v="86333"/>
    <n v="2877.7666666666669"/>
    <n v="6567.4"/>
    <n v="8297.2000000000007"/>
    <n v="88447"/>
    <n v="86333"/>
    <m/>
    <m/>
    <m/>
    <m/>
    <m/>
    <m/>
    <m/>
    <m/>
    <n v="0"/>
    <n v="0"/>
    <n v="0"/>
    <n v="0"/>
    <m/>
    <m/>
    <n v="0"/>
    <n v="0"/>
  </r>
  <r>
    <x v="4"/>
    <s v="Gwinnett Technical College"/>
    <m/>
    <n v="140012"/>
    <x v="9"/>
    <s v="sem"/>
    <s v="sem"/>
    <m/>
    <m/>
    <n v="60814"/>
    <n v="58128"/>
    <n v="22814"/>
    <n v="22468"/>
    <n v="58037"/>
    <n v="60665"/>
    <n v="141665"/>
    <n v="4722.166666666667"/>
    <n v="141261"/>
    <n v="4708.7"/>
    <n v="5367"/>
    <n v="10801"/>
    <n v="141665"/>
    <n v="141261"/>
    <m/>
    <m/>
    <m/>
    <m/>
    <m/>
    <m/>
    <m/>
    <m/>
    <n v="0"/>
    <n v="0"/>
    <n v="0"/>
    <n v="0"/>
    <m/>
    <m/>
    <n v="0"/>
    <n v="0"/>
  </r>
  <r>
    <x v="4"/>
    <s v="Lanier Technical College"/>
    <m/>
    <n v="140243"/>
    <x v="9"/>
    <s v="sem"/>
    <s v="sem"/>
    <m/>
    <m/>
    <n v="28989"/>
    <n v="27543"/>
    <n v="14323"/>
    <n v="14048"/>
    <n v="31149"/>
    <n v="30993"/>
    <n v="74461"/>
    <n v="2482.0333333333333"/>
    <n v="72584"/>
    <n v="2419.4666666666667"/>
    <n v="3075"/>
    <n v="4387"/>
    <n v="74461"/>
    <n v="72584"/>
    <m/>
    <m/>
    <m/>
    <m/>
    <m/>
    <m/>
    <m/>
    <m/>
    <n v="0"/>
    <n v="0"/>
    <n v="0"/>
    <n v="0"/>
    <m/>
    <m/>
    <n v="0"/>
    <n v="0"/>
  </r>
  <r>
    <x v="4"/>
    <s v="North Georgia Technical College"/>
    <m/>
    <n v="140678"/>
    <x v="9"/>
    <s v="sem"/>
    <s v="sem"/>
    <m/>
    <m/>
    <n v="23426"/>
    <n v="23149"/>
    <n v="9467"/>
    <n v="10056"/>
    <n v="24876"/>
    <n v="25466"/>
    <n v="57769"/>
    <n v="1925.6333333333334"/>
    <n v="58671"/>
    <n v="1955.7"/>
    <n v="2237"/>
    <n v="4319"/>
    <n v="57769"/>
    <n v="58671"/>
    <m/>
    <m/>
    <m/>
    <m/>
    <m/>
    <m/>
    <m/>
    <m/>
    <n v="0"/>
    <n v="0"/>
    <n v="0"/>
    <n v="0"/>
    <m/>
    <m/>
    <n v="0"/>
    <n v="0"/>
  </r>
  <r>
    <x v="4"/>
    <s v="Oconee Fall Line Technical College"/>
    <m/>
    <n v="420431"/>
    <x v="9"/>
    <s v="sem"/>
    <s v="sem"/>
    <m/>
    <m/>
    <n v="13175"/>
    <n v="11850"/>
    <n v="8867"/>
    <n v="7497"/>
    <n v="13679"/>
    <n v="11962"/>
    <n v="35721"/>
    <n v="1190.7"/>
    <n v="31309"/>
    <n v="1043.6333333333334"/>
    <n v="2767"/>
    <n v="2461"/>
    <n v="35721"/>
    <n v="31309"/>
    <m/>
    <m/>
    <m/>
    <m/>
    <m/>
    <m/>
    <m/>
    <m/>
    <n v="0"/>
    <n v="0"/>
    <n v="0"/>
    <n v="0"/>
    <m/>
    <m/>
    <n v="0"/>
    <n v="0"/>
  </r>
  <r>
    <x v="4"/>
    <s v="Ogeechee Technical College"/>
    <m/>
    <n v="366465"/>
    <x v="9"/>
    <s v="sem"/>
    <s v="sem"/>
    <m/>
    <m/>
    <n v="22047"/>
    <n v="19744"/>
    <n v="13140"/>
    <n v="10103"/>
    <n v="20063"/>
    <n v="18997"/>
    <n v="55250"/>
    <n v="1841.6666666666667"/>
    <n v="48844"/>
    <n v="1628.1333333333334"/>
    <n v="2635"/>
    <n v="3178"/>
    <n v="55250"/>
    <n v="48844"/>
    <m/>
    <m/>
    <m/>
    <m/>
    <m/>
    <m/>
    <m/>
    <m/>
    <n v="0"/>
    <n v="0"/>
    <n v="0"/>
    <n v="0"/>
    <m/>
    <m/>
    <n v="0"/>
    <n v="0"/>
  </r>
  <r>
    <x v="4"/>
    <s v="Savannah Technical College"/>
    <m/>
    <n v="140942"/>
    <x v="9"/>
    <s v="sem"/>
    <s v="sem"/>
    <m/>
    <m/>
    <n v="40200"/>
    <n v="38563"/>
    <n v="16359"/>
    <n v="16156"/>
    <n v="38714"/>
    <n v="36639"/>
    <n v="95273"/>
    <n v="3175.7666666666669"/>
    <n v="91358"/>
    <n v="3045.2666666666669"/>
    <n v="4797"/>
    <n v="6857"/>
    <n v="95273"/>
    <n v="91358"/>
    <m/>
    <m/>
    <m/>
    <m/>
    <m/>
    <m/>
    <m/>
    <m/>
    <n v="0"/>
    <n v="0"/>
    <n v="0"/>
    <n v="0"/>
    <m/>
    <m/>
    <n v="0"/>
    <n v="0"/>
  </r>
  <r>
    <x v="4"/>
    <s v="South Georgia Technical College"/>
    <m/>
    <n v="141006"/>
    <x v="9"/>
    <s v="sem"/>
    <s v="sem"/>
    <m/>
    <m/>
    <n v="17622"/>
    <n v="17283"/>
    <n v="8042"/>
    <n v="8124"/>
    <n v="17666"/>
    <n v="19460"/>
    <n v="43330"/>
    <n v="1444.3333333333333"/>
    <n v="44867"/>
    <n v="1495.5666666666666"/>
    <n v="3901"/>
    <n v="5371"/>
    <n v="43330"/>
    <n v="44867"/>
    <m/>
    <m/>
    <m/>
    <m/>
    <m/>
    <m/>
    <m/>
    <m/>
    <n v="0"/>
    <n v="0"/>
    <n v="0"/>
    <n v="0"/>
    <m/>
    <m/>
    <n v="0"/>
    <n v="0"/>
  </r>
  <r>
    <x v="4"/>
    <s v="Southeastern Technical College"/>
    <m/>
    <n v="368911"/>
    <x v="9"/>
    <s v="sem"/>
    <s v="sem"/>
    <m/>
    <m/>
    <n v="12922"/>
    <n v="13727"/>
    <n v="6929"/>
    <n v="6977"/>
    <n v="14592"/>
    <n v="13855"/>
    <n v="34443"/>
    <n v="1148.0999999999999"/>
    <n v="34559"/>
    <n v="1151.9666666666667"/>
    <n v="3328"/>
    <n v="3331"/>
    <n v="34443"/>
    <n v="34559"/>
    <m/>
    <m/>
    <m/>
    <m/>
    <m/>
    <m/>
    <m/>
    <m/>
    <n v="0"/>
    <n v="0"/>
    <n v="0"/>
    <n v="0"/>
    <m/>
    <m/>
    <n v="0"/>
    <n v="0"/>
  </r>
  <r>
    <x v="4"/>
    <s v="Southern Crescent Technical College"/>
    <m/>
    <n v="139986"/>
    <x v="9"/>
    <s v="sem"/>
    <s v="sem"/>
    <m/>
    <m/>
    <n v="42049"/>
    <n v="39153"/>
    <n v="14718"/>
    <n v="14410"/>
    <n v="44429"/>
    <n v="41999"/>
    <n v="101196"/>
    <n v="3373.2"/>
    <n v="95562"/>
    <n v="3185.4"/>
    <n v="6002"/>
    <n v="7493"/>
    <n v="101196"/>
    <n v="95562"/>
    <m/>
    <m/>
    <m/>
    <m/>
    <m/>
    <m/>
    <m/>
    <m/>
    <n v="0"/>
    <n v="0"/>
    <n v="0"/>
    <n v="0"/>
    <m/>
    <m/>
    <n v="0"/>
    <n v="0"/>
  </r>
  <r>
    <x v="4"/>
    <s v="Southern Regional Technical College"/>
    <m/>
    <n v="487162"/>
    <x v="9"/>
    <s v="sem"/>
    <s v="sem"/>
    <m/>
    <m/>
    <n v="29921"/>
    <n v="29253"/>
    <n v="15716"/>
    <n v="16200"/>
    <n v="29986"/>
    <n v="30599"/>
    <n v="75623"/>
    <n v="2520.7666666666669"/>
    <n v="76052"/>
    <n v="2535.0666666666666"/>
    <n v="6727"/>
    <n v="13286"/>
    <n v="75623"/>
    <n v="76052"/>
    <m/>
    <m/>
    <m/>
    <m/>
    <m/>
    <m/>
    <m/>
    <m/>
    <n v="0"/>
    <n v="0"/>
    <n v="0"/>
    <n v="0"/>
    <m/>
    <m/>
    <n v="0"/>
    <n v="0"/>
  </r>
  <r>
    <x v="4"/>
    <s v="West Georgia Technical College"/>
    <m/>
    <n v="139278"/>
    <x v="9"/>
    <s v="sem"/>
    <s v="sem"/>
    <m/>
    <m/>
    <n v="54030"/>
    <n v="54130"/>
    <n v="22159"/>
    <n v="22291"/>
    <n v="56768"/>
    <n v="58419"/>
    <n v="132957"/>
    <n v="4431.8999999999996"/>
    <n v="134840"/>
    <n v="4494.666666666667"/>
    <n v="11882"/>
    <n v="16563"/>
    <n v="132957"/>
    <n v="134840"/>
    <m/>
    <m/>
    <m/>
    <m/>
    <m/>
    <m/>
    <m/>
    <m/>
    <n v="0"/>
    <n v="0"/>
    <n v="0"/>
    <n v="0"/>
    <m/>
    <m/>
    <n v="0"/>
    <n v="0"/>
  </r>
  <r>
    <x v="4"/>
    <s v="Wiregrass Georgia Technical College"/>
    <m/>
    <n v="141255"/>
    <x v="9"/>
    <s v="sem"/>
    <s v="sem"/>
    <m/>
    <m/>
    <n v="30812"/>
    <n v="29182"/>
    <n v="14892"/>
    <n v="14313"/>
    <n v="30013"/>
    <n v="31846"/>
    <n v="75717"/>
    <n v="2523.9"/>
    <n v="75341"/>
    <n v="2511.3666666666668"/>
    <n v="11437"/>
    <n v="14926"/>
    <n v="75717"/>
    <n v="75341"/>
    <m/>
    <m/>
    <m/>
    <m/>
    <m/>
    <m/>
    <m/>
    <m/>
    <n v="0"/>
    <n v="0"/>
    <n v="0"/>
    <n v="0"/>
    <m/>
    <m/>
    <n v="0"/>
    <n v="0"/>
  </r>
  <r>
    <x v="5"/>
    <s v="University of Kentucky"/>
    <m/>
    <n v="157085"/>
    <x v="0"/>
    <s v="sem"/>
    <s v="sem"/>
    <m/>
    <m/>
    <n v="283884"/>
    <n v="282122"/>
    <n v="24359"/>
    <n v="24354"/>
    <n v="319524"/>
    <n v="310048"/>
    <n v="627767"/>
    <n v="20925.566666666666"/>
    <n v="616524"/>
    <n v="20550.8"/>
    <n v="33"/>
    <n v="75"/>
    <n v="627767"/>
    <n v="616524"/>
    <m/>
    <m/>
    <m/>
    <m/>
    <m/>
    <m/>
    <m/>
    <m/>
    <n v="0"/>
    <n v="0"/>
    <n v="0"/>
    <n v="0"/>
    <m/>
    <m/>
    <n v="0"/>
    <n v="0"/>
  </r>
  <r>
    <x v="5"/>
    <s v="University of Louisville"/>
    <m/>
    <n v="157289"/>
    <x v="0"/>
    <s v="sem"/>
    <s v="sem"/>
    <m/>
    <m/>
    <n v="173781"/>
    <n v="173557"/>
    <n v="37541"/>
    <n v="38796"/>
    <n v="193484"/>
    <n v="193419"/>
    <n v="404806"/>
    <n v="13493.533333333333"/>
    <n v="405772"/>
    <n v="13525.733333333334"/>
    <n v="1939"/>
    <n v="1767"/>
    <n v="404806"/>
    <n v="405772"/>
    <m/>
    <m/>
    <m/>
    <m/>
    <m/>
    <m/>
    <m/>
    <m/>
    <n v="0"/>
    <n v="0"/>
    <n v="0"/>
    <n v="0"/>
    <m/>
    <m/>
    <n v="0"/>
    <n v="0"/>
  </r>
  <r>
    <x v="5"/>
    <s v="Eastern Kentucky University "/>
    <m/>
    <n v="156620"/>
    <x v="2"/>
    <s v="sem"/>
    <s v="sem"/>
    <m/>
    <m/>
    <n v="162997"/>
    <n v="163342"/>
    <n v="18605"/>
    <n v="18263"/>
    <n v="181140"/>
    <n v="177598"/>
    <n v="362742"/>
    <n v="12091.4"/>
    <n v="359203"/>
    <n v="11973.433333333332"/>
    <n v="5958"/>
    <n v="7963"/>
    <n v="362742"/>
    <n v="359203"/>
    <m/>
    <m/>
    <m/>
    <m/>
    <m/>
    <m/>
    <m/>
    <m/>
    <n v="0"/>
    <n v="0"/>
    <n v="0"/>
    <n v="0"/>
    <m/>
    <m/>
    <n v="0"/>
    <n v="0"/>
  </r>
  <r>
    <x v="5"/>
    <s v="Morehead State University "/>
    <m/>
    <n v="157386"/>
    <x v="2"/>
    <s v="sem"/>
    <s v="sem"/>
    <m/>
    <m/>
    <n v="93581"/>
    <n v="94009"/>
    <n v="7540"/>
    <n v="7681"/>
    <n v="105850"/>
    <n v="104068"/>
    <n v="206971"/>
    <n v="6899.0333333333338"/>
    <n v="205758"/>
    <n v="6858.6"/>
    <n v="17436"/>
    <n v="21121"/>
    <n v="206971"/>
    <n v="205758"/>
    <m/>
    <m/>
    <m/>
    <m/>
    <m/>
    <m/>
    <m/>
    <m/>
    <n v="0"/>
    <n v="0"/>
    <n v="0"/>
    <n v="0"/>
    <m/>
    <m/>
    <n v="0"/>
    <n v="0"/>
  </r>
  <r>
    <x v="5"/>
    <s v="Murray State University "/>
    <m/>
    <n v="157401"/>
    <x v="2"/>
    <s v="sem"/>
    <s v="sem"/>
    <m/>
    <m/>
    <n v="109878"/>
    <n v="105338"/>
    <n v="8530"/>
    <n v="8691"/>
    <n v="117423"/>
    <n v="113112"/>
    <n v="235831"/>
    <n v="7861.0333333333338"/>
    <n v="227141"/>
    <n v="7571.3666666666668"/>
    <n v="6579"/>
    <n v="6010"/>
    <n v="235831"/>
    <n v="227141"/>
    <m/>
    <m/>
    <m/>
    <m/>
    <m/>
    <m/>
    <m/>
    <m/>
    <n v="0"/>
    <n v="0"/>
    <n v="0"/>
    <n v="0"/>
    <m/>
    <m/>
    <n v="0"/>
    <n v="0"/>
  </r>
  <r>
    <x v="5"/>
    <s v="Northern Kentucky University "/>
    <m/>
    <n v="157447"/>
    <x v="2"/>
    <s v="sem"/>
    <s v="sem"/>
    <m/>
    <m/>
    <n v="144915"/>
    <n v="143103"/>
    <n v="15585"/>
    <n v="14873"/>
    <n v="156966"/>
    <n v="155608"/>
    <n v="317466"/>
    <n v="10582.2"/>
    <n v="313584"/>
    <n v="10452.799999999999"/>
    <n v="7461"/>
    <n v="8235"/>
    <n v="317466"/>
    <n v="313584"/>
    <m/>
    <m/>
    <m/>
    <m/>
    <m/>
    <m/>
    <m/>
    <m/>
    <n v="0"/>
    <n v="0"/>
    <n v="0"/>
    <n v="0"/>
    <m/>
    <m/>
    <n v="0"/>
    <n v="0"/>
  </r>
  <r>
    <x v="5"/>
    <s v="Western Kentucky University "/>
    <m/>
    <n v="157951"/>
    <x v="2"/>
    <s v="sem"/>
    <s v="sem"/>
    <m/>
    <m/>
    <n v="198661"/>
    <n v="197699"/>
    <n v="21715"/>
    <n v="22289"/>
    <n v="212833"/>
    <n v="213964"/>
    <n v="433209"/>
    <n v="14440.3"/>
    <n v="433952"/>
    <n v="14465.066666666668"/>
    <n v="16299"/>
    <n v="20386"/>
    <n v="433209"/>
    <n v="433952"/>
    <m/>
    <m/>
    <m/>
    <m/>
    <m/>
    <m/>
    <m/>
    <m/>
    <n v="0"/>
    <n v="0"/>
    <n v="0"/>
    <n v="0"/>
    <m/>
    <m/>
    <n v="0"/>
    <n v="0"/>
  </r>
  <r>
    <x v="5"/>
    <s v="Kentucky State University "/>
    <m/>
    <n v="157058"/>
    <x v="3"/>
    <s v="sem"/>
    <s v="sem"/>
    <m/>
    <m/>
    <n v="21950"/>
    <n v="17883"/>
    <n v="805"/>
    <n v="947"/>
    <n v="18401"/>
    <n v="18984"/>
    <n v="41156"/>
    <n v="1371.8666666666666"/>
    <n v="37814"/>
    <n v="1260.4666666666667"/>
    <n v="1697"/>
    <n v="2316"/>
    <n v="41156"/>
    <n v="37814"/>
    <m/>
    <m/>
    <m/>
    <m/>
    <m/>
    <m/>
    <m/>
    <m/>
    <n v="0"/>
    <n v="0"/>
    <n v="0"/>
    <n v="0"/>
    <m/>
    <m/>
    <n v="0"/>
    <n v="0"/>
  </r>
  <r>
    <x v="5"/>
    <s v="Bluegrass Community and Technical College"/>
    <m/>
    <n v="157173"/>
    <x v="6"/>
    <s v="sem"/>
    <s v="sem"/>
    <m/>
    <m/>
    <n v="89936"/>
    <n v="84771"/>
    <n v="17502"/>
    <n v="17178"/>
    <n v="96789"/>
    <n v="94655"/>
    <n v="204227"/>
    <n v="6807.5666666666666"/>
    <n v="196604"/>
    <n v="6553.4666666666662"/>
    <n v="7589"/>
    <n v="8932"/>
    <n v="204227"/>
    <n v="196604"/>
    <m/>
    <m/>
    <m/>
    <m/>
    <m/>
    <m/>
    <m/>
    <m/>
    <n v="0"/>
    <n v="0"/>
    <n v="0"/>
    <n v="0"/>
    <m/>
    <m/>
    <n v="0"/>
    <n v="0"/>
  </r>
  <r>
    <x v="5"/>
    <s v="Jefferson Community and Technical College "/>
    <m/>
    <n v="156921"/>
    <x v="6"/>
    <s v="sem"/>
    <s v="sem"/>
    <m/>
    <m/>
    <n v="97225"/>
    <n v="88156"/>
    <n v="14450"/>
    <n v="13228"/>
    <n v="102031"/>
    <n v="92475"/>
    <n v="213706"/>
    <n v="7123.5333333333338"/>
    <n v="193859"/>
    <n v="6461.9666666666662"/>
    <n v="11730"/>
    <n v="14758"/>
    <n v="213706"/>
    <n v="193859"/>
    <m/>
    <m/>
    <m/>
    <m/>
    <m/>
    <m/>
    <m/>
    <m/>
    <n v="0"/>
    <n v="0"/>
    <n v="0"/>
    <n v="0"/>
    <m/>
    <m/>
    <n v="0"/>
    <n v="0"/>
  </r>
  <r>
    <x v="5"/>
    <s v="Ashland Community and Technical College"/>
    <m/>
    <n v="156231"/>
    <x v="7"/>
    <s v="sem"/>
    <s v="sem"/>
    <m/>
    <m/>
    <n v="27667"/>
    <n v="26018"/>
    <n v="4452"/>
    <n v="5046"/>
    <n v="30228"/>
    <n v="29285"/>
    <n v="62347"/>
    <n v="2078.2333333333331"/>
    <n v="60349"/>
    <n v="2011.6333333333334"/>
    <n v="3619"/>
    <n v="3387"/>
    <n v="62347"/>
    <n v="60349"/>
    <m/>
    <m/>
    <m/>
    <m/>
    <m/>
    <m/>
    <m/>
    <m/>
    <n v="0"/>
    <n v="0"/>
    <n v="0"/>
    <n v="0"/>
    <m/>
    <m/>
    <n v="0"/>
    <n v="0"/>
  </r>
  <r>
    <x v="5"/>
    <s v="Big Sandy Community and Technical College "/>
    <m/>
    <n v="157553"/>
    <x v="7"/>
    <s v="sem"/>
    <s v="sem"/>
    <m/>
    <m/>
    <n v="33971"/>
    <n v="32940"/>
    <n v="3529"/>
    <n v="3596"/>
    <n v="36500"/>
    <n v="37191"/>
    <n v="74000"/>
    <n v="2466.6666666666665"/>
    <n v="73727"/>
    <n v="2457.5666666666666"/>
    <n v="4007"/>
    <n v="5394"/>
    <n v="74000"/>
    <n v="73727"/>
    <m/>
    <m/>
    <m/>
    <m/>
    <m/>
    <m/>
    <m/>
    <m/>
    <n v="0"/>
    <n v="0"/>
    <n v="0"/>
    <n v="0"/>
    <m/>
    <m/>
    <n v="0"/>
    <n v="0"/>
  </r>
  <r>
    <x v="5"/>
    <s v="Elizabethtown Community and Technical College "/>
    <m/>
    <n v="156648"/>
    <x v="7"/>
    <s v="sem"/>
    <s v="sem"/>
    <m/>
    <m/>
    <n v="46819"/>
    <n v="44332"/>
    <n v="7749"/>
    <n v="8847"/>
    <n v="50945"/>
    <n v="51845"/>
    <n v="105513"/>
    <n v="3517.1"/>
    <n v="105024"/>
    <n v="3500.8"/>
    <n v="4074"/>
    <n v="5361"/>
    <n v="105513"/>
    <n v="105024"/>
    <m/>
    <m/>
    <m/>
    <m/>
    <m/>
    <m/>
    <m/>
    <m/>
    <n v="0"/>
    <n v="0"/>
    <n v="0"/>
    <n v="0"/>
    <m/>
    <m/>
    <n v="0"/>
    <n v="0"/>
  </r>
  <r>
    <x v="5"/>
    <s v="Hazard Community and Technical College"/>
    <s v="Reclassified: Met the criteria for Two-Year 3 in 2014-15, 2015-16, and 2016-17."/>
    <n v="156790"/>
    <x v="8"/>
    <s v="sem"/>
    <s v="sem"/>
    <m/>
    <m/>
    <n v="25359"/>
    <n v="24242"/>
    <n v="4221"/>
    <n v="5034"/>
    <n v="26819"/>
    <n v="27212"/>
    <n v="56399"/>
    <n v="1879.9666666666667"/>
    <n v="56488"/>
    <n v="1882.9333333333334"/>
    <n v="3474"/>
    <n v="3854"/>
    <n v="56399"/>
    <n v="56488"/>
    <m/>
    <m/>
    <m/>
    <m/>
    <m/>
    <m/>
    <m/>
    <m/>
    <n v="0"/>
    <n v="0"/>
    <n v="0"/>
    <n v="0"/>
    <m/>
    <m/>
    <n v="0"/>
    <n v="0"/>
  </r>
  <r>
    <x v="5"/>
    <s v="Hopkinsville Community College "/>
    <s v="Met the criteria for Two-Year 3 in 2015-16 and 2016-17."/>
    <n v="156860"/>
    <x v="7"/>
    <s v="sem"/>
    <s v="sem"/>
    <m/>
    <m/>
    <n v="26880"/>
    <n v="24666"/>
    <n v="5869"/>
    <n v="5632"/>
    <n v="26295"/>
    <n v="23909"/>
    <n v="59044"/>
    <n v="1968.1333333333334"/>
    <n v="54207"/>
    <n v="1806.9"/>
    <n v="2098"/>
    <n v="2456"/>
    <n v="59044"/>
    <n v="54207"/>
    <m/>
    <m/>
    <m/>
    <m/>
    <m/>
    <m/>
    <m/>
    <m/>
    <n v="0"/>
    <n v="0"/>
    <n v="0"/>
    <n v="0"/>
    <m/>
    <m/>
    <n v="0"/>
    <n v="0"/>
  </r>
  <r>
    <x v="5"/>
    <s v="Madisonville Community College"/>
    <s v="Met the criteria for Two-Year 3 in 2015-16 and 2016-17."/>
    <n v="157304"/>
    <x v="7"/>
    <s v="sem"/>
    <s v="sem"/>
    <m/>
    <m/>
    <n v="24209"/>
    <n v="22122"/>
    <n v="3661"/>
    <n v="2864"/>
    <n v="28272"/>
    <n v="24612"/>
    <n v="56142"/>
    <n v="1871.4"/>
    <n v="49598"/>
    <n v="1653.2666666666667"/>
    <n v="6021"/>
    <n v="4934"/>
    <n v="56142"/>
    <n v="49598"/>
    <m/>
    <m/>
    <m/>
    <m/>
    <m/>
    <m/>
    <m/>
    <m/>
    <n v="0"/>
    <n v="0"/>
    <n v="0"/>
    <n v="0"/>
    <m/>
    <m/>
    <n v="0"/>
    <n v="0"/>
  </r>
  <r>
    <x v="5"/>
    <s v="Maysville Community and Technical College "/>
    <m/>
    <n v="157331"/>
    <x v="7"/>
    <s v="sem"/>
    <s v="sem"/>
    <m/>
    <m/>
    <n v="32155"/>
    <n v="29907"/>
    <n v="4748"/>
    <n v="5473"/>
    <n v="31009"/>
    <n v="33036"/>
    <n v="67912"/>
    <n v="2263.7333333333331"/>
    <n v="68416"/>
    <n v="2280.5333333333333"/>
    <n v="5797"/>
    <n v="6997"/>
    <n v="67912"/>
    <n v="68416"/>
    <m/>
    <m/>
    <m/>
    <m/>
    <m/>
    <m/>
    <m/>
    <m/>
    <n v="0"/>
    <n v="0"/>
    <n v="0"/>
    <n v="0"/>
    <m/>
    <m/>
    <n v="0"/>
    <n v="0"/>
  </r>
  <r>
    <x v="5"/>
    <s v="Owensboro Community and Technical College "/>
    <m/>
    <n v="247940"/>
    <x v="7"/>
    <s v="sem"/>
    <s v="sem"/>
    <m/>
    <m/>
    <n v="27884"/>
    <n v="27707"/>
    <n v="3952"/>
    <n v="3841"/>
    <n v="34073"/>
    <n v="32754"/>
    <n v="65909"/>
    <n v="2196.9666666666667"/>
    <n v="64302"/>
    <n v="2143.4"/>
    <n v="8652"/>
    <n v="7003"/>
    <n v="65909"/>
    <n v="64302"/>
    <m/>
    <m/>
    <m/>
    <m/>
    <m/>
    <m/>
    <m/>
    <m/>
    <n v="0"/>
    <n v="0"/>
    <n v="0"/>
    <n v="0"/>
    <m/>
    <m/>
    <n v="0"/>
    <n v="0"/>
  </r>
  <r>
    <x v="5"/>
    <s v="Somerset Community and Technical College "/>
    <m/>
    <n v="157711"/>
    <x v="7"/>
    <s v="sem"/>
    <s v="sem"/>
    <m/>
    <m/>
    <n v="57579"/>
    <n v="52648"/>
    <n v="8389"/>
    <n v="8222"/>
    <n v="60806"/>
    <n v="59996"/>
    <n v="126774"/>
    <n v="4225.8"/>
    <n v="120866"/>
    <n v="4028.8666666666668"/>
    <n v="5491"/>
    <n v="10031"/>
    <n v="126774"/>
    <n v="120866"/>
    <m/>
    <m/>
    <m/>
    <m/>
    <m/>
    <m/>
    <m/>
    <m/>
    <n v="0"/>
    <n v="0"/>
    <n v="0"/>
    <n v="0"/>
    <m/>
    <m/>
    <n v="0"/>
    <n v="0"/>
  </r>
  <r>
    <x v="5"/>
    <s v="Southeast Kentucky Community and Technical College"/>
    <s v="Met the criteria for Two-Year 3 in 2015-16 and 2016-17."/>
    <n v="157739"/>
    <x v="7"/>
    <s v="sem"/>
    <s v="sem"/>
    <m/>
    <m/>
    <n v="25316"/>
    <n v="25908"/>
    <n v="2262"/>
    <n v="2991"/>
    <n v="27904"/>
    <n v="30119"/>
    <n v="55482"/>
    <n v="1849.4"/>
    <n v="59018"/>
    <n v="1967.2666666666667"/>
    <n v="4572"/>
    <n v="5309"/>
    <n v="55482"/>
    <n v="59018"/>
    <m/>
    <m/>
    <m/>
    <m/>
    <m/>
    <m/>
    <m/>
    <m/>
    <n v="0"/>
    <n v="0"/>
    <n v="0"/>
    <n v="0"/>
    <m/>
    <m/>
    <n v="0"/>
    <n v="0"/>
  </r>
  <r>
    <x v="5"/>
    <s v="West Kentucky Community and Technical College"/>
    <m/>
    <n v="157483"/>
    <x v="7"/>
    <s v="sem"/>
    <s v="sem"/>
    <m/>
    <m/>
    <n v="47634"/>
    <n v="45281"/>
    <n v="8863"/>
    <n v="8332"/>
    <n v="50352"/>
    <n v="49620"/>
    <n v="106849"/>
    <n v="3561.6333333333332"/>
    <n v="103233"/>
    <n v="3441.1"/>
    <n v="7955"/>
    <n v="9002"/>
    <n v="106849"/>
    <n v="103233"/>
    <m/>
    <m/>
    <m/>
    <m/>
    <m/>
    <m/>
    <m/>
    <m/>
    <n v="0"/>
    <n v="0"/>
    <n v="0"/>
    <n v="0"/>
    <m/>
    <m/>
    <n v="0"/>
    <n v="0"/>
  </r>
  <r>
    <x v="5"/>
    <s v="Henderson Community College "/>
    <m/>
    <n v="156851"/>
    <x v="8"/>
    <s v="sem"/>
    <s v="sem"/>
    <m/>
    <m/>
    <n v="13679"/>
    <n v="12110"/>
    <n v="1980"/>
    <n v="1907"/>
    <n v="13692"/>
    <n v="12615"/>
    <n v="29351"/>
    <n v="978.36666666666667"/>
    <n v="26632"/>
    <n v="887.73333333333335"/>
    <n v="1799"/>
    <n v="1042"/>
    <n v="29351"/>
    <n v="26632"/>
    <m/>
    <m/>
    <m/>
    <m/>
    <m/>
    <m/>
    <m/>
    <m/>
    <n v="0"/>
    <n v="0"/>
    <n v="0"/>
    <n v="0"/>
    <m/>
    <m/>
    <n v="0"/>
    <n v="0"/>
  </r>
  <r>
    <x v="5"/>
    <s v="Gateway Community and Technical College"/>
    <m/>
    <n v="157438"/>
    <x v="9"/>
    <s v="sem"/>
    <s v="sem"/>
    <m/>
    <m/>
    <n v="31222"/>
    <n v="29458"/>
    <n v="6082"/>
    <n v="6507"/>
    <n v="33918"/>
    <n v="33581"/>
    <n v="71222"/>
    <n v="2374.0666666666666"/>
    <n v="69546"/>
    <n v="2318.1999999999998"/>
    <n v="4899"/>
    <n v="5686"/>
    <n v="71222"/>
    <n v="69546"/>
    <m/>
    <m/>
    <m/>
    <m/>
    <m/>
    <m/>
    <m/>
    <m/>
    <n v="0"/>
    <n v="0"/>
    <n v="0"/>
    <n v="0"/>
    <m/>
    <m/>
    <n v="0"/>
    <n v="0"/>
  </r>
  <r>
    <x v="5"/>
    <s v="Southcentral Kentucky Community and Technical College"/>
    <m/>
    <n v="156338"/>
    <x v="9"/>
    <s v="sem"/>
    <s v="sem"/>
    <m/>
    <m/>
    <n v="33527"/>
    <n v="33151"/>
    <n v="5293"/>
    <n v="4995"/>
    <n v="36919"/>
    <n v="38734"/>
    <n v="75739"/>
    <n v="2524.6333333333332"/>
    <n v="76880"/>
    <n v="2562.6666666666665"/>
    <n v="6111"/>
    <n v="7337"/>
    <n v="75739"/>
    <n v="76880"/>
    <m/>
    <m/>
    <m/>
    <m/>
    <m/>
    <m/>
    <m/>
    <m/>
    <n v="0"/>
    <n v="0"/>
    <n v="0"/>
    <n v="0"/>
    <m/>
    <m/>
    <n v="0"/>
    <n v="0"/>
  </r>
  <r>
    <x v="6"/>
    <s v="Louisiana State University and A&amp;M College"/>
    <m/>
    <n v="159391"/>
    <x v="0"/>
    <s v="sem"/>
    <m/>
    <m/>
    <m/>
    <n v="330491"/>
    <n v="327253"/>
    <n v="38259"/>
    <n v="37003"/>
    <n v="369742"/>
    <n v="365632"/>
    <n v="738492"/>
    <n v="24616.400000000001"/>
    <n v="729888"/>
    <n v="24329.599999999999"/>
    <n v="5864"/>
    <n v="8085"/>
    <n v="738492"/>
    <n v="729888"/>
    <m/>
    <m/>
    <m/>
    <m/>
    <m/>
    <m/>
    <m/>
    <m/>
    <n v="0"/>
    <n v="0"/>
    <n v="0"/>
    <n v="0"/>
    <m/>
    <m/>
    <n v="0"/>
    <n v="0"/>
  </r>
  <r>
    <x v="6"/>
    <s v="Louisiana Tech University "/>
    <m/>
    <n v="159647"/>
    <x v="1"/>
    <s v="quar"/>
    <m/>
    <n v="69475"/>
    <n v="78344"/>
    <n v="70586"/>
    <n v="83382"/>
    <n v="15877"/>
    <n v="15201"/>
    <n v="88556"/>
    <n v="94471"/>
    <n v="244494"/>
    <n v="8149.8"/>
    <n v="271398"/>
    <n v="9046.6"/>
    <n v="17880"/>
    <n v="23386"/>
    <n v="244494"/>
    <n v="271398"/>
    <m/>
    <m/>
    <m/>
    <m/>
    <m/>
    <m/>
    <m/>
    <m/>
    <n v="0"/>
    <n v="0"/>
    <n v="0"/>
    <n v="0"/>
    <m/>
    <m/>
    <n v="0"/>
    <n v="0"/>
  </r>
  <r>
    <x v="6"/>
    <s v="University of Louisiana at Lafayette"/>
    <m/>
    <n v="160658"/>
    <x v="1"/>
    <s v="sem"/>
    <m/>
    <m/>
    <m/>
    <n v="187469"/>
    <n v="189049"/>
    <n v="23366"/>
    <n v="21034"/>
    <n v="208673"/>
    <n v="207052"/>
    <n v="419508"/>
    <n v="13983.6"/>
    <n v="417135"/>
    <n v="13904.5"/>
    <n v="4385"/>
    <n v="4636"/>
    <n v="419508"/>
    <n v="417135"/>
    <m/>
    <m/>
    <m/>
    <m/>
    <m/>
    <m/>
    <m/>
    <m/>
    <n v="0"/>
    <n v="0"/>
    <n v="0"/>
    <n v="0"/>
    <m/>
    <m/>
    <n v="0"/>
    <n v="0"/>
  </r>
  <r>
    <x v="6"/>
    <s v="University of New Orleans"/>
    <m/>
    <n v="159939"/>
    <x v="1"/>
    <s v="sem"/>
    <m/>
    <m/>
    <m/>
    <n v="78935"/>
    <n v="71430"/>
    <n v="13146"/>
    <n v="13197"/>
    <n v="82013"/>
    <n v="78687"/>
    <n v="174094"/>
    <n v="5803.1333333333332"/>
    <n v="163314"/>
    <n v="5443.8"/>
    <n v="1530"/>
    <n v="2171"/>
    <n v="174094"/>
    <n v="163314"/>
    <m/>
    <m/>
    <m/>
    <m/>
    <m/>
    <m/>
    <m/>
    <m/>
    <n v="0"/>
    <n v="0"/>
    <n v="0"/>
    <n v="0"/>
    <m/>
    <m/>
    <n v="0"/>
    <n v="0"/>
  </r>
  <r>
    <x v="6"/>
    <s v="Southeastern Louisiana University "/>
    <m/>
    <n v="160612"/>
    <x v="2"/>
    <s v="sem"/>
    <m/>
    <m/>
    <m/>
    <n v="150275"/>
    <n v="145968"/>
    <n v="16313"/>
    <n v="14933"/>
    <n v="157528"/>
    <n v="154903"/>
    <n v="324116"/>
    <n v="10803.866666666667"/>
    <n v="315804"/>
    <n v="10526.8"/>
    <n v="20626"/>
    <n v="23744"/>
    <n v="324116"/>
    <n v="315804"/>
    <m/>
    <m/>
    <m/>
    <m/>
    <m/>
    <m/>
    <m/>
    <m/>
    <n v="0"/>
    <n v="0"/>
    <n v="0"/>
    <n v="0"/>
    <m/>
    <m/>
    <n v="0"/>
    <n v="0"/>
  </r>
  <r>
    <x v="6"/>
    <s v="Southern University and A&amp;M College at Baton Rouge "/>
    <m/>
    <n v="160621"/>
    <x v="2"/>
    <s v="sem"/>
    <m/>
    <m/>
    <m/>
    <n v="62751"/>
    <n v="64338"/>
    <n v="8983"/>
    <n v="9075"/>
    <n v="73099"/>
    <n v="72045"/>
    <n v="144833"/>
    <n v="4827.7666666666664"/>
    <n v="145458"/>
    <n v="4848.6000000000004"/>
    <n v="1001"/>
    <n v="1274"/>
    <n v="144833"/>
    <n v="145458"/>
    <m/>
    <m/>
    <m/>
    <m/>
    <m/>
    <m/>
    <m/>
    <m/>
    <n v="0"/>
    <n v="0"/>
    <n v="0"/>
    <n v="0"/>
    <m/>
    <m/>
    <n v="0"/>
    <n v="0"/>
  </r>
  <r>
    <x v="6"/>
    <s v="University of Louisiana at Monroe"/>
    <m/>
    <n v="159993"/>
    <x v="2"/>
    <s v="sem"/>
    <m/>
    <n v="0"/>
    <m/>
    <n v="76957"/>
    <n v="86242"/>
    <n v="13876"/>
    <n v="12774"/>
    <n v="89293"/>
    <n v="94297"/>
    <n v="180126"/>
    <n v="6004.2"/>
    <n v="193313"/>
    <n v="6443.7666666666664"/>
    <n v="13845"/>
    <n v="14728"/>
    <n v="180126"/>
    <n v="193313"/>
    <m/>
    <m/>
    <m/>
    <m/>
    <m/>
    <m/>
    <m/>
    <m/>
    <n v="0"/>
    <n v="0"/>
    <n v="0"/>
    <n v="0"/>
    <m/>
    <m/>
    <n v="0"/>
    <n v="0"/>
  </r>
  <r>
    <x v="6"/>
    <s v="Grambling State University"/>
    <m/>
    <n v="159009"/>
    <x v="3"/>
    <s v="sem"/>
    <m/>
    <m/>
    <m/>
    <n v="44274"/>
    <n v="49603"/>
    <n v="8326"/>
    <n v="9176"/>
    <n v="49027"/>
    <n v="54313"/>
    <n v="101627"/>
    <n v="3387.5666666666666"/>
    <n v="113092"/>
    <n v="3769.7333333333331"/>
    <n v="166"/>
    <n v="357"/>
    <n v="101627"/>
    <n v="113092"/>
    <m/>
    <m/>
    <m/>
    <m/>
    <m/>
    <m/>
    <m/>
    <m/>
    <n v="0"/>
    <n v="0"/>
    <n v="0"/>
    <n v="0"/>
    <m/>
    <m/>
    <n v="0"/>
    <n v="0"/>
  </r>
  <r>
    <x v="6"/>
    <s v="Louisiana State University in Shreveport"/>
    <m/>
    <n v="159416"/>
    <x v="3"/>
    <s v="sem"/>
    <m/>
    <m/>
    <m/>
    <n v="30950"/>
    <n v="25962"/>
    <n v="4663"/>
    <n v="4403"/>
    <n v="30936"/>
    <n v="28427"/>
    <n v="66549"/>
    <n v="2218.3000000000002"/>
    <n v="58792"/>
    <n v="1959.7333333333333"/>
    <n v="3825"/>
    <n v="2927"/>
    <n v="66549"/>
    <n v="58792"/>
    <m/>
    <m/>
    <m/>
    <m/>
    <m/>
    <m/>
    <m/>
    <m/>
    <n v="0"/>
    <n v="0"/>
    <n v="0"/>
    <n v="0"/>
    <m/>
    <m/>
    <n v="0"/>
    <n v="0"/>
  </r>
  <r>
    <x v="6"/>
    <s v="McNeese State University"/>
    <s v="Met the criteria for Four-Year 3 in 2015-16 and 2016-17."/>
    <n v="159717"/>
    <x v="3"/>
    <s v="sem"/>
    <m/>
    <m/>
    <m/>
    <n v="88847"/>
    <n v="81622"/>
    <n v="9340"/>
    <n v="8833"/>
    <n v="96581"/>
    <n v="91723"/>
    <n v="194768"/>
    <n v="6492.2666666666664"/>
    <n v="182178"/>
    <n v="6072.6"/>
    <n v="7233"/>
    <n v="7243"/>
    <n v="194768"/>
    <n v="182178"/>
    <m/>
    <m/>
    <m/>
    <m/>
    <m/>
    <m/>
    <m/>
    <m/>
    <n v="0"/>
    <n v="0"/>
    <n v="0"/>
    <n v="0"/>
    <m/>
    <m/>
    <n v="0"/>
    <n v="0"/>
  </r>
  <r>
    <x v="6"/>
    <s v="Nicholls State University "/>
    <m/>
    <n v="159966"/>
    <x v="3"/>
    <s v="sem"/>
    <m/>
    <m/>
    <m/>
    <n v="67864"/>
    <n v="67053"/>
    <n v="9440"/>
    <n v="8098"/>
    <n v="73298"/>
    <n v="74493"/>
    <n v="150602"/>
    <n v="5020.0666666666666"/>
    <n v="149644"/>
    <n v="4988.1333333333332"/>
    <n v="1480"/>
    <n v="2401"/>
    <n v="150602"/>
    <n v="149644"/>
    <m/>
    <m/>
    <m/>
    <m/>
    <m/>
    <m/>
    <m/>
    <m/>
    <n v="0"/>
    <n v="0"/>
    <n v="0"/>
    <n v="0"/>
    <m/>
    <m/>
    <n v="0"/>
    <n v="0"/>
  </r>
  <r>
    <x v="6"/>
    <s v="Northwestern State University"/>
    <m/>
    <n v="160038"/>
    <x v="3"/>
    <s v="sem"/>
    <m/>
    <m/>
    <m/>
    <n v="85837"/>
    <n v="96693"/>
    <n v="14374"/>
    <n v="14656"/>
    <n v="98408"/>
    <n v="105297"/>
    <n v="198619"/>
    <n v="6620.6333333333332"/>
    <n v="216646"/>
    <n v="7221.5333333333338"/>
    <n v="10020"/>
    <n v="12208"/>
    <n v="198619"/>
    <n v="216646"/>
    <m/>
    <m/>
    <m/>
    <m/>
    <m/>
    <m/>
    <m/>
    <m/>
    <n v="0"/>
    <n v="0"/>
    <n v="0"/>
    <n v="0"/>
    <m/>
    <m/>
    <n v="0"/>
    <n v="0"/>
  </r>
  <r>
    <x v="6"/>
    <s v="Southern University at New Orleans"/>
    <m/>
    <n v="160630"/>
    <x v="4"/>
    <s v="sem"/>
    <m/>
    <m/>
    <m/>
    <n v="27808"/>
    <n v="22687"/>
    <n v="2721"/>
    <n v="1538"/>
    <n v="29655"/>
    <n v="23063"/>
    <n v="60184"/>
    <n v="2006.1333333333334"/>
    <n v="47288"/>
    <n v="1576.2666666666667"/>
    <n v="1404"/>
    <n v="1533"/>
    <n v="60184"/>
    <n v="47288"/>
    <m/>
    <m/>
    <m/>
    <m/>
    <m/>
    <m/>
    <m/>
    <m/>
    <n v="0"/>
    <n v="0"/>
    <n v="0"/>
    <n v="0"/>
    <m/>
    <m/>
    <n v="0"/>
    <n v="0"/>
  </r>
  <r>
    <x v="6"/>
    <s v="Louisiana State University at Alexandria"/>
    <m/>
    <n v="159382"/>
    <x v="5"/>
    <s v="sem"/>
    <m/>
    <m/>
    <m/>
    <n v="26034"/>
    <n v="28865"/>
    <n v="4195"/>
    <n v="5121"/>
    <n v="30569"/>
    <n v="35117"/>
    <n v="60798"/>
    <n v="2026.6"/>
    <n v="69103"/>
    <n v="2303.4333333333334"/>
    <n v="5555"/>
    <n v="6630"/>
    <n v="60798"/>
    <n v="69103"/>
    <m/>
    <m/>
    <m/>
    <m/>
    <m/>
    <m/>
    <m/>
    <m/>
    <n v="0"/>
    <n v="0"/>
    <n v="0"/>
    <n v="0"/>
    <m/>
    <m/>
    <n v="0"/>
    <n v="0"/>
  </r>
  <r>
    <x v="6"/>
    <s v="Baton Rouge Community College"/>
    <m/>
    <n v="437103"/>
    <x v="6"/>
    <s v="sem"/>
    <m/>
    <m/>
    <m/>
    <n v="94476.5"/>
    <n v="68053"/>
    <n v="16249"/>
    <n v="14327"/>
    <n v="92329.5"/>
    <n v="83465"/>
    <n v="203055"/>
    <n v="6768.5"/>
    <n v="165845"/>
    <n v="5528.166666666667"/>
    <n v="4650"/>
    <n v="4268"/>
    <n v="203055"/>
    <n v="165845"/>
    <m/>
    <m/>
    <m/>
    <m/>
    <m/>
    <m/>
    <m/>
    <m/>
    <n v="0"/>
    <n v="0"/>
    <n v="0"/>
    <n v="0"/>
    <m/>
    <m/>
    <n v="0"/>
    <n v="0"/>
  </r>
  <r>
    <x v="6"/>
    <s v="Bossier Parish Community College"/>
    <m/>
    <n v="158431"/>
    <x v="6"/>
    <s v="sem"/>
    <m/>
    <m/>
    <m/>
    <n v="79734"/>
    <n v="60372"/>
    <n v="10443"/>
    <n v="9971"/>
    <n v="61503"/>
    <n v="64346"/>
    <n v="151680"/>
    <n v="5056"/>
    <n v="134689"/>
    <n v="4489.6333333333332"/>
    <n v="5454"/>
    <n v="5000"/>
    <n v="151680"/>
    <n v="134689"/>
    <m/>
    <m/>
    <m/>
    <m/>
    <m/>
    <m/>
    <m/>
    <m/>
    <n v="0"/>
    <n v="0"/>
    <n v="0"/>
    <n v="0"/>
    <m/>
    <m/>
    <n v="0"/>
    <n v="0"/>
  </r>
  <r>
    <x v="6"/>
    <s v="Delgado Community College "/>
    <m/>
    <n v="158662"/>
    <x v="6"/>
    <s v="sem"/>
    <m/>
    <m/>
    <m/>
    <n v="156464"/>
    <n v="125595"/>
    <n v="27599"/>
    <n v="23943"/>
    <n v="149920"/>
    <n v="138783"/>
    <n v="333983"/>
    <n v="11132.766666666666"/>
    <n v="288321"/>
    <n v="9610.7000000000007"/>
    <n v="3243"/>
    <n v="4711"/>
    <n v="333983"/>
    <n v="288321"/>
    <m/>
    <m/>
    <m/>
    <m/>
    <m/>
    <m/>
    <m/>
    <m/>
    <n v="0"/>
    <n v="0"/>
    <n v="0"/>
    <n v="0"/>
    <m/>
    <m/>
    <n v="0"/>
    <n v="0"/>
  </r>
  <r>
    <x v="6"/>
    <s v="Louisiana Delta Community College"/>
    <m/>
    <n v="440624"/>
    <x v="7"/>
    <s v="sem"/>
    <m/>
    <m/>
    <m/>
    <n v="33535.5"/>
    <n v="29051"/>
    <n v="7023.5"/>
    <n v="5903"/>
    <n v="31012"/>
    <n v="34216"/>
    <n v="71571"/>
    <n v="2385.6999999999998"/>
    <n v="69170"/>
    <n v="2305.6666666666665"/>
    <n v="6374"/>
    <n v="5888"/>
    <n v="71571"/>
    <n v="69170"/>
    <m/>
    <m/>
    <m/>
    <m/>
    <m/>
    <n v="0"/>
    <m/>
    <n v="0"/>
    <n v="0"/>
    <n v="0"/>
    <n v="0"/>
    <n v="0"/>
    <m/>
    <m/>
    <n v="0"/>
    <n v="0"/>
  </r>
  <r>
    <x v="6"/>
    <s v="South Louisiana Community College"/>
    <m/>
    <n v="434061"/>
    <x v="7"/>
    <s v="sem"/>
    <m/>
    <m/>
    <m/>
    <n v="57951.5"/>
    <n v="55999.5"/>
    <n v="12489"/>
    <n v="13634"/>
    <n v="69175.5"/>
    <n v="65231.5"/>
    <n v="139616"/>
    <n v="4653.8666666666668"/>
    <n v="134865"/>
    <n v="4495.5"/>
    <n v="11684"/>
    <n v="9608"/>
    <n v="139616"/>
    <n v="134865"/>
    <m/>
    <m/>
    <m/>
    <m/>
    <m/>
    <m/>
    <m/>
    <m/>
    <n v="0"/>
    <n v="0"/>
    <n v="0"/>
    <n v="0"/>
    <m/>
    <m/>
    <n v="0"/>
    <n v="0"/>
  </r>
  <r>
    <x v="6"/>
    <s v="Southern University in Shreveport"/>
    <m/>
    <n v="160649"/>
    <x v="7"/>
    <s v="sem"/>
    <m/>
    <m/>
    <m/>
    <n v="27962"/>
    <n v="27269"/>
    <n v="5732"/>
    <n v="8226"/>
    <n v="32011"/>
    <n v="30735"/>
    <n v="65705"/>
    <n v="2190.1666666666665"/>
    <n v="66230"/>
    <n v="2207.6666666666665"/>
    <n v="4033"/>
    <n v="6145"/>
    <n v="65705"/>
    <n v="66230"/>
    <m/>
    <m/>
    <m/>
    <m/>
    <m/>
    <m/>
    <m/>
    <m/>
    <n v="0"/>
    <n v="0"/>
    <n v="0"/>
    <n v="0"/>
    <m/>
    <m/>
    <n v="0"/>
    <n v="0"/>
  </r>
  <r>
    <x v="6"/>
    <s v="Louisiana State University at Eunice"/>
    <m/>
    <n v="159407"/>
    <x v="8"/>
    <s v="sem"/>
    <m/>
    <m/>
    <m/>
    <n v="23261"/>
    <n v="26488"/>
    <n v="3885"/>
    <n v="3854"/>
    <n v="24735"/>
    <n v="27687"/>
    <n v="51881"/>
    <n v="1729.3666666666666"/>
    <n v="58029"/>
    <n v="1934.3"/>
    <n v="2304"/>
    <n v="3601"/>
    <n v="51881"/>
    <n v="58029"/>
    <m/>
    <m/>
    <m/>
    <m/>
    <m/>
    <m/>
    <m/>
    <m/>
    <n v="0"/>
    <n v="0"/>
    <n v="0"/>
    <n v="0"/>
    <m/>
    <m/>
    <n v="0"/>
    <n v="0"/>
  </r>
  <r>
    <x v="6"/>
    <s v="Nunez Community College"/>
    <m/>
    <n v="158884"/>
    <x v="8"/>
    <s v="sem"/>
    <m/>
    <m/>
    <m/>
    <n v="20769"/>
    <n v="19428"/>
    <n v="3191"/>
    <n v="3164"/>
    <n v="21466"/>
    <n v="18530"/>
    <n v="45426"/>
    <n v="1514.2"/>
    <n v="41122"/>
    <n v="1370.7333333333333"/>
    <n v="9155"/>
    <n v="9866"/>
    <n v="45426"/>
    <n v="41122"/>
    <m/>
    <m/>
    <m/>
    <m/>
    <m/>
    <m/>
    <m/>
    <m/>
    <n v="0"/>
    <n v="0"/>
    <n v="0"/>
    <n v="0"/>
    <m/>
    <m/>
    <n v="0"/>
    <n v="0"/>
  </r>
  <r>
    <x v="6"/>
    <s v="River Parishes Community College"/>
    <m/>
    <n v="436304"/>
    <x v="8"/>
    <s v="sem"/>
    <m/>
    <m/>
    <m/>
    <n v="16081"/>
    <n v="16122"/>
    <n v="3216"/>
    <n v="3223"/>
    <n v="17552"/>
    <n v="17271.5"/>
    <n v="36849"/>
    <n v="1228.3"/>
    <n v="36616.5"/>
    <n v="1220.55"/>
    <n v="3802"/>
    <n v="5079"/>
    <n v="36849"/>
    <n v="36616.5"/>
    <m/>
    <m/>
    <m/>
    <m/>
    <m/>
    <m/>
    <m/>
    <m/>
    <n v="0"/>
    <n v="0"/>
    <n v="0"/>
    <n v="0"/>
    <m/>
    <m/>
    <n v="0"/>
    <n v="0"/>
  </r>
  <r>
    <x v="6"/>
    <s v="Central LA Technical College"/>
    <m/>
    <n v="158088"/>
    <x v="9"/>
    <s v="sem"/>
    <m/>
    <m/>
    <m/>
    <n v="16427"/>
    <n v="17959"/>
    <n v="3607"/>
    <n v="2491"/>
    <n v="20806"/>
    <n v="16199"/>
    <n v="40840"/>
    <n v="1361.3333333333333"/>
    <n v="36649"/>
    <n v="1221.6333333333334"/>
    <n v="5411"/>
    <n v="6257"/>
    <n v="40840"/>
    <n v="36649"/>
    <m/>
    <m/>
    <m/>
    <m/>
    <m/>
    <m/>
    <m/>
    <m/>
    <n v="0"/>
    <n v="0"/>
    <n v="0"/>
    <n v="0"/>
    <m/>
    <m/>
    <n v="0"/>
    <n v="0"/>
  </r>
  <r>
    <x v="6"/>
    <s v="L.E. Fletcher Technical Community College"/>
    <m/>
    <n v="160481"/>
    <x v="9"/>
    <s v="sem"/>
    <m/>
    <m/>
    <m/>
    <n v="17417"/>
    <n v="16263"/>
    <n v="2724"/>
    <n v="4145"/>
    <n v="19419.5"/>
    <n v="19832"/>
    <n v="39560.5"/>
    <n v="1318.6833333333334"/>
    <n v="40240"/>
    <n v="1341.3333333333333"/>
    <n v="1327"/>
    <n v="1539"/>
    <n v="39560.5"/>
    <n v="40240"/>
    <m/>
    <m/>
    <n v="17059"/>
    <n v="10326"/>
    <n v="4068"/>
    <n v="0"/>
    <n v="16103"/>
    <n v="0"/>
    <n v="37230"/>
    <n v="41.366666666666667"/>
    <n v="10326"/>
    <n v="11.473333333333333"/>
    <m/>
    <m/>
    <n v="0"/>
    <n v="0"/>
  </r>
  <r>
    <x v="6"/>
    <s v="Northshore Technical College"/>
    <m/>
    <n v="160667"/>
    <x v="9"/>
    <s v="sem"/>
    <m/>
    <m/>
    <m/>
    <n v="22203"/>
    <n v="27368"/>
    <n v="3067"/>
    <n v="3613"/>
    <n v="23683"/>
    <n v="27179"/>
    <n v="48953"/>
    <n v="1631.7666666666667"/>
    <n v="58160"/>
    <n v="1938.6666666666667"/>
    <n v="8963"/>
    <n v="8592"/>
    <n v="48953"/>
    <n v="58160"/>
    <m/>
    <m/>
    <m/>
    <m/>
    <m/>
    <m/>
    <m/>
    <m/>
    <n v="0"/>
    <n v="0"/>
    <n v="0"/>
    <n v="0"/>
    <m/>
    <m/>
    <n v="0"/>
    <n v="0"/>
  </r>
  <r>
    <x v="6"/>
    <s v="Northwest LA Technical College"/>
    <m/>
    <n v="160010"/>
    <x v="9"/>
    <s v="sem"/>
    <m/>
    <m/>
    <m/>
    <n v="25400"/>
    <n v="16067"/>
    <n v="6126"/>
    <n v="5064"/>
    <n v="21495"/>
    <n v="14963"/>
    <n v="53021"/>
    <n v="1767.3666666666666"/>
    <n v="36094"/>
    <n v="1203.1333333333334"/>
    <n v="13474"/>
    <n v="8886"/>
    <n v="53021"/>
    <n v="36094"/>
    <m/>
    <m/>
    <m/>
    <m/>
    <m/>
    <m/>
    <m/>
    <m/>
    <n v="0"/>
    <n v="0"/>
    <n v="0"/>
    <n v="0"/>
    <m/>
    <m/>
    <n v="0"/>
    <n v="0"/>
  </r>
  <r>
    <x v="6"/>
    <s v="South Central LA Technical College"/>
    <m/>
    <n v="160913"/>
    <x v="9"/>
    <s v="sem"/>
    <m/>
    <m/>
    <m/>
    <n v="16969"/>
    <n v="13495"/>
    <n v="3356"/>
    <n v="2234"/>
    <n v="18834"/>
    <n v="15839"/>
    <n v="39159"/>
    <n v="1305.3"/>
    <n v="31568"/>
    <n v="1052.2666666666667"/>
    <n v="9046.9"/>
    <n v="4521.2"/>
    <n v="39159"/>
    <n v="31568"/>
    <m/>
    <m/>
    <n v="16798"/>
    <n v="6623"/>
    <n v="3064"/>
    <n v="3719"/>
    <n v="2381"/>
    <n v="7866"/>
    <n v="22243"/>
    <n v="24.714444444444446"/>
    <n v="18208"/>
    <n v="20.231111111111112"/>
    <m/>
    <m/>
    <n v="0"/>
    <n v="0"/>
  </r>
  <r>
    <x v="6"/>
    <s v="Sowela Technical Community College"/>
    <m/>
    <n v="160579"/>
    <x v="9"/>
    <s v="sem"/>
    <m/>
    <m/>
    <m/>
    <n v="32157"/>
    <n v="29656.5"/>
    <n v="4257"/>
    <n v="3941"/>
    <n v="34792.5"/>
    <n v="33785.5"/>
    <n v="71206.5"/>
    <n v="2373.5500000000002"/>
    <n v="67383"/>
    <n v="2246.1"/>
    <n v="6408"/>
    <n v="7012"/>
    <n v="71206.5"/>
    <n v="67383"/>
    <m/>
    <m/>
    <m/>
    <m/>
    <m/>
    <m/>
    <m/>
    <m/>
    <n v="0"/>
    <n v="0"/>
    <n v="0"/>
    <n v="0"/>
    <m/>
    <m/>
    <n v="0"/>
    <n v="0"/>
  </r>
  <r>
    <x v="7"/>
    <s v="University of Maryland College Park"/>
    <m/>
    <n v="163286"/>
    <x v="0"/>
    <s v="sem"/>
    <s v="sem"/>
    <n v="11706"/>
    <n v="12187"/>
    <n v="377263"/>
    <n v="381230"/>
    <n v="35388"/>
    <n v="32902"/>
    <n v="390187"/>
    <n v="403958"/>
    <n v="814544"/>
    <n v="27151.466666666667"/>
    <n v="830277"/>
    <n v="27675.9"/>
    <m/>
    <m/>
    <n v="0"/>
    <n v="0"/>
    <m/>
    <m/>
    <m/>
    <m/>
    <m/>
    <m/>
    <m/>
    <m/>
    <n v="0"/>
    <n v="0"/>
    <n v="0"/>
    <n v="0"/>
    <m/>
    <m/>
    <n v="0"/>
    <n v="0"/>
  </r>
  <r>
    <x v="7"/>
    <s v="Morgan State University"/>
    <m/>
    <n v="163453"/>
    <x v="1"/>
    <s v="sem"/>
    <s v="sem"/>
    <n v="2075"/>
    <n v="2134"/>
    <n v="83801"/>
    <n v="84047"/>
    <n v="7649"/>
    <n v="8407"/>
    <n v="89874"/>
    <n v="89712"/>
    <n v="183399"/>
    <n v="6113.3"/>
    <n v="184300"/>
    <n v="6143.333333333333"/>
    <m/>
    <m/>
    <n v="0"/>
    <n v="0"/>
    <m/>
    <m/>
    <m/>
    <m/>
    <m/>
    <m/>
    <m/>
    <m/>
    <n v="0"/>
    <n v="0"/>
    <n v="0"/>
    <n v="0"/>
    <m/>
    <m/>
    <n v="0"/>
    <n v="0"/>
  </r>
  <r>
    <x v="7"/>
    <s v="University of Maryland, Baltimore County"/>
    <m/>
    <n v="163268"/>
    <x v="1"/>
    <s v="sem"/>
    <s v="sem"/>
    <n v="6027.5"/>
    <n v="5969"/>
    <n v="143985"/>
    <n v="143143"/>
    <n v="18062"/>
    <n v="18311"/>
    <n v="151874"/>
    <n v="150444"/>
    <n v="319948.5"/>
    <n v="10664.95"/>
    <n v="317867"/>
    <n v="10595.566666666668"/>
    <m/>
    <m/>
    <n v="0"/>
    <n v="0"/>
    <m/>
    <m/>
    <m/>
    <m/>
    <m/>
    <m/>
    <m/>
    <m/>
    <n v="0"/>
    <n v="0"/>
    <n v="0"/>
    <n v="0"/>
    <m/>
    <m/>
    <n v="0"/>
    <n v="0"/>
  </r>
  <r>
    <x v="7"/>
    <s v="Towson University "/>
    <m/>
    <n v="164076"/>
    <x v="2"/>
    <s v="sem"/>
    <s v="sem"/>
    <n v="7494"/>
    <n v="6911"/>
    <n v="245823.5"/>
    <n v="248345"/>
    <n v="27673"/>
    <n v="25225"/>
    <n v="260805"/>
    <n v="261437"/>
    <n v="541795.5"/>
    <n v="18059.849999999999"/>
    <n v="541918"/>
    <n v="18063.933333333334"/>
    <m/>
    <m/>
    <n v="0"/>
    <n v="0"/>
    <m/>
    <m/>
    <m/>
    <m/>
    <m/>
    <m/>
    <m/>
    <m/>
    <n v="0"/>
    <n v="0"/>
    <n v="0"/>
    <n v="0"/>
    <m/>
    <m/>
    <n v="0"/>
    <n v="0"/>
  </r>
  <r>
    <x v="7"/>
    <s v="Bowie State University "/>
    <m/>
    <n v="162007"/>
    <x v="3"/>
    <s v="sem"/>
    <s v="sem"/>
    <n v="1404"/>
    <n v="1416"/>
    <n v="55084"/>
    <n v="52766"/>
    <n v="5201"/>
    <n v="7469"/>
    <n v="57786"/>
    <n v="63786"/>
    <n v="119475"/>
    <n v="3982.5"/>
    <n v="125437"/>
    <n v="4181.2333333333336"/>
    <m/>
    <m/>
    <n v="0"/>
    <n v="0"/>
    <m/>
    <m/>
    <m/>
    <m/>
    <m/>
    <m/>
    <m/>
    <m/>
    <n v="0"/>
    <n v="0"/>
    <n v="0"/>
    <n v="0"/>
    <m/>
    <m/>
    <n v="0"/>
    <n v="0"/>
  </r>
  <r>
    <x v="7"/>
    <s v="Frostburg State University "/>
    <m/>
    <n v="162584"/>
    <x v="3"/>
    <s v="sem"/>
    <s v="sem"/>
    <n v="2262"/>
    <n v="2384"/>
    <n v="60977"/>
    <n v="61265"/>
    <n v="6296"/>
    <n v="5929"/>
    <n v="66510"/>
    <n v="65798"/>
    <n v="136045"/>
    <n v="4534.833333333333"/>
    <n v="135376"/>
    <n v="4512.5333333333338"/>
    <m/>
    <m/>
    <n v="0"/>
    <n v="0"/>
    <m/>
    <m/>
    <m/>
    <m/>
    <m/>
    <m/>
    <m/>
    <m/>
    <n v="0"/>
    <n v="0"/>
    <n v="0"/>
    <n v="0"/>
    <m/>
    <m/>
    <n v="0"/>
    <n v="0"/>
  </r>
  <r>
    <x v="7"/>
    <s v="Salisbury University "/>
    <m/>
    <n v="163851"/>
    <x v="3"/>
    <s v="sem"/>
    <s v="sem"/>
    <n v="6146"/>
    <n v="5696"/>
    <n v="107618"/>
    <n v="107136"/>
    <n v="6727"/>
    <n v="6878"/>
    <n v="111842"/>
    <n v="112826"/>
    <n v="232333"/>
    <n v="7744.4333333333334"/>
    <n v="232536"/>
    <n v="7751.2"/>
    <m/>
    <m/>
    <n v="0"/>
    <n v="0"/>
    <m/>
    <m/>
    <m/>
    <m/>
    <m/>
    <m/>
    <m/>
    <m/>
    <n v="0"/>
    <n v="0"/>
    <n v="0"/>
    <n v="0"/>
    <m/>
    <m/>
    <n v="0"/>
    <n v="0"/>
  </r>
  <r>
    <x v="7"/>
    <s v="University of Baltimore"/>
    <s v="Reclassified: Met the criteria for Four-Year 3 in 2014-15 and 2015-16 and 2016-17."/>
    <n v="161873"/>
    <x v="2"/>
    <s v="sem"/>
    <s v="sem"/>
    <n v="195"/>
    <n v="354"/>
    <n v="34155"/>
    <n v="33843"/>
    <n v="4533"/>
    <n v="4285"/>
    <n v="36138"/>
    <n v="35100"/>
    <n v="75021"/>
    <n v="2500.6999999999998"/>
    <n v="73582"/>
    <n v="2452.7333333333331"/>
    <m/>
    <m/>
    <n v="0"/>
    <n v="0"/>
    <m/>
    <m/>
    <m/>
    <m/>
    <m/>
    <m/>
    <m/>
    <m/>
    <n v="0"/>
    <n v="0"/>
    <n v="0"/>
    <n v="0"/>
    <m/>
    <m/>
    <n v="0"/>
    <n v="0"/>
  </r>
  <r>
    <x v="7"/>
    <s v="University of Maryland Eastern Shore "/>
    <m/>
    <n v="163338"/>
    <x v="3"/>
    <s v="sem"/>
    <s v="sem"/>
    <n v="1469"/>
    <n v="1101"/>
    <n v="46095.5"/>
    <n v="46378"/>
    <n v="3472"/>
    <n v="2981"/>
    <n v="53515"/>
    <n v="46793"/>
    <n v="104551.5"/>
    <n v="3485.05"/>
    <n v="97253"/>
    <n v="3241.7666666666669"/>
    <m/>
    <m/>
    <n v="0"/>
    <n v="0"/>
    <m/>
    <m/>
    <m/>
    <m/>
    <m/>
    <m/>
    <m/>
    <m/>
    <n v="0"/>
    <n v="0"/>
    <n v="0"/>
    <n v="0"/>
    <m/>
    <m/>
    <n v="0"/>
    <n v="0"/>
  </r>
  <r>
    <x v="7"/>
    <s v="Coppin State University"/>
    <m/>
    <n v="162283"/>
    <x v="4"/>
    <s v="sem"/>
    <s v="sem"/>
    <n v="378"/>
    <n v="345"/>
    <n v="33126"/>
    <n v="30929"/>
    <n v="2533"/>
    <n v="2778"/>
    <n v="34063"/>
    <n v="32558"/>
    <n v="70100"/>
    <n v="2336.6666666666665"/>
    <n v="66610"/>
    <n v="2220.3333333333335"/>
    <m/>
    <m/>
    <n v="0"/>
    <n v="0"/>
    <m/>
    <m/>
    <m/>
    <m/>
    <m/>
    <m/>
    <m/>
    <m/>
    <n v="0"/>
    <n v="0"/>
    <n v="0"/>
    <n v="0"/>
    <m/>
    <m/>
    <n v="0"/>
    <n v="0"/>
  </r>
  <r>
    <x v="7"/>
    <s v="Saint Mary's College of Maryland"/>
    <m/>
    <n v="163912"/>
    <x v="5"/>
    <s v="sem"/>
    <s v="sem"/>
    <n v="0"/>
    <n v="0"/>
    <n v="25617"/>
    <n v="24903"/>
    <n v="1243"/>
    <n v="1346"/>
    <n v="26724.5"/>
    <n v="24994"/>
    <n v="53584.5"/>
    <n v="1786.15"/>
    <n v="51243"/>
    <n v="1708.1"/>
    <m/>
    <m/>
    <n v="0"/>
    <n v="0"/>
    <m/>
    <m/>
    <m/>
    <m/>
    <m/>
    <m/>
    <m/>
    <m/>
    <n v="0"/>
    <n v="0"/>
    <n v="0"/>
    <n v="0"/>
    <m/>
    <m/>
    <n v="0"/>
    <n v="0"/>
  </r>
  <r>
    <x v="7"/>
    <s v="Anne Arundel Community College "/>
    <m/>
    <n v="161767"/>
    <x v="6"/>
    <s v="sem"/>
    <s v="sem"/>
    <n v="4126"/>
    <n v="3465"/>
    <n v="114128"/>
    <n v="105823"/>
    <n v="26327"/>
    <n v="25845"/>
    <n v="123028"/>
    <n v="115025"/>
    <n v="267609"/>
    <n v="8920.2999999999993"/>
    <n v="250158"/>
    <n v="8338.6"/>
    <m/>
    <m/>
    <n v="0"/>
    <n v="0"/>
    <m/>
    <m/>
    <m/>
    <m/>
    <m/>
    <m/>
    <m/>
    <m/>
    <n v="0"/>
    <n v="0"/>
    <n v="0"/>
    <n v="0"/>
    <m/>
    <m/>
    <n v="0"/>
    <n v="0"/>
  </r>
  <r>
    <x v="7"/>
    <s v="College of Southern Maryland"/>
    <m/>
    <n v="162122"/>
    <x v="6"/>
    <s v="sem"/>
    <s v="sem"/>
    <n v="756"/>
    <n v="0"/>
    <n v="66488"/>
    <n v="66348"/>
    <n v="16164"/>
    <n v="14597"/>
    <n v="72018"/>
    <n v="69339"/>
    <n v="155426"/>
    <n v="5180.8666666666668"/>
    <n v="150284"/>
    <n v="5009.4666666666662"/>
    <m/>
    <m/>
    <n v="0"/>
    <n v="0"/>
    <m/>
    <m/>
    <m/>
    <m/>
    <m/>
    <m/>
    <m/>
    <m/>
    <n v="0"/>
    <n v="0"/>
    <n v="0"/>
    <n v="0"/>
    <m/>
    <m/>
    <n v="0"/>
    <n v="0"/>
  </r>
  <r>
    <x v="7"/>
    <s v="Community College of Baltimore County (all campuses)"/>
    <m/>
    <n v="434672"/>
    <x v="6"/>
    <s v="sem"/>
    <s v="sem"/>
    <n v="10186"/>
    <n v="10568"/>
    <n v="172054"/>
    <n v="157773"/>
    <n v="35074"/>
    <n v="33780"/>
    <n v="186083"/>
    <n v="177591"/>
    <n v="403397"/>
    <n v="13446.566666666668"/>
    <n v="379712"/>
    <n v="12657.066666666668"/>
    <m/>
    <m/>
    <n v="0"/>
    <n v="0"/>
    <m/>
    <m/>
    <m/>
    <m/>
    <m/>
    <m/>
    <m/>
    <m/>
    <n v="0"/>
    <n v="0"/>
    <n v="0"/>
    <n v="0"/>
    <m/>
    <m/>
    <n v="0"/>
    <n v="0"/>
  </r>
  <r>
    <x v="7"/>
    <s v="Howard Community College "/>
    <m/>
    <n v="162779"/>
    <x v="6"/>
    <s v="sem"/>
    <s v="sem"/>
    <n v="5774"/>
    <n v="6133"/>
    <n v="80487"/>
    <n v="77796"/>
    <n v="19593"/>
    <n v="18814"/>
    <n v="87944"/>
    <n v="86417"/>
    <n v="193798"/>
    <n v="6459.9333333333334"/>
    <n v="189160"/>
    <n v="6305.333333333333"/>
    <m/>
    <m/>
    <n v="0"/>
    <n v="0"/>
    <m/>
    <m/>
    <m/>
    <m/>
    <m/>
    <m/>
    <m/>
    <m/>
    <n v="0"/>
    <n v="0"/>
    <n v="0"/>
    <n v="0"/>
    <m/>
    <m/>
    <n v="0"/>
    <n v="0"/>
  </r>
  <r>
    <x v="7"/>
    <s v="Montgomery College (all campuses)"/>
    <m/>
    <n v="163426"/>
    <x v="6"/>
    <s v="sem"/>
    <s v="sem"/>
    <n v="4395"/>
    <n v="4344"/>
    <n v="273244"/>
    <n v="262757"/>
    <n v="147032"/>
    <n v="162290"/>
    <n v="272828"/>
    <n v="262525"/>
    <n v="697499"/>
    <n v="23249.966666666667"/>
    <n v="691916"/>
    <n v="23063.866666666665"/>
    <m/>
    <m/>
    <n v="0"/>
    <n v="0"/>
    <m/>
    <m/>
    <m/>
    <m/>
    <m/>
    <m/>
    <m/>
    <m/>
    <n v="0"/>
    <n v="0"/>
    <n v="0"/>
    <n v="0"/>
    <m/>
    <m/>
    <n v="0"/>
    <n v="0"/>
  </r>
  <r>
    <x v="7"/>
    <s v="Prince George's Community College "/>
    <m/>
    <n v="163657"/>
    <x v="6"/>
    <s v="sem"/>
    <s v="sem"/>
    <n v="0"/>
    <n v="0"/>
    <n v="139262"/>
    <n v="168960"/>
    <n v="46865"/>
    <n v="22237"/>
    <n v="109520"/>
    <n v="93208"/>
    <n v="295647"/>
    <n v="9854.9"/>
    <n v="284405"/>
    <n v="9480.1666666666661"/>
    <m/>
    <m/>
    <n v="0"/>
    <n v="0"/>
    <m/>
    <m/>
    <m/>
    <m/>
    <m/>
    <m/>
    <m/>
    <m/>
    <n v="0"/>
    <n v="0"/>
    <n v="0"/>
    <n v="0"/>
    <m/>
    <m/>
    <n v="0"/>
    <n v="0"/>
  </r>
  <r>
    <x v="7"/>
    <s v="Allegany College of Maryland"/>
    <s v="Met the criteria for Two-Year 3 in 2016-17."/>
    <n v="161688"/>
    <x v="7"/>
    <s v="sem"/>
    <s v="sem"/>
    <n v="0"/>
    <n v="0"/>
    <n v="29419"/>
    <n v="26824"/>
    <n v="4152"/>
    <n v="3918"/>
    <n v="30775"/>
    <n v="28084"/>
    <n v="64346"/>
    <n v="2144.8666666666668"/>
    <n v="58826"/>
    <n v="1960.8666666666666"/>
    <m/>
    <m/>
    <n v="0"/>
    <n v="0"/>
    <m/>
    <m/>
    <m/>
    <m/>
    <m/>
    <m/>
    <m/>
    <m/>
    <n v="0"/>
    <n v="0"/>
    <n v="0"/>
    <n v="0"/>
    <m/>
    <m/>
    <n v="0"/>
    <n v="0"/>
  </r>
  <r>
    <x v="7"/>
    <s v="Baltimore City Community College"/>
    <m/>
    <n v="161864"/>
    <x v="7"/>
    <s v="sem"/>
    <s v="sem"/>
    <n v="1355"/>
    <n v="1095"/>
    <n v="1989"/>
    <n v="37813"/>
    <n v="6946"/>
    <n v="5807"/>
    <n v="37261"/>
    <n v="35711"/>
    <n v="47551"/>
    <n v="1585.0333333333333"/>
    <n v="80426"/>
    <n v="2680.8666666666668"/>
    <m/>
    <m/>
    <n v="0"/>
    <n v="0"/>
    <m/>
    <m/>
    <m/>
    <m/>
    <m/>
    <m/>
    <m/>
    <m/>
    <n v="0"/>
    <n v="0"/>
    <n v="0"/>
    <n v="0"/>
    <m/>
    <m/>
    <n v="0"/>
    <n v="0"/>
  </r>
  <r>
    <x v="7"/>
    <s v="Carroll Community College"/>
    <m/>
    <n v="405872"/>
    <x v="7"/>
    <s v="sem"/>
    <s v="sem"/>
    <n v="2102"/>
    <n v="2178"/>
    <n v="28476"/>
    <n v="27449"/>
    <n v="5781"/>
    <n v="5621"/>
    <n v="32628"/>
    <n v="30510"/>
    <n v="68987"/>
    <n v="2299.5666666666666"/>
    <n v="65758"/>
    <n v="2191.9333333333334"/>
    <m/>
    <m/>
    <n v="0"/>
    <n v="0"/>
    <m/>
    <m/>
    <m/>
    <m/>
    <m/>
    <m/>
    <m/>
    <m/>
    <n v="0"/>
    <n v="0"/>
    <n v="0"/>
    <n v="0"/>
    <m/>
    <m/>
    <n v="0"/>
    <n v="0"/>
  </r>
  <r>
    <x v="7"/>
    <s v="Frederick Community College "/>
    <m/>
    <n v="162557"/>
    <x v="7"/>
    <s v="sem"/>
    <s v="sem"/>
    <n v="1960"/>
    <n v="1385"/>
    <n v="48502"/>
    <n v="48938"/>
    <n v="9911"/>
    <n v="9943"/>
    <n v="52299"/>
    <n v="51989"/>
    <n v="112672"/>
    <n v="3755.7333333333331"/>
    <n v="112255"/>
    <n v="3741.8333333333335"/>
    <m/>
    <m/>
    <n v="0"/>
    <n v="0"/>
    <m/>
    <m/>
    <m/>
    <m/>
    <m/>
    <m/>
    <m/>
    <m/>
    <n v="0"/>
    <n v="0"/>
    <n v="0"/>
    <n v="0"/>
    <m/>
    <m/>
    <n v="0"/>
    <n v="0"/>
  </r>
  <r>
    <x v="7"/>
    <s v="Hagerstown Community College "/>
    <m/>
    <n v="162690"/>
    <x v="7"/>
    <s v="sem"/>
    <s v="sem"/>
    <n v="0"/>
    <n v="0"/>
    <n v="36565"/>
    <n v="33752"/>
    <n v="10858"/>
    <n v="9623"/>
    <n v="38221"/>
    <n v="36674"/>
    <n v="85644"/>
    <n v="2854.8"/>
    <n v="80049"/>
    <n v="2668.3"/>
    <m/>
    <m/>
    <n v="0"/>
    <n v="0"/>
    <m/>
    <m/>
    <m/>
    <m/>
    <m/>
    <m/>
    <m/>
    <m/>
    <n v="0"/>
    <n v="0"/>
    <n v="0"/>
    <n v="0"/>
    <m/>
    <m/>
    <n v="0"/>
    <n v="0"/>
  </r>
  <r>
    <x v="7"/>
    <s v="Harford Community College "/>
    <m/>
    <n v="162706"/>
    <x v="7"/>
    <s v="sem"/>
    <s v="sem"/>
    <n v="2572"/>
    <n v="2721"/>
    <n v="51761"/>
    <n v="48875"/>
    <n v="11043"/>
    <n v="10332"/>
    <n v="56953"/>
    <n v="52277"/>
    <n v="122329"/>
    <n v="4077.6333333333332"/>
    <n v="114205"/>
    <n v="3806.8333333333335"/>
    <m/>
    <m/>
    <n v="0"/>
    <n v="0"/>
    <m/>
    <m/>
    <m/>
    <m/>
    <m/>
    <m/>
    <m/>
    <m/>
    <n v="0"/>
    <n v="0"/>
    <n v="0"/>
    <n v="0"/>
    <m/>
    <m/>
    <n v="0"/>
    <n v="0"/>
  </r>
  <r>
    <x v="7"/>
    <s v="Wor-Wic Community College "/>
    <s v="Reclassified: Met the criteria for Two-Year 3 in 2014-15 and 2015-16 and 2016-17."/>
    <n v="164313"/>
    <x v="8"/>
    <s v="sem"/>
    <s v="sem"/>
    <n v="0"/>
    <n v="0"/>
    <n v="25222"/>
    <n v="23368"/>
    <n v="5400.5"/>
    <n v="5224"/>
    <n v="26871.5"/>
    <n v="26096"/>
    <n v="57494"/>
    <n v="1916.4666666666667"/>
    <n v="54688"/>
    <n v="1822.9333333333334"/>
    <m/>
    <m/>
    <n v="0"/>
    <n v="0"/>
    <m/>
    <m/>
    <m/>
    <m/>
    <m/>
    <m/>
    <m/>
    <m/>
    <n v="0"/>
    <n v="0"/>
    <n v="0"/>
    <n v="0"/>
    <m/>
    <m/>
    <n v="0"/>
    <n v="0"/>
  </r>
  <r>
    <x v="7"/>
    <s v="Cecil Community College "/>
    <m/>
    <n v="162104"/>
    <x v="8"/>
    <s v="sem"/>
    <s v="sem"/>
    <n v="0"/>
    <n v="0"/>
    <n v="20787"/>
    <n v="21018"/>
    <n v="3363"/>
    <n v="3358"/>
    <n v="23498"/>
    <n v="23337"/>
    <n v="47648"/>
    <n v="1588.2666666666667"/>
    <n v="47713"/>
    <n v="1590.4333333333334"/>
    <m/>
    <m/>
    <n v="0"/>
    <n v="0"/>
    <m/>
    <m/>
    <m/>
    <m/>
    <m/>
    <m/>
    <m/>
    <m/>
    <n v="0"/>
    <n v="0"/>
    <n v="0"/>
    <n v="0"/>
    <m/>
    <m/>
    <n v="0"/>
    <n v="0"/>
  </r>
  <r>
    <x v="7"/>
    <s v="Chesapeake College "/>
    <m/>
    <n v="162168"/>
    <x v="8"/>
    <s v="sem"/>
    <s v="sem"/>
    <n v="26"/>
    <n v="454"/>
    <n v="18105"/>
    <n v="16892"/>
    <n v="2159"/>
    <n v="2110"/>
    <n v="19479"/>
    <n v="18256"/>
    <n v="39769"/>
    <n v="1325.6333333333334"/>
    <n v="37712"/>
    <n v="1257.0666666666666"/>
    <m/>
    <m/>
    <n v="0"/>
    <n v="0"/>
    <m/>
    <m/>
    <m/>
    <m/>
    <m/>
    <m/>
    <m/>
    <m/>
    <n v="0"/>
    <n v="0"/>
    <n v="0"/>
    <n v="0"/>
    <m/>
    <m/>
    <n v="0"/>
    <n v="0"/>
  </r>
  <r>
    <x v="7"/>
    <s v="Garrett College "/>
    <m/>
    <n v="162609"/>
    <x v="8"/>
    <s v="sem"/>
    <s v="sem"/>
    <n v="269"/>
    <n v="292"/>
    <n v="7814.5"/>
    <n v="8124"/>
    <n v="522"/>
    <n v="437"/>
    <n v="8948.25"/>
    <n v="8612"/>
    <n v="17553.75"/>
    <n v="585.125"/>
    <n v="17465"/>
    <n v="582.16666666666663"/>
    <m/>
    <m/>
    <n v="0"/>
    <n v="0"/>
    <m/>
    <m/>
    <m/>
    <m/>
    <m/>
    <m/>
    <m/>
    <m/>
    <n v="0"/>
    <n v="0"/>
    <n v="0"/>
    <n v="0"/>
    <m/>
    <m/>
    <n v="0"/>
    <n v="0"/>
  </r>
  <r>
    <x v="8"/>
    <s v="Mississippi State University"/>
    <m/>
    <n v="176080"/>
    <x v="0"/>
    <s v="sem"/>
    <m/>
    <m/>
    <m/>
    <n v="202872"/>
    <n v="212336"/>
    <n v="33293"/>
    <n v="32759"/>
    <n v="232457"/>
    <n v="251904"/>
    <n v="468622"/>
    <n v="15620.733333333334"/>
    <n v="496999"/>
    <n v="16566.633333333335"/>
    <m/>
    <m/>
    <n v="0"/>
    <n v="0"/>
    <m/>
    <m/>
    <m/>
    <m/>
    <m/>
    <m/>
    <m/>
    <m/>
    <n v="0"/>
    <n v="0"/>
    <n v="0"/>
    <n v="0"/>
    <m/>
    <m/>
    <n v="0"/>
    <n v="0"/>
  </r>
  <r>
    <x v="8"/>
    <s v="University of Southern Mississippi"/>
    <m/>
    <n v="176372"/>
    <x v="0"/>
    <s v="sem"/>
    <m/>
    <m/>
    <m/>
    <n v="142610"/>
    <n v="139032"/>
    <n v="28387"/>
    <n v="26771"/>
    <n v="154765"/>
    <n v="157208"/>
    <n v="325762"/>
    <n v="10858.733333333334"/>
    <n v="323011"/>
    <n v="10767.033333333333"/>
    <m/>
    <m/>
    <n v="0"/>
    <n v="0"/>
    <m/>
    <m/>
    <m/>
    <m/>
    <m/>
    <m/>
    <m/>
    <m/>
    <n v="0"/>
    <n v="0"/>
    <n v="0"/>
    <n v="0"/>
    <m/>
    <m/>
    <n v="0"/>
    <n v="0"/>
  </r>
  <r>
    <x v="8"/>
    <s v="Jackson State University "/>
    <m/>
    <n v="175856"/>
    <x v="1"/>
    <s v="sem"/>
    <m/>
    <m/>
    <m/>
    <n v="73061"/>
    <n v="76148"/>
    <n v="10441"/>
    <n v="11041"/>
    <n v="82199"/>
    <n v="82855"/>
    <n v="165701"/>
    <n v="5523.3666666666668"/>
    <n v="170044"/>
    <n v="5668.1333333333332"/>
    <m/>
    <m/>
    <n v="0"/>
    <n v="0"/>
    <m/>
    <m/>
    <m/>
    <m/>
    <m/>
    <m/>
    <m/>
    <m/>
    <n v="0"/>
    <n v="0"/>
    <n v="0"/>
    <n v="0"/>
    <m/>
    <m/>
    <n v="0"/>
    <n v="0"/>
  </r>
  <r>
    <x v="8"/>
    <s v="University of Mississippi"/>
    <s v="Met the criteria for Four-Year 1 in 2015-16 and 2016-17."/>
    <n v="176017"/>
    <x v="1"/>
    <s v="sem"/>
    <m/>
    <m/>
    <m/>
    <n v="235083"/>
    <n v="245804"/>
    <n v="48274"/>
    <n v="47716"/>
    <n v="251542"/>
    <n v="265539"/>
    <n v="534899"/>
    <n v="17829.966666666667"/>
    <n v="559059"/>
    <n v="18635.3"/>
    <m/>
    <m/>
    <n v="0"/>
    <n v="0"/>
    <m/>
    <m/>
    <m/>
    <m/>
    <m/>
    <m/>
    <m/>
    <m/>
    <n v="0"/>
    <n v="0"/>
    <n v="0"/>
    <n v="0"/>
    <m/>
    <m/>
    <n v="0"/>
    <n v="0"/>
  </r>
  <r>
    <x v="8"/>
    <s v="Alcorn State University"/>
    <m/>
    <n v="175342"/>
    <x v="3"/>
    <s v="sem"/>
    <m/>
    <m/>
    <m/>
    <n v="36382"/>
    <n v="35367"/>
    <n v="6082"/>
    <n v="5030"/>
    <n v="38473"/>
    <n v="40453"/>
    <n v="80937"/>
    <n v="2697.9"/>
    <n v="80850"/>
    <n v="2695"/>
    <m/>
    <m/>
    <n v="0"/>
    <n v="0"/>
    <m/>
    <m/>
    <m/>
    <m/>
    <m/>
    <m/>
    <m/>
    <m/>
    <n v="0"/>
    <n v="0"/>
    <n v="0"/>
    <n v="0"/>
    <m/>
    <m/>
    <n v="0"/>
    <n v="0"/>
  </r>
  <r>
    <x v="8"/>
    <s v="Delta State University"/>
    <m/>
    <n v="175616"/>
    <x v="3"/>
    <s v="sem"/>
    <m/>
    <m/>
    <m/>
    <n v="32222"/>
    <n v="32375"/>
    <n v="4278"/>
    <n v="4108"/>
    <n v="35015"/>
    <n v="36690"/>
    <n v="71515"/>
    <n v="2383.8333333333335"/>
    <n v="73173"/>
    <n v="2439.1"/>
    <m/>
    <m/>
    <n v="0"/>
    <n v="0"/>
    <m/>
    <m/>
    <m/>
    <m/>
    <m/>
    <m/>
    <m/>
    <m/>
    <n v="0"/>
    <n v="0"/>
    <n v="0"/>
    <n v="0"/>
    <m/>
    <m/>
    <n v="0"/>
    <n v="0"/>
  </r>
  <r>
    <x v="8"/>
    <s v="Mississippi Valley State University"/>
    <m/>
    <n v="176044"/>
    <x v="3"/>
    <s v="sem"/>
    <m/>
    <m/>
    <m/>
    <n v="23514"/>
    <n v="23427"/>
    <n v="3541"/>
    <n v="4387"/>
    <n v="24795"/>
    <n v="25971"/>
    <n v="51850"/>
    <n v="1728.3333333333333"/>
    <n v="53785"/>
    <n v="1792.8333333333333"/>
    <m/>
    <m/>
    <n v="0"/>
    <n v="0"/>
    <m/>
    <m/>
    <m/>
    <m/>
    <m/>
    <m/>
    <m/>
    <m/>
    <n v="0"/>
    <n v="0"/>
    <n v="0"/>
    <n v="0"/>
    <m/>
    <m/>
    <n v="0"/>
    <n v="0"/>
  </r>
  <r>
    <x v="8"/>
    <s v="Mississippi University for Women"/>
    <m/>
    <n v="176035"/>
    <x v="4"/>
    <s v="sem"/>
    <m/>
    <m/>
    <m/>
    <n v="29219"/>
    <n v="28992"/>
    <n v="10214"/>
    <n v="9009"/>
    <n v="30232"/>
    <n v="33261"/>
    <n v="69665"/>
    <n v="2322.1666666666665"/>
    <n v="71262"/>
    <n v="2375.4"/>
    <m/>
    <m/>
    <n v="0"/>
    <n v="0"/>
    <m/>
    <m/>
    <m/>
    <m/>
    <m/>
    <m/>
    <m/>
    <m/>
    <n v="0"/>
    <n v="0"/>
    <n v="0"/>
    <n v="0"/>
    <m/>
    <m/>
    <n v="0"/>
    <n v="0"/>
  </r>
  <r>
    <x v="8"/>
    <s v="Hinds Community College "/>
    <m/>
    <n v="175786"/>
    <x v="6"/>
    <s v="sem"/>
    <m/>
    <m/>
    <m/>
    <n v="129529"/>
    <n v="127990"/>
    <n v="25321"/>
    <n v="24610"/>
    <n v="146452"/>
    <n v="142916"/>
    <n v="301302"/>
    <n v="10043.4"/>
    <n v="295516"/>
    <n v="9850.5333333333328"/>
    <n v="13050"/>
    <n v="13377"/>
    <n v="301302"/>
    <n v="295516"/>
    <m/>
    <m/>
    <m/>
    <m/>
    <m/>
    <m/>
    <m/>
    <m/>
    <n v="0"/>
    <n v="0"/>
    <n v="0"/>
    <n v="0"/>
    <m/>
    <m/>
    <n v="0"/>
    <n v="0"/>
  </r>
  <r>
    <x v="8"/>
    <s v="Itawamba Community College "/>
    <m/>
    <n v="175829"/>
    <x v="6"/>
    <s v="sem"/>
    <m/>
    <m/>
    <m/>
    <n v="68242"/>
    <n v="67525"/>
    <n v="8025"/>
    <n v="8158"/>
    <n v="76222"/>
    <n v="75493"/>
    <n v="152489"/>
    <n v="5082.9666666666662"/>
    <n v="151176"/>
    <n v="5039.2"/>
    <n v="5533"/>
    <n v="6151"/>
    <n v="152489"/>
    <n v="151176"/>
    <m/>
    <m/>
    <m/>
    <m/>
    <m/>
    <m/>
    <m/>
    <m/>
    <n v="0"/>
    <n v="0"/>
    <n v="0"/>
    <n v="0"/>
    <m/>
    <m/>
    <n v="0"/>
    <n v="0"/>
  </r>
  <r>
    <x v="8"/>
    <s v="Mississippi Gulf Coast Community College "/>
    <m/>
    <n v="176071"/>
    <x v="6"/>
    <s v="sem"/>
    <m/>
    <m/>
    <m/>
    <n v="106370"/>
    <n v="100919"/>
    <n v="20474"/>
    <n v="20920"/>
    <n v="117641"/>
    <n v="111825"/>
    <n v="244485"/>
    <n v="8149.5"/>
    <n v="233664"/>
    <n v="7788.8"/>
    <n v="5134"/>
    <n v="4130"/>
    <n v="244485"/>
    <n v="233664"/>
    <m/>
    <m/>
    <m/>
    <m/>
    <m/>
    <m/>
    <m/>
    <m/>
    <n v="0"/>
    <n v="0"/>
    <n v="0"/>
    <n v="0"/>
    <m/>
    <m/>
    <n v="0"/>
    <n v="0"/>
  </r>
  <r>
    <x v="8"/>
    <s v="Northwest Mississippi Community College "/>
    <m/>
    <n v="176178"/>
    <x v="6"/>
    <s v="sem"/>
    <m/>
    <m/>
    <m/>
    <n v="89829"/>
    <n v="85881"/>
    <n v="15228"/>
    <n v="15698"/>
    <n v="96395"/>
    <n v="96718"/>
    <n v="201452"/>
    <n v="6715.0666666666666"/>
    <n v="198297"/>
    <n v="6609.9"/>
    <n v="4210"/>
    <n v="5533"/>
    <n v="201452"/>
    <n v="198297"/>
    <m/>
    <m/>
    <m/>
    <m/>
    <m/>
    <m/>
    <m/>
    <m/>
    <n v="0"/>
    <n v="0"/>
    <n v="0"/>
    <n v="0"/>
    <m/>
    <m/>
    <n v="0"/>
    <n v="0"/>
  </r>
  <r>
    <x v="8"/>
    <s v="Copiah-Lincoln Community College "/>
    <m/>
    <n v="175573"/>
    <x v="7"/>
    <s v="sem"/>
    <m/>
    <m/>
    <m/>
    <n v="34581"/>
    <n v="35715"/>
    <n v="6928"/>
    <n v="6544"/>
    <n v="40145"/>
    <n v="39539"/>
    <n v="81654"/>
    <n v="2721.8"/>
    <n v="81798"/>
    <n v="2726.6"/>
    <n v="4022"/>
    <n v="4897"/>
    <n v="81654"/>
    <n v="81798"/>
    <m/>
    <m/>
    <m/>
    <m/>
    <m/>
    <m/>
    <m/>
    <m/>
    <n v="0"/>
    <n v="0"/>
    <n v="0"/>
    <n v="0"/>
    <m/>
    <m/>
    <n v="0"/>
    <n v="0"/>
  </r>
  <r>
    <x v="8"/>
    <s v="East Central Community College "/>
    <m/>
    <n v="175643"/>
    <x v="7"/>
    <s v="sem"/>
    <m/>
    <m/>
    <m/>
    <n v="31883"/>
    <n v="31231"/>
    <n v="4628"/>
    <n v="4093"/>
    <n v="36602"/>
    <n v="33869"/>
    <n v="73113"/>
    <n v="2437.1"/>
    <n v="69193"/>
    <n v="2306.4333333333334"/>
    <n v="3104"/>
    <n v="3622"/>
    <n v="73113"/>
    <n v="69193"/>
    <m/>
    <m/>
    <m/>
    <m/>
    <m/>
    <m/>
    <m/>
    <m/>
    <n v="0"/>
    <n v="0"/>
    <n v="0"/>
    <n v="0"/>
    <m/>
    <m/>
    <n v="0"/>
    <n v="0"/>
  </r>
  <r>
    <x v="8"/>
    <s v="East Mississippi Community College "/>
    <m/>
    <n v="175652"/>
    <x v="7"/>
    <s v="sem"/>
    <m/>
    <m/>
    <m/>
    <n v="50517"/>
    <n v="48983"/>
    <n v="10869"/>
    <n v="10292"/>
    <n v="56645"/>
    <n v="54853"/>
    <n v="118031"/>
    <n v="3934.3666666666668"/>
    <n v="114128"/>
    <n v="3804.2666666666669"/>
    <n v="3379"/>
    <n v="3969"/>
    <n v="118031"/>
    <n v="114128"/>
    <m/>
    <m/>
    <m/>
    <m/>
    <m/>
    <m/>
    <m/>
    <m/>
    <n v="0"/>
    <n v="0"/>
    <n v="0"/>
    <n v="0"/>
    <m/>
    <m/>
    <n v="0"/>
    <n v="0"/>
  </r>
  <r>
    <x v="8"/>
    <s v="Holmes Community College "/>
    <s v="Met the criteria for Two-Year 1 in 2015-16 and 2016-17."/>
    <n v="175810"/>
    <x v="7"/>
    <s v="sem"/>
    <m/>
    <m/>
    <m/>
    <n v="67348"/>
    <n v="64718"/>
    <n v="17508"/>
    <n v="16201"/>
    <n v="75253"/>
    <n v="78920"/>
    <n v="160109"/>
    <n v="5336.9666666666662"/>
    <n v="159839"/>
    <n v="5327.9666666666662"/>
    <n v="4623"/>
    <n v="6412"/>
    <n v="160109"/>
    <n v="159839"/>
    <m/>
    <m/>
    <m/>
    <m/>
    <m/>
    <m/>
    <m/>
    <m/>
    <n v="0"/>
    <n v="0"/>
    <n v="0"/>
    <n v="0"/>
    <m/>
    <m/>
    <n v="0"/>
    <n v="0"/>
  </r>
  <r>
    <x v="8"/>
    <s v="Jones County Junior College "/>
    <m/>
    <n v="175883"/>
    <x v="7"/>
    <s v="sem"/>
    <m/>
    <m/>
    <m/>
    <n v="55664"/>
    <n v="57438"/>
    <n v="13632"/>
    <n v="13733"/>
    <n v="66627"/>
    <n v="67057"/>
    <n v="135923"/>
    <n v="4530.7666666666664"/>
    <n v="138228"/>
    <n v="4607.6000000000004"/>
    <n v="3729"/>
    <n v="3368"/>
    <n v="135923"/>
    <n v="138228"/>
    <m/>
    <m/>
    <m/>
    <m/>
    <m/>
    <m/>
    <m/>
    <m/>
    <n v="0"/>
    <n v="0"/>
    <n v="0"/>
    <n v="0"/>
    <m/>
    <m/>
    <n v="0"/>
    <n v="0"/>
  </r>
  <r>
    <x v="8"/>
    <s v="Meridian Community College "/>
    <m/>
    <n v="175935"/>
    <x v="7"/>
    <s v="sem"/>
    <m/>
    <m/>
    <m/>
    <n v="38670"/>
    <n v="38890.5"/>
    <n v="6909"/>
    <n v="7702"/>
    <n v="44669"/>
    <n v="45297"/>
    <n v="90248"/>
    <n v="3008.2666666666669"/>
    <n v="91889.5"/>
    <n v="3062.9833333333331"/>
    <n v="1589"/>
    <n v="2439"/>
    <n v="90248"/>
    <n v="91889.5"/>
    <m/>
    <m/>
    <m/>
    <m/>
    <m/>
    <m/>
    <m/>
    <m/>
    <n v="0"/>
    <n v="0"/>
    <n v="0"/>
    <n v="0"/>
    <m/>
    <m/>
    <n v="0"/>
    <n v="0"/>
  </r>
  <r>
    <x v="8"/>
    <s v="Mississippi Delta Community College "/>
    <m/>
    <n v="176008"/>
    <x v="7"/>
    <s v="sem"/>
    <m/>
    <m/>
    <m/>
    <n v="31627"/>
    <n v="28389"/>
    <n v="4319"/>
    <n v="4287"/>
    <n v="31446"/>
    <n v="31738"/>
    <n v="67392"/>
    <n v="2246.4"/>
    <n v="64414"/>
    <n v="2147.1333333333332"/>
    <n v="1327"/>
    <n v="1449"/>
    <n v="67392"/>
    <n v="64414"/>
    <m/>
    <m/>
    <m/>
    <m/>
    <m/>
    <m/>
    <m/>
    <m/>
    <n v="0"/>
    <n v="0"/>
    <n v="0"/>
    <n v="0"/>
    <m/>
    <m/>
    <n v="0"/>
    <n v="0"/>
  </r>
  <r>
    <x v="8"/>
    <s v="Northeast Mississippi Community College "/>
    <m/>
    <n v="176169"/>
    <x v="7"/>
    <s v="sem"/>
    <m/>
    <m/>
    <m/>
    <n v="43904"/>
    <n v="42497"/>
    <n v="3345"/>
    <n v="2363"/>
    <n v="47701"/>
    <n v="47361"/>
    <n v="94950"/>
    <n v="3165"/>
    <n v="92221"/>
    <n v="3074.0333333333333"/>
    <n v="3820"/>
    <n v="4479"/>
    <n v="94950"/>
    <n v="92221"/>
    <m/>
    <m/>
    <m/>
    <m/>
    <m/>
    <m/>
    <m/>
    <m/>
    <n v="0"/>
    <n v="0"/>
    <n v="0"/>
    <n v="0"/>
    <m/>
    <m/>
    <n v="0"/>
    <n v="0"/>
  </r>
  <r>
    <x v="8"/>
    <s v="Pearl River Community College "/>
    <m/>
    <n v="176239"/>
    <x v="7"/>
    <s v="sem"/>
    <m/>
    <m/>
    <m/>
    <n v="50640"/>
    <n v="49010"/>
    <n v="8768"/>
    <n v="7485"/>
    <n v="56131"/>
    <n v="58358"/>
    <n v="115539"/>
    <n v="3851.3"/>
    <n v="114853"/>
    <n v="3828.4333333333334"/>
    <n v="3224"/>
    <n v="3398"/>
    <n v="115539"/>
    <n v="114853"/>
    <m/>
    <m/>
    <m/>
    <m/>
    <m/>
    <m/>
    <m/>
    <m/>
    <n v="0"/>
    <n v="0"/>
    <n v="0"/>
    <n v="0"/>
    <m/>
    <m/>
    <n v="0"/>
    <n v="0"/>
  </r>
  <r>
    <x v="8"/>
    <s v="Coahoma Community College "/>
    <m/>
    <n v="175519"/>
    <x v="8"/>
    <s v="sem"/>
    <m/>
    <m/>
    <m/>
    <n v="23939"/>
    <n v="19882"/>
    <n v="3201"/>
    <n v="3598"/>
    <n v="26297"/>
    <n v="26682"/>
    <n v="53437"/>
    <n v="1781.2333333333333"/>
    <n v="50162"/>
    <n v="1672.0666666666666"/>
    <n v="1878"/>
    <n v="1808"/>
    <n v="53437"/>
    <n v="50162"/>
    <m/>
    <m/>
    <m/>
    <m/>
    <m/>
    <m/>
    <m/>
    <m/>
    <n v="0"/>
    <n v="0"/>
    <n v="0"/>
    <n v="0"/>
    <m/>
    <m/>
    <n v="0"/>
    <n v="0"/>
  </r>
  <r>
    <x v="8"/>
    <s v="Southwest Mississippi Community College"/>
    <m/>
    <n v="176354"/>
    <x v="8"/>
    <s v="sem"/>
    <m/>
    <m/>
    <m/>
    <n v="24233"/>
    <n v="23675"/>
    <n v="2524"/>
    <n v="2506"/>
    <n v="27556"/>
    <n v="27663"/>
    <n v="54313"/>
    <n v="1810.4333333333334"/>
    <n v="53844"/>
    <n v="1794.8"/>
    <n v="1494"/>
    <n v="1957"/>
    <n v="54313"/>
    <n v="53844"/>
    <m/>
    <m/>
    <m/>
    <m/>
    <m/>
    <m/>
    <m/>
    <m/>
    <n v="0"/>
    <n v="0"/>
    <n v="0"/>
    <n v="0"/>
    <m/>
    <m/>
    <n v="0"/>
    <n v="0"/>
  </r>
  <r>
    <x v="9"/>
    <s v="Asheville-Buncombe Technical Community College"/>
    <m/>
    <n v="197887"/>
    <x v="6"/>
    <s v="sem"/>
    <s v="sem"/>
    <m/>
    <m/>
    <n v="62358"/>
    <n v="62340"/>
    <n v="12997"/>
    <n v="12903"/>
    <n v="64702"/>
    <n v="64806"/>
    <n v="140057"/>
    <n v="4668.5666666666666"/>
    <n v="140049"/>
    <n v="4668.3"/>
    <n v="13261"/>
    <n v="16125"/>
    <n v="140057"/>
    <n v="140049"/>
    <m/>
    <m/>
    <n v="276445"/>
    <n v="277935"/>
    <n v="201298"/>
    <n v="183153"/>
    <n v="269836"/>
    <n v="264705"/>
    <n v="747579"/>
    <n v="830.64333333333332"/>
    <n v="725793"/>
    <n v="806.43666666666661"/>
    <m/>
    <m/>
    <n v="0"/>
    <n v="0"/>
  </r>
  <r>
    <x v="9"/>
    <s v="Cape Fear Community College"/>
    <m/>
    <n v="198154"/>
    <x v="6"/>
    <s v="sem"/>
    <s v="sem"/>
    <m/>
    <m/>
    <n v="87375"/>
    <n v="84013"/>
    <n v="21629"/>
    <n v="20999"/>
    <n v="91481"/>
    <n v="89916"/>
    <n v="200485"/>
    <n v="6682.833333333333"/>
    <n v="194928"/>
    <n v="6497.6"/>
    <n v="7043"/>
    <n v="10001"/>
    <n v="200485"/>
    <n v="194928"/>
    <m/>
    <m/>
    <n v="285772"/>
    <n v="264458"/>
    <n v="133434"/>
    <n v="144492"/>
    <n v="295048"/>
    <n v="267283"/>
    <n v="714254"/>
    <n v="793.6155555555556"/>
    <n v="676233"/>
    <n v="751.37"/>
    <m/>
    <m/>
    <n v="0"/>
    <n v="0"/>
  </r>
  <r>
    <x v="9"/>
    <s v="Central Piedmont Community College "/>
    <m/>
    <n v="198260"/>
    <x v="6"/>
    <s v="sem"/>
    <s v="sem"/>
    <m/>
    <m/>
    <n v="172051"/>
    <n v="167577.5"/>
    <n v="40553"/>
    <n v="42974.5"/>
    <n v="174791"/>
    <n v="183115.5"/>
    <n v="387395"/>
    <n v="12913.166666666666"/>
    <n v="393667.5"/>
    <n v="13122.25"/>
    <n v="8558"/>
    <n v="21055"/>
    <n v="387395"/>
    <n v="393667.5"/>
    <m/>
    <m/>
    <n v="588452"/>
    <n v="581175"/>
    <n v="277137"/>
    <n v="280063"/>
    <n v="563496"/>
    <n v="547751"/>
    <n v="1429085"/>
    <n v="1587.8722222222223"/>
    <n v="1408989"/>
    <n v="1565.5433333333333"/>
    <m/>
    <m/>
    <n v="0"/>
    <n v="0"/>
  </r>
  <r>
    <x v="9"/>
    <s v="Fayetteville Technical Community College"/>
    <m/>
    <n v="198534"/>
    <x v="6"/>
    <s v="sem"/>
    <s v="sem"/>
    <m/>
    <m/>
    <n v="114810"/>
    <n v="109397"/>
    <n v="30218"/>
    <n v="28326"/>
    <n v="109203"/>
    <n v="109390"/>
    <n v="254231"/>
    <n v="8474.3666666666668"/>
    <n v="247113"/>
    <n v="8237.1"/>
    <n v="7578"/>
    <n v="11142"/>
    <n v="254231"/>
    <n v="247113"/>
    <m/>
    <m/>
    <n v="647590"/>
    <n v="655508"/>
    <n v="484962"/>
    <n v="492030"/>
    <n v="849830"/>
    <n v="871638"/>
    <n v="1982382"/>
    <n v="2202.6466666666665"/>
    <n v="2019176"/>
    <n v="2243.528888888889"/>
    <m/>
    <m/>
    <n v="0"/>
    <n v="0"/>
  </r>
  <r>
    <x v="9"/>
    <s v="Forsyth Technical Community College"/>
    <m/>
    <n v="198552"/>
    <x v="6"/>
    <s v="sem"/>
    <s v="sem"/>
    <m/>
    <m/>
    <n v="78958"/>
    <n v="70574"/>
    <n v="21960"/>
    <n v="21917"/>
    <n v="78481"/>
    <n v="74145"/>
    <n v="179399"/>
    <n v="5979.9666666666662"/>
    <n v="166636"/>
    <n v="5554.5333333333338"/>
    <n v="8014"/>
    <n v="9831"/>
    <n v="179399"/>
    <n v="166636"/>
    <m/>
    <m/>
    <n v="337513"/>
    <n v="330640"/>
    <n v="220476"/>
    <n v="222740"/>
    <n v="330993"/>
    <n v="315496"/>
    <n v="888982"/>
    <n v="987.75777777777773"/>
    <n v="868876"/>
    <n v="965.41777777777781"/>
    <m/>
    <m/>
    <n v="0"/>
    <n v="0"/>
  </r>
  <r>
    <x v="9"/>
    <s v="Guilford Technical Community College"/>
    <m/>
    <n v="198622"/>
    <x v="6"/>
    <s v="sem"/>
    <s v="sem"/>
    <m/>
    <m/>
    <n v="112779"/>
    <n v="107207"/>
    <n v="27803"/>
    <n v="26756"/>
    <n v="112385"/>
    <n v="109401"/>
    <n v="252967"/>
    <n v="8432.2333333333336"/>
    <n v="243364"/>
    <n v="8112.1333333333332"/>
    <n v="5368"/>
    <n v="8815"/>
    <n v="252967"/>
    <n v="243364"/>
    <m/>
    <m/>
    <n v="459389"/>
    <n v="454974"/>
    <n v="259577"/>
    <n v="274192"/>
    <n v="493734"/>
    <n v="466875"/>
    <n v="1212700"/>
    <n v="1347.4444444444443"/>
    <n v="1196041"/>
    <n v="1328.9344444444444"/>
    <m/>
    <m/>
    <n v="0"/>
    <n v="0"/>
  </r>
  <r>
    <x v="9"/>
    <s v="Pitt Community College"/>
    <m/>
    <n v="199333"/>
    <x v="6"/>
    <s v="sem"/>
    <s v="sem"/>
    <m/>
    <m/>
    <n v="86160.6"/>
    <n v="81055"/>
    <n v="21226.5"/>
    <n v="20649"/>
    <n v="86917"/>
    <n v="84156"/>
    <n v="194304.1"/>
    <n v="6476.8033333333333"/>
    <n v="185860"/>
    <n v="6195.333333333333"/>
    <n v="5015.1000000000004"/>
    <n v="6601"/>
    <n v="194304.1"/>
    <n v="185860"/>
    <m/>
    <m/>
    <n v="260335"/>
    <n v="190024"/>
    <n v="130394"/>
    <n v="161925"/>
    <n v="274413"/>
    <n v="249201"/>
    <n v="665142"/>
    <n v="739.04666666666662"/>
    <n v="601150"/>
    <n v="667.94444444444446"/>
    <m/>
    <m/>
    <n v="0"/>
    <n v="0"/>
  </r>
  <r>
    <x v="9"/>
    <s v="Rowan-Cabarrus Community College"/>
    <s v="Met the criteria for Two-Year 2 in 2016-17."/>
    <n v="199494"/>
    <x v="6"/>
    <s v="sem"/>
    <s v="sem"/>
    <m/>
    <m/>
    <n v="61550"/>
    <n v="49885"/>
    <n v="11682"/>
    <n v="11534.5"/>
    <n v="55629"/>
    <n v="54667"/>
    <n v="128861"/>
    <n v="4295.3666666666668"/>
    <n v="116086.5"/>
    <n v="3869.55"/>
    <n v="12786"/>
    <n v="14638"/>
    <n v="128861"/>
    <n v="116086.5"/>
    <m/>
    <m/>
    <n v="280904"/>
    <n v="277263"/>
    <n v="172879"/>
    <n v="171564"/>
    <n v="295515"/>
    <n v="339702"/>
    <n v="749298"/>
    <n v="832.55333333333328"/>
    <n v="788529"/>
    <n v="876.14333333333332"/>
    <m/>
    <m/>
    <n v="0"/>
    <n v="0"/>
  </r>
  <r>
    <x v="9"/>
    <s v="Wake Technical Community College"/>
    <m/>
    <n v="199856"/>
    <x v="6"/>
    <s v="sem"/>
    <s v="sem"/>
    <m/>
    <m/>
    <n v="196627"/>
    <n v="195926"/>
    <n v="44107"/>
    <n v="47890"/>
    <n v="203939"/>
    <n v="211494"/>
    <n v="444673"/>
    <n v="14822.433333333332"/>
    <n v="455310"/>
    <n v="15177"/>
    <n v="7135"/>
    <n v="10366"/>
    <n v="444673"/>
    <n v="455310"/>
    <m/>
    <m/>
    <n v="705650"/>
    <n v="762298"/>
    <n v="625764"/>
    <n v="678780"/>
    <n v="965130"/>
    <n v="1070938"/>
    <n v="2296544"/>
    <n v="2551.7155555555555"/>
    <n v="2512016"/>
    <n v="2791.1288888888889"/>
    <m/>
    <m/>
    <n v="0"/>
    <n v="0"/>
  </r>
  <r>
    <x v="9"/>
    <s v="Alamance Community College"/>
    <m/>
    <n v="199786"/>
    <x v="7"/>
    <s v="sem"/>
    <s v="sem"/>
    <m/>
    <m/>
    <n v="41850"/>
    <n v="40390"/>
    <n v="9523"/>
    <n v="10092"/>
    <n v="44296.5"/>
    <n v="41420.5"/>
    <n v="95669.5"/>
    <n v="3188.9833333333331"/>
    <n v="91902.5"/>
    <n v="3063.4166666666665"/>
    <n v="8007"/>
    <n v="9399"/>
    <n v="95669.5"/>
    <n v="91902.5"/>
    <m/>
    <m/>
    <n v="172213"/>
    <n v="183404"/>
    <n v="137119"/>
    <n v="124785"/>
    <n v="198659"/>
    <n v="187141"/>
    <n v="507991"/>
    <n v="564.43444444444447"/>
    <n v="495330"/>
    <n v="550.36666666666667"/>
    <m/>
    <m/>
    <n v="0"/>
    <n v="0"/>
  </r>
  <r>
    <x v="9"/>
    <s v="Caldwell Community College &amp; Technical Institute"/>
    <m/>
    <n v="198118"/>
    <x v="7"/>
    <s v="sem"/>
    <s v="sem"/>
    <m/>
    <m/>
    <n v="33209"/>
    <n v="32628.5"/>
    <n v="7188"/>
    <n v="6679"/>
    <n v="35585"/>
    <n v="34238"/>
    <n v="75982"/>
    <n v="2532.7333333333331"/>
    <n v="73545.5"/>
    <n v="2451.5166666666669"/>
    <n v="11281"/>
    <n v="13984.5"/>
    <n v="75982"/>
    <n v="73545.5"/>
    <m/>
    <m/>
    <n v="194474"/>
    <n v="187635"/>
    <n v="128868"/>
    <n v="136633"/>
    <n v="230827"/>
    <n v="228266"/>
    <n v="554169"/>
    <n v="615.74333333333334"/>
    <n v="552534"/>
    <n v="613.92666666666662"/>
    <m/>
    <m/>
    <n v="0"/>
    <n v="0"/>
  </r>
  <r>
    <x v="9"/>
    <s v="Catawba Valley Community College"/>
    <m/>
    <n v="198233"/>
    <x v="7"/>
    <s v="sem"/>
    <s v="sem"/>
    <m/>
    <m/>
    <n v="41156"/>
    <n v="40872"/>
    <n v="8461"/>
    <n v="8271"/>
    <n v="44351"/>
    <n v="44729"/>
    <n v="93968"/>
    <n v="3132.2666666666669"/>
    <n v="93872"/>
    <n v="3129.0666666666666"/>
    <n v="8552"/>
    <n v="12191"/>
    <n v="93968"/>
    <n v="93872"/>
    <m/>
    <m/>
    <n v="209476"/>
    <n v="190790"/>
    <n v="116515"/>
    <n v="140085"/>
    <n v="218698"/>
    <n v="187963"/>
    <n v="544689"/>
    <n v="605.21"/>
    <n v="518838"/>
    <n v="576.48666666666668"/>
    <m/>
    <m/>
    <n v="0"/>
    <n v="0"/>
  </r>
  <r>
    <x v="9"/>
    <s v="Central Carolina Commuity College"/>
    <m/>
    <n v="198251"/>
    <x v="7"/>
    <s v="sem"/>
    <s v="sem"/>
    <m/>
    <m/>
    <n v="44027"/>
    <n v="44488"/>
    <n v="8210"/>
    <n v="8979"/>
    <n v="47818"/>
    <n v="48087"/>
    <n v="100055"/>
    <n v="3335.1666666666665"/>
    <n v="101554"/>
    <n v="3385.1333333333332"/>
    <n v="13692"/>
    <n v="17172"/>
    <n v="100055"/>
    <n v="101554"/>
    <m/>
    <m/>
    <n v="278945"/>
    <n v="282558"/>
    <n v="198406"/>
    <n v="201552"/>
    <n v="358892"/>
    <n v="304017"/>
    <n v="836243"/>
    <n v="929.1588888888889"/>
    <n v="788127"/>
    <n v="875.69666666666672"/>
    <m/>
    <m/>
    <n v="0"/>
    <n v="0"/>
  </r>
  <r>
    <x v="9"/>
    <s v="Cleveland Community College"/>
    <m/>
    <n v="198321"/>
    <x v="7"/>
    <s v="sem"/>
    <s v="sem"/>
    <m/>
    <m/>
    <n v="26168"/>
    <n v="24105"/>
    <n v="3636"/>
    <n v="5647"/>
    <n v="26600.5"/>
    <n v="28132.5"/>
    <n v="56404.5"/>
    <n v="1880.15"/>
    <n v="57884.5"/>
    <n v="1929.4833333333333"/>
    <n v="8847"/>
    <n v="9355.5"/>
    <n v="56404.5"/>
    <n v="57884.5"/>
    <m/>
    <m/>
    <n v="127883"/>
    <n v="136786"/>
    <n v="107613"/>
    <n v="101931"/>
    <n v="171680"/>
    <n v="156906"/>
    <n v="407176"/>
    <n v="452.41777777777776"/>
    <n v="395623"/>
    <n v="439.58111111111111"/>
    <m/>
    <m/>
    <n v="0"/>
    <n v="0"/>
  </r>
  <r>
    <x v="9"/>
    <s v="Coastal Carolina Community College "/>
    <m/>
    <n v="198330"/>
    <x v="7"/>
    <s v="sem"/>
    <s v="sem"/>
    <m/>
    <m/>
    <n v="43562"/>
    <n v="40864"/>
    <n v="16044"/>
    <n v="15280"/>
    <n v="43564"/>
    <n v="41002"/>
    <n v="103170"/>
    <n v="3439"/>
    <n v="97146"/>
    <n v="3238.2"/>
    <n v="781"/>
    <n v="1267"/>
    <n v="103170"/>
    <n v="97146"/>
    <m/>
    <m/>
    <n v="173589"/>
    <n v="164581"/>
    <n v="128148"/>
    <n v="130907"/>
    <n v="203374"/>
    <n v="199176"/>
    <n v="505111"/>
    <n v="561.23444444444442"/>
    <n v="494664"/>
    <n v="549.62666666666667"/>
    <m/>
    <m/>
    <n v="0"/>
    <n v="0"/>
  </r>
  <r>
    <x v="9"/>
    <s v="Craven Community College "/>
    <m/>
    <n v="198367"/>
    <x v="7"/>
    <s v="sem"/>
    <s v="sem"/>
    <m/>
    <m/>
    <n v="28742"/>
    <n v="28343"/>
    <n v="6609"/>
    <n v="6794"/>
    <n v="28745"/>
    <n v="26898"/>
    <n v="64096"/>
    <n v="2136.5333333333333"/>
    <n v="62035"/>
    <n v="2067.8333333333335"/>
    <n v="7004"/>
    <n v="7977"/>
    <n v="64096"/>
    <n v="62035"/>
    <m/>
    <m/>
    <n v="143777"/>
    <n v="136657"/>
    <n v="76869"/>
    <n v="103959"/>
    <n v="167216"/>
    <n v="169840"/>
    <n v="387862"/>
    <n v="430.95777777777778"/>
    <n v="410456"/>
    <n v="456.0622222222222"/>
    <m/>
    <m/>
    <n v="0"/>
    <n v="0"/>
  </r>
  <r>
    <x v="9"/>
    <s v="Davidson County Community College "/>
    <m/>
    <n v="198376"/>
    <x v="7"/>
    <s v="sem"/>
    <s v="sem"/>
    <m/>
    <m/>
    <n v="35896.5"/>
    <n v="35047"/>
    <n v="5682"/>
    <n v="6232"/>
    <n v="37087"/>
    <n v="36268"/>
    <n v="78665.5"/>
    <n v="2622.1833333333334"/>
    <n v="77547"/>
    <n v="2584.9"/>
    <n v="8043.5"/>
    <n v="10701"/>
    <n v="78665.5"/>
    <n v="77547"/>
    <m/>
    <m/>
    <n v="174253"/>
    <n v="154019"/>
    <n v="140374"/>
    <n v="102639"/>
    <n v="186659"/>
    <n v="158450"/>
    <n v="501286"/>
    <n v="556.98444444444442"/>
    <n v="415108"/>
    <n v="461.23111111111109"/>
    <m/>
    <m/>
    <n v="0"/>
    <n v="0"/>
  </r>
  <r>
    <x v="9"/>
    <s v="Durham Technical Community College"/>
    <m/>
    <n v="198455"/>
    <x v="7"/>
    <s v="sem"/>
    <s v="sem"/>
    <m/>
    <m/>
    <n v="45152"/>
    <n v="42635"/>
    <n v="11011"/>
    <n v="11168"/>
    <n v="44312"/>
    <n v="44442"/>
    <n v="100475"/>
    <n v="3349.1666666666665"/>
    <n v="98245"/>
    <n v="3274.8333333333335"/>
    <n v="5184"/>
    <n v="6151"/>
    <n v="100475"/>
    <n v="98245"/>
    <m/>
    <m/>
    <n v="208703"/>
    <n v="228548"/>
    <n v="149191"/>
    <n v="147188"/>
    <n v="219839"/>
    <n v="202771"/>
    <n v="577733"/>
    <n v="641.92555555555555"/>
    <n v="578507"/>
    <n v="642.78555555555556"/>
    <m/>
    <m/>
    <n v="0"/>
    <n v="0"/>
  </r>
  <r>
    <x v="9"/>
    <s v="Edgecombe Community College"/>
    <s v="Met the criteria for Two-Year 3 in 2016-17."/>
    <n v="198491"/>
    <x v="7"/>
    <s v="sem"/>
    <s v="sem"/>
    <m/>
    <m/>
    <n v="24470"/>
    <n v="21361"/>
    <n v="6570"/>
    <n v="6029"/>
    <n v="22925"/>
    <n v="21527"/>
    <n v="53965"/>
    <n v="1798.8333333333333"/>
    <n v="48917"/>
    <n v="1630.5666666666666"/>
    <n v="3566"/>
    <n v="3433"/>
    <n v="53965"/>
    <n v="48917"/>
    <m/>
    <m/>
    <n v="121922"/>
    <n v="74039"/>
    <n v="50098"/>
    <n v="65780"/>
    <n v="93734"/>
    <n v="88544"/>
    <n v="265754"/>
    <n v="295.28222222222223"/>
    <n v="228363"/>
    <n v="253.73666666666668"/>
    <m/>
    <m/>
    <n v="0"/>
    <n v="0"/>
  </r>
  <r>
    <x v="9"/>
    <s v="Gaston College "/>
    <m/>
    <n v="198570"/>
    <x v="7"/>
    <s v="sem"/>
    <s v="sem"/>
    <m/>
    <m/>
    <n v="50524"/>
    <n v="48086"/>
    <n v="11443"/>
    <n v="13046"/>
    <n v="53639"/>
    <n v="52230"/>
    <n v="115606"/>
    <n v="3853.5333333333333"/>
    <n v="113362"/>
    <n v="3778.7333333333331"/>
    <n v="4000"/>
    <n v="7726"/>
    <n v="115606"/>
    <n v="113362"/>
    <m/>
    <m/>
    <n v="132084"/>
    <n v="144383"/>
    <n v="79456"/>
    <n v="81623"/>
    <n v="131883"/>
    <n v="133544"/>
    <n v="343423"/>
    <n v="381.58111111111111"/>
    <n v="359550"/>
    <n v="399.5"/>
    <m/>
    <m/>
    <n v="0"/>
    <n v="0"/>
  </r>
  <r>
    <x v="9"/>
    <s v="Johnston Community College"/>
    <m/>
    <n v="198774"/>
    <x v="7"/>
    <s v="sem"/>
    <s v="sem"/>
    <m/>
    <m/>
    <n v="37796"/>
    <n v="37456"/>
    <n v="3601"/>
    <n v="6487"/>
    <n v="40615"/>
    <n v="39031"/>
    <n v="82012"/>
    <n v="2733.7333333333331"/>
    <n v="82974"/>
    <n v="2765.8"/>
    <n v="12804"/>
    <n v="14732"/>
    <n v="82012"/>
    <n v="82974"/>
    <m/>
    <m/>
    <n v="175510"/>
    <n v="166354"/>
    <n v="115940"/>
    <n v="119262"/>
    <n v="197265"/>
    <n v="188891"/>
    <n v="488715"/>
    <n v="543.01666666666665"/>
    <n v="474507"/>
    <n v="527.23"/>
    <m/>
    <m/>
    <n v="0"/>
    <n v="0"/>
  </r>
  <r>
    <x v="9"/>
    <s v="Lenoir Community College "/>
    <m/>
    <n v="198817"/>
    <x v="7"/>
    <s v="sem"/>
    <s v="sem"/>
    <m/>
    <m/>
    <n v="26260"/>
    <n v="23581"/>
    <n v="7664"/>
    <n v="6652"/>
    <n v="26860"/>
    <n v="26403"/>
    <n v="60784"/>
    <n v="2026.1333333333334"/>
    <n v="56636"/>
    <n v="1887.8666666666666"/>
    <n v="11461"/>
    <n v="12377"/>
    <n v="60784"/>
    <n v="56636"/>
    <m/>
    <m/>
    <n v="400035"/>
    <n v="448398"/>
    <n v="309060"/>
    <n v="364159"/>
    <n v="552293"/>
    <n v="550397"/>
    <n v="1261388"/>
    <n v="1401.5422222222223"/>
    <n v="1362954"/>
    <n v="1514.3933333333334"/>
    <m/>
    <m/>
    <n v="0"/>
    <n v="0"/>
  </r>
  <r>
    <x v="9"/>
    <s v="Mitchell Community College "/>
    <m/>
    <n v="198987"/>
    <x v="7"/>
    <s v="sem"/>
    <s v="sem"/>
    <m/>
    <m/>
    <n v="26380"/>
    <n v="25651.5"/>
    <n v="6485.5"/>
    <n v="6852"/>
    <n v="27724.5"/>
    <n v="28489"/>
    <n v="60590"/>
    <n v="2019.6666666666667"/>
    <n v="60992.5"/>
    <n v="2033.0833333333333"/>
    <n v="7773"/>
    <n v="8694.5"/>
    <n v="60590"/>
    <n v="60992.5"/>
    <m/>
    <m/>
    <n v="79375"/>
    <n v="90631"/>
    <n v="74119"/>
    <n v="73292"/>
    <n v="118849"/>
    <n v="115829"/>
    <n v="272343"/>
    <n v="302.60333333333335"/>
    <n v="279752"/>
    <n v="310.83555555555557"/>
    <m/>
    <m/>
    <n v="0"/>
    <n v="0"/>
  </r>
  <r>
    <x v="9"/>
    <s v="Nash Community College"/>
    <m/>
    <n v="199087"/>
    <x v="7"/>
    <s v="sem"/>
    <s v="sem"/>
    <m/>
    <m/>
    <n v="30864"/>
    <n v="28627"/>
    <n v="6453"/>
    <n v="5783"/>
    <n v="30025"/>
    <n v="28732"/>
    <n v="67342"/>
    <n v="2244.7333333333331"/>
    <n v="63142"/>
    <n v="2104.7333333333331"/>
    <n v="6456"/>
    <n v="7237"/>
    <n v="67342"/>
    <n v="63142"/>
    <m/>
    <m/>
    <n v="134496"/>
    <n v="119682"/>
    <n v="88270"/>
    <n v="99641"/>
    <n v="168715"/>
    <n v="128626"/>
    <n v="391481"/>
    <n v="434.97888888888889"/>
    <n v="347949"/>
    <n v="386.61"/>
    <m/>
    <m/>
    <n v="0"/>
    <n v="0"/>
  </r>
  <r>
    <x v="9"/>
    <s v="Randolph Community College"/>
    <m/>
    <n v="199421"/>
    <x v="7"/>
    <s v="sem"/>
    <s v="sem"/>
    <m/>
    <m/>
    <n v="26186"/>
    <n v="24104"/>
    <n v="5322"/>
    <n v="5648"/>
    <n v="27280"/>
    <n v="25841"/>
    <n v="58788"/>
    <n v="1959.6"/>
    <n v="55593"/>
    <n v="1853.1"/>
    <n v="6746"/>
    <n v="8334"/>
    <n v="58788"/>
    <n v="55593"/>
    <m/>
    <m/>
    <n v="139552"/>
    <n v="142678"/>
    <n v="78530"/>
    <n v="94269"/>
    <n v="156182"/>
    <n v="171540"/>
    <n v="374264"/>
    <n v="415.84888888888889"/>
    <n v="408487"/>
    <n v="453.87444444444446"/>
    <m/>
    <m/>
    <n v="0"/>
    <n v="0"/>
  </r>
  <r>
    <x v="9"/>
    <s v="Richmond Community College"/>
    <m/>
    <n v="199449"/>
    <x v="7"/>
    <s v="sem"/>
    <s v="sem"/>
    <m/>
    <m/>
    <n v="21939"/>
    <n v="22225"/>
    <n v="4197"/>
    <n v="4957"/>
    <n v="24835"/>
    <n v="25248"/>
    <n v="50971"/>
    <n v="1699.0333333333333"/>
    <n v="52430"/>
    <n v="1747.6666666666667"/>
    <n v="9178"/>
    <n v="10858"/>
    <n v="50971"/>
    <n v="52430"/>
    <m/>
    <m/>
    <n v="210388"/>
    <n v="196368"/>
    <n v="161077"/>
    <n v="154991"/>
    <n v="203645"/>
    <n v="216830"/>
    <n v="575110"/>
    <n v="639.01111111111106"/>
    <n v="568189"/>
    <n v="631.32111111111112"/>
    <m/>
    <m/>
    <n v="0"/>
    <n v="0"/>
  </r>
  <r>
    <x v="9"/>
    <s v="Robeson Community College"/>
    <m/>
    <n v="199476"/>
    <x v="7"/>
    <s v="sem"/>
    <s v="sem"/>
    <m/>
    <m/>
    <n v="18280"/>
    <n v="17432"/>
    <n v="3483"/>
    <n v="3370"/>
    <n v="20602"/>
    <n v="19468"/>
    <n v="42365"/>
    <n v="1412.1666666666667"/>
    <n v="40270"/>
    <n v="1342.3333333333333"/>
    <n v="3298"/>
    <n v="4936"/>
    <n v="42365"/>
    <n v="40270"/>
    <m/>
    <m/>
    <n v="247616"/>
    <n v="240422"/>
    <n v="207813"/>
    <n v="195058"/>
    <n v="269123"/>
    <n v="256860"/>
    <n v="724552"/>
    <n v="805.0577777777778"/>
    <n v="692340"/>
    <n v="769.26666666666665"/>
    <m/>
    <m/>
    <n v="0"/>
    <n v="0"/>
  </r>
  <r>
    <x v="9"/>
    <s v="Sandhills Community College "/>
    <m/>
    <n v="199634"/>
    <x v="7"/>
    <s v="sem"/>
    <s v="sem"/>
    <m/>
    <m/>
    <n v="36356.5"/>
    <n v="34385.5"/>
    <n v="9409"/>
    <n v="8748"/>
    <n v="37082"/>
    <n v="35505"/>
    <n v="82847.5"/>
    <n v="2761.5833333333335"/>
    <n v="78638.5"/>
    <n v="2621.2833333333333"/>
    <n v="9215"/>
    <n v="10999"/>
    <n v="82847.5"/>
    <n v="78638.5"/>
    <m/>
    <m/>
    <n v="156632"/>
    <n v="149711"/>
    <n v="104680"/>
    <n v="94970"/>
    <n v="165443"/>
    <n v="144548"/>
    <n v="426755"/>
    <n v="474.17222222222222"/>
    <n v="389229"/>
    <n v="432.47666666666669"/>
    <m/>
    <m/>
    <n v="0"/>
    <n v="0"/>
  </r>
  <r>
    <x v="9"/>
    <s v="Stanly Community College"/>
    <m/>
    <n v="199740"/>
    <x v="7"/>
    <s v="sem"/>
    <s v="sem"/>
    <m/>
    <m/>
    <n v="24331"/>
    <n v="23213"/>
    <n v="5385"/>
    <n v="5766"/>
    <n v="25552"/>
    <n v="24519"/>
    <n v="55268"/>
    <n v="1842.2666666666667"/>
    <n v="53498"/>
    <n v="1783.2666666666667"/>
    <n v="3306"/>
    <n v="3709"/>
    <n v="55268"/>
    <n v="53498"/>
    <m/>
    <m/>
    <n v="139033"/>
    <n v="160902"/>
    <n v="98465"/>
    <n v="111889"/>
    <n v="160796"/>
    <n v="176574"/>
    <n v="398294"/>
    <n v="442.54888888888888"/>
    <n v="449365"/>
    <n v="499.29444444444442"/>
    <m/>
    <m/>
    <n v="0"/>
    <n v="0"/>
  </r>
  <r>
    <x v="9"/>
    <s v="Surry Community College "/>
    <m/>
    <n v="199768"/>
    <x v="7"/>
    <s v="sem"/>
    <s v="sem"/>
    <m/>
    <m/>
    <n v="28325"/>
    <n v="22980"/>
    <n v="4300"/>
    <n v="3895"/>
    <n v="26244"/>
    <n v="21241"/>
    <n v="58869"/>
    <n v="1962.3"/>
    <n v="48116"/>
    <n v="1603.8666666666666"/>
    <n v="9649"/>
    <n v="11084"/>
    <n v="58869"/>
    <n v="48116"/>
    <m/>
    <m/>
    <n v="138334"/>
    <n v="117037"/>
    <n v="110297"/>
    <n v="101859"/>
    <n v="178778"/>
    <n v="178703"/>
    <n v="427409"/>
    <n v="474.89888888888891"/>
    <n v="397599"/>
    <n v="441.77666666666664"/>
    <m/>
    <m/>
    <n v="0"/>
    <n v="0"/>
  </r>
  <r>
    <x v="9"/>
    <s v="Vance-Granville Community College "/>
    <m/>
    <n v="199838"/>
    <x v="7"/>
    <s v="sem"/>
    <s v="sem"/>
    <m/>
    <m/>
    <n v="29971"/>
    <n v="27038.5"/>
    <n v="3940"/>
    <n v="5289"/>
    <n v="29421.5"/>
    <n v="27664"/>
    <n v="63332.5"/>
    <n v="2111.0833333333335"/>
    <n v="59991.5"/>
    <n v="1999.7166666666667"/>
    <n v="9964"/>
    <n v="12631"/>
    <n v="63332.5"/>
    <n v="59991.5"/>
    <m/>
    <m/>
    <n v="164131"/>
    <n v="159069"/>
    <n v="133045"/>
    <n v="132695"/>
    <n v="180737"/>
    <n v="170031"/>
    <n v="477913"/>
    <n v="531.01444444444439"/>
    <n v="461795"/>
    <n v="513.10555555555561"/>
    <m/>
    <m/>
    <n v="0"/>
    <n v="0"/>
  </r>
  <r>
    <x v="9"/>
    <s v="Wayne Community College"/>
    <m/>
    <n v="199892"/>
    <x v="7"/>
    <s v="sem"/>
    <s v="sem"/>
    <m/>
    <m/>
    <n v="33753"/>
    <n v="31957"/>
    <n v="7108"/>
    <n v="7499"/>
    <n v="34562"/>
    <n v="32608"/>
    <n v="75423"/>
    <n v="2514.1"/>
    <n v="72064"/>
    <n v="2402.1333333333332"/>
    <n v="8653"/>
    <n v="10143"/>
    <n v="75423"/>
    <n v="72064"/>
    <m/>
    <m/>
    <n v="145781"/>
    <n v="145051"/>
    <n v="101034"/>
    <n v="113809"/>
    <n v="162744"/>
    <n v="156310"/>
    <n v="409559"/>
    <n v="455.06555555555553"/>
    <n v="415170"/>
    <n v="461.3"/>
    <m/>
    <m/>
    <n v="0"/>
    <n v="0"/>
  </r>
  <r>
    <x v="9"/>
    <s v="Western Piedmont Community College "/>
    <s v="Met the criteria for Two-Year 3 in 2015-16 and 2016-17."/>
    <n v="199908"/>
    <x v="7"/>
    <s v="sem"/>
    <s v="sem"/>
    <m/>
    <m/>
    <n v="20068"/>
    <n v="18024"/>
    <n v="3726"/>
    <n v="3653"/>
    <n v="20526"/>
    <n v="18837"/>
    <n v="44320"/>
    <n v="1477.3333333333333"/>
    <n v="40514"/>
    <n v="1350.4666666666667"/>
    <n v="4536"/>
    <n v="4965"/>
    <n v="44320"/>
    <n v="40514"/>
    <m/>
    <m/>
    <n v="148644"/>
    <n v="137113"/>
    <n v="89798"/>
    <n v="73037"/>
    <n v="150104"/>
    <n v="105981"/>
    <n v="388546"/>
    <n v="431.71777777777777"/>
    <n v="316131"/>
    <n v="351.25666666666666"/>
    <m/>
    <m/>
    <n v="0"/>
    <n v="0"/>
  </r>
  <r>
    <x v="9"/>
    <s v="Wilkes Community College "/>
    <m/>
    <n v="199926"/>
    <x v="7"/>
    <s v="sem"/>
    <s v="sem"/>
    <m/>
    <m/>
    <n v="25844"/>
    <n v="24063"/>
    <n v="3957"/>
    <n v="4364"/>
    <n v="27137"/>
    <n v="27106"/>
    <n v="56938"/>
    <n v="1897.9333333333334"/>
    <n v="55533"/>
    <n v="1851.1"/>
    <n v="7048"/>
    <n v="8427"/>
    <n v="56938"/>
    <n v="55533"/>
    <m/>
    <m/>
    <n v="164700"/>
    <n v="142136"/>
    <n v="123306"/>
    <n v="89090"/>
    <n v="168725"/>
    <n v="158710"/>
    <n v="456731"/>
    <n v="507.47888888888889"/>
    <n v="389936"/>
    <n v="433.26222222222225"/>
    <m/>
    <m/>
    <n v="0"/>
    <n v="0"/>
  </r>
  <r>
    <x v="9"/>
    <s v="Beaufort County Community College "/>
    <m/>
    <n v="197966"/>
    <x v="8"/>
    <s v="sem"/>
    <s v="sem"/>
    <m/>
    <m/>
    <n v="19052"/>
    <n v="12861"/>
    <n v="2382"/>
    <n v="2610"/>
    <n v="13895"/>
    <n v="13437"/>
    <n v="35329"/>
    <n v="1177.6333333333334"/>
    <n v="28908"/>
    <n v="963.6"/>
    <n v="6724"/>
    <n v="6761"/>
    <n v="35329"/>
    <n v="28908"/>
    <m/>
    <m/>
    <n v="83582"/>
    <n v="100803"/>
    <n v="85432"/>
    <n v="65736"/>
    <n v="118983"/>
    <n v="83125"/>
    <n v="287997"/>
    <n v="319.99666666666667"/>
    <n v="249664"/>
    <n v="277.40444444444444"/>
    <m/>
    <m/>
    <n v="0"/>
    <n v="0"/>
  </r>
  <r>
    <x v="9"/>
    <s v="Bladen Community College"/>
    <m/>
    <n v="198011"/>
    <x v="8"/>
    <s v="sem"/>
    <s v="sem"/>
    <m/>
    <m/>
    <n v="12419"/>
    <n v="12489"/>
    <n v="2606"/>
    <n v="2650"/>
    <n v="13202"/>
    <n v="12957"/>
    <n v="28227"/>
    <n v="940.9"/>
    <n v="28096"/>
    <n v="936.5333333333333"/>
    <n v="2240"/>
    <n v="3245"/>
    <n v="28227"/>
    <n v="28096"/>
    <m/>
    <m/>
    <n v="77519"/>
    <n v="66204"/>
    <n v="48645"/>
    <n v="40274"/>
    <n v="60080"/>
    <n v="57686"/>
    <n v="186244"/>
    <n v="206.93777777777777"/>
    <n v="164164"/>
    <n v="182.40444444444444"/>
    <m/>
    <m/>
    <n v="0"/>
    <n v="0"/>
  </r>
  <r>
    <x v="9"/>
    <s v="Blue Ridge Community College"/>
    <m/>
    <n v="198039"/>
    <x v="8"/>
    <s v="sem"/>
    <s v="sem"/>
    <m/>
    <m/>
    <n v="18797"/>
    <n v="17227"/>
    <n v="3993"/>
    <n v="3371"/>
    <n v="19363"/>
    <n v="20149"/>
    <n v="42153"/>
    <n v="1405.1"/>
    <n v="40747"/>
    <n v="1358.2333333333333"/>
    <n v="4810"/>
    <n v="4218"/>
    <n v="42153"/>
    <n v="40747"/>
    <m/>
    <m/>
    <n v="108895"/>
    <n v="139463"/>
    <n v="65876"/>
    <n v="64620"/>
    <n v="133933"/>
    <n v="131413"/>
    <n v="308704"/>
    <n v="343.00444444444446"/>
    <n v="335496"/>
    <n v="372.77333333333331"/>
    <m/>
    <m/>
    <n v="0"/>
    <n v="0"/>
  </r>
  <r>
    <x v="9"/>
    <s v="Brunswick Community College"/>
    <m/>
    <n v="198084"/>
    <x v="8"/>
    <s v="sem"/>
    <s v="sem"/>
    <m/>
    <m/>
    <n v="15023"/>
    <n v="14652"/>
    <n v="2363"/>
    <n v="2989"/>
    <n v="16133"/>
    <n v="14771"/>
    <n v="33519"/>
    <n v="1117.3"/>
    <n v="32412"/>
    <n v="1080.4000000000001"/>
    <n v="5356"/>
    <n v="5158"/>
    <n v="33519"/>
    <n v="32412"/>
    <m/>
    <m/>
    <n v="137481"/>
    <n v="127509"/>
    <n v="100144"/>
    <n v="83979"/>
    <n v="156230"/>
    <n v="153042"/>
    <n v="393855"/>
    <n v="437.61666666666667"/>
    <n v="364530"/>
    <n v="405.03333333333336"/>
    <m/>
    <m/>
    <n v="0"/>
    <n v="0"/>
  </r>
  <r>
    <x v="9"/>
    <s v="Carteret Community College"/>
    <m/>
    <n v="198206"/>
    <x v="8"/>
    <s v="sem"/>
    <s v="sem"/>
    <m/>
    <m/>
    <n v="14069"/>
    <n v="13556"/>
    <n v="3073"/>
    <n v="3081"/>
    <n v="14261"/>
    <n v="15133"/>
    <n v="31403"/>
    <n v="1046.7666666666667"/>
    <n v="31770"/>
    <n v="1059"/>
    <n v="1263"/>
    <n v="1699"/>
    <n v="31403"/>
    <n v="31770"/>
    <m/>
    <m/>
    <n v="114481"/>
    <n v="111980"/>
    <n v="69975"/>
    <n v="76327"/>
    <n v="110254"/>
    <n v="118277"/>
    <n v="294710"/>
    <n v="327.45555555555558"/>
    <n v="306584"/>
    <n v="340.64888888888891"/>
    <m/>
    <m/>
    <n v="0"/>
    <n v="0"/>
  </r>
  <r>
    <x v="9"/>
    <s v="College of the Albemarle"/>
    <m/>
    <n v="197814"/>
    <x v="8"/>
    <s v="sem"/>
    <s v="sem"/>
    <m/>
    <m/>
    <n v="22915"/>
    <n v="20851"/>
    <n v="3447"/>
    <n v="4350"/>
    <n v="21126"/>
    <n v="22265"/>
    <n v="47488"/>
    <n v="1582.9333333333334"/>
    <n v="47466"/>
    <n v="1582.2"/>
    <n v="6930"/>
    <n v="9809"/>
    <n v="47488"/>
    <n v="47466"/>
    <m/>
    <m/>
    <n v="106129"/>
    <n v="100820"/>
    <n v="43599"/>
    <n v="65982"/>
    <n v="113710"/>
    <n v="88539"/>
    <n v="263438"/>
    <n v="292.70888888888891"/>
    <n v="255341"/>
    <n v="283.71222222222224"/>
    <m/>
    <m/>
    <n v="0"/>
    <n v="0"/>
  </r>
  <r>
    <x v="9"/>
    <s v="Halifax Community College "/>
    <m/>
    <n v="198640"/>
    <x v="8"/>
    <s v="sem"/>
    <s v="sem"/>
    <m/>
    <m/>
    <n v="11470"/>
    <n v="10692"/>
    <n v="1872"/>
    <n v="2216"/>
    <n v="12041"/>
    <n v="11515"/>
    <n v="25383"/>
    <n v="846.1"/>
    <n v="24423"/>
    <n v="814.1"/>
    <n v="2733"/>
    <n v="3675"/>
    <n v="25383"/>
    <n v="24423"/>
    <m/>
    <m/>
    <n v="99092"/>
    <n v="94507"/>
    <n v="44094"/>
    <n v="53204"/>
    <n v="87284"/>
    <n v="91926"/>
    <n v="230470"/>
    <n v="256.07777777777778"/>
    <n v="239637"/>
    <n v="266.26333333333332"/>
    <m/>
    <m/>
    <n v="0"/>
    <n v="0"/>
  </r>
  <r>
    <x v="9"/>
    <s v="Haywood Community College"/>
    <m/>
    <n v="198668"/>
    <x v="8"/>
    <s v="sem"/>
    <s v="sem"/>
    <m/>
    <m/>
    <n v="16442"/>
    <n v="15264"/>
    <n v="3635"/>
    <n v="3827"/>
    <n v="16370"/>
    <n v="16193"/>
    <n v="36447"/>
    <n v="1214.9000000000001"/>
    <n v="35284"/>
    <n v="1176.1333333333334"/>
    <n v="4178"/>
    <n v="5160"/>
    <n v="36447"/>
    <n v="35284"/>
    <m/>
    <m/>
    <n v="67322"/>
    <n v="71404"/>
    <n v="41334"/>
    <n v="36239"/>
    <n v="68870"/>
    <n v="75505"/>
    <n v="177526"/>
    <n v="197.2511111111111"/>
    <n v="183148"/>
    <n v="203.49777777777777"/>
    <m/>
    <m/>
    <n v="0"/>
    <n v="0"/>
  </r>
  <r>
    <x v="9"/>
    <s v="Isothermal Community College "/>
    <m/>
    <n v="198710"/>
    <x v="8"/>
    <s v="sem"/>
    <s v="sem"/>
    <m/>
    <m/>
    <n v="19590.5"/>
    <n v="18842"/>
    <n v="3476"/>
    <n v="4573"/>
    <n v="19870"/>
    <n v="19054"/>
    <n v="42936.5"/>
    <n v="1431.2166666666667"/>
    <n v="42469"/>
    <n v="1415.6333333333334"/>
    <n v="9492.5"/>
    <n v="10147"/>
    <n v="42936.5"/>
    <n v="42469"/>
    <m/>
    <m/>
    <n v="78217"/>
    <n v="72928"/>
    <n v="60040"/>
    <n v="54944"/>
    <n v="64890"/>
    <n v="77623"/>
    <n v="203147"/>
    <n v="225.7188888888889"/>
    <n v="205495"/>
    <n v="228.32777777777778"/>
    <m/>
    <m/>
    <n v="0"/>
    <n v="0"/>
  </r>
  <r>
    <x v="9"/>
    <s v="James Sprunt Community College"/>
    <m/>
    <n v="198729"/>
    <x v="8"/>
    <s v="sem"/>
    <s v="sem"/>
    <m/>
    <m/>
    <n v="11318"/>
    <n v="11005"/>
    <n v="762"/>
    <n v="2038"/>
    <n v="11462"/>
    <n v="11236"/>
    <n v="23542"/>
    <n v="784.73333333333335"/>
    <n v="24279"/>
    <n v="809.3"/>
    <n v="4204"/>
    <n v="4889"/>
    <n v="23542"/>
    <n v="24279"/>
    <m/>
    <m/>
    <n v="69709"/>
    <n v="61554"/>
    <n v="37412"/>
    <n v="37214"/>
    <n v="46217"/>
    <n v="61005"/>
    <n v="153338"/>
    <n v="170.37555555555556"/>
    <n v="159773"/>
    <n v="177.52555555555554"/>
    <m/>
    <m/>
    <n v="0"/>
    <n v="0"/>
  </r>
  <r>
    <x v="9"/>
    <s v="Martin Community College "/>
    <m/>
    <n v="198905"/>
    <x v="8"/>
    <s v="sem"/>
    <s v="sem"/>
    <m/>
    <m/>
    <n v="5818"/>
    <n v="6919"/>
    <n v="708"/>
    <n v="1023"/>
    <n v="6874"/>
    <n v="7725"/>
    <n v="13400"/>
    <n v="446.66666666666669"/>
    <n v="15667"/>
    <n v="522.23333333333335"/>
    <n v="3697"/>
    <n v="7290"/>
    <n v="13400"/>
    <n v="15667"/>
    <m/>
    <m/>
    <n v="63569"/>
    <n v="69328"/>
    <n v="49378"/>
    <n v="34145"/>
    <n v="99697"/>
    <n v="85020"/>
    <n v="212644"/>
    <n v="236.27111111111111"/>
    <n v="188493"/>
    <n v="209.43666666666667"/>
    <m/>
    <m/>
    <n v="0"/>
    <n v="0"/>
  </r>
  <r>
    <x v="9"/>
    <s v="Mayland Community College"/>
    <m/>
    <n v="198914"/>
    <x v="8"/>
    <s v="sem"/>
    <s v="sem"/>
    <m/>
    <m/>
    <n v="9522.5"/>
    <n v="8680.5"/>
    <n v="456.5"/>
    <n v="740"/>
    <n v="9583"/>
    <n v="10342"/>
    <n v="19562"/>
    <n v="652.06666666666672"/>
    <n v="19762.5"/>
    <n v="658.75"/>
    <n v="2987"/>
    <n v="5376"/>
    <n v="19562"/>
    <n v="19762.5"/>
    <m/>
    <m/>
    <n v="182278"/>
    <n v="193181"/>
    <n v="146480"/>
    <n v="128275"/>
    <n v="173709"/>
    <n v="155829"/>
    <n v="502467"/>
    <n v="558.29666666666662"/>
    <n v="477285"/>
    <n v="530.31666666666672"/>
    <m/>
    <m/>
    <n v="0"/>
    <n v="0"/>
  </r>
  <r>
    <x v="9"/>
    <s v="McDowell Technical Community College"/>
    <m/>
    <n v="198923"/>
    <x v="8"/>
    <s v="sem"/>
    <s v="sem"/>
    <m/>
    <m/>
    <n v="9731"/>
    <n v="9378"/>
    <n v="2405"/>
    <n v="2554"/>
    <n v="10173"/>
    <n v="10048"/>
    <n v="22309"/>
    <n v="743.63333333333333"/>
    <n v="21980"/>
    <n v="732.66666666666663"/>
    <n v="5552"/>
    <n v="6019"/>
    <n v="22309"/>
    <n v="21980"/>
    <m/>
    <m/>
    <n v="115721"/>
    <n v="94430"/>
    <n v="69267"/>
    <n v="41929"/>
    <n v="89980"/>
    <n v="63493"/>
    <n v="274968"/>
    <n v="305.52"/>
    <n v="199852"/>
    <n v="222.05777777777777"/>
    <m/>
    <m/>
    <n v="0"/>
    <n v="0"/>
  </r>
  <r>
    <x v="9"/>
    <s v="Montgomery Community College"/>
    <m/>
    <n v="199023"/>
    <x v="8"/>
    <s v="sem"/>
    <s v="sem"/>
    <m/>
    <m/>
    <n v="7528"/>
    <n v="6584"/>
    <n v="1222"/>
    <n v="1258"/>
    <n v="7735"/>
    <n v="8130"/>
    <n v="16485"/>
    <n v="549.5"/>
    <n v="15972"/>
    <n v="532.4"/>
    <n v="1684"/>
    <n v="1540"/>
    <n v="16485"/>
    <n v="15972"/>
    <m/>
    <m/>
    <n v="56138"/>
    <n v="62829"/>
    <n v="35045"/>
    <n v="35449"/>
    <n v="57072"/>
    <n v="54425"/>
    <n v="148255"/>
    <n v="164.72777777777779"/>
    <n v="152703"/>
    <n v="169.67"/>
    <m/>
    <m/>
    <n v="0"/>
    <n v="0"/>
  </r>
  <r>
    <x v="9"/>
    <s v="Pamlico Community College"/>
    <m/>
    <n v="199263"/>
    <x v="8"/>
    <s v="sem"/>
    <s v="sem"/>
    <m/>
    <m/>
    <n v="4453"/>
    <n v="4638"/>
    <n v="711"/>
    <n v="933"/>
    <n v="4903"/>
    <n v="4926"/>
    <n v="10067"/>
    <n v="335.56666666666666"/>
    <n v="10497"/>
    <n v="349.9"/>
    <n v="1191"/>
    <n v="1601"/>
    <n v="10067"/>
    <n v="10497"/>
    <m/>
    <m/>
    <n v="46676"/>
    <n v="32073"/>
    <n v="31923"/>
    <n v="29437"/>
    <n v="39137"/>
    <n v="40034"/>
    <n v="117736"/>
    <n v="130.81777777777779"/>
    <n v="101544"/>
    <n v="112.82666666666667"/>
    <m/>
    <m/>
    <n v="0"/>
    <n v="0"/>
  </r>
  <r>
    <x v="9"/>
    <s v="Piedmont Community College"/>
    <m/>
    <n v="199324"/>
    <x v="8"/>
    <s v="sem"/>
    <s v="sem"/>
    <m/>
    <m/>
    <n v="12565"/>
    <n v="11358"/>
    <n v="1746"/>
    <n v="1665.5"/>
    <n v="12737.5"/>
    <n v="11736"/>
    <n v="27048.5"/>
    <n v="901.61666666666667"/>
    <n v="24759.5"/>
    <n v="825.31666666666672"/>
    <n v="2604"/>
    <n v="2655.5"/>
    <n v="27048.5"/>
    <n v="24759.5"/>
    <m/>
    <m/>
    <n v="154167"/>
    <n v="145046"/>
    <n v="92181"/>
    <n v="89912"/>
    <n v="156168"/>
    <n v="150676"/>
    <n v="402516"/>
    <n v="447.24"/>
    <n v="385634"/>
    <n v="428.48222222222222"/>
    <m/>
    <m/>
    <n v="0"/>
    <n v="0"/>
  </r>
  <r>
    <x v="9"/>
    <s v="Roanoke-Chowan Community College"/>
    <m/>
    <n v="199467"/>
    <x v="8"/>
    <s v="sem"/>
    <s v="sem"/>
    <m/>
    <m/>
    <n v="7385"/>
    <n v="6715"/>
    <n v="628"/>
    <n v="663"/>
    <n v="7617"/>
    <n v="7824"/>
    <n v="15630"/>
    <n v="521"/>
    <n v="15202"/>
    <n v="506.73333333333335"/>
    <n v="2610"/>
    <n v="3783"/>
    <n v="15630"/>
    <n v="15202"/>
    <m/>
    <m/>
    <n v="56321"/>
    <n v="63655"/>
    <n v="40676"/>
    <n v="51234"/>
    <n v="64965"/>
    <n v="54474"/>
    <n v="161962"/>
    <n v="179.95777777777778"/>
    <n v="169363"/>
    <n v="188.18111111111111"/>
    <m/>
    <m/>
    <n v="0"/>
    <n v="0"/>
  </r>
  <r>
    <x v="9"/>
    <s v="Rockingham Community College "/>
    <m/>
    <n v="199485"/>
    <x v="8"/>
    <s v="sem"/>
    <s v="sem"/>
    <m/>
    <m/>
    <n v="16267"/>
    <n v="15010"/>
    <n v="3169"/>
    <n v="3046"/>
    <n v="17008"/>
    <n v="16104"/>
    <n v="36444"/>
    <n v="1214.8"/>
    <n v="34160"/>
    <n v="1138.6666666666667"/>
    <n v="4507"/>
    <n v="5482"/>
    <n v="36444"/>
    <n v="34160"/>
    <m/>
    <m/>
    <n v="61908"/>
    <n v="64180"/>
    <n v="45656"/>
    <n v="43755"/>
    <n v="80379"/>
    <n v="70912"/>
    <n v="187943"/>
    <n v="208.82555555555555"/>
    <n v="178847"/>
    <n v="198.7188888888889"/>
    <m/>
    <m/>
    <n v="0"/>
    <n v="0"/>
  </r>
  <r>
    <x v="9"/>
    <s v="Sampson Community College"/>
    <m/>
    <n v="199625"/>
    <x v="8"/>
    <s v="sem"/>
    <s v="sem"/>
    <m/>
    <m/>
    <n v="12965"/>
    <n v="12365"/>
    <n v="1584"/>
    <n v="2924"/>
    <n v="13391"/>
    <n v="14028"/>
    <n v="27940"/>
    <n v="931.33333333333337"/>
    <n v="29317"/>
    <n v="977.23333333333335"/>
    <n v="4997"/>
    <n v="6646"/>
    <n v="27940"/>
    <n v="29317"/>
    <m/>
    <m/>
    <n v="137899"/>
    <n v="134848"/>
    <n v="108715"/>
    <n v="97317"/>
    <n v="177033"/>
    <n v="160679"/>
    <n v="423647"/>
    <n v="470.7188888888889"/>
    <n v="392844"/>
    <n v="436.49333333333334"/>
    <m/>
    <m/>
    <n v="0"/>
    <n v="0"/>
  </r>
  <r>
    <x v="9"/>
    <s v="South Piedmont Community College"/>
    <s v="Met the criteria for Two-Year 2 in 2016-17."/>
    <n v="197850"/>
    <x v="8"/>
    <s v="sem"/>
    <s v="sem"/>
    <m/>
    <m/>
    <n v="20638"/>
    <n v="20118"/>
    <n v="3462"/>
    <n v="3893"/>
    <n v="21391"/>
    <n v="21549"/>
    <n v="45491"/>
    <n v="1516.3666666666666"/>
    <n v="45560"/>
    <n v="1518.6666666666667"/>
    <n v="10569"/>
    <n v="13649"/>
    <n v="45491"/>
    <n v="45560"/>
    <m/>
    <m/>
    <n v="189477"/>
    <n v="228146"/>
    <n v="127956"/>
    <n v="123537"/>
    <n v="253211"/>
    <n v="202296"/>
    <n v="570644"/>
    <n v="634.04888888888888"/>
    <n v="553979"/>
    <n v="615.53222222222223"/>
    <m/>
    <m/>
    <n v="0"/>
    <n v="0"/>
  </r>
  <r>
    <x v="9"/>
    <s v="Southeastern Community College "/>
    <m/>
    <n v="199722"/>
    <x v="8"/>
    <s v="sem"/>
    <s v="sem"/>
    <m/>
    <m/>
    <n v="13194"/>
    <n v="13124"/>
    <n v="3437"/>
    <n v="3600"/>
    <n v="13786"/>
    <n v="12758"/>
    <n v="30417"/>
    <n v="1013.9"/>
    <n v="29482"/>
    <n v="982.73333333333335"/>
    <n v="3842"/>
    <n v="3931"/>
    <n v="30417"/>
    <n v="29482"/>
    <m/>
    <m/>
    <n v="248065"/>
    <n v="250386"/>
    <n v="152863"/>
    <n v="151586"/>
    <n v="260389"/>
    <n v="216359"/>
    <n v="661317"/>
    <n v="734.79666666666662"/>
    <n v="618331"/>
    <n v="687.03444444444449"/>
    <m/>
    <m/>
    <n v="0"/>
    <n v="0"/>
  </r>
  <r>
    <x v="9"/>
    <s v="Southwestern Community College "/>
    <s v="Met the criteria for Two-Year 2 in 2016-17."/>
    <n v="199731"/>
    <x v="8"/>
    <s v="sem"/>
    <s v="sem"/>
    <m/>
    <m/>
    <n v="22879"/>
    <n v="22929"/>
    <n v="4212"/>
    <n v="4039"/>
    <n v="24153"/>
    <n v="23326"/>
    <n v="51244"/>
    <n v="1708.1333333333334"/>
    <n v="50294"/>
    <n v="1676.4666666666667"/>
    <n v="8697"/>
    <n v="10369"/>
    <n v="51244"/>
    <n v="50294"/>
    <m/>
    <m/>
    <n v="142728"/>
    <n v="157061"/>
    <n v="85135"/>
    <n v="71249"/>
    <n v="164031"/>
    <n v="129766"/>
    <n v="391894"/>
    <n v="435.4377777777778"/>
    <n v="358076"/>
    <n v="397.86222222222221"/>
    <m/>
    <m/>
    <n v="0"/>
    <n v="0"/>
  </r>
  <r>
    <x v="9"/>
    <s v="Tri-County Community College "/>
    <m/>
    <n v="199795"/>
    <x v="8"/>
    <s v="sem"/>
    <s v="sem"/>
    <m/>
    <m/>
    <n v="11807"/>
    <n v="10835"/>
    <n v="1962"/>
    <n v="1814"/>
    <n v="11693"/>
    <n v="10947"/>
    <n v="25462"/>
    <n v="848.73333333333335"/>
    <n v="23596"/>
    <n v="786.5333333333333"/>
    <n v="5589"/>
    <n v="6562"/>
    <n v="25462"/>
    <n v="23596"/>
    <m/>
    <m/>
    <n v="55031"/>
    <n v="49067"/>
    <n v="57851"/>
    <n v="32066"/>
    <n v="75060"/>
    <n v="49611"/>
    <n v="187942"/>
    <n v="208.82444444444445"/>
    <n v="130744"/>
    <n v="145.27111111111111"/>
    <m/>
    <m/>
    <n v="0"/>
    <n v="0"/>
  </r>
  <r>
    <x v="9"/>
    <s v="Wilson Community College"/>
    <m/>
    <n v="199953"/>
    <x v="8"/>
    <s v="sem"/>
    <s v="sem"/>
    <m/>
    <m/>
    <n v="16261"/>
    <n v="15536.5"/>
    <n v="5644"/>
    <n v="6009"/>
    <n v="15938"/>
    <n v="16224"/>
    <n v="37843"/>
    <n v="1261.4333333333334"/>
    <n v="37769.5"/>
    <n v="1258.9833333333333"/>
    <n v="5128"/>
    <n v="7115.5"/>
    <n v="37843"/>
    <n v="37769.5"/>
    <m/>
    <m/>
    <n v="107967"/>
    <n v="114066"/>
    <n v="67928"/>
    <n v="68779"/>
    <n v="119746"/>
    <n v="111304"/>
    <n v="295641"/>
    <n v="328.49"/>
    <n v="294149"/>
    <n v="326.83222222222224"/>
    <m/>
    <m/>
    <n v="0"/>
    <n v="0"/>
  </r>
  <r>
    <x v="9"/>
    <s v="North Carolina State University "/>
    <m/>
    <n v="199193"/>
    <x v="0"/>
    <s v="sem"/>
    <s v="sem"/>
    <m/>
    <m/>
    <n v="312205"/>
    <n v="304842"/>
    <n v="48937"/>
    <n v="45980"/>
    <n v="330596"/>
    <n v="327142"/>
    <n v="691738"/>
    <n v="23057.933333333334"/>
    <n v="677964"/>
    <n v="22598.799999999999"/>
    <n v="1291"/>
    <n v="1603"/>
    <n v="691738"/>
    <n v="677964"/>
    <m/>
    <m/>
    <m/>
    <m/>
    <m/>
    <m/>
    <m/>
    <m/>
    <n v="0"/>
    <n v="0"/>
    <n v="0"/>
    <n v="0"/>
    <m/>
    <m/>
    <n v="0"/>
    <n v="0"/>
  </r>
  <r>
    <x v="9"/>
    <s v="University of North Carolina at Chapel Hill "/>
    <m/>
    <n v="199120"/>
    <x v="0"/>
    <s v="sem"/>
    <s v="sem"/>
    <m/>
    <m/>
    <n v="228885"/>
    <n v="235317"/>
    <n v="29153"/>
    <n v="29284"/>
    <n v="245001"/>
    <n v="252297"/>
    <n v="503039"/>
    <n v="16767.966666666667"/>
    <n v="516898"/>
    <n v="17229.933333333334"/>
    <n v="50"/>
    <n v="0"/>
    <n v="503039"/>
    <n v="516898"/>
    <m/>
    <m/>
    <m/>
    <m/>
    <m/>
    <m/>
    <m/>
    <m/>
    <n v="0"/>
    <n v="0"/>
    <n v="0"/>
    <n v="0"/>
    <m/>
    <m/>
    <n v="0"/>
    <n v="0"/>
  </r>
  <r>
    <x v="9"/>
    <s v="University of North Carolina at Charlotte"/>
    <m/>
    <n v="199139"/>
    <x v="0"/>
    <s v="sem"/>
    <s v="sem"/>
    <m/>
    <m/>
    <n v="279158"/>
    <n v="289299"/>
    <n v="47138"/>
    <n v="49444"/>
    <n v="307531"/>
    <n v="317716"/>
    <n v="633827"/>
    <n v="21127.566666666666"/>
    <n v="656459"/>
    <n v="21881.966666666667"/>
    <n v="0"/>
    <n v="570"/>
    <n v="633827"/>
    <n v="656459"/>
    <m/>
    <m/>
    <m/>
    <m/>
    <m/>
    <m/>
    <m/>
    <m/>
    <n v="0"/>
    <n v="0"/>
    <n v="0"/>
    <n v="0"/>
    <m/>
    <m/>
    <n v="0"/>
    <n v="0"/>
  </r>
  <r>
    <x v="9"/>
    <s v="University of North Carolina at Greensboro"/>
    <m/>
    <n v="199148"/>
    <x v="0"/>
    <s v="sem"/>
    <s v="sem"/>
    <m/>
    <m/>
    <n v="186617"/>
    <n v="197145"/>
    <n v="26424"/>
    <n v="28484"/>
    <n v="206694"/>
    <n v="218310"/>
    <n v="419735"/>
    <n v="13991.166666666666"/>
    <n v="443939"/>
    <n v="14797.966666666667"/>
    <n v="3939"/>
    <n v="2681"/>
    <n v="419735"/>
    <n v="443939"/>
    <m/>
    <m/>
    <m/>
    <m/>
    <m/>
    <m/>
    <m/>
    <m/>
    <n v="0"/>
    <n v="0"/>
    <n v="0"/>
    <n v="0"/>
    <m/>
    <m/>
    <n v="0"/>
    <n v="0"/>
  </r>
  <r>
    <x v="9"/>
    <s v="East Carolina University "/>
    <m/>
    <n v="198464"/>
    <x v="1"/>
    <s v="sem"/>
    <s v="sem"/>
    <m/>
    <m/>
    <n v="268497"/>
    <n v="280629"/>
    <n v="49661"/>
    <n v="51546"/>
    <n v="297176"/>
    <n v="303827"/>
    <n v="615334"/>
    <n v="20511.133333333335"/>
    <n v="636002"/>
    <n v="21200.066666666666"/>
    <n v="6035"/>
    <n v="2672"/>
    <n v="615334"/>
    <n v="636002"/>
    <m/>
    <m/>
    <m/>
    <m/>
    <m/>
    <m/>
    <m/>
    <m/>
    <n v="0"/>
    <n v="0"/>
    <n v="0"/>
    <n v="0"/>
    <m/>
    <m/>
    <n v="0"/>
    <n v="0"/>
  </r>
  <r>
    <x v="9"/>
    <s v="Appalachian State University "/>
    <m/>
    <n v="197869"/>
    <x v="2"/>
    <s v="sem"/>
    <s v="sem"/>
    <m/>
    <m/>
    <n v="220984"/>
    <n v="221773"/>
    <n v="37420"/>
    <n v="38319"/>
    <n v="230651"/>
    <n v="240631"/>
    <n v="489055"/>
    <n v="16301.833333333334"/>
    <n v="500723"/>
    <n v="16690.766666666666"/>
    <n v="0"/>
    <n v="0"/>
    <n v="489055"/>
    <n v="500723"/>
    <m/>
    <m/>
    <m/>
    <m/>
    <m/>
    <m/>
    <m/>
    <m/>
    <n v="0"/>
    <n v="0"/>
    <n v="0"/>
    <n v="0"/>
    <m/>
    <m/>
    <n v="0"/>
    <n v="0"/>
  </r>
  <r>
    <x v="9"/>
    <s v="North Carolina A&amp;T State University"/>
    <s v="Met the criteria for Four-Year 2 in  2016-17."/>
    <n v="199102"/>
    <x v="2"/>
    <s v="sem"/>
    <s v="sem"/>
    <m/>
    <m/>
    <n v="116628"/>
    <n v="124349"/>
    <n v="15475"/>
    <n v="16594"/>
    <n v="126172"/>
    <n v="135755"/>
    <n v="258275"/>
    <n v="8609.1666666666661"/>
    <n v="276698"/>
    <n v="9223.2666666666664"/>
    <n v="347"/>
    <n v="0"/>
    <n v="258275"/>
    <n v="276698"/>
    <m/>
    <m/>
    <m/>
    <m/>
    <m/>
    <m/>
    <m/>
    <m/>
    <n v="0"/>
    <n v="0"/>
    <n v="0"/>
    <n v="0"/>
    <m/>
    <m/>
    <n v="0"/>
    <n v="0"/>
  </r>
  <r>
    <x v="9"/>
    <s v="North Carolina Central University "/>
    <m/>
    <n v="199157"/>
    <x v="2"/>
    <s v="sem"/>
    <s v="sem"/>
    <m/>
    <m/>
    <n v="75455"/>
    <n v="78214"/>
    <n v="18797"/>
    <n v="18478"/>
    <n v="83436"/>
    <n v="84964"/>
    <n v="177688"/>
    <n v="5922.9333333333334"/>
    <n v="181656"/>
    <n v="6055.2"/>
    <n v="4541"/>
    <n v="2191"/>
    <n v="177688"/>
    <n v="181656"/>
    <m/>
    <m/>
    <m/>
    <m/>
    <m/>
    <m/>
    <m/>
    <m/>
    <n v="0"/>
    <n v="0"/>
    <n v="0"/>
    <n v="0"/>
    <m/>
    <m/>
    <n v="0"/>
    <n v="0"/>
  </r>
  <r>
    <x v="9"/>
    <s v="University of North Carolina at Wilmington"/>
    <m/>
    <n v="199218"/>
    <x v="2"/>
    <s v="sem"/>
    <s v="sem"/>
    <m/>
    <m/>
    <n v="167872"/>
    <n v="171631"/>
    <n v="36163"/>
    <n v="38073"/>
    <n v="182198"/>
    <n v="189082"/>
    <n v="386233"/>
    <n v="12874.433333333332"/>
    <n v="398786"/>
    <n v="13292.866666666667"/>
    <n v="1233"/>
    <n v="600"/>
    <n v="386233"/>
    <n v="398786"/>
    <m/>
    <m/>
    <m/>
    <m/>
    <m/>
    <m/>
    <m/>
    <m/>
    <n v="0"/>
    <n v="0"/>
    <n v="0"/>
    <n v="0"/>
    <m/>
    <m/>
    <n v="0"/>
    <n v="0"/>
  </r>
  <r>
    <x v="9"/>
    <s v="Western Carolina University "/>
    <m/>
    <n v="200004"/>
    <x v="2"/>
    <s v="sem"/>
    <s v="sem"/>
    <m/>
    <m/>
    <n v="109408"/>
    <n v="109981"/>
    <n v="16411"/>
    <n v="17951"/>
    <n v="118776"/>
    <n v="124657"/>
    <n v="244595"/>
    <n v="8153.166666666667"/>
    <n v="252589"/>
    <n v="8419.6333333333332"/>
    <n v="0"/>
    <n v="0"/>
    <n v="244595"/>
    <n v="252589"/>
    <m/>
    <m/>
    <m/>
    <m/>
    <m/>
    <m/>
    <m/>
    <m/>
    <n v="0"/>
    <n v="0"/>
    <n v="0"/>
    <n v="0"/>
    <m/>
    <m/>
    <n v="0"/>
    <n v="0"/>
  </r>
  <r>
    <x v="9"/>
    <s v="Fayetteville State University "/>
    <m/>
    <n v="198543"/>
    <x v="3"/>
    <s v="sem"/>
    <s v="sem"/>
    <m/>
    <m/>
    <n v="63646"/>
    <n v="62358"/>
    <n v="19479"/>
    <n v="17171"/>
    <n v="68258"/>
    <n v="68439"/>
    <n v="151383"/>
    <n v="5046.1000000000004"/>
    <n v="147968"/>
    <n v="4932.2666666666664"/>
    <n v="2693"/>
    <n v="7389"/>
    <n v="151383"/>
    <n v="147968"/>
    <m/>
    <m/>
    <m/>
    <m/>
    <m/>
    <m/>
    <m/>
    <m/>
    <n v="0"/>
    <n v="0"/>
    <n v="0"/>
    <n v="0"/>
    <m/>
    <m/>
    <n v="0"/>
    <n v="0"/>
  </r>
  <r>
    <x v="9"/>
    <s v="University of North Carolina at Pembroke"/>
    <m/>
    <n v="199281"/>
    <x v="4"/>
    <s v="sem"/>
    <s v="sem"/>
    <m/>
    <m/>
    <n v="62841"/>
    <n v="66318"/>
    <n v="15883"/>
    <n v="14891"/>
    <n v="73285"/>
    <n v="71548"/>
    <n v="152009"/>
    <n v="5066.9666666666662"/>
    <n v="152757"/>
    <n v="5091.8999999999996"/>
    <n v="0"/>
    <n v="0"/>
    <n v="152009"/>
    <n v="152757"/>
    <m/>
    <m/>
    <m/>
    <m/>
    <m/>
    <m/>
    <m/>
    <m/>
    <n v="0"/>
    <n v="0"/>
    <n v="0"/>
    <n v="0"/>
    <m/>
    <m/>
    <n v="0"/>
    <n v="0"/>
  </r>
  <r>
    <x v="9"/>
    <s v="Winston-Salem State University "/>
    <m/>
    <n v="199999"/>
    <x v="4"/>
    <s v="sem"/>
    <s v="sem"/>
    <m/>
    <m/>
    <n v="56953"/>
    <n v="59213"/>
    <n v="9755"/>
    <n v="9135"/>
    <n v="62494"/>
    <n v="64636"/>
    <n v="129202"/>
    <n v="4306.7333333333336"/>
    <n v="132984"/>
    <n v="4432.8"/>
    <n v="0"/>
    <n v="0"/>
    <n v="129202"/>
    <n v="132984"/>
    <m/>
    <m/>
    <m/>
    <m/>
    <m/>
    <m/>
    <m/>
    <m/>
    <n v="0"/>
    <n v="0"/>
    <n v="0"/>
    <n v="0"/>
    <m/>
    <m/>
    <n v="0"/>
    <n v="0"/>
  </r>
  <r>
    <x v="9"/>
    <s v="Elizabeth City State University "/>
    <m/>
    <n v="198507"/>
    <x v="5"/>
    <s v="sem"/>
    <s v="sem"/>
    <m/>
    <m/>
    <n v="22900"/>
    <n v="21105"/>
    <n v="4290"/>
    <n v="3492"/>
    <n v="21968"/>
    <n v="18738"/>
    <n v="49158"/>
    <n v="1638.6"/>
    <n v="43335"/>
    <n v="1444.5"/>
    <n v="0"/>
    <n v="0"/>
    <n v="49158"/>
    <n v="43335"/>
    <m/>
    <m/>
    <m/>
    <m/>
    <m/>
    <m/>
    <m/>
    <m/>
    <n v="0"/>
    <n v="0"/>
    <n v="0"/>
    <n v="0"/>
    <m/>
    <m/>
    <n v="0"/>
    <n v="0"/>
  </r>
  <r>
    <x v="9"/>
    <s v="University of North Carolina at Asheville"/>
    <m/>
    <n v="199111"/>
    <x v="5"/>
    <s v="sem"/>
    <s v="sem"/>
    <m/>
    <m/>
    <n v="46573"/>
    <n v="48083"/>
    <n v="4625"/>
    <n v="4485"/>
    <n v="51674"/>
    <n v="50775"/>
    <n v="102872"/>
    <n v="3429.0666666666666"/>
    <n v="103343"/>
    <n v="3444.7666666666669"/>
    <n v="0"/>
    <n v="0"/>
    <n v="102872"/>
    <n v="103343"/>
    <m/>
    <m/>
    <m/>
    <m/>
    <m/>
    <m/>
    <m/>
    <m/>
    <n v="0"/>
    <n v="0"/>
    <n v="0"/>
    <n v="0"/>
    <m/>
    <m/>
    <n v="0"/>
    <n v="0"/>
  </r>
  <r>
    <x v="10"/>
    <s v="Canadian Valley Technology Center                 "/>
    <m/>
    <n v="365374"/>
    <x v="9"/>
    <s v="sem"/>
    <m/>
    <m/>
    <m/>
    <m/>
    <m/>
    <m/>
    <m/>
    <m/>
    <m/>
    <n v="0"/>
    <n v="0"/>
    <n v="0"/>
    <n v="0"/>
    <m/>
    <m/>
    <n v="0"/>
    <n v="0"/>
    <m/>
    <m/>
    <m/>
    <m/>
    <m/>
    <m/>
    <n v="944778.75"/>
    <n v="931535"/>
    <n v="944778.75"/>
    <n v="1049.7541666666666"/>
    <n v="931535"/>
    <n v="1035.0388888888888"/>
    <m/>
    <m/>
    <n v="0"/>
    <n v="0"/>
  </r>
  <r>
    <x v="10"/>
    <s v="Francis Tuttle Technology Center                  "/>
    <m/>
    <n v="245999"/>
    <x v="9"/>
    <s v="sem"/>
    <m/>
    <m/>
    <m/>
    <m/>
    <m/>
    <m/>
    <m/>
    <m/>
    <m/>
    <n v="0"/>
    <n v="0"/>
    <n v="0"/>
    <n v="0"/>
    <m/>
    <m/>
    <n v="0"/>
    <n v="0"/>
    <m/>
    <m/>
    <m/>
    <m/>
    <m/>
    <m/>
    <n v="1635128.74"/>
    <n v="1646011.5"/>
    <n v="1635128.74"/>
    <n v="1816.809711111111"/>
    <n v="1646011.5"/>
    <n v="1828.9016666666666"/>
    <m/>
    <m/>
    <n v="0"/>
    <n v="0"/>
  </r>
  <r>
    <x v="10"/>
    <s v="Metro Technology Centers                          "/>
    <s v="Met the criteria for Technical Institute or College 2 in 2015-16 and 2016-17."/>
    <n v="363165"/>
    <x v="9"/>
    <s v="sem"/>
    <m/>
    <m/>
    <m/>
    <m/>
    <m/>
    <m/>
    <m/>
    <m/>
    <m/>
    <n v="0"/>
    <n v="0"/>
    <n v="0"/>
    <n v="0"/>
    <m/>
    <m/>
    <n v="0"/>
    <n v="0"/>
    <m/>
    <m/>
    <m/>
    <m/>
    <m/>
    <m/>
    <n v="827239.3"/>
    <n v="820608.6"/>
    <n v="827239.3"/>
    <n v="919.15477777777778"/>
    <n v="820608.6"/>
    <n v="911.78733333333332"/>
    <m/>
    <m/>
    <n v="0"/>
    <n v="0"/>
  </r>
  <r>
    <x v="10"/>
    <s v="Tulsa Technology Center-Lemley Campus             "/>
    <m/>
    <n v="261375"/>
    <x v="9"/>
    <s v="sem"/>
    <m/>
    <m/>
    <m/>
    <m/>
    <m/>
    <m/>
    <m/>
    <m/>
    <m/>
    <n v="0"/>
    <n v="0"/>
    <n v="0"/>
    <n v="0"/>
    <m/>
    <m/>
    <n v="0"/>
    <n v="0"/>
    <m/>
    <m/>
    <m/>
    <m/>
    <m/>
    <m/>
    <n v="903772.5"/>
    <n v="949790.5"/>
    <n v="903772.5"/>
    <n v="1004.1916666666667"/>
    <n v="949790.5"/>
    <n v="1055.3227777777777"/>
    <m/>
    <m/>
    <n v="0"/>
    <n v="0"/>
  </r>
  <r>
    <x v="10"/>
    <s v="Autry Technology Center                           "/>
    <m/>
    <n v="365213"/>
    <x v="10"/>
    <s v="sem"/>
    <m/>
    <m/>
    <m/>
    <m/>
    <m/>
    <m/>
    <m/>
    <m/>
    <m/>
    <n v="0"/>
    <n v="0"/>
    <n v="0"/>
    <n v="0"/>
    <m/>
    <m/>
    <n v="0"/>
    <n v="0"/>
    <m/>
    <m/>
    <m/>
    <m/>
    <m/>
    <m/>
    <n v="512368.79"/>
    <n v="473773.35"/>
    <n v="512368.79"/>
    <n v="569.29865555555557"/>
    <n v="473773.35"/>
    <n v="526.41483333333326"/>
    <m/>
    <m/>
    <n v="0"/>
    <n v="0"/>
  </r>
  <r>
    <x v="10"/>
    <s v="Caddo Kiowa Technology Center                     "/>
    <m/>
    <n v="364946"/>
    <x v="10"/>
    <s v="sem"/>
    <m/>
    <m/>
    <m/>
    <m/>
    <m/>
    <m/>
    <m/>
    <m/>
    <m/>
    <n v="0"/>
    <n v="0"/>
    <n v="0"/>
    <n v="0"/>
    <m/>
    <m/>
    <n v="0"/>
    <n v="0"/>
    <m/>
    <m/>
    <m/>
    <m/>
    <m/>
    <m/>
    <n v="326203.46000000002"/>
    <n v="289322.03999999998"/>
    <n v="326203.46000000002"/>
    <n v="362.4482888888889"/>
    <n v="289322.03999999998"/>
    <n v="321.46893333333333"/>
    <m/>
    <m/>
    <n v="0"/>
    <n v="0"/>
  </r>
  <r>
    <x v="10"/>
    <s v="Central Technology Center                         "/>
    <m/>
    <n v="246017"/>
    <x v="10"/>
    <s v="sem"/>
    <m/>
    <m/>
    <m/>
    <m/>
    <m/>
    <m/>
    <m/>
    <m/>
    <m/>
    <n v="0"/>
    <n v="0"/>
    <n v="0"/>
    <n v="0"/>
    <m/>
    <m/>
    <n v="0"/>
    <n v="0"/>
    <m/>
    <m/>
    <m/>
    <m/>
    <m/>
    <m/>
    <n v="674821.75"/>
    <n v="728961.1"/>
    <n v="674821.75"/>
    <n v="749.80194444444442"/>
    <n v="728961.1"/>
    <n v="809.9567777777778"/>
    <m/>
    <m/>
    <n v="0"/>
    <n v="0"/>
  </r>
  <r>
    <x v="10"/>
    <s v="Chisholm Trail Technology Center                  "/>
    <m/>
    <n v="375656"/>
    <x v="10"/>
    <s v="sem"/>
    <m/>
    <m/>
    <m/>
    <m/>
    <m/>
    <m/>
    <m/>
    <m/>
    <m/>
    <n v="0"/>
    <n v="0"/>
    <n v="0"/>
    <n v="0"/>
    <m/>
    <m/>
    <n v="0"/>
    <n v="0"/>
    <m/>
    <m/>
    <m/>
    <m/>
    <m/>
    <m/>
    <n v="79246.5"/>
    <n v="93494.5"/>
    <n v="79246.5"/>
    <n v="88.051666666666662"/>
    <n v="93494.5"/>
    <n v="103.88277777777778"/>
    <m/>
    <m/>
    <n v="0"/>
    <n v="0"/>
  </r>
  <r>
    <x v="10"/>
    <s v="Eastern Oklahoma County Technology Center         "/>
    <m/>
    <n v="418348"/>
    <x v="10"/>
    <s v="sem"/>
    <m/>
    <m/>
    <m/>
    <m/>
    <m/>
    <m/>
    <m/>
    <m/>
    <m/>
    <n v="0"/>
    <n v="0"/>
    <n v="0"/>
    <n v="0"/>
    <m/>
    <m/>
    <n v="0"/>
    <n v="0"/>
    <m/>
    <m/>
    <m/>
    <m/>
    <m/>
    <m/>
    <n v="332625.7"/>
    <n v="354281.25"/>
    <n v="332625.7"/>
    <n v="369.5841111111111"/>
    <n v="354281.25"/>
    <n v="393.64583333333331"/>
    <m/>
    <m/>
    <n v="0"/>
    <n v="0"/>
  </r>
  <r>
    <x v="10"/>
    <s v="Gordon Cooper Technology Center                   "/>
    <m/>
    <n v="375683"/>
    <x v="10"/>
    <s v="sem"/>
    <m/>
    <m/>
    <m/>
    <m/>
    <m/>
    <m/>
    <m/>
    <m/>
    <m/>
    <n v="0"/>
    <n v="0"/>
    <n v="0"/>
    <n v="0"/>
    <m/>
    <m/>
    <n v="0"/>
    <n v="0"/>
    <m/>
    <m/>
    <m/>
    <m/>
    <m/>
    <m/>
    <n v="647099.75"/>
    <n v="636420"/>
    <n v="647099.75"/>
    <n v="718.9997222222222"/>
    <n v="636420"/>
    <n v="707.13333333333333"/>
    <m/>
    <m/>
    <n v="0"/>
    <n v="0"/>
  </r>
  <r>
    <x v="10"/>
    <s v="Great Plains Technology Center                    "/>
    <m/>
    <n v="364548"/>
    <x v="10"/>
    <s v="sem"/>
    <m/>
    <m/>
    <m/>
    <m/>
    <m/>
    <m/>
    <m/>
    <m/>
    <m/>
    <n v="0"/>
    <n v="0"/>
    <n v="0"/>
    <n v="0"/>
    <m/>
    <m/>
    <n v="0"/>
    <n v="0"/>
    <m/>
    <m/>
    <m/>
    <m/>
    <m/>
    <m/>
    <n v="702816.2"/>
    <n v="777728"/>
    <n v="702816.2"/>
    <n v="780.90688888888883"/>
    <n v="777728"/>
    <n v="864.14222222222224"/>
    <m/>
    <m/>
    <n v="0"/>
    <n v="0"/>
  </r>
  <r>
    <x v="10"/>
    <s v="Green Country Technology Center                   "/>
    <m/>
    <n v="428019"/>
    <x v="10"/>
    <s v="sem"/>
    <m/>
    <m/>
    <m/>
    <m/>
    <m/>
    <m/>
    <m/>
    <m/>
    <m/>
    <n v="0"/>
    <n v="0"/>
    <n v="0"/>
    <n v="0"/>
    <m/>
    <m/>
    <n v="0"/>
    <n v="0"/>
    <m/>
    <m/>
    <m/>
    <m/>
    <m/>
    <m/>
    <n v="213296.5"/>
    <n v="204813"/>
    <n v="213296.5"/>
    <n v="236.99611111111111"/>
    <n v="204813"/>
    <n v="227.57"/>
    <m/>
    <m/>
    <n v="0"/>
    <n v="0"/>
  </r>
  <r>
    <x v="10"/>
    <s v="High Plains Technology Center                     "/>
    <m/>
    <n v="208053"/>
    <x v="10"/>
    <s v="sem"/>
    <m/>
    <m/>
    <m/>
    <m/>
    <m/>
    <m/>
    <m/>
    <m/>
    <m/>
    <n v="0"/>
    <n v="0"/>
    <n v="0"/>
    <n v="0"/>
    <m/>
    <m/>
    <n v="0"/>
    <n v="0"/>
    <m/>
    <m/>
    <m/>
    <m/>
    <m/>
    <m/>
    <n v="224694.75"/>
    <n v="276150.25"/>
    <n v="224694.75"/>
    <n v="249.66083333333333"/>
    <n v="276150.25"/>
    <n v="306.83361111111111"/>
    <m/>
    <m/>
    <n v="0"/>
    <n v="0"/>
  </r>
  <r>
    <x v="10"/>
    <s v="Indian Capital Technology Center-Muskogee         "/>
    <m/>
    <n v="418296"/>
    <x v="10"/>
    <s v="sem"/>
    <m/>
    <m/>
    <m/>
    <m/>
    <m/>
    <m/>
    <m/>
    <m/>
    <m/>
    <n v="0"/>
    <n v="0"/>
    <n v="0"/>
    <n v="0"/>
    <m/>
    <m/>
    <n v="0"/>
    <n v="0"/>
    <m/>
    <m/>
    <m/>
    <m/>
    <m/>
    <m/>
    <n v="480193.5"/>
    <n v="492616.65"/>
    <n v="480193.5"/>
    <n v="533.54833333333329"/>
    <n v="492616.65"/>
    <n v="547.35183333333339"/>
    <m/>
    <m/>
    <n v="0"/>
    <n v="0"/>
  </r>
  <r>
    <x v="10"/>
    <s v="Indian Capital Technology Center-Sallisaw         "/>
    <m/>
    <n v="421540"/>
    <x v="10"/>
    <s v="sem"/>
    <m/>
    <m/>
    <m/>
    <m/>
    <m/>
    <m/>
    <m/>
    <m/>
    <m/>
    <n v="0"/>
    <n v="0"/>
    <n v="0"/>
    <n v="0"/>
    <m/>
    <m/>
    <n v="0"/>
    <n v="0"/>
    <m/>
    <m/>
    <m/>
    <m/>
    <m/>
    <m/>
    <n v="150387"/>
    <n v="147941"/>
    <n v="150387"/>
    <n v="167.09666666666666"/>
    <n v="147941"/>
    <n v="164.37888888888889"/>
    <m/>
    <m/>
    <n v="0"/>
    <n v="0"/>
  </r>
  <r>
    <x v="10"/>
    <s v="Indian Capital Technology Center-Stilwell         "/>
    <m/>
    <n v="421559"/>
    <x v="10"/>
    <s v="sem"/>
    <m/>
    <m/>
    <m/>
    <m/>
    <m/>
    <m/>
    <m/>
    <m/>
    <m/>
    <n v="0"/>
    <n v="0"/>
    <n v="0"/>
    <n v="0"/>
    <m/>
    <m/>
    <n v="0"/>
    <n v="0"/>
    <m/>
    <m/>
    <m/>
    <m/>
    <m/>
    <m/>
    <n v="96167"/>
    <n v="94226"/>
    <n v="96167"/>
    <n v="106.85222222222222"/>
    <n v="94226"/>
    <n v="104.69555555555556"/>
    <m/>
    <m/>
    <n v="0"/>
    <n v="0"/>
  </r>
  <r>
    <x v="10"/>
    <s v="Indian Capital Technology Center-Tahlequah        "/>
    <m/>
    <n v="208026"/>
    <x v="10"/>
    <s v="sem"/>
    <m/>
    <m/>
    <m/>
    <m/>
    <m/>
    <m/>
    <m/>
    <m/>
    <m/>
    <n v="0"/>
    <n v="0"/>
    <n v="0"/>
    <n v="0"/>
    <m/>
    <m/>
    <n v="0"/>
    <n v="0"/>
    <m/>
    <m/>
    <m/>
    <m/>
    <m/>
    <m/>
    <n v="174916"/>
    <n v="208218"/>
    <n v="174916"/>
    <n v="194.35111111111112"/>
    <n v="208218"/>
    <n v="231.35333333333332"/>
    <m/>
    <m/>
    <n v="0"/>
    <n v="0"/>
  </r>
  <r>
    <x v="10"/>
    <s v="Kiamichi Technology Center-Atoka                  "/>
    <m/>
    <n v="375692"/>
    <x v="10"/>
    <s v="sem"/>
    <m/>
    <m/>
    <m/>
    <m/>
    <m/>
    <m/>
    <m/>
    <m/>
    <m/>
    <n v="0"/>
    <n v="0"/>
    <n v="0"/>
    <n v="0"/>
    <m/>
    <m/>
    <n v="0"/>
    <n v="0"/>
    <m/>
    <m/>
    <m/>
    <m/>
    <m/>
    <m/>
    <n v="104397"/>
    <n v="105673.5"/>
    <n v="104397"/>
    <n v="115.99666666666667"/>
    <n v="105673.5"/>
    <n v="117.41500000000001"/>
    <m/>
    <m/>
    <n v="0"/>
    <n v="0"/>
  </r>
  <r>
    <x v="10"/>
    <s v="Kiamichi Technology Center-Durant                 "/>
    <m/>
    <n v="375708"/>
    <x v="10"/>
    <s v="sem"/>
    <m/>
    <m/>
    <m/>
    <m/>
    <m/>
    <m/>
    <m/>
    <m/>
    <m/>
    <n v="0"/>
    <n v="0"/>
    <n v="0"/>
    <n v="0"/>
    <m/>
    <m/>
    <n v="0"/>
    <n v="0"/>
    <m/>
    <m/>
    <m/>
    <m/>
    <m/>
    <m/>
    <n v="166267"/>
    <n v="156844.5"/>
    <n v="166267"/>
    <n v="184.74111111111111"/>
    <n v="156844.5"/>
    <n v="174.27166666666668"/>
    <m/>
    <m/>
    <n v="0"/>
    <n v="0"/>
  </r>
  <r>
    <x v="10"/>
    <s v="Kiamichi Technology Center-Hugo                   "/>
    <m/>
    <n v="375717"/>
    <x v="10"/>
    <s v="sem"/>
    <m/>
    <m/>
    <m/>
    <m/>
    <m/>
    <m/>
    <m/>
    <m/>
    <m/>
    <n v="0"/>
    <n v="0"/>
    <n v="0"/>
    <n v="0"/>
    <m/>
    <m/>
    <n v="0"/>
    <n v="0"/>
    <m/>
    <m/>
    <m/>
    <m/>
    <m/>
    <m/>
    <n v="114268.75"/>
    <n v="108853"/>
    <n v="114268.75"/>
    <n v="126.96527777777777"/>
    <n v="108853"/>
    <n v="120.94777777777777"/>
    <m/>
    <m/>
    <n v="0"/>
    <n v="0"/>
  </r>
  <r>
    <x v="10"/>
    <s v="Kiamichi Technology Center-Idabel                 "/>
    <m/>
    <n v="375735"/>
    <x v="10"/>
    <s v="sem"/>
    <m/>
    <m/>
    <m/>
    <m/>
    <m/>
    <m/>
    <m/>
    <m/>
    <m/>
    <n v="0"/>
    <n v="0"/>
    <n v="0"/>
    <n v="0"/>
    <m/>
    <m/>
    <n v="0"/>
    <n v="0"/>
    <m/>
    <m/>
    <m/>
    <m/>
    <m/>
    <m/>
    <n v="187449.5"/>
    <n v="187474"/>
    <n v="187449.5"/>
    <n v="208.27722222222224"/>
    <n v="187474"/>
    <n v="208.30444444444444"/>
    <m/>
    <m/>
    <n v="0"/>
    <n v="0"/>
  </r>
  <r>
    <x v="10"/>
    <s v="Kiamichi Technology Center-McAlester              "/>
    <m/>
    <n v="375726"/>
    <x v="10"/>
    <s v="sem"/>
    <m/>
    <m/>
    <m/>
    <m/>
    <m/>
    <m/>
    <m/>
    <m/>
    <m/>
    <n v="0"/>
    <n v="0"/>
    <n v="0"/>
    <n v="0"/>
    <m/>
    <m/>
    <n v="0"/>
    <n v="0"/>
    <m/>
    <m/>
    <m/>
    <m/>
    <m/>
    <m/>
    <n v="275178.5"/>
    <n v="267621"/>
    <n v="275178.5"/>
    <n v="305.75388888888887"/>
    <n v="267621"/>
    <n v="297.35666666666668"/>
    <m/>
    <m/>
    <n v="0"/>
    <n v="0"/>
  </r>
  <r>
    <x v="10"/>
    <s v="Kiamichi Technology Center-Poteau                 "/>
    <m/>
    <n v="375744"/>
    <x v="10"/>
    <s v="sem"/>
    <m/>
    <m/>
    <m/>
    <m/>
    <m/>
    <m/>
    <m/>
    <m/>
    <m/>
    <n v="0"/>
    <n v="0"/>
    <n v="0"/>
    <n v="0"/>
    <m/>
    <m/>
    <n v="0"/>
    <n v="0"/>
    <m/>
    <m/>
    <m/>
    <m/>
    <m/>
    <m/>
    <n v="211050.65"/>
    <n v="224299.5"/>
    <n v="211050.65"/>
    <n v="234.50072222222221"/>
    <n v="224299.5"/>
    <n v="249.22166666666666"/>
    <m/>
    <m/>
    <n v="0"/>
    <n v="0"/>
  </r>
  <r>
    <x v="10"/>
    <s v="Kiamichi Technology Center-Spiro                  "/>
    <m/>
    <n v="375753"/>
    <x v="10"/>
    <s v="sem"/>
    <m/>
    <m/>
    <m/>
    <m/>
    <m/>
    <m/>
    <m/>
    <m/>
    <m/>
    <n v="0"/>
    <n v="0"/>
    <n v="0"/>
    <n v="0"/>
    <m/>
    <m/>
    <n v="0"/>
    <n v="0"/>
    <m/>
    <m/>
    <m/>
    <m/>
    <m/>
    <m/>
    <n v="27897"/>
    <n v="12389"/>
    <n v="27897"/>
    <n v="30.996666666666666"/>
    <n v="12389"/>
    <n v="13.765555555555556"/>
    <m/>
    <m/>
    <n v="0"/>
    <n v="0"/>
  </r>
  <r>
    <x v="10"/>
    <s v="Kiamichi Technology Center-Stigler                "/>
    <m/>
    <n v="405748"/>
    <x v="10"/>
    <s v="sem"/>
    <m/>
    <m/>
    <m/>
    <m/>
    <m/>
    <m/>
    <m/>
    <m/>
    <m/>
    <n v="0"/>
    <n v="0"/>
    <n v="0"/>
    <n v="0"/>
    <m/>
    <m/>
    <n v="0"/>
    <n v="0"/>
    <m/>
    <m/>
    <m/>
    <m/>
    <m/>
    <m/>
    <n v="74897.5"/>
    <n v="75476.5"/>
    <n v="74897.5"/>
    <n v="83.219444444444449"/>
    <n v="75476.5"/>
    <n v="83.862777777777779"/>
    <m/>
    <m/>
    <n v="0"/>
    <n v="0"/>
  </r>
  <r>
    <x v="10"/>
    <s v="Kiamichi Technology Center-Talihina               "/>
    <m/>
    <n v="375762"/>
    <x v="10"/>
    <s v="sem"/>
    <m/>
    <m/>
    <m/>
    <m/>
    <m/>
    <m/>
    <m/>
    <m/>
    <m/>
    <n v="0"/>
    <n v="0"/>
    <n v="0"/>
    <n v="0"/>
    <m/>
    <m/>
    <n v="0"/>
    <n v="0"/>
    <m/>
    <m/>
    <m/>
    <m/>
    <m/>
    <m/>
    <n v="67477"/>
    <n v="70092.5"/>
    <n v="67477"/>
    <n v="74.974444444444444"/>
    <n v="70092.5"/>
    <n v="77.88055555555556"/>
    <m/>
    <m/>
    <n v="0"/>
    <n v="0"/>
  </r>
  <r>
    <x v="10"/>
    <s v="Meridian Technology Center                        "/>
    <m/>
    <n v="365480"/>
    <x v="10"/>
    <s v="sem"/>
    <m/>
    <m/>
    <m/>
    <m/>
    <m/>
    <m/>
    <m/>
    <m/>
    <m/>
    <n v="0"/>
    <n v="0"/>
    <n v="0"/>
    <n v="0"/>
    <m/>
    <m/>
    <n v="0"/>
    <n v="0"/>
    <m/>
    <m/>
    <m/>
    <m/>
    <m/>
    <m/>
    <n v="527896.05000000005"/>
    <n v="522599.3"/>
    <n v="527896.05000000005"/>
    <n v="586.55116666666675"/>
    <n v="522599.3"/>
    <n v="580.66588888888884"/>
    <m/>
    <m/>
    <n v="0"/>
    <n v="0"/>
  </r>
  <r>
    <x v="10"/>
    <s v="Mid-America Technology Center                     "/>
    <m/>
    <n v="418320"/>
    <x v="10"/>
    <s v="sem"/>
    <m/>
    <m/>
    <m/>
    <m/>
    <m/>
    <m/>
    <m/>
    <m/>
    <m/>
    <n v="0"/>
    <n v="0"/>
    <n v="0"/>
    <n v="0"/>
    <m/>
    <m/>
    <n v="0"/>
    <n v="0"/>
    <m/>
    <m/>
    <m/>
    <m/>
    <m/>
    <m/>
    <n v="524868.5"/>
    <n v="502169.5"/>
    <n v="524868.5"/>
    <n v="583.1872222222222"/>
    <n v="502169.5"/>
    <n v="557.9661111111111"/>
    <m/>
    <m/>
    <n v="0"/>
    <n v="0"/>
  </r>
  <r>
    <x v="10"/>
    <s v="Mid-Del Technology Center                         "/>
    <m/>
    <n v="431017"/>
    <x v="10"/>
    <s v="sem"/>
    <m/>
    <m/>
    <m/>
    <m/>
    <m/>
    <m/>
    <m/>
    <m/>
    <m/>
    <n v="0"/>
    <n v="0"/>
    <n v="0"/>
    <n v="0"/>
    <m/>
    <m/>
    <n v="0"/>
    <n v="0"/>
    <m/>
    <m/>
    <m/>
    <m/>
    <m/>
    <m/>
    <n v="370422.5"/>
    <n v="412916"/>
    <n v="370422.5"/>
    <n v="411.58055555555558"/>
    <n v="412916"/>
    <n v="458.79555555555555"/>
    <m/>
    <m/>
    <n v="0"/>
    <n v="0"/>
  </r>
  <r>
    <x v="10"/>
    <s v="Moore Norman Technology Center                    "/>
    <m/>
    <n v="248606"/>
    <x v="10"/>
    <s v="sem"/>
    <m/>
    <m/>
    <m/>
    <m/>
    <m/>
    <m/>
    <m/>
    <m/>
    <m/>
    <n v="0"/>
    <n v="0"/>
    <n v="0"/>
    <n v="0"/>
    <m/>
    <m/>
    <n v="0"/>
    <n v="0"/>
    <m/>
    <m/>
    <m/>
    <m/>
    <m/>
    <m/>
    <n v="909019.3"/>
    <n v="890686.25"/>
    <n v="909019.3"/>
    <n v="1010.0214444444445"/>
    <n v="890686.25"/>
    <n v="989.65138888888885"/>
    <m/>
    <m/>
    <n v="0"/>
    <n v="0"/>
  </r>
  <r>
    <x v="10"/>
    <s v="Northeast Technology Center-Afton                 "/>
    <m/>
    <n v="420459"/>
    <x v="10"/>
    <s v="sem"/>
    <m/>
    <m/>
    <m/>
    <m/>
    <m/>
    <m/>
    <m/>
    <m/>
    <m/>
    <n v="0"/>
    <n v="0"/>
    <n v="0"/>
    <n v="0"/>
    <m/>
    <m/>
    <n v="0"/>
    <n v="0"/>
    <m/>
    <m/>
    <m/>
    <m/>
    <m/>
    <m/>
    <n v="262885"/>
    <n v="250430.5"/>
    <n v="262885"/>
    <n v="292.09444444444443"/>
    <n v="250430.5"/>
    <n v="278.25611111111112"/>
    <m/>
    <m/>
    <n v="0"/>
    <n v="0"/>
  </r>
  <r>
    <x v="10"/>
    <s v="Northeast Technology Center-Claremore"/>
    <m/>
    <n v="456560"/>
    <x v="10"/>
    <s v="sem"/>
    <m/>
    <m/>
    <m/>
    <m/>
    <m/>
    <m/>
    <m/>
    <m/>
    <m/>
    <n v="0"/>
    <n v="0"/>
    <n v="0"/>
    <n v="0"/>
    <m/>
    <m/>
    <n v="0"/>
    <n v="0"/>
    <m/>
    <m/>
    <m/>
    <m/>
    <m/>
    <m/>
    <n v="144973.75"/>
    <n v="183925.5"/>
    <n v="144973.75"/>
    <n v="161.08194444444445"/>
    <n v="183925.5"/>
    <n v="204.36166666666668"/>
    <m/>
    <m/>
    <n v="0"/>
    <n v="0"/>
  </r>
  <r>
    <x v="10"/>
    <s v="Northeast Technology Center-Kansas                "/>
    <m/>
    <n v="432074"/>
    <x v="10"/>
    <s v="sem"/>
    <m/>
    <m/>
    <m/>
    <m/>
    <m/>
    <m/>
    <m/>
    <m/>
    <m/>
    <n v="0"/>
    <n v="0"/>
    <n v="0"/>
    <n v="0"/>
    <m/>
    <m/>
    <n v="0"/>
    <n v="0"/>
    <m/>
    <m/>
    <m/>
    <m/>
    <m/>
    <m/>
    <n v="158667"/>
    <n v="151896.09"/>
    <n v="158667"/>
    <n v="176.29666666666665"/>
    <n v="151896.09"/>
    <n v="168.77343333333332"/>
    <m/>
    <m/>
    <n v="0"/>
    <n v="0"/>
  </r>
  <r>
    <x v="10"/>
    <s v="Northeast Technology Center-Pryor                 "/>
    <m/>
    <n v="418339"/>
    <x v="10"/>
    <s v="sem"/>
    <m/>
    <m/>
    <m/>
    <m/>
    <m/>
    <m/>
    <m/>
    <m/>
    <m/>
    <n v="0"/>
    <n v="0"/>
    <n v="0"/>
    <n v="0"/>
    <m/>
    <m/>
    <n v="0"/>
    <n v="0"/>
    <m/>
    <m/>
    <m/>
    <m/>
    <m/>
    <m/>
    <n v="288306.5"/>
    <n v="303960.5"/>
    <n v="288306.5"/>
    <n v="320.34055555555557"/>
    <n v="303960.5"/>
    <n v="337.73388888888888"/>
    <m/>
    <m/>
    <n v="0"/>
    <n v="0"/>
  </r>
  <r>
    <x v="10"/>
    <s v="Northwest Technology Center-Alva                  "/>
    <m/>
    <n v="366623"/>
    <x v="10"/>
    <s v="sem"/>
    <m/>
    <m/>
    <m/>
    <m/>
    <m/>
    <m/>
    <m/>
    <m/>
    <m/>
    <n v="0"/>
    <n v="0"/>
    <n v="0"/>
    <n v="0"/>
    <m/>
    <m/>
    <n v="0"/>
    <n v="0"/>
    <m/>
    <m/>
    <m/>
    <m/>
    <m/>
    <m/>
    <n v="129689.25"/>
    <n v="113955.25"/>
    <n v="129689.25"/>
    <n v="144.09916666666666"/>
    <n v="113955.25"/>
    <n v="126.61694444444444"/>
    <m/>
    <m/>
    <n v="0"/>
    <n v="0"/>
  </r>
  <r>
    <x v="10"/>
    <s v="Northwest Technology Center-Fairview              "/>
    <m/>
    <n v="407601"/>
    <x v="10"/>
    <s v="sem"/>
    <m/>
    <m/>
    <m/>
    <m/>
    <m/>
    <m/>
    <m/>
    <m/>
    <m/>
    <n v="0"/>
    <n v="0"/>
    <n v="0"/>
    <n v="0"/>
    <m/>
    <m/>
    <n v="0"/>
    <n v="0"/>
    <m/>
    <m/>
    <m/>
    <m/>
    <m/>
    <m/>
    <n v="78132.5"/>
    <n v="79680.5"/>
    <n v="78132.5"/>
    <n v="86.813888888888883"/>
    <n v="79680.5"/>
    <n v="88.533888888888896"/>
    <m/>
    <m/>
    <n v="0"/>
    <n v="0"/>
  </r>
  <r>
    <x v="10"/>
    <s v="Pioneer Technology Center                         "/>
    <m/>
    <n v="364627"/>
    <x v="10"/>
    <s v="sem"/>
    <m/>
    <m/>
    <m/>
    <m/>
    <m/>
    <m/>
    <m/>
    <m/>
    <m/>
    <n v="0"/>
    <n v="0"/>
    <n v="0"/>
    <n v="0"/>
    <m/>
    <m/>
    <n v="0"/>
    <n v="0"/>
    <m/>
    <m/>
    <m/>
    <m/>
    <m/>
    <m/>
    <n v="320423.09999999998"/>
    <n v="300410"/>
    <n v="320423.09999999998"/>
    <n v="356.02566666666667"/>
    <n v="300410"/>
    <n v="333.78888888888889"/>
    <m/>
    <m/>
    <n v="0"/>
    <n v="0"/>
  </r>
  <r>
    <x v="10"/>
    <s v="Pontotoc Technology Center                        "/>
    <m/>
    <n v="206905"/>
    <x v="10"/>
    <s v="sem"/>
    <m/>
    <m/>
    <m/>
    <m/>
    <m/>
    <m/>
    <m/>
    <m/>
    <m/>
    <n v="0"/>
    <n v="0"/>
    <n v="0"/>
    <n v="0"/>
    <m/>
    <m/>
    <n v="0"/>
    <n v="0"/>
    <m/>
    <m/>
    <m/>
    <m/>
    <m/>
    <m/>
    <n v="167886"/>
    <n v="185379"/>
    <n v="167886"/>
    <n v="186.54"/>
    <n v="185379"/>
    <n v="205.97666666666666"/>
    <m/>
    <m/>
    <n v="0"/>
    <n v="0"/>
  </r>
  <r>
    <x v="10"/>
    <s v="Red River Technology Center                       "/>
    <m/>
    <n v="250993"/>
    <x v="10"/>
    <s v="sem"/>
    <m/>
    <m/>
    <m/>
    <m/>
    <m/>
    <m/>
    <m/>
    <m/>
    <m/>
    <n v="0"/>
    <n v="0"/>
    <n v="0"/>
    <n v="0"/>
    <m/>
    <m/>
    <n v="0"/>
    <n v="0"/>
    <m/>
    <m/>
    <m/>
    <m/>
    <m/>
    <m/>
    <n v="291348.40000000002"/>
    <n v="283312.95"/>
    <n v="291348.40000000002"/>
    <n v="323.72044444444447"/>
    <n v="283312.95"/>
    <n v="314.79216666666667"/>
    <m/>
    <m/>
    <n v="0"/>
    <n v="0"/>
  </r>
  <r>
    <x v="10"/>
    <s v="Southern Oklahoma Technology Center               "/>
    <m/>
    <n v="365198"/>
    <x v="10"/>
    <s v="sem"/>
    <m/>
    <m/>
    <m/>
    <m/>
    <m/>
    <m/>
    <m/>
    <m/>
    <m/>
    <n v="0"/>
    <n v="0"/>
    <n v="0"/>
    <n v="0"/>
    <m/>
    <m/>
    <n v="0"/>
    <n v="0"/>
    <m/>
    <m/>
    <m/>
    <m/>
    <m/>
    <m/>
    <n v="428926.95"/>
    <n v="451570.24"/>
    <n v="428926.95"/>
    <n v="476.58550000000002"/>
    <n v="451570.24"/>
    <n v="501.74471111111109"/>
    <m/>
    <m/>
    <n v="0"/>
    <n v="0"/>
  </r>
  <r>
    <x v="10"/>
    <s v="Southwest Technology Center                       "/>
    <m/>
    <n v="368364"/>
    <x v="10"/>
    <s v="sem"/>
    <m/>
    <m/>
    <m/>
    <m/>
    <m/>
    <m/>
    <m/>
    <m/>
    <m/>
    <n v="0"/>
    <n v="0"/>
    <n v="0"/>
    <n v="0"/>
    <m/>
    <m/>
    <n v="0"/>
    <n v="0"/>
    <m/>
    <m/>
    <m/>
    <m/>
    <m/>
    <m/>
    <n v="216640.45"/>
    <n v="209462.02"/>
    <n v="216640.45"/>
    <n v="240.71161111111113"/>
    <n v="209462.02"/>
    <n v="232.73557777777776"/>
    <m/>
    <m/>
    <n v="0"/>
    <n v="0"/>
  </r>
  <r>
    <x v="10"/>
    <s v="Tri County Technology Center                      "/>
    <m/>
    <n v="418287"/>
    <x v="10"/>
    <s v="sem"/>
    <m/>
    <m/>
    <m/>
    <m/>
    <m/>
    <m/>
    <m/>
    <m/>
    <m/>
    <n v="0"/>
    <n v="0"/>
    <n v="0"/>
    <n v="0"/>
    <m/>
    <m/>
    <n v="0"/>
    <n v="0"/>
    <m/>
    <m/>
    <m/>
    <m/>
    <m/>
    <m/>
    <n v="353226.5"/>
    <n v="346046"/>
    <n v="353226.5"/>
    <n v="392.47388888888889"/>
    <n v="346046"/>
    <n v="384.49555555555554"/>
    <m/>
    <m/>
    <n v="0"/>
    <n v="0"/>
  </r>
  <r>
    <x v="10"/>
    <s v="Tulsa County Area Voc Tech School Dist 18-Peoria  "/>
    <m/>
    <n v="207607"/>
    <x v="10"/>
    <s v="sem"/>
    <m/>
    <m/>
    <m/>
    <m/>
    <m/>
    <m/>
    <m/>
    <m/>
    <m/>
    <n v="0"/>
    <n v="0"/>
    <n v="0"/>
    <n v="0"/>
    <m/>
    <m/>
    <n v="0"/>
    <n v="0"/>
    <m/>
    <m/>
    <m/>
    <m/>
    <m/>
    <m/>
    <n v="391456"/>
    <n v="314665.5"/>
    <n v="391456"/>
    <n v="434.95111111111112"/>
    <n v="314665.5"/>
    <n v="349.62833333333333"/>
    <m/>
    <m/>
    <n v="0"/>
    <n v="0"/>
  </r>
  <r>
    <x v="10"/>
    <s v="Tulsa Technology Center-Broken Arrow Campus       "/>
    <m/>
    <n v="261393"/>
    <x v="10"/>
    <s v="sem"/>
    <m/>
    <m/>
    <m/>
    <m/>
    <m/>
    <m/>
    <m/>
    <m/>
    <m/>
    <n v="0"/>
    <n v="0"/>
    <n v="0"/>
    <n v="0"/>
    <m/>
    <m/>
    <n v="0"/>
    <n v="0"/>
    <m/>
    <m/>
    <m/>
    <m/>
    <m/>
    <m/>
    <n v="682564.63"/>
    <n v="631291.13"/>
    <n v="682564.63"/>
    <n v="758.40514444444443"/>
    <n v="631291.13"/>
    <n v="701.43458888888892"/>
    <m/>
    <m/>
    <n v="0"/>
    <n v="0"/>
  </r>
  <r>
    <x v="10"/>
    <s v="Tulsa Technology Center-Owasso NEW"/>
    <m/>
    <n v="482264"/>
    <x v="10"/>
    <s v="sem"/>
    <m/>
    <m/>
    <m/>
    <m/>
    <m/>
    <m/>
    <m/>
    <m/>
    <m/>
    <n v="0"/>
    <n v="0"/>
    <n v="0"/>
    <n v="0"/>
    <m/>
    <m/>
    <n v="0"/>
    <n v="0"/>
    <m/>
    <m/>
    <m/>
    <m/>
    <m/>
    <m/>
    <n v="186104"/>
    <n v="224409.5"/>
    <n v="186104"/>
    <n v="206.78222222222223"/>
    <n v="224409.5"/>
    <n v="249.3438888888889"/>
    <m/>
    <m/>
    <n v="0"/>
    <n v="0"/>
  </r>
  <r>
    <x v="10"/>
    <s v="Tulsa Technology Center-Riverside Campus          "/>
    <m/>
    <n v="261384"/>
    <x v="10"/>
    <s v="sem"/>
    <m/>
    <m/>
    <m/>
    <m/>
    <m/>
    <m/>
    <m/>
    <m/>
    <m/>
    <n v="0"/>
    <n v="0"/>
    <n v="0"/>
    <n v="0"/>
    <m/>
    <m/>
    <n v="0"/>
    <n v="0"/>
    <m/>
    <m/>
    <m/>
    <m/>
    <m/>
    <m/>
    <n v="322709"/>
    <n v="412088"/>
    <n v="322709"/>
    <n v="358.56555555555553"/>
    <n v="412088"/>
    <n v="457.87555555555554"/>
    <m/>
    <m/>
    <n v="0"/>
    <n v="0"/>
  </r>
  <r>
    <x v="10"/>
    <s v="Tulsa Technology Center-Sand Springs NEW"/>
    <m/>
    <n v="482273"/>
    <x v="10"/>
    <s v="sem"/>
    <m/>
    <m/>
    <m/>
    <m/>
    <m/>
    <m/>
    <m/>
    <m/>
    <m/>
    <n v="0"/>
    <n v="0"/>
    <n v="0"/>
    <n v="0"/>
    <m/>
    <m/>
    <n v="0"/>
    <n v="0"/>
    <m/>
    <m/>
    <m/>
    <m/>
    <m/>
    <m/>
    <n v="100815"/>
    <n v="114435"/>
    <n v="100815"/>
    <n v="112.01666666666667"/>
    <n v="114435"/>
    <n v="127.15"/>
    <m/>
    <m/>
    <n v="0"/>
    <n v="0"/>
  </r>
  <r>
    <x v="10"/>
    <s v="Wes Watkins Technology Center                     "/>
    <m/>
    <n v="418357"/>
    <x v="10"/>
    <s v="sem"/>
    <m/>
    <m/>
    <m/>
    <m/>
    <m/>
    <m/>
    <m/>
    <m/>
    <m/>
    <n v="0"/>
    <n v="0"/>
    <n v="0"/>
    <n v="0"/>
    <m/>
    <m/>
    <n v="0"/>
    <n v="0"/>
    <m/>
    <m/>
    <m/>
    <m/>
    <m/>
    <m/>
    <n v="139335.5"/>
    <n v="127814.75"/>
    <n v="139335.5"/>
    <n v="154.81722222222223"/>
    <n v="127814.75"/>
    <n v="142.01638888888888"/>
    <m/>
    <m/>
    <n v="0"/>
    <n v="0"/>
  </r>
  <r>
    <x v="10"/>
    <s v="Western Technology Center                         "/>
    <m/>
    <n v="418302"/>
    <x v="10"/>
    <s v="sem"/>
    <m/>
    <m/>
    <m/>
    <m/>
    <m/>
    <m/>
    <m/>
    <m/>
    <m/>
    <n v="0"/>
    <n v="0"/>
    <n v="0"/>
    <n v="0"/>
    <m/>
    <m/>
    <n v="0"/>
    <n v="0"/>
    <m/>
    <m/>
    <m/>
    <m/>
    <m/>
    <m/>
    <n v="348534.5"/>
    <n v="353266"/>
    <n v="348534.5"/>
    <n v="387.26055555555558"/>
    <n v="353266"/>
    <n v="392.51777777777778"/>
    <m/>
    <m/>
    <n v="0"/>
    <n v="0"/>
  </r>
  <r>
    <x v="10"/>
    <s v="Oklahoma State University Main Campus"/>
    <m/>
    <n v="207388"/>
    <x v="0"/>
    <s v="sem"/>
    <s v="sem"/>
    <m/>
    <m/>
    <n v="274208"/>
    <n v="281320"/>
    <n v="32539"/>
    <n v="31989"/>
    <n v="304054"/>
    <n v="287936"/>
    <n v="610801"/>
    <n v="20360.033333333333"/>
    <n v="601245"/>
    <n v="20041.5"/>
    <n v="754"/>
    <n v="851"/>
    <n v="610801"/>
    <n v="601245"/>
    <m/>
    <m/>
    <m/>
    <m/>
    <m/>
    <m/>
    <m/>
    <m/>
    <n v="0"/>
    <n v="0"/>
    <n v="0"/>
    <n v="0"/>
    <m/>
    <m/>
    <n v="0"/>
    <n v="0"/>
  </r>
  <r>
    <x v="10"/>
    <s v="University of Oklahoma Norman Campus"/>
    <m/>
    <n v="207500"/>
    <x v="0"/>
    <s v="sem"/>
    <s v="sem"/>
    <m/>
    <m/>
    <n v="256575"/>
    <n v="259722"/>
    <n v="46493"/>
    <n v="46910"/>
    <n v="286914"/>
    <n v="291381"/>
    <n v="589982"/>
    <n v="19666.066666666666"/>
    <n v="598013"/>
    <n v="19933.766666666666"/>
    <n v="1165"/>
    <n v="1936"/>
    <n v="589982"/>
    <n v="598013"/>
    <m/>
    <m/>
    <m/>
    <m/>
    <m/>
    <m/>
    <m/>
    <m/>
    <n v="0"/>
    <n v="0"/>
    <n v="0"/>
    <n v="0"/>
    <m/>
    <m/>
    <n v="0"/>
    <n v="0"/>
  </r>
  <r>
    <x v="10"/>
    <s v="Northeastern State University"/>
    <m/>
    <n v="207263"/>
    <x v="2"/>
    <s v="sem"/>
    <s v="sem"/>
    <m/>
    <m/>
    <n v="76132"/>
    <n v="75370"/>
    <n v="12459"/>
    <n v="11663"/>
    <n v="82479"/>
    <n v="81044"/>
    <n v="171070"/>
    <n v="5702.333333333333"/>
    <n v="168077"/>
    <n v="5602.5666666666666"/>
    <n v="2068"/>
    <n v="2411"/>
    <n v="171070"/>
    <n v="168077"/>
    <m/>
    <m/>
    <m/>
    <m/>
    <m/>
    <m/>
    <m/>
    <m/>
    <n v="0"/>
    <n v="0"/>
    <n v="0"/>
    <n v="0"/>
    <m/>
    <m/>
    <n v="0"/>
    <n v="0"/>
  </r>
  <r>
    <x v="10"/>
    <s v="University of Central Oklahoma"/>
    <m/>
    <n v="206941"/>
    <x v="2"/>
    <s v="sem"/>
    <s v="sem"/>
    <m/>
    <m/>
    <n v="161996"/>
    <n v="159934"/>
    <n v="27169"/>
    <n v="26968"/>
    <n v="177623"/>
    <n v="174660"/>
    <n v="366788"/>
    <n v="12226.266666666666"/>
    <n v="361562"/>
    <n v="12052.066666666668"/>
    <n v="3975"/>
    <n v="4903"/>
    <n v="366788"/>
    <n v="361562"/>
    <m/>
    <m/>
    <m/>
    <m/>
    <m/>
    <m/>
    <m/>
    <m/>
    <n v="0"/>
    <n v="0"/>
    <n v="0"/>
    <n v="0"/>
    <m/>
    <m/>
    <n v="0"/>
    <n v="0"/>
  </r>
  <r>
    <x v="10"/>
    <s v="Southeastern Oklahoma State University "/>
    <m/>
    <n v="207847"/>
    <x v="3"/>
    <s v="sem"/>
    <s v="sem"/>
    <m/>
    <m/>
    <n v="37732"/>
    <n v="35727"/>
    <n v="6455"/>
    <n v="6497"/>
    <n v="40150"/>
    <n v="38937"/>
    <n v="84337"/>
    <n v="2811.2333333333331"/>
    <n v="81161"/>
    <n v="2705.3666666666668"/>
    <n v="1557"/>
    <n v="1837"/>
    <n v="84337"/>
    <n v="81161"/>
    <m/>
    <m/>
    <m/>
    <m/>
    <m/>
    <m/>
    <m/>
    <m/>
    <n v="0"/>
    <n v="0"/>
    <n v="0"/>
    <n v="0"/>
    <m/>
    <m/>
    <n v="0"/>
    <n v="0"/>
  </r>
  <r>
    <x v="10"/>
    <s v="Cameron University "/>
    <m/>
    <n v="206914"/>
    <x v="4"/>
    <s v="sem"/>
    <s v="sem"/>
    <m/>
    <m/>
    <n v="50766"/>
    <n v="49123"/>
    <n v="8739"/>
    <n v="8130"/>
    <n v="54264"/>
    <n v="51517"/>
    <n v="113769"/>
    <n v="3792.3"/>
    <n v="108770"/>
    <n v="3625.6666666666665"/>
    <n v="2952"/>
    <n v="2980"/>
    <n v="113769"/>
    <n v="108770"/>
    <m/>
    <m/>
    <m/>
    <m/>
    <m/>
    <m/>
    <m/>
    <m/>
    <n v="0"/>
    <n v="0"/>
    <n v="0"/>
    <n v="0"/>
    <m/>
    <m/>
    <n v="0"/>
    <n v="0"/>
  </r>
  <r>
    <x v="10"/>
    <s v="East Central University "/>
    <m/>
    <n v="207041"/>
    <x v="4"/>
    <s v="sem"/>
    <s v="sem"/>
    <m/>
    <m/>
    <n v="44217"/>
    <n v="58630"/>
    <n v="6519"/>
    <n v="5815"/>
    <n v="48395"/>
    <n v="44593"/>
    <n v="99131"/>
    <n v="3304.3666666666668"/>
    <n v="109038"/>
    <n v="3634.6"/>
    <n v="1260"/>
    <n v="1451"/>
    <n v="99131"/>
    <n v="109038"/>
    <m/>
    <m/>
    <m/>
    <m/>
    <m/>
    <m/>
    <m/>
    <m/>
    <n v="0"/>
    <n v="0"/>
    <n v="0"/>
    <n v="0"/>
    <m/>
    <m/>
    <n v="0"/>
    <n v="0"/>
  </r>
  <r>
    <x v="10"/>
    <s v="Langston University"/>
    <m/>
    <n v="207209"/>
    <x v="4"/>
    <s v="sem"/>
    <s v="sem"/>
    <m/>
    <m/>
    <n v="24409"/>
    <n v="25649"/>
    <n v="2351"/>
    <n v="2587"/>
    <n v="30045"/>
    <n v="28928"/>
    <n v="56805"/>
    <n v="1893.5"/>
    <n v="57164"/>
    <n v="1905.4666666666667"/>
    <n v="20"/>
    <n v="28"/>
    <n v="56805"/>
    <n v="57164"/>
    <m/>
    <m/>
    <m/>
    <m/>
    <m/>
    <m/>
    <m/>
    <m/>
    <n v="0"/>
    <n v="0"/>
    <n v="0"/>
    <n v="0"/>
    <m/>
    <m/>
    <n v="0"/>
    <n v="0"/>
  </r>
  <r>
    <x v="10"/>
    <s v="Northwestern Oklahoma State University "/>
    <m/>
    <n v="207306"/>
    <x v="4"/>
    <s v="sem"/>
    <s v="sem"/>
    <m/>
    <m/>
    <n v="23062"/>
    <n v="22148"/>
    <n v="3313"/>
    <n v="3058"/>
    <n v="24792"/>
    <n v="25516"/>
    <n v="51167"/>
    <n v="1705.5666666666666"/>
    <n v="50722"/>
    <n v="1690.7333333333333"/>
    <n v="765"/>
    <n v="931"/>
    <n v="51167"/>
    <n v="50722"/>
    <m/>
    <m/>
    <m/>
    <m/>
    <m/>
    <m/>
    <m/>
    <m/>
    <n v="0"/>
    <n v="0"/>
    <n v="0"/>
    <n v="0"/>
    <m/>
    <m/>
    <n v="0"/>
    <n v="0"/>
  </r>
  <r>
    <x v="10"/>
    <s v="Southwestern Oklahoma State University"/>
    <s v="Met the criteria for Four-Year 4 in 2015-16 and 2016-17."/>
    <n v="207865"/>
    <x v="4"/>
    <s v="sem"/>
    <s v="sem"/>
    <m/>
    <m/>
    <n v="51752"/>
    <n v="54102"/>
    <n v="7880"/>
    <n v="8728"/>
    <n v="58726"/>
    <n v="61005"/>
    <n v="118358"/>
    <n v="3945.2666666666669"/>
    <n v="123835"/>
    <n v="4127.833333333333"/>
    <n v="1838"/>
    <n v="2408"/>
    <n v="118358"/>
    <n v="123835"/>
    <m/>
    <m/>
    <m/>
    <m/>
    <m/>
    <m/>
    <m/>
    <m/>
    <n v="0"/>
    <n v="0"/>
    <n v="0"/>
    <n v="0"/>
    <m/>
    <m/>
    <n v="0"/>
    <n v="0"/>
  </r>
  <r>
    <x v="10"/>
    <s v="Oklahoma Panhandle State University "/>
    <m/>
    <n v="207351"/>
    <x v="5"/>
    <s v="sem"/>
    <s v="sem"/>
    <m/>
    <m/>
    <n v="14454"/>
    <n v="14358"/>
    <n v="1498"/>
    <n v="1455"/>
    <n v="15779"/>
    <n v="15231"/>
    <n v="31731"/>
    <n v="1057.7"/>
    <n v="31044"/>
    <n v="1034.8"/>
    <n v="1283"/>
    <n v="1112"/>
    <n v="31731"/>
    <n v="31044"/>
    <m/>
    <m/>
    <m/>
    <m/>
    <m/>
    <m/>
    <m/>
    <m/>
    <n v="0"/>
    <n v="0"/>
    <n v="0"/>
    <n v="0"/>
    <m/>
    <m/>
    <n v="0"/>
    <n v="0"/>
  </r>
  <r>
    <x v="10"/>
    <s v="Rogers State University"/>
    <m/>
    <n v="207661"/>
    <x v="5"/>
    <s v="sem"/>
    <s v="sem"/>
    <m/>
    <m/>
    <n v="38946"/>
    <n v="39525"/>
    <n v="5428"/>
    <n v="5316"/>
    <n v="43945"/>
    <n v="42037"/>
    <n v="88319"/>
    <n v="2943.9666666666667"/>
    <n v="86878"/>
    <n v="2895.9333333333334"/>
    <n v="3029"/>
    <n v="3343"/>
    <n v="88319"/>
    <n v="86878"/>
    <m/>
    <m/>
    <m/>
    <m/>
    <m/>
    <m/>
    <m/>
    <m/>
    <n v="0"/>
    <n v="0"/>
    <n v="0"/>
    <n v="0"/>
    <m/>
    <m/>
    <n v="0"/>
    <n v="0"/>
  </r>
  <r>
    <x v="10"/>
    <s v="University of Science and Arts of Oklahoma"/>
    <m/>
    <n v="207722"/>
    <x v="5"/>
    <s v="sem"/>
    <s v="sem"/>
    <m/>
    <m/>
    <n v="10419"/>
    <n v="10522"/>
    <n v="3426"/>
    <n v="3350"/>
    <n v="12134"/>
    <n v="11727"/>
    <n v="25979"/>
    <n v="865.9666666666667"/>
    <n v="25599"/>
    <n v="853.3"/>
    <n v="105"/>
    <n v="64"/>
    <n v="25979"/>
    <n v="25599"/>
    <m/>
    <m/>
    <m/>
    <m/>
    <m/>
    <m/>
    <m/>
    <m/>
    <n v="0"/>
    <n v="0"/>
    <n v="0"/>
    <n v="0"/>
    <m/>
    <m/>
    <n v="0"/>
    <n v="0"/>
  </r>
  <r>
    <x v="10"/>
    <s v="Oklahoma State University Technical Branch-Okmulgee "/>
    <m/>
    <n v="207564"/>
    <x v="11"/>
    <s v="sem"/>
    <s v="sem"/>
    <m/>
    <m/>
    <n v="31082"/>
    <n v="26044"/>
    <n v="21058"/>
    <n v="18548"/>
    <n v="30300"/>
    <n v="28104"/>
    <n v="82440"/>
    <n v="2748"/>
    <n v="72696"/>
    <n v="2423.1999999999998"/>
    <n v="1912"/>
    <n v="2762"/>
    <n v="82440"/>
    <n v="72696"/>
    <m/>
    <m/>
    <m/>
    <m/>
    <m/>
    <m/>
    <m/>
    <m/>
    <n v="0"/>
    <n v="0"/>
    <n v="0"/>
    <n v="0"/>
    <m/>
    <m/>
    <n v="0"/>
    <n v="0"/>
  </r>
  <r>
    <x v="10"/>
    <s v="Oklahoma State University-Oklahoma City "/>
    <m/>
    <n v="207397"/>
    <x v="11"/>
    <s v="sem"/>
    <s v="sem"/>
    <m/>
    <m/>
    <n v="51692"/>
    <n v="48384"/>
    <n v="13199"/>
    <n v="14629"/>
    <n v="52100"/>
    <n v="65212"/>
    <n v="116991"/>
    <n v="3899.7"/>
    <n v="128225"/>
    <n v="4274.166666666667"/>
    <n v="5299"/>
    <n v="3203"/>
    <n v="116991"/>
    <n v="128225"/>
    <m/>
    <m/>
    <m/>
    <m/>
    <m/>
    <m/>
    <m/>
    <m/>
    <n v="0"/>
    <n v="0"/>
    <n v="0"/>
    <n v="0"/>
    <m/>
    <m/>
    <n v="0"/>
    <n v="0"/>
  </r>
  <r>
    <x v="10"/>
    <s v="Oklahoma City Community College "/>
    <m/>
    <n v="207449"/>
    <x v="6"/>
    <s v="sem"/>
    <s v="sem"/>
    <m/>
    <m/>
    <n v="109037"/>
    <n v="107329"/>
    <n v="29565"/>
    <n v="28958"/>
    <n v="117407"/>
    <n v="112181"/>
    <n v="256009"/>
    <n v="8533.6333333333332"/>
    <n v="248468"/>
    <n v="8282.2666666666664"/>
    <n v="10565"/>
    <n v="12769"/>
    <n v="256009"/>
    <n v="248468"/>
    <m/>
    <m/>
    <m/>
    <m/>
    <m/>
    <m/>
    <m/>
    <m/>
    <n v="0"/>
    <n v="0"/>
    <n v="0"/>
    <n v="0"/>
    <m/>
    <m/>
    <n v="0"/>
    <n v="0"/>
  </r>
  <r>
    <x v="10"/>
    <s v="Tulsa Community College "/>
    <m/>
    <n v="207935"/>
    <x v="6"/>
    <s v="sem"/>
    <s v="sem"/>
    <m/>
    <m/>
    <n v="141385"/>
    <n v="135135"/>
    <n v="36977"/>
    <n v="35451"/>
    <n v="145935"/>
    <n v="144627"/>
    <n v="324297"/>
    <n v="10809.9"/>
    <n v="315213"/>
    <n v="10507.1"/>
    <n v="18169"/>
    <n v="17982"/>
    <n v="324297"/>
    <n v="315213"/>
    <m/>
    <m/>
    <m/>
    <m/>
    <m/>
    <m/>
    <m/>
    <m/>
    <n v="0"/>
    <n v="0"/>
    <n v="0"/>
    <n v="0"/>
    <m/>
    <m/>
    <n v="0"/>
    <n v="0"/>
  </r>
  <r>
    <x v="10"/>
    <s v="Northern Oklahoma College "/>
    <m/>
    <n v="207281"/>
    <x v="7"/>
    <s v="sem"/>
    <s v="sem"/>
    <m/>
    <m/>
    <n v="41313"/>
    <n v="40720"/>
    <n v="6873"/>
    <n v="7364"/>
    <n v="43735"/>
    <n v="42552"/>
    <n v="91921"/>
    <n v="3064.0333333333333"/>
    <n v="90636"/>
    <n v="3021.2"/>
    <n v="2276"/>
    <n v="3182"/>
    <n v="91921"/>
    <n v="90636"/>
    <m/>
    <m/>
    <m/>
    <m/>
    <m/>
    <m/>
    <m/>
    <m/>
    <n v="0"/>
    <n v="0"/>
    <n v="0"/>
    <n v="0"/>
    <m/>
    <m/>
    <n v="0"/>
    <n v="0"/>
  </r>
  <r>
    <x v="10"/>
    <s v="Rose State College "/>
    <m/>
    <n v="207670"/>
    <x v="7"/>
    <s v="sem"/>
    <s v="sem"/>
    <m/>
    <m/>
    <n v="54325"/>
    <n v="55106"/>
    <n v="12374"/>
    <n v="12981"/>
    <n v="60460"/>
    <n v="63206"/>
    <n v="127159"/>
    <n v="4238.6333333333332"/>
    <n v="131293"/>
    <n v="4376.4333333333334"/>
    <n v="3358"/>
    <n v="4165"/>
    <n v="127159"/>
    <n v="131293"/>
    <m/>
    <m/>
    <m/>
    <m/>
    <m/>
    <m/>
    <m/>
    <m/>
    <n v="0"/>
    <n v="0"/>
    <n v="0"/>
    <n v="0"/>
    <m/>
    <m/>
    <n v="0"/>
    <n v="0"/>
  </r>
  <r>
    <x v="10"/>
    <s v="Carl Albert State College"/>
    <m/>
    <n v="206923"/>
    <x v="8"/>
    <s v="sem"/>
    <s v="sem"/>
    <m/>
    <m/>
    <n v="22334"/>
    <n v="22215"/>
    <n v="3711"/>
    <n v="3162"/>
    <n v="25461"/>
    <n v="23948"/>
    <n v="51506"/>
    <n v="1716.8666666666666"/>
    <n v="49325"/>
    <n v="1644.1666666666667"/>
    <n v="2944"/>
    <n v="3270"/>
    <n v="51506"/>
    <n v="49325"/>
    <m/>
    <m/>
    <m/>
    <m/>
    <m/>
    <m/>
    <m/>
    <m/>
    <n v="0"/>
    <n v="0"/>
    <n v="0"/>
    <n v="0"/>
    <m/>
    <m/>
    <n v="0"/>
    <n v="0"/>
  </r>
  <r>
    <x v="10"/>
    <s v="Connors State College "/>
    <m/>
    <n v="206996"/>
    <x v="8"/>
    <s v="sem"/>
    <s v="sem"/>
    <m/>
    <m/>
    <n v="22353"/>
    <n v="22172"/>
    <n v="3663"/>
    <n v="3685"/>
    <n v="25050"/>
    <n v="25333"/>
    <n v="51066"/>
    <n v="1702.2"/>
    <n v="51190"/>
    <n v="1706.3333333333333"/>
    <n v="2341"/>
    <n v="4220"/>
    <n v="51066"/>
    <n v="51190"/>
    <m/>
    <m/>
    <m/>
    <m/>
    <m/>
    <m/>
    <m/>
    <m/>
    <n v="0"/>
    <n v="0"/>
    <n v="0"/>
    <n v="0"/>
    <m/>
    <m/>
    <n v="0"/>
    <n v="0"/>
  </r>
  <r>
    <x v="10"/>
    <s v="Eastern Oklahoma State College "/>
    <m/>
    <n v="207050"/>
    <x v="8"/>
    <s v="sem"/>
    <s v="sem"/>
    <m/>
    <m/>
    <n v="15420"/>
    <n v="15203"/>
    <n v="2479"/>
    <n v="2516"/>
    <n v="16667"/>
    <n v="16583"/>
    <n v="34566"/>
    <n v="1152.2"/>
    <n v="34302"/>
    <n v="1143.4000000000001"/>
    <n v="3309"/>
    <n v="4191"/>
    <n v="34566"/>
    <n v="34302"/>
    <m/>
    <m/>
    <m/>
    <m/>
    <m/>
    <m/>
    <m/>
    <m/>
    <n v="0"/>
    <n v="0"/>
    <n v="0"/>
    <n v="0"/>
    <m/>
    <m/>
    <n v="0"/>
    <n v="0"/>
  </r>
  <r>
    <x v="10"/>
    <s v="Murray State College "/>
    <m/>
    <n v="207236"/>
    <x v="8"/>
    <s v="sem"/>
    <s v="sem"/>
    <m/>
    <m/>
    <n v="20969"/>
    <n v="20127"/>
    <n v="3362"/>
    <n v="3283"/>
    <n v="23249"/>
    <n v="24104"/>
    <n v="47580"/>
    <n v="1586"/>
    <n v="47514"/>
    <n v="1583.8"/>
    <n v="4719"/>
    <n v="4920"/>
    <n v="47580"/>
    <n v="47514"/>
    <m/>
    <m/>
    <m/>
    <m/>
    <m/>
    <m/>
    <m/>
    <m/>
    <n v="0"/>
    <n v="0"/>
    <n v="0"/>
    <n v="0"/>
    <m/>
    <m/>
    <n v="0"/>
    <n v="0"/>
  </r>
  <r>
    <x v="10"/>
    <s v="Northeastern Oklahoma A &amp; M College "/>
    <m/>
    <n v="207290"/>
    <x v="8"/>
    <s v="sem"/>
    <s v="sem"/>
    <m/>
    <m/>
    <n v="23924"/>
    <n v="22914"/>
    <n v="3378"/>
    <n v="3335"/>
    <n v="26505"/>
    <n v="26287"/>
    <n v="53807"/>
    <n v="1793.5666666666666"/>
    <n v="52536"/>
    <n v="1751.2"/>
    <n v="2571"/>
    <n v="2853"/>
    <n v="53807"/>
    <n v="52536"/>
    <m/>
    <m/>
    <m/>
    <m/>
    <m/>
    <m/>
    <m/>
    <m/>
    <n v="0"/>
    <n v="0"/>
    <n v="0"/>
    <n v="0"/>
    <m/>
    <m/>
    <n v="0"/>
    <n v="0"/>
  </r>
  <r>
    <x v="10"/>
    <s v="Redlands Community College"/>
    <m/>
    <n v="207069"/>
    <x v="8"/>
    <s v="sem"/>
    <s v="sem"/>
    <m/>
    <m/>
    <n v="17561"/>
    <n v="16757"/>
    <n v="3449"/>
    <n v="3566"/>
    <n v="18503"/>
    <n v="18782"/>
    <n v="39513"/>
    <n v="1317.1"/>
    <n v="39105"/>
    <n v="1303.5"/>
    <n v="10130"/>
    <n v="11314"/>
    <n v="39513"/>
    <n v="39105"/>
    <m/>
    <m/>
    <m/>
    <m/>
    <m/>
    <m/>
    <m/>
    <m/>
    <n v="0"/>
    <n v="0"/>
    <n v="0"/>
    <n v="0"/>
    <m/>
    <m/>
    <n v="0"/>
    <n v="0"/>
  </r>
  <r>
    <x v="10"/>
    <s v="Seminole State College "/>
    <m/>
    <n v="207740"/>
    <x v="8"/>
    <s v="sem"/>
    <s v="sem"/>
    <m/>
    <m/>
    <n v="19542"/>
    <n v="17699"/>
    <n v="2664"/>
    <n v="5144"/>
    <n v="19000"/>
    <n v="18337"/>
    <n v="41206"/>
    <n v="1373.5333333333333"/>
    <n v="41180"/>
    <n v="1372.6666666666667"/>
    <n v="3197"/>
    <n v="3530"/>
    <n v="41206"/>
    <n v="41180"/>
    <m/>
    <m/>
    <m/>
    <m/>
    <m/>
    <m/>
    <m/>
    <m/>
    <n v="0"/>
    <n v="0"/>
    <n v="0"/>
    <n v="0"/>
    <m/>
    <m/>
    <n v="0"/>
    <n v="0"/>
  </r>
  <r>
    <x v="10"/>
    <s v="Western Oklahoma State College "/>
    <m/>
    <n v="208035"/>
    <x v="8"/>
    <s v="sem"/>
    <s v="sem"/>
    <m/>
    <m/>
    <n v="12667"/>
    <n v="12444"/>
    <n v="2553"/>
    <n v="2589"/>
    <n v="12924"/>
    <n v="13555"/>
    <n v="28144"/>
    <n v="938.13333333333333"/>
    <n v="28588"/>
    <n v="952.93333333333328"/>
    <n v="2168"/>
    <n v="2180"/>
    <n v="28144"/>
    <n v="28588"/>
    <m/>
    <m/>
    <m/>
    <m/>
    <m/>
    <m/>
    <m/>
    <m/>
    <n v="0"/>
    <n v="0"/>
    <n v="0"/>
    <n v="0"/>
    <m/>
    <m/>
    <n v="0"/>
    <n v="0"/>
  </r>
  <r>
    <x v="11"/>
    <s v="Clemson University"/>
    <m/>
    <n v="217882"/>
    <x v="0"/>
    <s v="sem"/>
    <s v="sem"/>
    <m/>
    <m/>
    <n v="239314"/>
    <n v="249718"/>
    <n v="30561"/>
    <n v="31216"/>
    <n v="270799"/>
    <n v="297709"/>
    <n v="540674"/>
    <n v="18022.466666666667"/>
    <n v="578643"/>
    <n v="19288.099999999999"/>
    <n v="690"/>
    <n v="874"/>
    <n v="540674"/>
    <n v="578643"/>
    <m/>
    <m/>
    <m/>
    <m/>
    <m/>
    <m/>
    <m/>
    <m/>
    <n v="0"/>
    <n v="0"/>
    <n v="0"/>
    <n v="0"/>
    <m/>
    <m/>
    <n v="0"/>
    <n v="0"/>
  </r>
  <r>
    <x v="11"/>
    <s v="University of South Carolina-Columbia"/>
    <m/>
    <n v="218663"/>
    <x v="0"/>
    <s v="sem"/>
    <s v="sem"/>
    <m/>
    <m/>
    <n v="340004"/>
    <n v="345197"/>
    <n v="37254"/>
    <n v="37690"/>
    <n v="376645"/>
    <n v="378270"/>
    <n v="753903"/>
    <n v="25130.1"/>
    <n v="761157"/>
    <n v="25371.9"/>
    <m/>
    <m/>
    <n v="0"/>
    <n v="0"/>
    <m/>
    <m/>
    <m/>
    <m/>
    <m/>
    <m/>
    <m/>
    <m/>
    <n v="0"/>
    <n v="0"/>
    <n v="0"/>
    <n v="0"/>
    <m/>
    <m/>
    <n v="0"/>
    <n v="0"/>
  </r>
  <r>
    <x v="11"/>
    <s v="College of Charleston"/>
    <m/>
    <n v="217819"/>
    <x v="2"/>
    <s v="sem"/>
    <s v="sem"/>
    <m/>
    <m/>
    <n v="141190"/>
    <n v="138626"/>
    <n v="15224"/>
    <n v="16172"/>
    <n v="148699"/>
    <n v="147628"/>
    <n v="305113"/>
    <n v="10170.433333333332"/>
    <n v="302426"/>
    <n v="10080.866666666667"/>
    <n v="687"/>
    <n v="829"/>
    <n v="305113"/>
    <n v="302426"/>
    <m/>
    <m/>
    <m/>
    <m/>
    <m/>
    <m/>
    <m/>
    <m/>
    <n v="0"/>
    <n v="0"/>
    <n v="0"/>
    <n v="0"/>
    <m/>
    <m/>
    <n v="0"/>
    <n v="0"/>
  </r>
  <r>
    <x v="11"/>
    <s v="The Citadel, the Military College of South Carolina "/>
    <m/>
    <n v="217864"/>
    <x v="2"/>
    <s v="sem"/>
    <s v="sem"/>
    <m/>
    <m/>
    <n v="44310"/>
    <n v="43142"/>
    <n v="5527"/>
    <n v="6427"/>
    <n v="45731"/>
    <n v="46226"/>
    <n v="95568"/>
    <n v="3185.6"/>
    <n v="95795"/>
    <n v="3193.1666666666665"/>
    <n v="207"/>
    <n v="180"/>
    <n v="95568"/>
    <n v="95795"/>
    <m/>
    <m/>
    <m/>
    <m/>
    <m/>
    <m/>
    <m/>
    <m/>
    <n v="0"/>
    <n v="0"/>
    <n v="0"/>
    <n v="0"/>
    <m/>
    <m/>
    <n v="0"/>
    <n v="0"/>
  </r>
  <r>
    <x v="11"/>
    <s v="Winthrop University "/>
    <m/>
    <n v="218964"/>
    <x v="2"/>
    <s v="sem"/>
    <s v="sem"/>
    <m/>
    <m/>
    <n v="66279"/>
    <n v="67438"/>
    <n v="5191.5"/>
    <n v="5520"/>
    <n v="72321"/>
    <n v="72433"/>
    <n v="143791.5"/>
    <n v="4793.05"/>
    <n v="145391"/>
    <n v="4846.3666666666668"/>
    <n v="1260"/>
    <n v="1512"/>
    <n v="143791.5"/>
    <n v="145391"/>
    <m/>
    <m/>
    <m/>
    <m/>
    <m/>
    <m/>
    <m/>
    <m/>
    <n v="0"/>
    <n v="0"/>
    <n v="0"/>
    <n v="0"/>
    <m/>
    <m/>
    <n v="0"/>
    <n v="0"/>
  </r>
  <r>
    <x v="11"/>
    <s v="Coastal Carolina University"/>
    <s v="Met the criteria for Four-Year 4 in 2016-17."/>
    <n v="218724"/>
    <x v="4"/>
    <s v="sem"/>
    <s v="sem"/>
    <m/>
    <m/>
    <n v="121612"/>
    <n v="128073"/>
    <n v="13272"/>
    <n v="15949"/>
    <n v="141528"/>
    <n v="143019"/>
    <n v="276412"/>
    <n v="9213.7333333333336"/>
    <n v="287041"/>
    <n v="9568.0333333333328"/>
    <m/>
    <m/>
    <n v="0"/>
    <n v="0"/>
    <m/>
    <m/>
    <m/>
    <m/>
    <m/>
    <m/>
    <m/>
    <m/>
    <n v="0"/>
    <n v="0"/>
    <n v="0"/>
    <n v="0"/>
    <m/>
    <m/>
    <n v="0"/>
    <n v="0"/>
  </r>
  <r>
    <x v="11"/>
    <s v="Francis Marion University "/>
    <m/>
    <n v="218061"/>
    <x v="4"/>
    <s v="sem"/>
    <s v="sem"/>
    <m/>
    <m/>
    <n v="44475"/>
    <n v="43948"/>
    <n v="2832"/>
    <n v="3377"/>
    <n v="48855"/>
    <n v="48000"/>
    <n v="96162"/>
    <n v="3205.4"/>
    <n v="95325"/>
    <n v="3177.5"/>
    <n v="1050"/>
    <n v="951"/>
    <n v="96162"/>
    <n v="95325"/>
    <m/>
    <m/>
    <m/>
    <m/>
    <m/>
    <m/>
    <m/>
    <m/>
    <n v="0"/>
    <n v="0"/>
    <n v="0"/>
    <n v="0"/>
    <m/>
    <m/>
    <n v="0"/>
    <n v="0"/>
  </r>
  <r>
    <x v="11"/>
    <s v="South Carolina State University "/>
    <m/>
    <n v="218733"/>
    <x v="4"/>
    <s v="sem"/>
    <s v="sem"/>
    <m/>
    <m/>
    <n v="36666"/>
    <n v="31804"/>
    <n v="2592"/>
    <n v="2150"/>
    <n v="36978"/>
    <n v="36099"/>
    <n v="76236"/>
    <n v="2541.1999999999998"/>
    <n v="70053"/>
    <n v="2335.1"/>
    <n v="1929"/>
    <m/>
    <n v="76236"/>
    <n v="0"/>
    <m/>
    <m/>
    <m/>
    <m/>
    <m/>
    <m/>
    <m/>
    <m/>
    <n v="0"/>
    <n v="0"/>
    <n v="0"/>
    <n v="0"/>
    <m/>
    <m/>
    <n v="0"/>
    <n v="0"/>
  </r>
  <r>
    <x v="11"/>
    <s v="Lander University"/>
    <m/>
    <n v="218229"/>
    <x v="5"/>
    <s v="sem"/>
    <s v="sem"/>
    <m/>
    <m/>
    <n v="34809"/>
    <n v="34343.5"/>
    <n v="3332"/>
    <n v="2970"/>
    <n v="38071.5"/>
    <n v="39426"/>
    <n v="76212.5"/>
    <n v="2540.4166666666665"/>
    <n v="76739.5"/>
    <n v="2557.9833333333331"/>
    <n v="173"/>
    <n v="162"/>
    <n v="76212.5"/>
    <n v="76739.5"/>
    <m/>
    <m/>
    <m/>
    <m/>
    <m/>
    <m/>
    <m/>
    <m/>
    <n v="0"/>
    <n v="0"/>
    <n v="0"/>
    <n v="0"/>
    <m/>
    <m/>
    <n v="0"/>
    <n v="0"/>
  </r>
  <r>
    <x v="11"/>
    <s v="University of South Carolina-Aiken"/>
    <m/>
    <n v="218645"/>
    <x v="5"/>
    <s v="sem"/>
    <s v="sem"/>
    <m/>
    <m/>
    <n v="38537"/>
    <n v="40089"/>
    <n v="5543"/>
    <n v="5511"/>
    <n v="44039"/>
    <n v="44441"/>
    <n v="88119"/>
    <n v="2937.3"/>
    <n v="90041"/>
    <n v="3001.3666666666668"/>
    <m/>
    <m/>
    <n v="0"/>
    <n v="0"/>
    <m/>
    <m/>
    <m/>
    <m/>
    <m/>
    <m/>
    <m/>
    <m/>
    <n v="0"/>
    <n v="0"/>
    <n v="0"/>
    <n v="0"/>
    <m/>
    <m/>
    <n v="0"/>
    <n v="0"/>
  </r>
  <r>
    <x v="11"/>
    <s v="University of South Carolina-Beaufort"/>
    <m/>
    <n v="218654"/>
    <x v="5"/>
    <s v="sem"/>
    <s v="sem"/>
    <m/>
    <m/>
    <n v="22425"/>
    <n v="24459"/>
    <n v="2413"/>
    <n v="2349"/>
    <n v="27210"/>
    <n v="27501"/>
    <n v="52048"/>
    <n v="1734.9333333333334"/>
    <n v="54309"/>
    <n v="1810.3"/>
    <m/>
    <m/>
    <n v="0"/>
    <n v="0"/>
    <m/>
    <m/>
    <m/>
    <m/>
    <m/>
    <m/>
    <m/>
    <m/>
    <n v="0"/>
    <n v="0"/>
    <n v="0"/>
    <n v="0"/>
    <m/>
    <m/>
    <n v="0"/>
    <n v="0"/>
  </r>
  <r>
    <x v="11"/>
    <s v="University of South Carolina-Upstate"/>
    <m/>
    <n v="218742"/>
    <x v="5"/>
    <s v="sem"/>
    <s v="sem"/>
    <m/>
    <m/>
    <n v="65967"/>
    <n v="68625"/>
    <n v="9713"/>
    <n v="10023"/>
    <n v="74337"/>
    <n v="70310"/>
    <n v="150017"/>
    <n v="5000.5666666666666"/>
    <n v="148958"/>
    <n v="4965.2666666666664"/>
    <m/>
    <m/>
    <n v="0"/>
    <n v="0"/>
    <m/>
    <m/>
    <m/>
    <m/>
    <m/>
    <m/>
    <m/>
    <m/>
    <n v="0"/>
    <n v="0"/>
    <n v="0"/>
    <n v="0"/>
    <m/>
    <m/>
    <n v="0"/>
    <n v="0"/>
  </r>
  <r>
    <x v="11"/>
    <s v="Florence-Darlington Technical College "/>
    <s v="Met the criteria for Two-Year 2 in 2015-16 and 2016-17."/>
    <n v="218025"/>
    <x v="6"/>
    <s v="sem"/>
    <s v="sem"/>
    <m/>
    <m/>
    <n v="58176.65"/>
    <n v="50990"/>
    <n v="21463.31"/>
    <n v="16855"/>
    <n v="64642.23"/>
    <n v="55237"/>
    <n v="144282.19"/>
    <n v="4809.4063333333334"/>
    <n v="123082"/>
    <n v="4102.7333333333336"/>
    <n v="5648"/>
    <n v="11951"/>
    <n v="144282.19"/>
    <n v="123082"/>
    <m/>
    <m/>
    <m/>
    <m/>
    <m/>
    <m/>
    <m/>
    <m/>
    <n v="0"/>
    <n v="0"/>
    <n v="0"/>
    <n v="0"/>
    <m/>
    <m/>
    <n v="0"/>
    <n v="0"/>
  </r>
  <r>
    <x v="11"/>
    <s v="Greenville Technical College "/>
    <m/>
    <n v="218113"/>
    <x v="6"/>
    <s v="sem"/>
    <s v="sem"/>
    <m/>
    <m/>
    <n v="111501.59"/>
    <n v="95418"/>
    <n v="44371.67"/>
    <n v="35233"/>
    <n v="121373.02"/>
    <n v="111039"/>
    <n v="277246.28000000003"/>
    <n v="9241.5426666666681"/>
    <n v="241690"/>
    <n v="8056.333333333333"/>
    <n v="10990"/>
    <n v="11328"/>
    <n v="277246.28000000003"/>
    <n v="241690"/>
    <m/>
    <m/>
    <m/>
    <m/>
    <m/>
    <m/>
    <m/>
    <m/>
    <n v="0"/>
    <n v="0"/>
    <n v="0"/>
    <n v="0"/>
    <m/>
    <m/>
    <n v="0"/>
    <n v="0"/>
  </r>
  <r>
    <x v="11"/>
    <s v="Horry-Georgetown Technical College "/>
    <m/>
    <n v="218140"/>
    <x v="6"/>
    <s v="sem"/>
    <s v="sem"/>
    <m/>
    <m/>
    <n v="71191.490000000005"/>
    <n v="65329"/>
    <n v="24157.759999999998"/>
    <n v="22549"/>
    <n v="70838.5"/>
    <n v="69667"/>
    <n v="166187.75"/>
    <n v="5539.5916666666662"/>
    <n v="157545"/>
    <n v="5251.5"/>
    <n v="7748"/>
    <n v="7028"/>
    <n v="166187.75"/>
    <n v="157545"/>
    <m/>
    <m/>
    <m/>
    <m/>
    <m/>
    <m/>
    <m/>
    <m/>
    <n v="0"/>
    <n v="0"/>
    <n v="0"/>
    <n v="0"/>
    <m/>
    <m/>
    <n v="0"/>
    <n v="0"/>
  </r>
  <r>
    <x v="11"/>
    <s v="Midlands Technical College "/>
    <m/>
    <n v="218353"/>
    <x v="6"/>
    <s v="sem"/>
    <s v="sem"/>
    <m/>
    <m/>
    <n v="104991.03999999999"/>
    <n v="97322"/>
    <n v="45845.77"/>
    <n v="35612"/>
    <n v="122986.38"/>
    <n v="107242"/>
    <n v="273823.19"/>
    <n v="9127.4396666666671"/>
    <n v="240176"/>
    <n v="8005.8666666666668"/>
    <n v="2773"/>
    <n v="4368"/>
    <n v="273823.19"/>
    <n v="240176"/>
    <m/>
    <m/>
    <m/>
    <m/>
    <m/>
    <m/>
    <m/>
    <m/>
    <n v="0"/>
    <n v="0"/>
    <n v="0"/>
    <n v="0"/>
    <m/>
    <m/>
    <n v="0"/>
    <n v="0"/>
  </r>
  <r>
    <x v="11"/>
    <s v="Piedmont Technical College "/>
    <s v="Reclassified: Met the criteria for Two-Year 2 in 2014-15, 2015-16, and 2016-17."/>
    <n v="218520"/>
    <x v="7"/>
    <s v="sem"/>
    <s v="sem"/>
    <m/>
    <m/>
    <n v="53621.7"/>
    <n v="44204"/>
    <n v="21821.42"/>
    <n v="17696"/>
    <n v="54750.71"/>
    <n v="45821"/>
    <n v="130193.82999999999"/>
    <n v="4339.7943333333333"/>
    <n v="107721"/>
    <n v="3590.7"/>
    <n v="10490"/>
    <n v="10243"/>
    <n v="130193.82999999999"/>
    <n v="107721"/>
    <m/>
    <m/>
    <m/>
    <m/>
    <m/>
    <m/>
    <m/>
    <m/>
    <n v="0"/>
    <n v="0"/>
    <n v="0"/>
    <n v="0"/>
    <m/>
    <m/>
    <n v="0"/>
    <n v="0"/>
  </r>
  <r>
    <x v="11"/>
    <s v="Tri-County Technical College "/>
    <s v="Met the criteria for Two-Year 2 in 2016-17."/>
    <n v="218885"/>
    <x v="6"/>
    <s v="sem"/>
    <s v="sem"/>
    <m/>
    <m/>
    <n v="65636.63"/>
    <n v="60464"/>
    <n v="20882.349999999999"/>
    <n v="18445"/>
    <n v="70375.72"/>
    <n v="66776"/>
    <n v="156894.70000000001"/>
    <n v="5229.8233333333337"/>
    <n v="145685"/>
    <n v="4856.166666666667"/>
    <n v="7531"/>
    <n v="7592"/>
    <n v="156894.70000000001"/>
    <n v="145685"/>
    <m/>
    <m/>
    <m/>
    <m/>
    <m/>
    <m/>
    <m/>
    <m/>
    <n v="0"/>
    <n v="0"/>
    <n v="0"/>
    <n v="0"/>
    <m/>
    <m/>
    <n v="0"/>
    <n v="0"/>
  </r>
  <r>
    <x v="11"/>
    <s v="Trident Technical College "/>
    <m/>
    <n v="218894"/>
    <x v="6"/>
    <s v="sem"/>
    <s v="sem"/>
    <m/>
    <m/>
    <n v="151197.64000000001"/>
    <n v="127097"/>
    <n v="59262.51"/>
    <n v="49303"/>
    <n v="149345.73000000001"/>
    <n v="124205"/>
    <n v="359805.88"/>
    <n v="11993.529333333334"/>
    <n v="300605"/>
    <n v="10020.166666666666"/>
    <n v="17691"/>
    <n v="19071"/>
    <n v="359805.88"/>
    <n v="300605"/>
    <m/>
    <m/>
    <m/>
    <m/>
    <m/>
    <m/>
    <m/>
    <m/>
    <n v="0"/>
    <n v="0"/>
    <n v="0"/>
    <n v="0"/>
    <m/>
    <m/>
    <n v="0"/>
    <n v="0"/>
  </r>
  <r>
    <x v="11"/>
    <s v="Aiken Technical College "/>
    <s v="Reclassified: Met the criteria for Two-Year 3 in 2014-15, 2015-16, and 2016-17."/>
    <n v="217615"/>
    <x v="8"/>
    <s v="sem"/>
    <s v="sem"/>
    <m/>
    <m/>
    <n v="21150.17"/>
    <n v="21081"/>
    <n v="8302.92"/>
    <n v="8342"/>
    <n v="22527.38"/>
    <n v="22676"/>
    <n v="51980.47"/>
    <n v="1732.6823333333334"/>
    <n v="52099"/>
    <n v="1736.6333333333334"/>
    <n v="569"/>
    <n v="701"/>
    <n v="51980.47"/>
    <n v="52099"/>
    <m/>
    <m/>
    <m/>
    <m/>
    <m/>
    <m/>
    <m/>
    <m/>
    <n v="0"/>
    <n v="0"/>
    <n v="0"/>
    <n v="0"/>
    <m/>
    <m/>
    <n v="0"/>
    <n v="0"/>
  </r>
  <r>
    <x v="11"/>
    <s v="Central Carolina Technical College "/>
    <m/>
    <n v="218858"/>
    <x v="7"/>
    <s v="sem"/>
    <s v="sem"/>
    <m/>
    <m/>
    <n v="32469.7"/>
    <n v="29471"/>
    <n v="13541.67"/>
    <n v="12304"/>
    <n v="34476.5"/>
    <n v="32453"/>
    <n v="80487.87"/>
    <n v="2682.9289999999996"/>
    <n v="74228"/>
    <n v="2474.2666666666669"/>
    <n v="6579"/>
    <n v="8032"/>
    <n v="80487.87"/>
    <n v="74228"/>
    <m/>
    <m/>
    <m/>
    <m/>
    <m/>
    <m/>
    <m/>
    <m/>
    <n v="0"/>
    <n v="0"/>
    <n v="0"/>
    <n v="0"/>
    <m/>
    <m/>
    <n v="0"/>
    <n v="0"/>
  </r>
  <r>
    <x v="11"/>
    <s v="Orangeburg-Calhoun Technical College "/>
    <s v="Met the criteria for Two-Year 3 in 2016-17."/>
    <n v="218487"/>
    <x v="7"/>
    <s v="sem"/>
    <s v="sem"/>
    <m/>
    <m/>
    <n v="26273.74"/>
    <n v="22972"/>
    <n v="9018.7999999999993"/>
    <n v="8564"/>
    <n v="27182.560000000001"/>
    <n v="24954"/>
    <n v="62475.100000000006"/>
    <n v="2082.5033333333336"/>
    <n v="56490"/>
    <n v="1883"/>
    <n v="7028"/>
    <n v="7237"/>
    <n v="62475.100000000006"/>
    <n v="56490"/>
    <m/>
    <m/>
    <m/>
    <m/>
    <m/>
    <m/>
    <m/>
    <m/>
    <n v="0"/>
    <n v="0"/>
    <n v="0"/>
    <n v="0"/>
    <m/>
    <m/>
    <n v="0"/>
    <n v="0"/>
  </r>
  <r>
    <x v="11"/>
    <s v="Spartanburg Community College "/>
    <m/>
    <n v="218830"/>
    <x v="7"/>
    <s v="sem"/>
    <s v="sem"/>
    <m/>
    <m/>
    <n v="48152.26"/>
    <n v="43154"/>
    <n v="15856.65"/>
    <n v="13542"/>
    <n v="48809.81"/>
    <n v="45549"/>
    <n v="112818.72"/>
    <n v="3760.6240000000003"/>
    <n v="102245"/>
    <n v="3408.1666666666665"/>
    <n v="7202"/>
    <n v="7810"/>
    <n v="112818.72"/>
    <n v="102245"/>
    <m/>
    <m/>
    <m/>
    <m/>
    <m/>
    <m/>
    <m/>
    <m/>
    <n v="0"/>
    <n v="0"/>
    <n v="0"/>
    <n v="0"/>
    <m/>
    <m/>
    <n v="0"/>
    <n v="0"/>
  </r>
  <r>
    <x v="11"/>
    <s v="York Technical College "/>
    <m/>
    <n v="218991"/>
    <x v="7"/>
    <s v="sem"/>
    <s v="sem"/>
    <m/>
    <m/>
    <n v="47903.6"/>
    <n v="43127"/>
    <n v="17984"/>
    <n v="13993"/>
    <n v="49795.06"/>
    <n v="46434"/>
    <n v="115682.66"/>
    <n v="3856.088666666667"/>
    <n v="103554"/>
    <n v="3451.8"/>
    <n v="2893"/>
    <n v="2950"/>
    <n v="115682.66"/>
    <n v="103554"/>
    <m/>
    <m/>
    <m/>
    <m/>
    <m/>
    <m/>
    <m/>
    <m/>
    <n v="0"/>
    <n v="0"/>
    <n v="0"/>
    <n v="0"/>
    <m/>
    <m/>
    <n v="0"/>
    <n v="0"/>
  </r>
  <r>
    <x v="11"/>
    <s v="Denmark Technical College "/>
    <m/>
    <n v="217989"/>
    <x v="8"/>
    <s v="sem"/>
    <s v="sem"/>
    <m/>
    <m/>
    <n v="15952.09"/>
    <n v="10165"/>
    <n v="9961.75"/>
    <n v="3376"/>
    <n v="11733.73"/>
    <n v="7239"/>
    <n v="37647.57"/>
    <n v="1254.9190000000001"/>
    <n v="20780"/>
    <n v="692.66666666666663"/>
    <n v="319"/>
    <n v="2212"/>
    <n v="37647.57"/>
    <n v="20780"/>
    <m/>
    <m/>
    <m/>
    <m/>
    <m/>
    <m/>
    <m/>
    <m/>
    <n v="0"/>
    <n v="0"/>
    <n v="0"/>
    <n v="0"/>
    <m/>
    <m/>
    <n v="0"/>
    <n v="0"/>
  </r>
  <r>
    <x v="11"/>
    <s v="Northeastern Technical College "/>
    <m/>
    <n v="217837"/>
    <x v="8"/>
    <s v="sem"/>
    <s v="sem"/>
    <m/>
    <m/>
    <n v="10611.99"/>
    <n v="9146"/>
    <n v="5521.44"/>
    <n v="3631"/>
    <n v="13203.26"/>
    <n v="9602"/>
    <n v="29336.690000000002"/>
    <n v="977.8896666666667"/>
    <n v="22379"/>
    <n v="745.9666666666667"/>
    <n v="1466"/>
    <n v="1648"/>
    <n v="29336.690000000002"/>
    <n v="22379"/>
    <m/>
    <m/>
    <m/>
    <m/>
    <m/>
    <m/>
    <m/>
    <m/>
    <n v="0"/>
    <n v="0"/>
    <n v="0"/>
    <n v="0"/>
    <m/>
    <m/>
    <n v="0"/>
    <n v="0"/>
  </r>
  <r>
    <x v="11"/>
    <s v="Technical College of the Lowcountry"/>
    <m/>
    <n v="217712"/>
    <x v="8"/>
    <s v="sem"/>
    <s v="sem"/>
    <m/>
    <m/>
    <n v="21166.22"/>
    <n v="20267"/>
    <n v="9369.8799999999992"/>
    <n v="7570"/>
    <n v="21721.15"/>
    <n v="19420"/>
    <n v="52257.25"/>
    <n v="1741.9083333333333"/>
    <n v="47257"/>
    <n v="1575.2333333333333"/>
    <n v="4658"/>
    <n v="5234"/>
    <n v="52257.25"/>
    <n v="47257"/>
    <m/>
    <m/>
    <m/>
    <m/>
    <m/>
    <m/>
    <m/>
    <m/>
    <n v="0"/>
    <n v="0"/>
    <n v="0"/>
    <n v="0"/>
    <m/>
    <m/>
    <n v="0"/>
    <n v="0"/>
  </r>
  <r>
    <x v="11"/>
    <s v="University of South Carolina-Lancaster"/>
    <m/>
    <n v="218672"/>
    <x v="8"/>
    <s v="sem"/>
    <s v="sem"/>
    <m/>
    <m/>
    <n v="13966"/>
    <n v="15582"/>
    <n v="1638"/>
    <n v="1995"/>
    <n v="17510"/>
    <n v="17173"/>
    <n v="33114"/>
    <n v="1103.8"/>
    <n v="34750"/>
    <n v="1158.3333333333333"/>
    <m/>
    <m/>
    <n v="0"/>
    <n v="0"/>
    <m/>
    <m/>
    <m/>
    <m/>
    <m/>
    <m/>
    <m/>
    <m/>
    <n v="0"/>
    <n v="0"/>
    <n v="0"/>
    <n v="0"/>
    <m/>
    <m/>
    <n v="0"/>
    <n v="0"/>
  </r>
  <r>
    <x v="11"/>
    <s v="University of South Carolina-Salkehatchie"/>
    <m/>
    <n v="218681"/>
    <x v="8"/>
    <s v="sem"/>
    <s v="sem"/>
    <m/>
    <m/>
    <n v="9445"/>
    <n v="9390"/>
    <n v="380"/>
    <n v="394"/>
    <n v="11179"/>
    <n v="11238"/>
    <n v="21004"/>
    <n v="700.13333333333333"/>
    <n v="21022"/>
    <n v="700.73333333333335"/>
    <m/>
    <m/>
    <n v="0"/>
    <n v="0"/>
    <m/>
    <m/>
    <m/>
    <m/>
    <m/>
    <m/>
    <m/>
    <m/>
    <n v="0"/>
    <n v="0"/>
    <n v="0"/>
    <n v="0"/>
    <m/>
    <m/>
    <n v="0"/>
    <n v="0"/>
  </r>
  <r>
    <x v="11"/>
    <s v="University of South Carolina-Sumter"/>
    <m/>
    <n v="218690"/>
    <x v="8"/>
    <s v="sem"/>
    <s v="sem"/>
    <m/>
    <m/>
    <n v="9054"/>
    <n v="8603"/>
    <n v="1218"/>
    <n v="1304"/>
    <n v="9825"/>
    <n v="8755"/>
    <n v="20097"/>
    <n v="669.9"/>
    <n v="18662"/>
    <n v="622.06666666666672"/>
    <m/>
    <m/>
    <n v="0"/>
    <n v="0"/>
    <m/>
    <m/>
    <m/>
    <m/>
    <m/>
    <m/>
    <m/>
    <m/>
    <n v="0"/>
    <n v="0"/>
    <n v="0"/>
    <n v="0"/>
    <m/>
    <m/>
    <n v="0"/>
    <n v="0"/>
  </r>
  <r>
    <x v="11"/>
    <s v="University of South Carolina-Union"/>
    <m/>
    <n v="218706"/>
    <x v="8"/>
    <s v="sem"/>
    <s v="sem"/>
    <m/>
    <m/>
    <n v="5366"/>
    <n v="6532"/>
    <n v="153"/>
    <n v="200"/>
    <n v="5003"/>
    <n v="7383"/>
    <n v="10522"/>
    <n v="350.73333333333335"/>
    <n v="14115"/>
    <n v="470.5"/>
    <m/>
    <m/>
    <n v="0"/>
    <n v="0"/>
    <m/>
    <m/>
    <m/>
    <m/>
    <m/>
    <m/>
    <m/>
    <m/>
    <n v="0"/>
    <n v="0"/>
    <n v="0"/>
    <n v="0"/>
    <m/>
    <m/>
    <n v="0"/>
    <n v="0"/>
  </r>
  <r>
    <x v="11"/>
    <s v="Willamsburg Technical College "/>
    <m/>
    <n v="218955"/>
    <x v="8"/>
    <s v="sem"/>
    <s v="sem"/>
    <m/>
    <m/>
    <n v="5733.14"/>
    <n v="5579"/>
    <n v="2722.52"/>
    <n v="2118"/>
    <n v="6093.02"/>
    <n v="5676"/>
    <n v="14548.68"/>
    <n v="484.95600000000002"/>
    <n v="13373"/>
    <n v="445.76666666666665"/>
    <m/>
    <n v="3566"/>
    <n v="0"/>
    <n v="13373"/>
    <m/>
    <m/>
    <m/>
    <m/>
    <m/>
    <m/>
    <m/>
    <m/>
    <n v="0"/>
    <n v="0"/>
    <n v="0"/>
    <n v="0"/>
    <m/>
    <m/>
    <n v="0"/>
    <n v="0"/>
  </r>
  <r>
    <x v="12"/>
    <s v="University of Memphis"/>
    <m/>
    <n v="220862"/>
    <x v="0"/>
    <s v="sem"/>
    <m/>
    <m/>
    <m/>
    <n v="192627"/>
    <n v="188835"/>
    <n v="24783"/>
    <n v="25362"/>
    <n v="203102"/>
    <n v="211510"/>
    <n v="420512"/>
    <n v="14017.066666666668"/>
    <n v="425707"/>
    <n v="14190.233333333334"/>
    <n v="7128"/>
    <n v="7127"/>
    <n v="420512"/>
    <n v="425707"/>
    <m/>
    <m/>
    <m/>
    <m/>
    <m/>
    <m/>
    <m/>
    <m/>
    <n v="0"/>
    <n v="0"/>
    <n v="0"/>
    <n v="0"/>
    <m/>
    <m/>
    <n v="0"/>
    <n v="0"/>
  </r>
  <r>
    <x v="12"/>
    <s v="University of Tennessee, Knoxville"/>
    <m/>
    <n v="221759"/>
    <x v="0"/>
    <s v="sem"/>
    <m/>
    <m/>
    <m/>
    <n v="273543"/>
    <n v="278726"/>
    <n v="32679"/>
    <n v="32936"/>
    <n v="298997"/>
    <n v="303627"/>
    <n v="605219"/>
    <n v="20173.966666666667"/>
    <n v="615289"/>
    <n v="20509.633333333335"/>
    <n v="108"/>
    <n v="145"/>
    <n v="605219"/>
    <n v="615289"/>
    <m/>
    <m/>
    <m/>
    <m/>
    <m/>
    <m/>
    <m/>
    <m/>
    <n v="0"/>
    <n v="0"/>
    <n v="0"/>
    <n v="0"/>
    <m/>
    <m/>
    <n v="0"/>
    <n v="0"/>
  </r>
  <r>
    <x v="12"/>
    <s v="East Tennessee State University "/>
    <m/>
    <n v="220075"/>
    <x v="1"/>
    <s v="sem"/>
    <m/>
    <m/>
    <m/>
    <n v="139935"/>
    <n v="140826"/>
    <n v="21399"/>
    <n v="19131"/>
    <n v="151606"/>
    <n v="151190"/>
    <n v="312940"/>
    <n v="10431.333333333334"/>
    <n v="311147"/>
    <n v="10371.566666666668"/>
    <n v="1999"/>
    <n v="1994"/>
    <n v="312940"/>
    <n v="311147"/>
    <m/>
    <m/>
    <m/>
    <m/>
    <m/>
    <m/>
    <m/>
    <m/>
    <n v="0"/>
    <n v="0"/>
    <n v="0"/>
    <n v="0"/>
    <m/>
    <m/>
    <n v="0"/>
    <n v="0"/>
  </r>
  <r>
    <x v="12"/>
    <s v="Tennessee State University "/>
    <m/>
    <n v="221838"/>
    <x v="1"/>
    <s v="sem"/>
    <m/>
    <m/>
    <m/>
    <n v="84198"/>
    <n v="83833"/>
    <n v="13081"/>
    <n v="13400"/>
    <n v="96959"/>
    <n v="94189"/>
    <n v="194238"/>
    <n v="6474.6"/>
    <n v="191422"/>
    <n v="6380.7333333333336"/>
    <m/>
    <m/>
    <n v="0"/>
    <n v="0"/>
    <m/>
    <m/>
    <m/>
    <m/>
    <m/>
    <m/>
    <m/>
    <m/>
    <n v="0"/>
    <n v="0"/>
    <n v="0"/>
    <n v="0"/>
    <m/>
    <m/>
    <n v="0"/>
    <n v="0"/>
  </r>
  <r>
    <x v="12"/>
    <s v="Austin Peay State University "/>
    <m/>
    <n v="219602"/>
    <x v="2"/>
    <s v="sem"/>
    <m/>
    <m/>
    <m/>
    <n v="101310"/>
    <n v="105245"/>
    <n v="19062"/>
    <n v="17155"/>
    <n v="114466"/>
    <n v="119122"/>
    <n v="234838"/>
    <n v="7827.9333333333334"/>
    <n v="241522"/>
    <n v="8050.7333333333336"/>
    <n v="2464"/>
    <n v="2838"/>
    <n v="234838"/>
    <n v="241522"/>
    <m/>
    <m/>
    <m/>
    <m/>
    <m/>
    <m/>
    <m/>
    <m/>
    <n v="0"/>
    <n v="0"/>
    <n v="0"/>
    <n v="0"/>
    <m/>
    <m/>
    <n v="0"/>
    <n v="0"/>
  </r>
  <r>
    <x v="12"/>
    <s v="Middle Tennessee State University "/>
    <s v="Met the criteria for Four-Year 2 in 2015-16 and 2016-17."/>
    <n v="220978"/>
    <x v="2"/>
    <s v="sem"/>
    <m/>
    <m/>
    <m/>
    <n v="238846"/>
    <n v="233197"/>
    <n v="38654"/>
    <n v="38022"/>
    <n v="255381"/>
    <n v="252688"/>
    <n v="532881"/>
    <n v="17762.7"/>
    <n v="523907"/>
    <n v="17463.566666666666"/>
    <n v="2604"/>
    <n v="5252"/>
    <n v="532881"/>
    <n v="523907"/>
    <m/>
    <m/>
    <m/>
    <m/>
    <m/>
    <m/>
    <m/>
    <m/>
    <n v="0"/>
    <n v="0"/>
    <n v="0"/>
    <n v="0"/>
    <m/>
    <m/>
    <n v="0"/>
    <n v="0"/>
  </r>
  <r>
    <x v="12"/>
    <s v="Tennessee Technological University "/>
    <m/>
    <n v="221847"/>
    <x v="2"/>
    <s v="sem"/>
    <m/>
    <m/>
    <m/>
    <n v="128227"/>
    <n v="121917"/>
    <n v="15869"/>
    <n v="14200"/>
    <n v="134398"/>
    <n v="129601"/>
    <n v="278494"/>
    <n v="9283.1333333333332"/>
    <n v="265718"/>
    <n v="8857.2666666666664"/>
    <n v="540"/>
    <n v="828"/>
    <n v="278494"/>
    <n v="265718"/>
    <m/>
    <m/>
    <m/>
    <m/>
    <m/>
    <m/>
    <m/>
    <m/>
    <n v="0"/>
    <n v="0"/>
    <n v="0"/>
    <n v="0"/>
    <m/>
    <m/>
    <n v="0"/>
    <n v="0"/>
  </r>
  <r>
    <x v="12"/>
    <s v="University of Tennessee at Chattanooga"/>
    <m/>
    <n v="221740"/>
    <x v="2"/>
    <s v="sem"/>
    <m/>
    <m/>
    <m/>
    <n v="122831"/>
    <n v="122748"/>
    <n v="17827"/>
    <n v="18865"/>
    <n v="134957"/>
    <n v="136347"/>
    <n v="275615"/>
    <n v="9187.1666666666661"/>
    <n v="277960"/>
    <n v="9265.3333333333339"/>
    <n v="128"/>
    <n v="187"/>
    <n v="275615"/>
    <n v="277960"/>
    <m/>
    <m/>
    <m/>
    <m/>
    <m/>
    <m/>
    <m/>
    <m/>
    <n v="0"/>
    <n v="0"/>
    <n v="0"/>
    <n v="0"/>
    <m/>
    <m/>
    <n v="0"/>
    <n v="0"/>
  </r>
  <r>
    <x v="12"/>
    <s v="University of Tennessee at Martin"/>
    <m/>
    <n v="221768"/>
    <x v="4"/>
    <s v="sem"/>
    <m/>
    <m/>
    <m/>
    <n v="83116"/>
    <n v="79609"/>
    <n v="10779"/>
    <n v="10851"/>
    <n v="86953"/>
    <n v="81924"/>
    <n v="180848"/>
    <n v="6028.2666666666664"/>
    <n v="172384"/>
    <n v="5746.1333333333332"/>
    <n v="2288"/>
    <n v="3863"/>
    <n v="180848"/>
    <n v="172384"/>
    <m/>
    <m/>
    <m/>
    <m/>
    <m/>
    <m/>
    <m/>
    <m/>
    <n v="0"/>
    <n v="0"/>
    <n v="0"/>
    <n v="0"/>
    <m/>
    <m/>
    <n v="0"/>
    <n v="0"/>
  </r>
  <r>
    <x v="12"/>
    <s v="Chattanooga State Technical Community College "/>
    <m/>
    <n v="219824"/>
    <x v="6"/>
    <s v="sem"/>
    <m/>
    <m/>
    <m/>
    <n v="79447"/>
    <n v="76580"/>
    <n v="15908"/>
    <n v="13219"/>
    <n v="92845"/>
    <n v="86150"/>
    <n v="188200"/>
    <n v="6273.333333333333"/>
    <n v="175949"/>
    <n v="5864.9666666666662"/>
    <n v="13905"/>
    <n v="13954"/>
    <n v="188200"/>
    <n v="175949"/>
    <m/>
    <m/>
    <m/>
    <m/>
    <m/>
    <m/>
    <m/>
    <m/>
    <n v="0"/>
    <n v="0"/>
    <n v="0"/>
    <n v="0"/>
    <m/>
    <m/>
    <n v="0"/>
    <n v="0"/>
  </r>
  <r>
    <x v="12"/>
    <s v="Nashville State Technical Community College"/>
    <m/>
    <n v="221184"/>
    <x v="6"/>
    <s v="sem"/>
    <m/>
    <m/>
    <m/>
    <n v="86836"/>
    <n v="84703"/>
    <n v="18103"/>
    <n v="15966"/>
    <n v="94077"/>
    <n v="83820"/>
    <n v="199016"/>
    <n v="6633.8666666666668"/>
    <n v="184489"/>
    <n v="6149.6333333333332"/>
    <n v="9553"/>
    <n v="9255"/>
    <n v="199016"/>
    <n v="184489"/>
    <m/>
    <m/>
    <m/>
    <m/>
    <m/>
    <m/>
    <m/>
    <m/>
    <n v="0"/>
    <n v="0"/>
    <n v="0"/>
    <n v="0"/>
    <m/>
    <m/>
    <n v="0"/>
    <n v="0"/>
  </r>
  <r>
    <x v="12"/>
    <s v="Pellissippi State Technical Community College"/>
    <m/>
    <n v="221643"/>
    <x v="6"/>
    <s v="sem"/>
    <m/>
    <m/>
    <m/>
    <n v="89377"/>
    <n v="88335"/>
    <n v="18073"/>
    <n v="16860"/>
    <n v="101324"/>
    <n v="99679"/>
    <n v="208774"/>
    <n v="6959.1333333333332"/>
    <n v="204874"/>
    <n v="6829.1333333333332"/>
    <n v="9438"/>
    <n v="9883"/>
    <n v="208774"/>
    <n v="204874"/>
    <m/>
    <m/>
    <m/>
    <m/>
    <m/>
    <m/>
    <m/>
    <m/>
    <n v="0"/>
    <n v="0"/>
    <n v="0"/>
    <n v="0"/>
    <m/>
    <m/>
    <n v="0"/>
    <n v="0"/>
  </r>
  <r>
    <x v="12"/>
    <s v="Southwest Tennessee Community College"/>
    <m/>
    <n v="221485"/>
    <x v="6"/>
    <s v="sem"/>
    <m/>
    <m/>
    <m/>
    <n v="83787"/>
    <n v="72988"/>
    <n v="20364"/>
    <n v="17994"/>
    <n v="92531"/>
    <n v="84360"/>
    <n v="196682"/>
    <n v="6556.0666666666666"/>
    <n v="175342"/>
    <n v="5844.7333333333336"/>
    <n v="3609"/>
    <n v="3550"/>
    <n v="196682"/>
    <n v="175342"/>
    <m/>
    <m/>
    <m/>
    <m/>
    <m/>
    <m/>
    <m/>
    <m/>
    <n v="0"/>
    <n v="0"/>
    <n v="0"/>
    <n v="0"/>
    <m/>
    <m/>
    <n v="0"/>
    <n v="0"/>
  </r>
  <r>
    <x v="12"/>
    <s v="Volunteer State Community College "/>
    <m/>
    <n v="222053"/>
    <x v="6"/>
    <s v="sem"/>
    <m/>
    <m/>
    <m/>
    <n v="63344"/>
    <n v="68407"/>
    <n v="13654"/>
    <n v="13794"/>
    <n v="81089"/>
    <n v="88030"/>
    <n v="158087"/>
    <n v="5269.5666666666666"/>
    <n v="170231"/>
    <n v="5674.3666666666668"/>
    <n v="13767"/>
    <n v="15299"/>
    <n v="158087"/>
    <n v="170231"/>
    <m/>
    <m/>
    <m/>
    <m/>
    <m/>
    <m/>
    <m/>
    <m/>
    <n v="0"/>
    <n v="0"/>
    <n v="0"/>
    <n v="0"/>
    <m/>
    <m/>
    <n v="0"/>
    <n v="0"/>
  </r>
  <r>
    <x v="12"/>
    <s v="Cleveland State Community College "/>
    <m/>
    <n v="219879"/>
    <x v="7"/>
    <s v="sem"/>
    <m/>
    <m/>
    <m/>
    <n v="29911"/>
    <n v="29775"/>
    <n v="4294"/>
    <n v="5463"/>
    <n v="36188"/>
    <n v="34231"/>
    <n v="70393"/>
    <n v="2346.4333333333334"/>
    <n v="69469"/>
    <n v="2315.6333333333332"/>
    <n v="7066"/>
    <n v="7511"/>
    <n v="70393"/>
    <n v="69469"/>
    <m/>
    <m/>
    <m/>
    <m/>
    <m/>
    <m/>
    <m/>
    <m/>
    <n v="0"/>
    <n v="0"/>
    <n v="0"/>
    <n v="0"/>
    <m/>
    <m/>
    <n v="0"/>
    <n v="0"/>
  </r>
  <r>
    <x v="12"/>
    <s v="Columbia State Community College "/>
    <m/>
    <n v="219888"/>
    <x v="7"/>
    <s v="sem"/>
    <m/>
    <m/>
    <m/>
    <n v="43166"/>
    <n v="45825"/>
    <n v="7964"/>
    <n v="8352"/>
    <n v="54512"/>
    <n v="57238"/>
    <n v="105642"/>
    <n v="3521.4"/>
    <n v="111415"/>
    <n v="3713.8333333333335"/>
    <n v="6980"/>
    <n v="7990"/>
    <n v="105642"/>
    <n v="111415"/>
    <m/>
    <m/>
    <m/>
    <m/>
    <m/>
    <m/>
    <m/>
    <m/>
    <n v="0"/>
    <n v="0"/>
    <n v="0"/>
    <n v="0"/>
    <m/>
    <m/>
    <n v="0"/>
    <n v="0"/>
  </r>
  <r>
    <x v="12"/>
    <s v="Dyersburg State Community College "/>
    <s v="Reclassified: Met the criteria for Two-Year 3 in 2014-15, 2015-16, and 2016-17."/>
    <n v="220057"/>
    <x v="8"/>
    <s v="sem"/>
    <m/>
    <m/>
    <m/>
    <n v="21837"/>
    <n v="22101"/>
    <n v="2539"/>
    <n v="2873"/>
    <n v="25353"/>
    <n v="25408"/>
    <n v="49729"/>
    <n v="1657.6333333333334"/>
    <n v="50382"/>
    <n v="1679.4"/>
    <n v="7262"/>
    <n v="7284"/>
    <n v="49729"/>
    <n v="50382"/>
    <m/>
    <m/>
    <m/>
    <m/>
    <m/>
    <m/>
    <m/>
    <m/>
    <n v="0"/>
    <n v="0"/>
    <n v="0"/>
    <n v="0"/>
    <m/>
    <m/>
    <n v="0"/>
    <n v="0"/>
  </r>
  <r>
    <x v="12"/>
    <s v="Jackson State Community College "/>
    <m/>
    <n v="220400"/>
    <x v="7"/>
    <s v="sem"/>
    <m/>
    <m/>
    <m/>
    <n v="37729"/>
    <n v="38966"/>
    <n v="6240"/>
    <n v="5838"/>
    <n v="43604"/>
    <n v="44519"/>
    <n v="87573"/>
    <n v="2919.1"/>
    <n v="89323"/>
    <n v="2977.4333333333334"/>
    <n v="13486"/>
    <n v="12195"/>
    <n v="87573"/>
    <n v="89323"/>
    <m/>
    <m/>
    <m/>
    <m/>
    <m/>
    <m/>
    <m/>
    <m/>
    <n v="0"/>
    <n v="0"/>
    <n v="0"/>
    <n v="0"/>
    <m/>
    <m/>
    <n v="0"/>
    <n v="0"/>
  </r>
  <r>
    <x v="12"/>
    <s v="Motlow State Community College "/>
    <m/>
    <n v="221096"/>
    <x v="7"/>
    <s v="sem"/>
    <m/>
    <m/>
    <m/>
    <n v="39996"/>
    <n v="47593"/>
    <n v="7103"/>
    <n v="8139"/>
    <n v="54809"/>
    <n v="62280"/>
    <n v="101908"/>
    <n v="3396.9333333333334"/>
    <n v="118012"/>
    <n v="3933.7333333333331"/>
    <n v="6777"/>
    <n v="7584"/>
    <n v="101908"/>
    <n v="118012"/>
    <m/>
    <m/>
    <m/>
    <m/>
    <m/>
    <m/>
    <m/>
    <m/>
    <n v="0"/>
    <n v="0"/>
    <n v="0"/>
    <n v="0"/>
    <m/>
    <m/>
    <n v="0"/>
    <n v="0"/>
  </r>
  <r>
    <x v="12"/>
    <s v="Northeast State Technical Community College"/>
    <m/>
    <n v="221908"/>
    <x v="7"/>
    <s v="sem"/>
    <m/>
    <m/>
    <m/>
    <n v="51666"/>
    <n v="54914"/>
    <n v="7290"/>
    <n v="7402"/>
    <n v="63229"/>
    <n v="63757"/>
    <n v="122185"/>
    <n v="4072.8333333333335"/>
    <n v="126073"/>
    <n v="4202.4333333333334"/>
    <n v="7262"/>
    <n v="8851"/>
    <n v="122185"/>
    <n v="126073"/>
    <m/>
    <m/>
    <m/>
    <m/>
    <m/>
    <m/>
    <m/>
    <m/>
    <n v="0"/>
    <n v="0"/>
    <n v="0"/>
    <n v="0"/>
    <m/>
    <m/>
    <n v="0"/>
    <n v="0"/>
  </r>
  <r>
    <x v="12"/>
    <s v="Roane State Community College "/>
    <m/>
    <n v="221397"/>
    <x v="7"/>
    <s v="sem"/>
    <m/>
    <m/>
    <m/>
    <n v="50149"/>
    <n v="50295"/>
    <n v="6787"/>
    <n v="6407"/>
    <n v="58360"/>
    <n v="56821"/>
    <n v="115296"/>
    <n v="3843.2"/>
    <n v="113523"/>
    <n v="3784.1"/>
    <n v="11131"/>
    <n v="12053"/>
    <n v="115296"/>
    <n v="113523"/>
    <m/>
    <m/>
    <m/>
    <m/>
    <m/>
    <m/>
    <m/>
    <m/>
    <n v="0"/>
    <n v="0"/>
    <n v="0"/>
    <n v="0"/>
    <m/>
    <m/>
    <n v="0"/>
    <n v="0"/>
  </r>
  <r>
    <x v="12"/>
    <s v="Walters State Community College "/>
    <m/>
    <n v="222062"/>
    <x v="7"/>
    <s v="sem"/>
    <m/>
    <m/>
    <m/>
    <n v="51572"/>
    <n v="50856"/>
    <n v="6286"/>
    <n v="5000"/>
    <n v="61114"/>
    <n v="61283"/>
    <n v="118972"/>
    <n v="3965.7333333333331"/>
    <n v="117139"/>
    <n v="3904.6333333333332"/>
    <n v="11616"/>
    <n v="11957"/>
    <n v="118972"/>
    <n v="117139"/>
    <m/>
    <m/>
    <m/>
    <m/>
    <m/>
    <m/>
    <m/>
    <m/>
    <n v="0"/>
    <n v="0"/>
    <n v="0"/>
    <n v="0"/>
    <m/>
    <m/>
    <n v="0"/>
    <n v="0"/>
  </r>
  <r>
    <x v="12"/>
    <s v="Tennessee College of Applied Technology at Chattanooga"/>
    <s v="Met the criteria for Two-Year 3 in 2016-17."/>
    <s v="219824B"/>
    <x v="9"/>
    <s v="sem"/>
    <m/>
    <m/>
    <m/>
    <m/>
    <m/>
    <m/>
    <m/>
    <m/>
    <m/>
    <n v="0"/>
    <n v="0"/>
    <n v="0"/>
    <n v="0"/>
    <m/>
    <m/>
    <n v="0"/>
    <n v="0"/>
    <m/>
    <m/>
    <n v="319892"/>
    <n v="337959"/>
    <n v="210880"/>
    <n v="216518"/>
    <n v="372862"/>
    <n v="329929"/>
    <n v="903634"/>
    <n v="1004.0377777777778"/>
    <n v="884406"/>
    <n v="982.67333333333329"/>
    <m/>
    <m/>
    <n v="0"/>
    <n v="0"/>
  </r>
  <r>
    <x v="12"/>
    <s v="Tennessee College of Applied Technology at Athens"/>
    <m/>
    <n v="219596"/>
    <x v="10"/>
    <s v="sem"/>
    <m/>
    <m/>
    <m/>
    <m/>
    <m/>
    <m/>
    <m/>
    <m/>
    <m/>
    <n v="0"/>
    <n v="0"/>
    <n v="0"/>
    <n v="0"/>
    <m/>
    <m/>
    <n v="0"/>
    <n v="0"/>
    <m/>
    <m/>
    <n v="78992"/>
    <n v="88912"/>
    <n v="71840"/>
    <n v="85686"/>
    <n v="95749"/>
    <n v="101362"/>
    <n v="246581"/>
    <n v="273.97888888888889"/>
    <n v="275960"/>
    <n v="306.62222222222221"/>
    <m/>
    <m/>
    <n v="0"/>
    <n v="0"/>
  </r>
  <r>
    <x v="12"/>
    <s v="Tennessee College of Applied Technology at Covington"/>
    <m/>
    <n v="219921"/>
    <x v="10"/>
    <s v="sem"/>
    <m/>
    <m/>
    <m/>
    <m/>
    <m/>
    <m/>
    <m/>
    <m/>
    <m/>
    <n v="0"/>
    <n v="0"/>
    <n v="0"/>
    <n v="0"/>
    <m/>
    <m/>
    <n v="0"/>
    <n v="0"/>
    <m/>
    <m/>
    <n v="60186"/>
    <n v="68395"/>
    <n v="56544"/>
    <n v="64308"/>
    <n v="70259"/>
    <n v="84720"/>
    <n v="186989"/>
    <n v="207.76555555555555"/>
    <n v="217423"/>
    <n v="241.58111111111111"/>
    <m/>
    <m/>
    <n v="0"/>
    <n v="0"/>
  </r>
  <r>
    <x v="12"/>
    <s v="Tennessee College of Applied Technology at Crossville"/>
    <m/>
    <n v="221591"/>
    <x v="10"/>
    <s v="sem"/>
    <m/>
    <m/>
    <m/>
    <m/>
    <m/>
    <m/>
    <m/>
    <m/>
    <m/>
    <n v="0"/>
    <n v="0"/>
    <n v="0"/>
    <n v="0"/>
    <m/>
    <m/>
    <n v="0"/>
    <n v="0"/>
    <m/>
    <m/>
    <n v="109441"/>
    <n v="115295"/>
    <n v="98774"/>
    <n v="92946"/>
    <n v="129933"/>
    <n v="129591"/>
    <n v="338148"/>
    <n v="375.72"/>
    <n v="337832"/>
    <n v="375.36888888888888"/>
    <m/>
    <m/>
    <n v="0"/>
    <n v="0"/>
  </r>
  <r>
    <x v="12"/>
    <s v="Tennessee College of Applied Technology at Crump"/>
    <m/>
    <n v="221430"/>
    <x v="10"/>
    <s v="sem"/>
    <m/>
    <m/>
    <m/>
    <m/>
    <m/>
    <m/>
    <m/>
    <m/>
    <m/>
    <n v="0"/>
    <n v="0"/>
    <n v="0"/>
    <n v="0"/>
    <m/>
    <m/>
    <n v="0"/>
    <n v="0"/>
    <m/>
    <m/>
    <n v="70765"/>
    <n v="81046"/>
    <n v="51983"/>
    <n v="63971"/>
    <n v="78836"/>
    <n v="101261"/>
    <n v="201584"/>
    <n v="223.98222222222222"/>
    <n v="246278"/>
    <n v="273.64222222222224"/>
    <m/>
    <m/>
    <n v="0"/>
    <n v="0"/>
  </r>
  <r>
    <x v="12"/>
    <s v="Tennessee College of Applied Technology at Dickson"/>
    <m/>
    <n v="219994"/>
    <x v="10"/>
    <s v="sem"/>
    <m/>
    <m/>
    <m/>
    <m/>
    <m/>
    <m/>
    <m/>
    <m/>
    <m/>
    <n v="0"/>
    <n v="0"/>
    <n v="0"/>
    <n v="0"/>
    <m/>
    <m/>
    <n v="0"/>
    <n v="0"/>
    <m/>
    <m/>
    <n v="151165"/>
    <n v="184771"/>
    <n v="148972"/>
    <n v="186097"/>
    <n v="188440"/>
    <n v="202964"/>
    <n v="488577"/>
    <n v="542.86333333333334"/>
    <n v="573832"/>
    <n v="637.5911111111111"/>
    <m/>
    <m/>
    <n v="0"/>
    <n v="0"/>
  </r>
  <r>
    <x v="12"/>
    <s v="Tennessee College of Applied Technology at Elizabethton"/>
    <m/>
    <n v="220127"/>
    <x v="10"/>
    <s v="sem"/>
    <m/>
    <m/>
    <m/>
    <m/>
    <m/>
    <m/>
    <m/>
    <m/>
    <m/>
    <n v="0"/>
    <n v="0"/>
    <n v="0"/>
    <n v="0"/>
    <m/>
    <m/>
    <n v="0"/>
    <n v="0"/>
    <m/>
    <m/>
    <n v="151376"/>
    <n v="170998"/>
    <n v="140568"/>
    <n v="160048"/>
    <n v="175705"/>
    <n v="173566"/>
    <n v="467649"/>
    <n v="519.61"/>
    <n v="504612"/>
    <n v="560.67999999999995"/>
    <m/>
    <m/>
    <n v="0"/>
    <n v="0"/>
  </r>
  <r>
    <x v="12"/>
    <s v="Tennessee College of Applied Technology at Harriman"/>
    <m/>
    <n v="220251"/>
    <x v="10"/>
    <s v="sem"/>
    <m/>
    <m/>
    <m/>
    <m/>
    <m/>
    <m/>
    <m/>
    <m/>
    <m/>
    <n v="0"/>
    <n v="0"/>
    <n v="0"/>
    <n v="0"/>
    <m/>
    <m/>
    <n v="0"/>
    <n v="0"/>
    <m/>
    <m/>
    <n v="76476"/>
    <n v="83137"/>
    <n v="68715"/>
    <n v="82377"/>
    <n v="81445"/>
    <n v="105116"/>
    <n v="226636"/>
    <n v="251.81777777777779"/>
    <n v="270630"/>
    <n v="300.7"/>
    <m/>
    <m/>
    <n v="0"/>
    <n v="0"/>
  </r>
  <r>
    <x v="12"/>
    <s v="Tennessee College of Applied Technology at Hartsville"/>
    <m/>
    <n v="220279"/>
    <x v="10"/>
    <s v="sem"/>
    <m/>
    <m/>
    <m/>
    <m/>
    <m/>
    <m/>
    <m/>
    <m/>
    <m/>
    <n v="0"/>
    <n v="0"/>
    <n v="0"/>
    <n v="0"/>
    <m/>
    <m/>
    <n v="0"/>
    <n v="0"/>
    <m/>
    <m/>
    <n v="110276"/>
    <n v="126510"/>
    <n v="70558"/>
    <n v="74674"/>
    <n v="137194"/>
    <n v="140513"/>
    <n v="318028"/>
    <n v="353.36444444444442"/>
    <n v="341697"/>
    <n v="379.66333333333336"/>
    <m/>
    <m/>
    <n v="0"/>
    <n v="0"/>
  </r>
  <r>
    <x v="12"/>
    <s v="Tennessee College of Applied Technology at Hohenwald"/>
    <m/>
    <n v="220321"/>
    <x v="10"/>
    <s v="sem"/>
    <m/>
    <m/>
    <m/>
    <m/>
    <m/>
    <m/>
    <m/>
    <m/>
    <m/>
    <n v="0"/>
    <n v="0"/>
    <n v="0"/>
    <n v="0"/>
    <m/>
    <m/>
    <n v="0"/>
    <n v="0"/>
    <m/>
    <m/>
    <n v="104746"/>
    <n v="119750"/>
    <n v="87638"/>
    <n v="98683"/>
    <n v="135286"/>
    <n v="117572"/>
    <n v="327670"/>
    <n v="364.07777777777778"/>
    <n v="336005"/>
    <n v="373.3388888888889"/>
    <m/>
    <m/>
    <n v="0"/>
    <n v="0"/>
  </r>
  <r>
    <x v="12"/>
    <s v="Tennessee College of Applied Technology at Jacksboro"/>
    <m/>
    <n v="220394"/>
    <x v="10"/>
    <s v="sem"/>
    <m/>
    <m/>
    <m/>
    <m/>
    <m/>
    <m/>
    <m/>
    <m/>
    <m/>
    <n v="0"/>
    <n v="0"/>
    <n v="0"/>
    <n v="0"/>
    <m/>
    <m/>
    <n v="0"/>
    <n v="0"/>
    <m/>
    <m/>
    <n v="57066"/>
    <n v="68759"/>
    <n v="47306"/>
    <n v="57149"/>
    <n v="71740"/>
    <n v="74938"/>
    <n v="176112"/>
    <n v="195.68"/>
    <n v="200846"/>
    <n v="223.16222222222223"/>
    <m/>
    <m/>
    <n v="0"/>
    <n v="0"/>
  </r>
  <r>
    <x v="12"/>
    <s v="Tennessee College of Applied Technology at Jackson"/>
    <m/>
    <n v="221616"/>
    <x v="10"/>
    <s v="sem"/>
    <m/>
    <m/>
    <m/>
    <m/>
    <m/>
    <m/>
    <m/>
    <m/>
    <m/>
    <n v="0"/>
    <n v="0"/>
    <n v="0"/>
    <n v="0"/>
    <m/>
    <m/>
    <n v="0"/>
    <n v="0"/>
    <m/>
    <m/>
    <n v="155750"/>
    <n v="175724"/>
    <n v="129947"/>
    <n v="134319"/>
    <n v="181558"/>
    <n v="169867"/>
    <n v="467255"/>
    <n v="519.17222222222222"/>
    <n v="479910"/>
    <n v="533.23333333333335"/>
    <m/>
    <m/>
    <n v="0"/>
    <n v="0"/>
  </r>
  <r>
    <x v="12"/>
    <s v="Tennessee College of Applied Technology at Knoxville"/>
    <m/>
    <n v="221625"/>
    <x v="10"/>
    <s v="sem"/>
    <m/>
    <m/>
    <m/>
    <m/>
    <m/>
    <m/>
    <m/>
    <m/>
    <m/>
    <n v="0"/>
    <n v="0"/>
    <n v="0"/>
    <n v="0"/>
    <m/>
    <m/>
    <n v="0"/>
    <n v="0"/>
    <m/>
    <m/>
    <n v="224808"/>
    <n v="287001"/>
    <n v="210725"/>
    <n v="258070"/>
    <n v="293384"/>
    <n v="260728"/>
    <n v="728917"/>
    <n v="809.90777777777782"/>
    <n v="805799"/>
    <n v="895.33222222222219"/>
    <m/>
    <m/>
    <n v="0"/>
    <n v="0"/>
  </r>
  <r>
    <x v="12"/>
    <s v="Tennessee College of Applied Technology at Livingston"/>
    <m/>
    <n v="220640"/>
    <x v="10"/>
    <s v="sem"/>
    <m/>
    <m/>
    <m/>
    <m/>
    <m/>
    <m/>
    <m/>
    <m/>
    <m/>
    <n v="0"/>
    <n v="0"/>
    <n v="0"/>
    <n v="0"/>
    <m/>
    <m/>
    <n v="0"/>
    <n v="0"/>
    <m/>
    <m/>
    <n v="126461"/>
    <n v="169605"/>
    <n v="86416"/>
    <n v="113582"/>
    <n v="179234"/>
    <n v="194551"/>
    <n v="392111"/>
    <n v="435.67888888888888"/>
    <n v="477738"/>
    <n v="530.82000000000005"/>
    <m/>
    <m/>
    <n v="0"/>
    <n v="0"/>
  </r>
  <r>
    <x v="12"/>
    <s v="Tennessee College of Applied Technology at McKenzie"/>
    <m/>
    <n v="220756"/>
    <x v="10"/>
    <s v="sem"/>
    <m/>
    <m/>
    <m/>
    <m/>
    <m/>
    <m/>
    <m/>
    <m/>
    <m/>
    <n v="0"/>
    <n v="0"/>
    <n v="0"/>
    <n v="0"/>
    <m/>
    <m/>
    <n v="0"/>
    <n v="0"/>
    <m/>
    <m/>
    <n v="56804"/>
    <n v="57912"/>
    <n v="49677"/>
    <n v="46977"/>
    <n v="68224"/>
    <n v="65285"/>
    <n v="174705"/>
    <n v="194.11666666666667"/>
    <n v="170174"/>
    <n v="189.08222222222221"/>
    <m/>
    <m/>
    <n v="0"/>
    <n v="0"/>
  </r>
  <r>
    <x v="12"/>
    <s v="Tennessee College of Applied Technology at McMinnville"/>
    <m/>
    <n v="221607"/>
    <x v="10"/>
    <s v="sem"/>
    <m/>
    <m/>
    <m/>
    <m/>
    <m/>
    <m/>
    <m/>
    <m/>
    <m/>
    <n v="0"/>
    <n v="0"/>
    <n v="0"/>
    <n v="0"/>
    <m/>
    <m/>
    <n v="0"/>
    <n v="0"/>
    <m/>
    <m/>
    <n v="66098"/>
    <n v="65547"/>
    <n v="58471"/>
    <n v="56208"/>
    <n v="78074"/>
    <n v="72716"/>
    <n v="202643"/>
    <n v="225.1588888888889"/>
    <n v="194471"/>
    <n v="216.07888888888888"/>
    <m/>
    <m/>
    <n v="0"/>
    <n v="0"/>
  </r>
  <r>
    <x v="12"/>
    <s v="Tennessee College of Applied Technology at Memphis"/>
    <m/>
    <n v="220853"/>
    <x v="10"/>
    <s v="sem"/>
    <m/>
    <m/>
    <m/>
    <m/>
    <m/>
    <m/>
    <m/>
    <m/>
    <m/>
    <n v="0"/>
    <n v="0"/>
    <n v="0"/>
    <n v="0"/>
    <m/>
    <m/>
    <n v="0"/>
    <n v="0"/>
    <m/>
    <m/>
    <n v="268195"/>
    <n v="280236"/>
    <n v="252106"/>
    <n v="265010"/>
    <n v="306038"/>
    <n v="308110"/>
    <n v="826339"/>
    <n v="918.15444444444449"/>
    <n v="853356"/>
    <n v="948.17333333333329"/>
    <m/>
    <m/>
    <n v="0"/>
    <n v="0"/>
  </r>
  <r>
    <x v="12"/>
    <s v="Tennessee College of Applied Technology at Morristown"/>
    <m/>
    <n v="221050"/>
    <x v="10"/>
    <s v="sem"/>
    <m/>
    <m/>
    <m/>
    <m/>
    <m/>
    <m/>
    <m/>
    <m/>
    <m/>
    <n v="0"/>
    <n v="0"/>
    <n v="0"/>
    <n v="0"/>
    <m/>
    <m/>
    <n v="0"/>
    <n v="0"/>
    <m/>
    <m/>
    <n v="170275"/>
    <n v="183748"/>
    <n v="150333"/>
    <n v="169688"/>
    <n v="218852"/>
    <n v="202533"/>
    <n v="539460"/>
    <n v="599.4"/>
    <n v="555969"/>
    <n v="617.74333333333334"/>
    <m/>
    <m/>
    <n v="0"/>
    <n v="0"/>
  </r>
  <r>
    <x v="12"/>
    <s v="Tennessee College of Applied Technology at Murfreesboro"/>
    <m/>
    <n v="221102"/>
    <x v="10"/>
    <s v="sem"/>
    <m/>
    <m/>
    <m/>
    <m/>
    <m/>
    <m/>
    <m/>
    <m/>
    <m/>
    <n v="0"/>
    <n v="0"/>
    <n v="0"/>
    <n v="0"/>
    <m/>
    <m/>
    <n v="0"/>
    <n v="0"/>
    <m/>
    <m/>
    <n v="143327"/>
    <n v="183262"/>
    <n v="134120"/>
    <n v="176284"/>
    <n v="187154"/>
    <n v="210990"/>
    <n v="464601"/>
    <n v="516.22333333333336"/>
    <n v="570536"/>
    <n v="633.92888888888888"/>
    <m/>
    <m/>
    <n v="0"/>
    <n v="0"/>
  </r>
  <r>
    <x v="12"/>
    <s v="Tennessee College of Applied Technology at Nashville"/>
    <m/>
    <n v="248925"/>
    <x v="10"/>
    <s v="sem"/>
    <m/>
    <m/>
    <m/>
    <m/>
    <m/>
    <m/>
    <m/>
    <m/>
    <m/>
    <n v="0"/>
    <n v="0"/>
    <n v="0"/>
    <n v="0"/>
    <m/>
    <m/>
    <n v="0"/>
    <n v="0"/>
    <m/>
    <m/>
    <n v="246257"/>
    <n v="291165"/>
    <n v="215487"/>
    <n v="252136"/>
    <n v="303664"/>
    <n v="331368"/>
    <n v="765408"/>
    <n v="850.45333333333338"/>
    <n v="874669"/>
    <n v="971.85444444444443"/>
    <m/>
    <m/>
    <n v="0"/>
    <n v="0"/>
  </r>
  <r>
    <x v="12"/>
    <s v="Tennessee College of Applied Technology at Newbern"/>
    <m/>
    <n v="221236"/>
    <x v="10"/>
    <s v="sem"/>
    <m/>
    <m/>
    <m/>
    <m/>
    <m/>
    <m/>
    <m/>
    <m/>
    <m/>
    <n v="0"/>
    <n v="0"/>
    <n v="0"/>
    <n v="0"/>
    <m/>
    <m/>
    <n v="0"/>
    <n v="0"/>
    <m/>
    <m/>
    <n v="92693"/>
    <n v="103068"/>
    <n v="70688"/>
    <n v="98978"/>
    <n v="108325"/>
    <n v="126744"/>
    <n v="271706"/>
    <n v="301.89555555555557"/>
    <n v="328790"/>
    <n v="365.32222222222219"/>
    <m/>
    <m/>
    <n v="0"/>
    <n v="0"/>
  </r>
  <r>
    <x v="12"/>
    <s v="Tennessee College of Applied Technology at Oneida"/>
    <m/>
    <n v="221582"/>
    <x v="10"/>
    <s v="sem"/>
    <m/>
    <m/>
    <m/>
    <m/>
    <m/>
    <m/>
    <m/>
    <m/>
    <m/>
    <n v="0"/>
    <n v="0"/>
    <n v="0"/>
    <n v="0"/>
    <m/>
    <m/>
    <n v="0"/>
    <n v="0"/>
    <m/>
    <m/>
    <n v="71099"/>
    <n v="66734"/>
    <n v="42811"/>
    <n v="44304"/>
    <n v="86315"/>
    <n v="67721"/>
    <n v="200225"/>
    <n v="222.47222222222223"/>
    <n v="178759"/>
    <n v="198.62111111111111"/>
    <m/>
    <m/>
    <n v="0"/>
    <n v="0"/>
  </r>
  <r>
    <x v="12"/>
    <s v="Tennessee College of Applied Technology at Paris"/>
    <m/>
    <n v="221281"/>
    <x v="10"/>
    <s v="sem"/>
    <m/>
    <m/>
    <m/>
    <m/>
    <m/>
    <m/>
    <m/>
    <m/>
    <m/>
    <n v="0"/>
    <n v="0"/>
    <n v="0"/>
    <n v="0"/>
    <m/>
    <m/>
    <n v="0"/>
    <n v="0"/>
    <m/>
    <m/>
    <n v="105414"/>
    <n v="96329"/>
    <n v="94003"/>
    <n v="86508"/>
    <n v="112821"/>
    <n v="100508"/>
    <n v="312238"/>
    <n v="346.93111111111114"/>
    <n v="283345"/>
    <n v="314.82777777777778"/>
    <m/>
    <m/>
    <n v="0"/>
    <n v="0"/>
  </r>
  <r>
    <x v="12"/>
    <s v="Tennessee College of Applied Technology at Pulaski"/>
    <m/>
    <n v="221333"/>
    <x v="10"/>
    <s v="sem"/>
    <m/>
    <m/>
    <m/>
    <m/>
    <m/>
    <m/>
    <m/>
    <m/>
    <m/>
    <n v="0"/>
    <n v="0"/>
    <n v="0"/>
    <n v="0"/>
    <m/>
    <m/>
    <n v="0"/>
    <n v="0"/>
    <m/>
    <m/>
    <n v="185331"/>
    <n v="202248"/>
    <n v="65511"/>
    <n v="78194"/>
    <n v="200058"/>
    <n v="171404"/>
    <n v="450900"/>
    <n v="501"/>
    <n v="451846"/>
    <n v="502.05111111111108"/>
    <m/>
    <m/>
    <n v="0"/>
    <n v="0"/>
  </r>
  <r>
    <x v="12"/>
    <s v="Tennessee College of Applied Technology at Ripley"/>
    <m/>
    <n v="221388"/>
    <x v="10"/>
    <s v="sem"/>
    <m/>
    <m/>
    <m/>
    <m/>
    <m/>
    <m/>
    <m/>
    <m/>
    <m/>
    <n v="0"/>
    <n v="0"/>
    <n v="0"/>
    <n v="0"/>
    <m/>
    <m/>
    <n v="0"/>
    <n v="0"/>
    <m/>
    <m/>
    <n v="47310"/>
    <n v="64162"/>
    <n v="37265"/>
    <n v="48522"/>
    <n v="65356"/>
    <n v="59951"/>
    <n v="149931"/>
    <n v="166.59"/>
    <n v="172635"/>
    <n v="191.81666666666666"/>
    <m/>
    <m/>
    <n v="0"/>
    <n v="0"/>
  </r>
  <r>
    <x v="12"/>
    <s v="Tennessee College of Applied Technology at Shelbyville"/>
    <m/>
    <n v="221494"/>
    <x v="10"/>
    <s v="sem"/>
    <m/>
    <m/>
    <m/>
    <m/>
    <m/>
    <m/>
    <m/>
    <m/>
    <m/>
    <n v="0"/>
    <n v="0"/>
    <n v="0"/>
    <n v="0"/>
    <m/>
    <m/>
    <n v="0"/>
    <n v="0"/>
    <m/>
    <m/>
    <n v="144774"/>
    <n v="178037"/>
    <n v="127632"/>
    <n v="171167"/>
    <n v="193339"/>
    <n v="198689"/>
    <n v="465745"/>
    <n v="517.49444444444441"/>
    <n v="547893"/>
    <n v="608.77"/>
    <m/>
    <m/>
    <n v="0"/>
    <n v="0"/>
  </r>
  <r>
    <x v="12"/>
    <s v="Tennessee College of Applied Technology at Whiteville"/>
    <m/>
    <n v="221634"/>
    <x v="10"/>
    <s v="sem"/>
    <m/>
    <m/>
    <m/>
    <m/>
    <m/>
    <m/>
    <m/>
    <m/>
    <m/>
    <n v="0"/>
    <n v="0"/>
    <n v="0"/>
    <n v="0"/>
    <m/>
    <m/>
    <n v="0"/>
    <n v="0"/>
    <m/>
    <m/>
    <n v="55602"/>
    <n v="61875"/>
    <n v="53933"/>
    <n v="49816"/>
    <n v="77826"/>
    <n v="66806"/>
    <n v="187361"/>
    <n v="208.17888888888888"/>
    <n v="178497"/>
    <n v="198.33"/>
    <m/>
    <m/>
    <n v="0"/>
    <n v="0"/>
  </r>
  <r>
    <x v="13"/>
    <s v="Texas A&amp;M University "/>
    <m/>
    <n v="228723"/>
    <x v="0"/>
    <s v="sem"/>
    <m/>
    <m/>
    <n v="0"/>
    <n v="548158"/>
    <n v="570991"/>
    <n v="73891"/>
    <n v="80963"/>
    <n v="604505"/>
    <n v="626371"/>
    <n v="1226554"/>
    <n v="40885.133333333331"/>
    <n v="1278325"/>
    <n v="42610.833333333336"/>
    <n v="0"/>
    <n v="0"/>
    <n v="1226554"/>
    <n v="1278325"/>
    <m/>
    <m/>
    <m/>
    <m/>
    <m/>
    <m/>
    <m/>
    <m/>
    <n v="0"/>
    <n v="0"/>
    <n v="0"/>
    <n v="0"/>
    <m/>
    <m/>
    <n v="0"/>
    <n v="0"/>
  </r>
  <r>
    <x v="13"/>
    <s v="Texas Tech University "/>
    <m/>
    <n v="229115"/>
    <x v="0"/>
    <s v="sem"/>
    <m/>
    <m/>
    <n v="0"/>
    <n v="332367"/>
    <n v="341904"/>
    <n v="59892"/>
    <n v="68715"/>
    <n v="372141"/>
    <n v="382212"/>
    <n v="764400"/>
    <n v="25480"/>
    <n v="792831"/>
    <n v="26427.7"/>
    <n v="123"/>
    <n v="108"/>
    <n v="764400"/>
    <n v="792831"/>
    <m/>
    <m/>
    <m/>
    <m/>
    <m/>
    <m/>
    <m/>
    <m/>
    <n v="0"/>
    <n v="0"/>
    <n v="0"/>
    <n v="0"/>
    <m/>
    <m/>
    <n v="0"/>
    <n v="0"/>
  </r>
  <r>
    <x v="13"/>
    <s v="University of Houston"/>
    <m/>
    <n v="225511"/>
    <x v="0"/>
    <s v="sem"/>
    <m/>
    <m/>
    <n v="0"/>
    <n v="368766"/>
    <n v="388383"/>
    <n v="60860"/>
    <n v="66038"/>
    <n v="413450"/>
    <n v="429330"/>
    <n v="843076"/>
    <n v="28102.533333333333"/>
    <n v="883751"/>
    <n v="29458.366666666665"/>
    <n v="14"/>
    <n v="16"/>
    <n v="843076"/>
    <n v="883751"/>
    <m/>
    <m/>
    <m/>
    <m/>
    <m/>
    <m/>
    <m/>
    <m/>
    <n v="0"/>
    <n v="0"/>
    <n v="0"/>
    <n v="0"/>
    <m/>
    <m/>
    <n v="0"/>
    <n v="0"/>
  </r>
  <r>
    <x v="13"/>
    <s v="University of North Texas"/>
    <m/>
    <n v="227216"/>
    <x v="0"/>
    <s v="sem"/>
    <m/>
    <m/>
    <n v="0"/>
    <n v="339523"/>
    <n v="349165"/>
    <n v="68298"/>
    <n v="68151"/>
    <n v="382797"/>
    <n v="389502"/>
    <n v="790618"/>
    <n v="26353.933333333334"/>
    <n v="806818"/>
    <n v="26893.933333333334"/>
    <n v="0"/>
    <n v="0"/>
    <n v="790618"/>
    <n v="806818"/>
    <m/>
    <m/>
    <m/>
    <m/>
    <m/>
    <m/>
    <m/>
    <m/>
    <n v="0"/>
    <n v="0"/>
    <n v="0"/>
    <n v="0"/>
    <m/>
    <m/>
    <n v="0"/>
    <n v="0"/>
  </r>
  <r>
    <x v="13"/>
    <s v="University of Texas at Arlington"/>
    <m/>
    <n v="228769"/>
    <x v="0"/>
    <s v="sem"/>
    <m/>
    <m/>
    <n v="0"/>
    <n v="274782"/>
    <n v="281567"/>
    <n v="87781"/>
    <n v="94869"/>
    <n v="267683"/>
    <n v="282527"/>
    <n v="630246"/>
    <n v="21008.2"/>
    <n v="658963"/>
    <n v="21965.433333333334"/>
    <n v="788"/>
    <n v="559"/>
    <n v="630246"/>
    <n v="658963"/>
    <m/>
    <m/>
    <m/>
    <m/>
    <m/>
    <m/>
    <m/>
    <m/>
    <n v="0"/>
    <n v="0"/>
    <n v="0"/>
    <n v="0"/>
    <m/>
    <m/>
    <n v="0"/>
    <n v="0"/>
  </r>
  <r>
    <x v="13"/>
    <s v="University of Texas at Austin"/>
    <m/>
    <n v="228778"/>
    <x v="0"/>
    <s v="sem"/>
    <m/>
    <m/>
    <n v="0"/>
    <n v="487116"/>
    <n v="488630"/>
    <n v="48350"/>
    <n v="47829"/>
    <n v="524591"/>
    <n v="533782"/>
    <n v="1060057"/>
    <n v="35335.23333333333"/>
    <n v="1070241"/>
    <n v="35674.699999999997"/>
    <n v="0"/>
    <n v="0"/>
    <n v="1060057"/>
    <n v="1070241"/>
    <m/>
    <m/>
    <m/>
    <m/>
    <m/>
    <m/>
    <m/>
    <m/>
    <n v="0"/>
    <n v="0"/>
    <n v="0"/>
    <n v="0"/>
    <m/>
    <m/>
    <n v="0"/>
    <n v="0"/>
  </r>
  <r>
    <x v="13"/>
    <s v="University of Texas at Dallas"/>
    <m/>
    <n v="228787"/>
    <x v="0"/>
    <s v="sem"/>
    <m/>
    <m/>
    <n v="0"/>
    <n v="170592"/>
    <n v="186475"/>
    <n v="24204"/>
    <n v="26794"/>
    <n v="200257"/>
    <n v="224237"/>
    <n v="395053"/>
    <n v="13168.433333333332"/>
    <n v="437506"/>
    <n v="14583.533333333333"/>
    <n v="0"/>
    <n v="0"/>
    <n v="395053"/>
    <n v="437506"/>
    <m/>
    <m/>
    <m/>
    <m/>
    <m/>
    <m/>
    <m/>
    <m/>
    <n v="0"/>
    <n v="0"/>
    <n v="0"/>
    <n v="0"/>
    <m/>
    <m/>
    <n v="0"/>
    <n v="0"/>
  </r>
  <r>
    <x v="13"/>
    <s v="Texas Woman's University"/>
    <s v="Met the criteria for Four-Year 1 in 2016-17."/>
    <n v="229179"/>
    <x v="1"/>
    <s v="sem"/>
    <m/>
    <m/>
    <n v="0"/>
    <n v="98748"/>
    <n v="105136"/>
    <n v="22119"/>
    <n v="23000"/>
    <n v="113726"/>
    <n v="117017"/>
    <n v="234593"/>
    <n v="7819.7666666666664"/>
    <n v="245153"/>
    <n v="8171.7666666666664"/>
    <n v="4519"/>
    <n v="6687"/>
    <n v="234593"/>
    <n v="245153"/>
    <m/>
    <m/>
    <m/>
    <m/>
    <m/>
    <m/>
    <m/>
    <m/>
    <n v="0"/>
    <n v="0"/>
    <n v="0"/>
    <n v="0"/>
    <m/>
    <m/>
    <n v="0"/>
    <n v="0"/>
  </r>
  <r>
    <x v="13"/>
    <s v="University of Texas at El Paso"/>
    <m/>
    <n v="228796"/>
    <x v="1"/>
    <s v="sem"/>
    <m/>
    <m/>
    <n v="0"/>
    <n v="205495"/>
    <n v="209768"/>
    <n v="54255"/>
    <n v="53057"/>
    <n v="221904"/>
    <n v="226067"/>
    <n v="481654"/>
    <n v="16055.133333333333"/>
    <n v="488892"/>
    <n v="16296.4"/>
    <n v="0"/>
    <n v="0"/>
    <n v="481654"/>
    <n v="488892"/>
    <m/>
    <m/>
    <m/>
    <m/>
    <m/>
    <m/>
    <m/>
    <m/>
    <n v="0"/>
    <n v="0"/>
    <n v="0"/>
    <n v="0"/>
    <m/>
    <m/>
    <n v="0"/>
    <n v="0"/>
  </r>
  <r>
    <x v="13"/>
    <s v="University of Texas at San Antonio"/>
    <s v="Reclassified: Met the criteria for Four-Year 1 in 2014-15, 2015-16, and 2016-17."/>
    <n v="229027"/>
    <x v="0"/>
    <s v="sem"/>
    <m/>
    <m/>
    <n v="0"/>
    <n v="261805"/>
    <n v="272411"/>
    <n v="46168"/>
    <n v="54903"/>
    <n v="303123"/>
    <n v="302061"/>
    <n v="611096"/>
    <n v="20369.866666666665"/>
    <n v="629375"/>
    <n v="20979.166666666668"/>
    <n v="117"/>
    <n v="87"/>
    <n v="611096"/>
    <n v="629375"/>
    <m/>
    <m/>
    <m/>
    <m/>
    <m/>
    <m/>
    <m/>
    <m/>
    <n v="0"/>
    <n v="0"/>
    <n v="0"/>
    <n v="0"/>
    <m/>
    <m/>
    <n v="0"/>
    <n v="0"/>
  </r>
  <r>
    <x v="13"/>
    <s v="Angelo State University"/>
    <m/>
    <n v="222831"/>
    <x v="2"/>
    <s v="sem"/>
    <m/>
    <m/>
    <n v="0"/>
    <n v="60364"/>
    <n v="70415"/>
    <n v="12627"/>
    <n v="13994"/>
    <n v="76236"/>
    <n v="87624"/>
    <n v="149227"/>
    <n v="4974.2333333333336"/>
    <n v="172033"/>
    <n v="5734.4333333333334"/>
    <n v="8599"/>
    <n v="20843"/>
    <n v="149227"/>
    <n v="172033"/>
    <m/>
    <m/>
    <m/>
    <m/>
    <m/>
    <m/>
    <m/>
    <m/>
    <n v="0"/>
    <n v="0"/>
    <n v="0"/>
    <n v="0"/>
    <m/>
    <m/>
    <n v="0"/>
    <n v="0"/>
  </r>
  <r>
    <x v="13"/>
    <s v="Lamar University"/>
    <m/>
    <n v="226091"/>
    <x v="2"/>
    <s v="sem"/>
    <m/>
    <m/>
    <n v="0"/>
    <n v="95009"/>
    <n v="97413"/>
    <n v="26862"/>
    <n v="27186"/>
    <n v="98987"/>
    <n v="98858"/>
    <n v="220858"/>
    <n v="7361.9333333333334"/>
    <n v="223457"/>
    <n v="7448.5666666666666"/>
    <n v="1547"/>
    <n v="1953"/>
    <n v="220858"/>
    <n v="223457"/>
    <m/>
    <m/>
    <m/>
    <m/>
    <m/>
    <m/>
    <m/>
    <m/>
    <n v="0"/>
    <n v="0"/>
    <n v="0"/>
    <n v="0"/>
    <m/>
    <m/>
    <n v="0"/>
    <n v="0"/>
  </r>
  <r>
    <x v="13"/>
    <s v="Midwestern State University"/>
    <m/>
    <n v="226833"/>
    <x v="2"/>
    <s v="sem"/>
    <m/>
    <m/>
    <n v="0"/>
    <n v="55615"/>
    <n v="56885"/>
    <n v="11510"/>
    <n v="11681"/>
    <n v="61160"/>
    <n v="60782"/>
    <n v="128285"/>
    <n v="4276.166666666667"/>
    <n v="129348"/>
    <n v="4311.6000000000004"/>
    <n v="70"/>
    <n v="127"/>
    <n v="128285"/>
    <n v="129348"/>
    <m/>
    <m/>
    <m/>
    <m/>
    <m/>
    <m/>
    <m/>
    <m/>
    <n v="0"/>
    <n v="0"/>
    <n v="0"/>
    <n v="0"/>
    <m/>
    <m/>
    <n v="0"/>
    <n v="0"/>
  </r>
  <r>
    <x v="13"/>
    <s v="Prairie View A&amp;M University"/>
    <m/>
    <n v="227526"/>
    <x v="2"/>
    <s v="sem"/>
    <m/>
    <m/>
    <n v="0"/>
    <n v="84837"/>
    <n v="84922"/>
    <n v="14222"/>
    <n v="15146"/>
    <n v="92084"/>
    <n v="99310"/>
    <n v="191143"/>
    <n v="6371.4333333333334"/>
    <n v="199378"/>
    <n v="6645.9333333333334"/>
    <n v="0"/>
    <n v="0"/>
    <n v="191143"/>
    <n v="199378"/>
    <m/>
    <m/>
    <m/>
    <m/>
    <m/>
    <m/>
    <m/>
    <m/>
    <n v="0"/>
    <n v="0"/>
    <n v="0"/>
    <n v="0"/>
    <m/>
    <m/>
    <n v="0"/>
    <n v="0"/>
  </r>
  <r>
    <x v="13"/>
    <s v="Sam Houston State University "/>
    <m/>
    <n v="227881"/>
    <x v="2"/>
    <s v="sem"/>
    <m/>
    <m/>
    <n v="0"/>
    <n v="195411"/>
    <n v="202816"/>
    <n v="41247"/>
    <n v="41798"/>
    <n v="218326"/>
    <n v="224678"/>
    <n v="454984"/>
    <n v="15166.133333333333"/>
    <n v="469292"/>
    <n v="15643.066666666668"/>
    <n v="0"/>
    <n v="0"/>
    <n v="454984"/>
    <n v="469292"/>
    <m/>
    <m/>
    <m/>
    <m/>
    <m/>
    <m/>
    <m/>
    <m/>
    <n v="0"/>
    <n v="0"/>
    <n v="0"/>
    <n v="0"/>
    <m/>
    <m/>
    <n v="0"/>
    <n v="0"/>
  </r>
  <r>
    <x v="13"/>
    <s v="Stephen F. Austin State University"/>
    <m/>
    <n v="228431"/>
    <x v="2"/>
    <s v="sem"/>
    <m/>
    <m/>
    <n v="0"/>
    <n v="124227"/>
    <n v="124183"/>
    <n v="24581"/>
    <n v="24603"/>
    <n v="136325"/>
    <n v="139217"/>
    <n v="285133"/>
    <n v="9504.4333333333325"/>
    <n v="288003"/>
    <n v="9600.1"/>
    <n v="3064"/>
    <n v="3153"/>
    <n v="285133"/>
    <n v="288003"/>
    <m/>
    <m/>
    <m/>
    <m/>
    <m/>
    <m/>
    <m/>
    <m/>
    <n v="0"/>
    <n v="0"/>
    <n v="0"/>
    <n v="0"/>
    <m/>
    <m/>
    <n v="0"/>
    <n v="0"/>
  </r>
  <r>
    <x v="13"/>
    <s v="Sul Ross State University "/>
    <m/>
    <n v="228501"/>
    <x v="2"/>
    <s v="sem"/>
    <m/>
    <m/>
    <n v="0"/>
    <n v="14245"/>
    <n v="14343"/>
    <n v="2710"/>
    <n v="2873"/>
    <n v="16422"/>
    <n v="17443"/>
    <n v="33377"/>
    <n v="1112.5666666666666"/>
    <n v="34659"/>
    <n v="1155.3"/>
    <n v="1048"/>
    <n v="1056"/>
    <n v="33377"/>
    <n v="34659"/>
    <m/>
    <m/>
    <m/>
    <m/>
    <m/>
    <m/>
    <m/>
    <m/>
    <n v="0"/>
    <n v="0"/>
    <n v="0"/>
    <n v="0"/>
    <m/>
    <m/>
    <n v="0"/>
    <n v="0"/>
  </r>
  <r>
    <x v="13"/>
    <s v="Tarleton State University"/>
    <m/>
    <n v="228529"/>
    <x v="2"/>
    <s v="sem"/>
    <m/>
    <m/>
    <n v="0"/>
    <n v="113621"/>
    <n v="119710"/>
    <n v="25735"/>
    <n v="28081"/>
    <n v="129140"/>
    <n v="136677"/>
    <n v="268496"/>
    <n v="8949.8666666666668"/>
    <n v="284468"/>
    <n v="9482.2666666666664"/>
    <n v="0"/>
    <n v="0"/>
    <n v="268496"/>
    <n v="284468"/>
    <m/>
    <m/>
    <m/>
    <m/>
    <m/>
    <m/>
    <m/>
    <m/>
    <n v="0"/>
    <n v="0"/>
    <n v="0"/>
    <n v="0"/>
    <m/>
    <m/>
    <n v="0"/>
    <n v="0"/>
  </r>
  <r>
    <x v="13"/>
    <s v="Texas A&amp;M International University"/>
    <m/>
    <n v="226152"/>
    <x v="2"/>
    <s v="sem"/>
    <m/>
    <m/>
    <n v="0"/>
    <n v="65958"/>
    <n v="64924"/>
    <n v="13590"/>
    <n v="18813"/>
    <n v="72854"/>
    <n v="77046"/>
    <n v="152402"/>
    <n v="5080.0666666666666"/>
    <n v="160783"/>
    <n v="5359.4333333333334"/>
    <n v="9991"/>
    <n v="10733"/>
    <n v="152402"/>
    <n v="160783"/>
    <m/>
    <m/>
    <m/>
    <m/>
    <m/>
    <m/>
    <m/>
    <m/>
    <n v="0"/>
    <n v="0"/>
    <n v="0"/>
    <n v="0"/>
    <m/>
    <m/>
    <n v="0"/>
    <n v="0"/>
  </r>
  <r>
    <x v="13"/>
    <s v="Texas A&amp;M University-Commerce"/>
    <m/>
    <n v="224554"/>
    <x v="2"/>
    <s v="sem"/>
    <m/>
    <m/>
    <n v="0"/>
    <n v="77628"/>
    <n v="78842"/>
    <n v="16537"/>
    <n v="20360"/>
    <n v="87259"/>
    <n v="87542"/>
    <n v="181424"/>
    <n v="6047.4666666666662"/>
    <n v="186744"/>
    <n v="6224.8"/>
    <n v="2886"/>
    <n v="3769"/>
    <n v="181424"/>
    <n v="186744"/>
    <m/>
    <m/>
    <m/>
    <m/>
    <m/>
    <m/>
    <m/>
    <m/>
    <n v="0"/>
    <n v="0"/>
    <n v="0"/>
    <n v="0"/>
    <m/>
    <m/>
    <n v="0"/>
    <n v="0"/>
  </r>
  <r>
    <x v="13"/>
    <s v="Texas A&amp;M University-Corpus Christi "/>
    <m/>
    <n v="224147"/>
    <x v="2"/>
    <s v="sem"/>
    <m/>
    <m/>
    <n v="0"/>
    <n v="101328"/>
    <n v="104704"/>
    <n v="22664"/>
    <n v="23574"/>
    <n v="113195"/>
    <n v="110375"/>
    <n v="237187"/>
    <n v="7906.2333333333336"/>
    <n v="238653"/>
    <n v="7955.1"/>
    <n v="957"/>
    <n v="0"/>
    <n v="237187"/>
    <n v="238653"/>
    <m/>
    <m/>
    <m/>
    <m/>
    <m/>
    <m/>
    <m/>
    <m/>
    <n v="0"/>
    <n v="0"/>
    <n v="0"/>
    <n v="0"/>
    <m/>
    <m/>
    <n v="0"/>
    <n v="0"/>
  </r>
  <r>
    <x v="13"/>
    <s v="Texas A&amp;M University-Kingsville"/>
    <m/>
    <n v="228705"/>
    <x v="2"/>
    <s v="sem"/>
    <m/>
    <m/>
    <n v="0"/>
    <n v="68966"/>
    <n v="72827"/>
    <n v="10936"/>
    <n v="11121"/>
    <n v="78870"/>
    <n v="80491"/>
    <n v="158772"/>
    <n v="5292.4"/>
    <n v="164439"/>
    <n v="5481.3"/>
    <n v="10481"/>
    <n v="11349"/>
    <n v="158772"/>
    <n v="164439"/>
    <m/>
    <m/>
    <m/>
    <m/>
    <m/>
    <m/>
    <m/>
    <m/>
    <n v="0"/>
    <n v="0"/>
    <n v="0"/>
    <n v="0"/>
    <m/>
    <m/>
    <n v="0"/>
    <n v="0"/>
  </r>
  <r>
    <x v="13"/>
    <s v="Texas Southern University "/>
    <s v="Met the criteria for Four-Year 2 in 2016-17."/>
    <n v="229063"/>
    <x v="2"/>
    <s v="sem"/>
    <m/>
    <m/>
    <n v="0"/>
    <n v="77417"/>
    <n v="78554"/>
    <n v="9683"/>
    <n v="9620"/>
    <n v="91511"/>
    <n v="89281"/>
    <n v="178611"/>
    <n v="5953.7"/>
    <n v="177455"/>
    <n v="5915.166666666667"/>
    <n v="102"/>
    <n v="0"/>
    <n v="178611"/>
    <n v="177455"/>
    <m/>
    <m/>
    <m/>
    <m/>
    <m/>
    <m/>
    <m/>
    <m/>
    <n v="0"/>
    <n v="0"/>
    <n v="0"/>
    <n v="0"/>
    <m/>
    <m/>
    <n v="0"/>
    <n v="0"/>
  </r>
  <r>
    <x v="13"/>
    <s v="Texas State University"/>
    <s v="Reclassified: Met the criteria for Four-Year 2 in 2014-15, 2015-16, and 2016-17."/>
    <n v="228459"/>
    <x v="1"/>
    <s v="sem"/>
    <m/>
    <m/>
    <n v="0"/>
    <n v="364827"/>
    <n v="379492"/>
    <n v="61323"/>
    <n v="63923"/>
    <n v="415617"/>
    <n v="425169"/>
    <n v="841767"/>
    <n v="28058.9"/>
    <n v="868584"/>
    <n v="28952.799999999999"/>
    <n v="0"/>
    <n v="0"/>
    <n v="841767"/>
    <n v="868584"/>
    <m/>
    <m/>
    <m/>
    <m/>
    <m/>
    <m/>
    <m/>
    <m/>
    <n v="0"/>
    <n v="0"/>
    <n v="0"/>
    <n v="0"/>
    <m/>
    <m/>
    <n v="0"/>
    <n v="0"/>
  </r>
  <r>
    <x v="13"/>
    <s v="University of Houston-Clear Lake "/>
    <m/>
    <n v="225414"/>
    <x v="2"/>
    <s v="sem"/>
    <m/>
    <m/>
    <n v="0"/>
    <n v="48929"/>
    <n v="51981"/>
    <n v="13306"/>
    <n v="15018"/>
    <n v="54490"/>
    <n v="56530"/>
    <n v="116725"/>
    <n v="3890.8333333333335"/>
    <n v="123529"/>
    <n v="4117.6333333333332"/>
    <n v="0"/>
    <n v="0"/>
    <n v="116725"/>
    <n v="123529"/>
    <m/>
    <m/>
    <m/>
    <m/>
    <m/>
    <m/>
    <m/>
    <m/>
    <n v="0"/>
    <n v="0"/>
    <n v="0"/>
    <n v="0"/>
    <m/>
    <m/>
    <n v="0"/>
    <n v="0"/>
  </r>
  <r>
    <x v="13"/>
    <s v="University of Texas - Rio Grande Valley"/>
    <m/>
    <n v="227368"/>
    <x v="2"/>
    <s v="sem"/>
    <m/>
    <m/>
    <n v="0"/>
    <n v="273257"/>
    <n v="266157"/>
    <n v="78120"/>
    <n v="64392"/>
    <n v="286363"/>
    <n v="288092"/>
    <n v="637740"/>
    <n v="21258"/>
    <n v="618641"/>
    <n v="20621.366666666665"/>
    <n v="11448"/>
    <n v="13779"/>
    <n v="637740"/>
    <n v="618641"/>
    <m/>
    <m/>
    <m/>
    <m/>
    <m/>
    <m/>
    <m/>
    <m/>
    <n v="0"/>
    <n v="0"/>
    <n v="0"/>
    <n v="0"/>
    <m/>
    <m/>
    <n v="0"/>
    <n v="0"/>
  </r>
  <r>
    <x v="13"/>
    <s v="University of Texas at Tyler"/>
    <m/>
    <n v="228802"/>
    <x v="2"/>
    <s v="sem"/>
    <m/>
    <m/>
    <n v="0"/>
    <n v="63918"/>
    <n v="68182"/>
    <n v="12981"/>
    <n v="13877"/>
    <n v="72898"/>
    <n v="78872"/>
    <n v="149797"/>
    <n v="4993.2333333333336"/>
    <n v="160931"/>
    <n v="5364.3666666666668"/>
    <n v="1378"/>
    <n v="3507"/>
    <n v="149797"/>
    <n v="160931"/>
    <m/>
    <m/>
    <m/>
    <m/>
    <m/>
    <m/>
    <m/>
    <m/>
    <n v="0"/>
    <n v="0"/>
    <n v="0"/>
    <n v="0"/>
    <m/>
    <m/>
    <n v="0"/>
    <n v="0"/>
  </r>
  <r>
    <x v="13"/>
    <s v="University of Texas of the Permian Basin"/>
    <m/>
    <n v="229018"/>
    <x v="2"/>
    <s v="sem"/>
    <m/>
    <m/>
    <n v="0"/>
    <n v="44272"/>
    <n v="48570"/>
    <n v="16192"/>
    <n v="14218"/>
    <n v="45547"/>
    <n v="51882"/>
    <n v="106011"/>
    <n v="3533.7"/>
    <n v="114670"/>
    <n v="3822.3333333333335"/>
    <n v="11981"/>
    <n v="15910"/>
    <n v="106011"/>
    <n v="114670"/>
    <m/>
    <m/>
    <m/>
    <m/>
    <m/>
    <m/>
    <m/>
    <m/>
    <n v="0"/>
    <n v="0"/>
    <n v="0"/>
    <n v="0"/>
    <m/>
    <m/>
    <n v="0"/>
    <n v="0"/>
  </r>
  <r>
    <x v="13"/>
    <s v="West Texas A&amp;M University"/>
    <m/>
    <n v="229814"/>
    <x v="2"/>
    <s v="sem"/>
    <m/>
    <m/>
    <n v="0"/>
    <n v="81349"/>
    <n v="84786"/>
    <n v="12960"/>
    <n v="13154"/>
    <n v="92135"/>
    <n v="92879"/>
    <n v="186444"/>
    <n v="6214.8"/>
    <n v="190819"/>
    <n v="6360.6333333333332"/>
    <n v="0"/>
    <n v="0"/>
    <n v="186444"/>
    <n v="190819"/>
    <m/>
    <m/>
    <m/>
    <m/>
    <m/>
    <m/>
    <m/>
    <m/>
    <n v="0"/>
    <n v="0"/>
    <n v="0"/>
    <n v="0"/>
    <m/>
    <m/>
    <n v="0"/>
    <n v="0"/>
  </r>
  <r>
    <x v="13"/>
    <s v="Texas A &amp; M University - Central Texas"/>
    <m/>
    <n v="483036"/>
    <x v="3"/>
    <s v="sem"/>
    <m/>
    <m/>
    <n v="0"/>
    <n v="16280"/>
    <n v="16382"/>
    <n v="8415"/>
    <n v="9392"/>
    <n v="14870"/>
    <n v="15931"/>
    <n v="39565"/>
    <n v="1318.8333333333333"/>
    <n v="41705"/>
    <n v="1390.1666666666667"/>
    <n v="0"/>
    <n v="0"/>
    <n v="39565"/>
    <n v="41705"/>
    <m/>
    <m/>
    <m/>
    <m/>
    <m/>
    <m/>
    <m/>
    <m/>
    <n v="0"/>
    <n v="0"/>
    <n v="0"/>
    <n v="0"/>
    <m/>
    <m/>
    <n v="0"/>
    <n v="0"/>
  </r>
  <r>
    <x v="13"/>
    <s v="Texas A&amp;M -Texarkana"/>
    <m/>
    <n v="224545"/>
    <x v="3"/>
    <s v="sem"/>
    <m/>
    <m/>
    <n v="0"/>
    <n v="14364"/>
    <n v="14991"/>
    <n v="3853"/>
    <n v="5081"/>
    <n v="15300"/>
    <n v="17301"/>
    <n v="33517"/>
    <n v="1117.2333333333333"/>
    <n v="37373"/>
    <n v="1245.7666666666667"/>
    <n v="0"/>
    <n v="0"/>
    <n v="33517"/>
    <n v="37373"/>
    <m/>
    <m/>
    <m/>
    <m/>
    <m/>
    <m/>
    <m/>
    <m/>
    <n v="0"/>
    <n v="0"/>
    <n v="0"/>
    <n v="0"/>
    <m/>
    <m/>
    <n v="0"/>
    <n v="0"/>
  </r>
  <r>
    <x v="13"/>
    <s v="University of Houston-Victoria"/>
    <m/>
    <n v="225502"/>
    <x v="3"/>
    <s v="sem"/>
    <m/>
    <m/>
    <n v="0"/>
    <n v="29113"/>
    <n v="27663"/>
    <n v="9353"/>
    <n v="8362"/>
    <n v="29500"/>
    <n v="29995"/>
    <n v="67966"/>
    <n v="2265.5333333333333"/>
    <n v="66020"/>
    <n v="2200.6666666666665"/>
    <n v="0"/>
    <n v="39"/>
    <n v="67966"/>
    <n v="66020"/>
    <m/>
    <m/>
    <m/>
    <m/>
    <m/>
    <m/>
    <m/>
    <m/>
    <n v="0"/>
    <n v="0"/>
    <n v="0"/>
    <n v="0"/>
    <m/>
    <m/>
    <n v="0"/>
    <n v="0"/>
  </r>
  <r>
    <x v="13"/>
    <s v="Sul Ross State University-Rio Grande College"/>
    <m/>
    <s v="228501B"/>
    <x v="4"/>
    <s v="sem"/>
    <m/>
    <m/>
    <n v="0"/>
    <n v="5742"/>
    <n v="5839"/>
    <n v="3054"/>
    <n v="3417"/>
    <n v="6137"/>
    <n v="6449"/>
    <n v="14933"/>
    <n v="497.76666666666665"/>
    <n v="15705"/>
    <n v="523.5"/>
    <n v="0"/>
    <n v="0"/>
    <n v="14933"/>
    <n v="15705"/>
    <m/>
    <m/>
    <m/>
    <m/>
    <m/>
    <m/>
    <m/>
    <m/>
    <n v="0"/>
    <n v="0"/>
    <n v="0"/>
    <n v="0"/>
    <m/>
    <m/>
    <n v="0"/>
    <n v="0"/>
  </r>
  <r>
    <x v="13"/>
    <s v="Texas A &amp; M University - San Antonio"/>
    <m/>
    <n v="870501"/>
    <x v="4"/>
    <s v="sem"/>
    <m/>
    <m/>
    <n v="0"/>
    <n v="30102"/>
    <n v="32508"/>
    <n v="9204"/>
    <n v="10259"/>
    <n v="33293"/>
    <n v="45452"/>
    <n v="72599"/>
    <n v="2419.9666666666667"/>
    <n v="88219"/>
    <n v="2940.6333333333332"/>
    <n v="0"/>
    <n v="0"/>
    <n v="72599"/>
    <n v="88219"/>
    <m/>
    <m/>
    <m/>
    <m/>
    <m/>
    <m/>
    <m/>
    <m/>
    <n v="0"/>
    <n v="0"/>
    <n v="0"/>
    <n v="0"/>
    <m/>
    <m/>
    <n v="0"/>
    <n v="0"/>
  </r>
  <r>
    <x v="13"/>
    <s v="University of Houston-Downtown"/>
    <m/>
    <n v="225432"/>
    <x v="4"/>
    <s v="sem"/>
    <m/>
    <m/>
    <n v="0"/>
    <n v="119835"/>
    <n v="111357"/>
    <n v="30859"/>
    <n v="30926"/>
    <n v="121104"/>
    <n v="117070"/>
    <n v="271798"/>
    <n v="9059.9333333333325"/>
    <n v="259353"/>
    <n v="8645.1"/>
    <n v="841"/>
    <n v="539"/>
    <n v="271798"/>
    <n v="259353"/>
    <m/>
    <m/>
    <m/>
    <m/>
    <m/>
    <m/>
    <m/>
    <m/>
    <n v="0"/>
    <n v="0"/>
    <n v="0"/>
    <n v="0"/>
    <m/>
    <m/>
    <n v="0"/>
    <n v="0"/>
  </r>
  <r>
    <x v="13"/>
    <s v="Texas A&amp;M University at Galveston"/>
    <s v="Reclassified: Met the criteria for Four-Year 5 in 2014-15, 2015-16, and 2016-17."/>
    <n v="228714"/>
    <x v="4"/>
    <s v="sem"/>
    <m/>
    <m/>
    <n v="0"/>
    <n v="27892"/>
    <n v="27180"/>
    <n v="4984"/>
    <n v="4756"/>
    <n v="29566"/>
    <n v="30305"/>
    <n v="62442"/>
    <n v="2081.4"/>
    <n v="62241"/>
    <n v="2074.6999999999998"/>
    <n v="0"/>
    <n v="0"/>
    <n v="62442"/>
    <n v="62241"/>
    <m/>
    <m/>
    <m/>
    <m/>
    <m/>
    <m/>
    <m/>
    <m/>
    <n v="0"/>
    <n v="0"/>
    <n v="0"/>
    <n v="0"/>
    <m/>
    <m/>
    <n v="0"/>
    <n v="0"/>
  </r>
  <r>
    <x v="13"/>
    <s v="Brazosport College "/>
    <m/>
    <n v="223506"/>
    <x v="11"/>
    <s v="sem"/>
    <m/>
    <n v="29871"/>
    <n v="30118"/>
    <n v="10028"/>
    <n v="11638"/>
    <n v="3968"/>
    <n v="3123"/>
    <n v="30818"/>
    <n v="31306"/>
    <n v="74685"/>
    <n v="2489.5"/>
    <n v="76185"/>
    <n v="2539.5"/>
    <n v="11058"/>
    <n v="11885"/>
    <n v="74685"/>
    <n v="76185"/>
    <n v="7034"/>
    <n v="6046"/>
    <n v="9257"/>
    <n v="7332"/>
    <n v="5883"/>
    <n v="6205"/>
    <n v="7615"/>
    <n v="2726"/>
    <n v="29789"/>
    <n v="33.098888888888887"/>
    <n v="22309"/>
    <n v="24.787777777777777"/>
    <m/>
    <m/>
    <n v="0"/>
    <n v="22309"/>
  </r>
  <r>
    <x v="13"/>
    <s v="Midland College "/>
    <m/>
    <n v="226806"/>
    <x v="11"/>
    <s v="sem"/>
    <m/>
    <n v="42765"/>
    <n v="46467"/>
    <n v="13035"/>
    <n v="13794"/>
    <n v="9233"/>
    <n v="9039"/>
    <n v="42475"/>
    <n v="44376"/>
    <n v="107508"/>
    <n v="3583.6"/>
    <n v="113676"/>
    <n v="3789.2"/>
    <n v="10716"/>
    <n v="10576"/>
    <n v="107508"/>
    <n v="113676"/>
    <n v="47429"/>
    <n v="54748"/>
    <n v="40021"/>
    <n v="39356"/>
    <n v="55056"/>
    <n v="51307"/>
    <n v="49700"/>
    <n v="27274"/>
    <n v="192206"/>
    <n v="213.56222222222223"/>
    <n v="172685"/>
    <n v="191.87222222222223"/>
    <m/>
    <m/>
    <n v="0"/>
    <n v="172685"/>
  </r>
  <r>
    <x v="13"/>
    <s v="South Texas College"/>
    <m/>
    <n v="409315"/>
    <x v="11"/>
    <s v="sem"/>
    <m/>
    <n v="247175"/>
    <n v="271347"/>
    <n v="48822"/>
    <n v="54262"/>
    <n v="35647"/>
    <n v="33488"/>
    <n v="271880"/>
    <n v="269789"/>
    <n v="603524"/>
    <n v="20117.466666666667"/>
    <n v="628886"/>
    <n v="20962.866666666665"/>
    <n v="183431"/>
    <n v="197977"/>
    <n v="603524"/>
    <n v="628886"/>
    <n v="136782"/>
    <n v="44476"/>
    <n v="102854"/>
    <n v="47067"/>
    <n v="102282"/>
    <n v="45462"/>
    <n v="431892"/>
    <n v="62601"/>
    <n v="773810"/>
    <n v="859.78888888888889"/>
    <n v="199606"/>
    <n v="221.78444444444443"/>
    <m/>
    <m/>
    <n v="0"/>
    <n v="199606"/>
  </r>
  <r>
    <x v="13"/>
    <s v="Amarillo College "/>
    <m/>
    <n v="222576"/>
    <x v="6"/>
    <s v="sem"/>
    <m/>
    <n v="77487"/>
    <n v="69673"/>
    <n v="20982"/>
    <n v="29805"/>
    <n v="0"/>
    <n v="0"/>
    <n v="73768"/>
    <n v="62519"/>
    <n v="172237"/>
    <n v="5741.2333333333336"/>
    <n v="161997"/>
    <n v="5399.9"/>
    <n v="23204"/>
    <n v="24867"/>
    <n v="172237"/>
    <n v="161997"/>
    <n v="92533"/>
    <n v="115509"/>
    <n v="132243"/>
    <n v="123880"/>
    <n v="108166"/>
    <n v="104718"/>
    <n v="131129"/>
    <n v="100288"/>
    <n v="464071"/>
    <n v="515.6344444444444"/>
    <n v="444395"/>
    <n v="493.77222222222224"/>
    <m/>
    <m/>
    <n v="0"/>
    <n v="444395"/>
  </r>
  <r>
    <x v="13"/>
    <s v="Austin Community College "/>
    <m/>
    <n v="222992"/>
    <x v="6"/>
    <s v="sem"/>
    <m/>
    <n v="298769"/>
    <n v="292536"/>
    <n v="156806"/>
    <n v="150022"/>
    <n v="0"/>
    <n v="0"/>
    <n v="279347"/>
    <n v="279501"/>
    <n v="734922"/>
    <n v="24497.4"/>
    <n v="722059"/>
    <n v="24068.633333333335"/>
    <n v="66324"/>
    <n v="75281"/>
    <n v="734922"/>
    <n v="722059"/>
    <n v="118359"/>
    <n v="139587"/>
    <n v="77575"/>
    <n v="60448"/>
    <n v="193385"/>
    <n v="166974"/>
    <n v="127573"/>
    <n v="111056"/>
    <n v="516892"/>
    <n v="574.32444444444445"/>
    <n v="478065"/>
    <n v="531.18333333333328"/>
    <m/>
    <m/>
    <n v="0"/>
    <n v="478065"/>
  </r>
  <r>
    <x v="13"/>
    <s v="Blinn College "/>
    <m/>
    <n v="223427"/>
    <x v="6"/>
    <s v="sem"/>
    <m/>
    <n v="180570"/>
    <n v="177804"/>
    <n v="36960"/>
    <n v="32754"/>
    <n v="16697"/>
    <n v="16186"/>
    <n v="192492"/>
    <n v="184355"/>
    <n v="426719"/>
    <n v="14223.966666666667"/>
    <n v="411099"/>
    <n v="13703.3"/>
    <n v="14855"/>
    <n v="16421"/>
    <n v="426719"/>
    <n v="411099"/>
    <n v="50604"/>
    <n v="28618"/>
    <n v="46312"/>
    <n v="24810"/>
    <n v="37280"/>
    <n v="23693"/>
    <n v="28340"/>
    <n v="45642"/>
    <n v="162536"/>
    <n v="180.59555555555556"/>
    <n v="122763"/>
    <n v="136.40333333333334"/>
    <m/>
    <m/>
    <n v="0"/>
    <n v="122763"/>
  </r>
  <r>
    <x v="13"/>
    <s v="Brookhaven College  (DCCCD)"/>
    <m/>
    <n v="223524"/>
    <x v="6"/>
    <s v="sem"/>
    <m/>
    <n v="75078"/>
    <n v="67181"/>
    <n v="48072"/>
    <n v="62079"/>
    <n v="0"/>
    <n v="0"/>
    <n v="65049"/>
    <n v="57618"/>
    <n v="188199"/>
    <n v="6273.3"/>
    <n v="186878"/>
    <n v="6229.2666666666664"/>
    <n v="11358"/>
    <n v="13479"/>
    <n v="188199"/>
    <n v="186878"/>
    <n v="45900"/>
    <n v="60983"/>
    <n v="49887"/>
    <n v="53780"/>
    <n v="61753"/>
    <n v="56660"/>
    <n v="72283"/>
    <n v="67663"/>
    <n v="229823"/>
    <n v="255.35888888888888"/>
    <n v="239086"/>
    <n v="265.65111111111111"/>
    <m/>
    <m/>
    <n v="0"/>
    <n v="239086"/>
  </r>
  <r>
    <x v="13"/>
    <s v="Central Texas College "/>
    <m/>
    <n v="223816"/>
    <x v="6"/>
    <s v="sem"/>
    <m/>
    <n v="112824"/>
    <n v="102195"/>
    <n v="60545"/>
    <n v="60299"/>
    <n v="7292"/>
    <n v="5899"/>
    <n v="80869"/>
    <n v="77312"/>
    <n v="261530"/>
    <n v="8717.6666666666661"/>
    <n v="245705"/>
    <n v="8190.166666666667"/>
    <n v="16164"/>
    <n v="16678"/>
    <n v="261530"/>
    <n v="245705"/>
    <n v="90859"/>
    <n v="87523"/>
    <n v="88222"/>
    <n v="92506"/>
    <n v="100807"/>
    <n v="81615"/>
    <n v="88136"/>
    <n v="80509"/>
    <n v="368024"/>
    <n v="408.91555555555556"/>
    <n v="342153"/>
    <n v="380.17"/>
    <m/>
    <m/>
    <n v="0"/>
    <n v="342153"/>
  </r>
  <r>
    <x v="13"/>
    <s v="Collin County Community College District"/>
    <m/>
    <n v="247834"/>
    <x v="6"/>
    <s v="sem"/>
    <m/>
    <n v="220760"/>
    <n v="226408"/>
    <n v="62130"/>
    <n v="62228"/>
    <n v="0"/>
    <n v="0"/>
    <n v="254521"/>
    <n v="262032"/>
    <n v="537411"/>
    <n v="17913.7"/>
    <n v="550668"/>
    <n v="18355.599999999999"/>
    <n v="31907"/>
    <n v="40227"/>
    <n v="537411"/>
    <n v="550668"/>
    <n v="156530"/>
    <n v="149736"/>
    <n v="108651"/>
    <n v="143783"/>
    <n v="140827"/>
    <n v="146040"/>
    <n v="226331"/>
    <n v="199155"/>
    <n v="632339"/>
    <n v="702.59888888888884"/>
    <n v="638714"/>
    <n v="709.68222222222221"/>
    <m/>
    <m/>
    <n v="0"/>
    <n v="638714"/>
  </r>
  <r>
    <x v="13"/>
    <s v="Del Mar College "/>
    <m/>
    <n v="224350"/>
    <x v="6"/>
    <s v="sem"/>
    <m/>
    <n v="78898"/>
    <n v="83657"/>
    <n v="21794"/>
    <n v="15828"/>
    <n v="8751"/>
    <n v="17055"/>
    <n v="86258"/>
    <n v="92151"/>
    <n v="195701"/>
    <n v="6523.3666666666668"/>
    <n v="208691"/>
    <n v="6956.3666666666668"/>
    <n v="22882"/>
    <n v="26312"/>
    <n v="195701"/>
    <n v="208691"/>
    <n v="130032"/>
    <n v="146614"/>
    <n v="89582"/>
    <n v="88805"/>
    <n v="68392"/>
    <n v="90632"/>
    <n v="340330"/>
    <n v="95075"/>
    <n v="628336"/>
    <n v="698.15111111111116"/>
    <n v="421126"/>
    <n v="467.91777777777776"/>
    <m/>
    <m/>
    <n v="0"/>
    <n v="421126"/>
  </r>
  <r>
    <x v="13"/>
    <s v="Eastfield College  (DCCCD)"/>
    <m/>
    <n v="224572"/>
    <x v="6"/>
    <s v="sem"/>
    <m/>
    <n v="104046"/>
    <n v="99610"/>
    <n v="54829"/>
    <n v="56544"/>
    <n v="0"/>
    <n v="0"/>
    <n v="77686"/>
    <n v="78718"/>
    <n v="236561"/>
    <n v="7885.3666666666668"/>
    <n v="234872"/>
    <n v="7829.0666666666666"/>
    <n v="26052"/>
    <n v="31692"/>
    <n v="236561"/>
    <n v="234872"/>
    <n v="63715"/>
    <n v="64774"/>
    <n v="73818"/>
    <n v="43498"/>
    <n v="77246"/>
    <n v="26294"/>
    <n v="77972"/>
    <n v="50537"/>
    <n v="292751"/>
    <n v="325.2788888888889"/>
    <n v="185103"/>
    <n v="205.67"/>
    <m/>
    <m/>
    <n v="0"/>
    <n v="185103"/>
  </r>
  <r>
    <x v="13"/>
    <s v="El Centro College  (DCCCD)"/>
    <m/>
    <n v="224615"/>
    <x v="6"/>
    <s v="sem"/>
    <m/>
    <n v="69440"/>
    <n v="64671"/>
    <n v="26077"/>
    <n v="26295"/>
    <n v="0"/>
    <n v="0"/>
    <n v="60371"/>
    <n v="61390"/>
    <n v="155888"/>
    <n v="5196.2666666666664"/>
    <n v="152356"/>
    <n v="5078.5333333333338"/>
    <n v="15090"/>
    <n v="17012"/>
    <n v="155888"/>
    <n v="152356"/>
    <n v="291136"/>
    <n v="261605"/>
    <n v="329586"/>
    <n v="263112"/>
    <n v="275549"/>
    <n v="196345"/>
    <n v="294081"/>
    <n v="222050"/>
    <n v="1190352"/>
    <n v="1322.6133333333332"/>
    <n v="943112"/>
    <n v="1047.9022222222222"/>
    <m/>
    <m/>
    <n v="0"/>
    <n v="943112"/>
  </r>
  <r>
    <x v="13"/>
    <s v="El Paso County Community College District"/>
    <m/>
    <n v="224642"/>
    <x v="6"/>
    <s v="sem"/>
    <m/>
    <n v="223941"/>
    <n v="222886"/>
    <n v="52906"/>
    <n v="54439"/>
    <n v="0"/>
    <n v="0"/>
    <n v="239078"/>
    <n v="245915"/>
    <n v="515925"/>
    <n v="17197.5"/>
    <n v="523240"/>
    <n v="17441.333333333332"/>
    <n v="74850"/>
    <n v="88462"/>
    <n v="515925"/>
    <n v="523240"/>
    <n v="108159"/>
    <n v="100999"/>
    <n v="103110"/>
    <n v="91633"/>
    <n v="120682"/>
    <n v="93047"/>
    <n v="132866"/>
    <n v="92845"/>
    <n v="464817"/>
    <n v="516.46333333333337"/>
    <n v="378524"/>
    <n v="420.58222222222224"/>
    <m/>
    <m/>
    <n v="0"/>
    <n v="378524"/>
  </r>
  <r>
    <x v="13"/>
    <s v="Houston Community College"/>
    <m/>
    <n v="225423"/>
    <x v="6"/>
    <s v="sem"/>
    <m/>
    <n v="485439"/>
    <n v="469016"/>
    <n v="274483"/>
    <n v="267361"/>
    <n v="0"/>
    <n v="0"/>
    <n v="347588"/>
    <n v="342803"/>
    <n v="1107510"/>
    <n v="36917"/>
    <n v="1079180"/>
    <n v="35972.666666666664"/>
    <n v="72303"/>
    <n v="85997"/>
    <n v="1107510"/>
    <n v="1079180"/>
    <n v="627990"/>
    <n v="504893"/>
    <n v="486298"/>
    <n v="444821"/>
    <n v="439365"/>
    <n v="446890"/>
    <n v="760044"/>
    <n v="834029"/>
    <n v="2313697"/>
    <n v="2570.7744444444443"/>
    <n v="2230633"/>
    <n v="2478.4811111111112"/>
    <m/>
    <m/>
    <n v="0"/>
    <n v="2230633"/>
  </r>
  <r>
    <x v="13"/>
    <s v="Laredo Community College "/>
    <m/>
    <n v="226134"/>
    <x v="6"/>
    <s v="sem"/>
    <m/>
    <n v="65528"/>
    <n v="65683"/>
    <n v="12366"/>
    <n v="13286"/>
    <n v="4017"/>
    <n v="3974"/>
    <n v="68759"/>
    <n v="70746"/>
    <n v="150670"/>
    <n v="5022.333333333333"/>
    <n v="153689"/>
    <n v="5122.9666666666662"/>
    <n v="9109"/>
    <n v="16192"/>
    <n v="150670"/>
    <n v="153689"/>
    <n v="22645"/>
    <n v="12630"/>
    <n v="27573"/>
    <n v="19048"/>
    <n v="27472"/>
    <n v="15290"/>
    <n v="17610"/>
    <n v="13686"/>
    <n v="95300"/>
    <n v="105.88888888888889"/>
    <n v="60654"/>
    <n v="67.393333333333331"/>
    <m/>
    <m/>
    <n v="0"/>
    <n v="60654"/>
  </r>
  <r>
    <x v="13"/>
    <s v="Lone Star College System District"/>
    <m/>
    <n v="227182"/>
    <x v="6"/>
    <s v="sem"/>
    <m/>
    <n v="526670"/>
    <n v="549668"/>
    <n v="257257"/>
    <n v="256657"/>
    <n v="0"/>
    <n v="0"/>
    <n v="484207"/>
    <n v="510195"/>
    <n v="1268134"/>
    <n v="42271.133333333331"/>
    <n v="1316520"/>
    <n v="43884"/>
    <n v="113657"/>
    <n v="139373"/>
    <n v="1268134"/>
    <n v="1316520"/>
    <n v="147976"/>
    <n v="136439"/>
    <n v="150855"/>
    <n v="124164"/>
    <n v="116489"/>
    <n v="98567"/>
    <n v="179314"/>
    <n v="158802"/>
    <n v="594634"/>
    <n v="660.70444444444445"/>
    <n v="517972"/>
    <n v="575.5244444444445"/>
    <m/>
    <m/>
    <n v="0"/>
    <n v="517972"/>
  </r>
  <r>
    <x v="13"/>
    <s v="McLennan Community College "/>
    <m/>
    <n v="226578"/>
    <x v="6"/>
    <s v="sem"/>
    <m/>
    <n v="73925"/>
    <n v="73089"/>
    <n v="17671"/>
    <n v="18718"/>
    <n v="9913"/>
    <n v="11648"/>
    <n v="75271"/>
    <n v="77874"/>
    <n v="176780"/>
    <n v="5892.666666666667"/>
    <n v="181329"/>
    <n v="6044.3"/>
    <n v="11567"/>
    <n v="14996"/>
    <n v="176780"/>
    <n v="181329"/>
    <n v="45371"/>
    <n v="41221"/>
    <n v="26415"/>
    <n v="24833"/>
    <n v="54811"/>
    <n v="39013"/>
    <n v="58285"/>
    <n v="14337"/>
    <n v="184882"/>
    <n v="205.42444444444445"/>
    <n v="119404"/>
    <n v="132.67111111111112"/>
    <m/>
    <m/>
    <n v="0"/>
    <n v="119404"/>
  </r>
  <r>
    <x v="13"/>
    <s v="Navarro College "/>
    <m/>
    <n v="227146"/>
    <x v="6"/>
    <s v="sem"/>
    <m/>
    <n v="89473"/>
    <n v="82746"/>
    <n v="20694"/>
    <n v="11943"/>
    <n v="6298"/>
    <n v="11075"/>
    <n v="85634"/>
    <n v="81199"/>
    <n v="202099"/>
    <n v="6736.6333333333332"/>
    <n v="186963"/>
    <n v="6232.1"/>
    <n v="34270"/>
    <n v="40642"/>
    <n v="202099"/>
    <n v="186963"/>
    <n v="38819"/>
    <n v="45704"/>
    <n v="46989"/>
    <n v="35898"/>
    <n v="35110"/>
    <n v="59662"/>
    <n v="58321"/>
    <n v="39076"/>
    <n v="179239"/>
    <n v="199.15444444444444"/>
    <n v="180340"/>
    <n v="200.37777777777777"/>
    <m/>
    <m/>
    <n v="0"/>
    <n v="180340"/>
  </r>
  <r>
    <x v="13"/>
    <s v="North Central Texas Community College"/>
    <m/>
    <n v="224110"/>
    <x v="6"/>
    <s v="sem"/>
    <m/>
    <n v="78630"/>
    <n v="74094"/>
    <n v="24398"/>
    <n v="24148"/>
    <n v="0"/>
    <n v="0"/>
    <n v="76457"/>
    <n v="73991"/>
    <n v="179485"/>
    <n v="5982.833333333333"/>
    <n v="172233"/>
    <n v="5741.1"/>
    <n v="16147"/>
    <n v="16352"/>
    <n v="179485"/>
    <n v="172233"/>
    <n v="17319"/>
    <n v="15819"/>
    <n v="7251"/>
    <n v="8160"/>
    <n v="10154"/>
    <n v="6692"/>
    <n v="19576"/>
    <n v="14637"/>
    <n v="54300"/>
    <n v="60.333333333333336"/>
    <n v="45308"/>
    <n v="50.342222222222219"/>
    <m/>
    <m/>
    <n v="0"/>
    <n v="45308"/>
  </r>
  <r>
    <x v="13"/>
    <s v="North Lake College  (DCCCD)"/>
    <m/>
    <n v="227191"/>
    <x v="6"/>
    <s v="sem"/>
    <m/>
    <n v="68132"/>
    <n v="71488"/>
    <n v="42220"/>
    <n v="43895"/>
    <n v="0"/>
    <n v="0"/>
    <n v="57340"/>
    <n v="50856"/>
    <n v="167692"/>
    <n v="5589.7333333333336"/>
    <n v="166239"/>
    <n v="5541.3"/>
    <n v="9762"/>
    <n v="11028"/>
    <n v="167692"/>
    <n v="166239"/>
    <n v="133503"/>
    <n v="183717"/>
    <n v="132114"/>
    <n v="110245"/>
    <n v="103195"/>
    <n v="91881"/>
    <n v="216893"/>
    <n v="196523"/>
    <n v="585705"/>
    <n v="650.7833333333333"/>
    <n v="582366"/>
    <n v="647.07333333333338"/>
    <m/>
    <m/>
    <n v="0"/>
    <n v="582366"/>
  </r>
  <r>
    <x v="13"/>
    <s v="Northwest Vista College (ACCD)"/>
    <m/>
    <n v="420398"/>
    <x v="6"/>
    <s v="sem"/>
    <m/>
    <n v="121549"/>
    <n v="125855"/>
    <n v="42171"/>
    <n v="42743"/>
    <n v="0"/>
    <n v="0"/>
    <n v="126459"/>
    <n v="126786"/>
    <n v="290179"/>
    <n v="9672.6333333333332"/>
    <n v="295384"/>
    <n v="9846.1333333333332"/>
    <n v="29434"/>
    <n v="32457"/>
    <n v="290179"/>
    <n v="295384"/>
    <n v="13052"/>
    <n v="9992"/>
    <n v="22794"/>
    <n v="15418"/>
    <n v="22328"/>
    <n v="7516"/>
    <n v="16037"/>
    <n v="23524"/>
    <n v="74211"/>
    <n v="82.456666666666663"/>
    <n v="56450"/>
    <n v="62.722222222222221"/>
    <m/>
    <m/>
    <n v="0"/>
    <n v="56450"/>
  </r>
  <r>
    <x v="13"/>
    <s v="Palo Alto College  (ACCD)"/>
    <m/>
    <n v="246354"/>
    <x v="6"/>
    <s v="sem"/>
    <m/>
    <n v="62146"/>
    <n v="67037"/>
    <n v="27960"/>
    <n v="28571"/>
    <n v="0"/>
    <n v="0"/>
    <n v="56708"/>
    <n v="62320"/>
    <n v="146814"/>
    <n v="4893.8"/>
    <n v="157928"/>
    <n v="5264.2666666666664"/>
    <n v="15970"/>
    <n v="25256"/>
    <n v="146814"/>
    <n v="157928"/>
    <n v="8340"/>
    <n v="10928"/>
    <n v="9478"/>
    <n v="3984"/>
    <n v="2832"/>
    <n v="8008"/>
    <n v="16524"/>
    <n v="33427"/>
    <n v="37174"/>
    <n v="41.304444444444442"/>
    <n v="56347"/>
    <n v="62.607777777777777"/>
    <m/>
    <m/>
    <n v="0"/>
    <n v="56347"/>
  </r>
  <r>
    <x v="13"/>
    <s v="Richland College  (DCCCD)"/>
    <m/>
    <n v="227766"/>
    <x v="6"/>
    <s v="sem"/>
    <m/>
    <n v="135377"/>
    <n v="132588"/>
    <n v="74807"/>
    <n v="77046"/>
    <n v="0"/>
    <n v="0"/>
    <n v="112141"/>
    <n v="112674"/>
    <n v="322325"/>
    <n v="10744.166666666666"/>
    <n v="322308"/>
    <n v="10743.6"/>
    <n v="37140"/>
    <n v="42710"/>
    <n v="322325"/>
    <n v="322308"/>
    <n v="133327"/>
    <n v="133258"/>
    <n v="158354"/>
    <n v="149364"/>
    <n v="150596"/>
    <n v="112463"/>
    <n v="196736"/>
    <n v="146651"/>
    <n v="639013"/>
    <n v="710.01444444444439"/>
    <n v="541736"/>
    <n v="601.92888888888888"/>
    <m/>
    <m/>
    <n v="0"/>
    <n v="541736"/>
  </r>
  <r>
    <x v="13"/>
    <s v="San Antonio College (ACCD)"/>
    <m/>
    <n v="227924"/>
    <x v="6"/>
    <s v="sem"/>
    <m/>
    <n v="167140"/>
    <n v="158683"/>
    <n v="64441"/>
    <n v="59038"/>
    <n v="0"/>
    <n v="0"/>
    <n v="136780"/>
    <n v="130335"/>
    <n v="368361"/>
    <n v="12278.7"/>
    <n v="348056"/>
    <n v="11601.866666666667"/>
    <n v="29763"/>
    <n v="31072"/>
    <n v="368361"/>
    <n v="348056"/>
    <n v="64687"/>
    <n v="46480"/>
    <n v="58639"/>
    <n v="42512"/>
    <n v="55450"/>
    <n v="41347"/>
    <n v="48012"/>
    <n v="36236"/>
    <n v="226788"/>
    <n v="251.98666666666668"/>
    <n v="166575"/>
    <n v="185.08333333333334"/>
    <m/>
    <m/>
    <n v="0"/>
    <n v="166575"/>
  </r>
  <r>
    <x v="13"/>
    <s v="San Jacinto College"/>
    <m/>
    <n v="227979"/>
    <x v="6"/>
    <s v="sem"/>
    <m/>
    <n v="232986"/>
    <n v="244034"/>
    <n v="107137"/>
    <n v="113468"/>
    <n v="0"/>
    <n v="0"/>
    <n v="219630"/>
    <n v="223626"/>
    <n v="559753"/>
    <n v="18658.433333333334"/>
    <n v="581128"/>
    <n v="19370.933333333334"/>
    <n v="39056"/>
    <n v="43986"/>
    <n v="559753"/>
    <n v="581128"/>
    <n v="100816"/>
    <n v="103573"/>
    <n v="68733"/>
    <n v="50388"/>
    <n v="114969"/>
    <n v="117529"/>
    <n v="101482"/>
    <n v="100059"/>
    <n v="386000"/>
    <n v="428.88888888888891"/>
    <n v="371549"/>
    <n v="412.83222222222224"/>
    <m/>
    <m/>
    <n v="0"/>
    <n v="371549"/>
  </r>
  <r>
    <x v="13"/>
    <s v="South Plains College "/>
    <m/>
    <n v="228158"/>
    <x v="6"/>
    <s v="sem"/>
    <m/>
    <n v="86540"/>
    <n v="83698"/>
    <n v="13479"/>
    <n v="12593"/>
    <n v="6696"/>
    <n v="6449"/>
    <n v="90191"/>
    <n v="90200"/>
    <n v="196906"/>
    <n v="6563.5333333333338"/>
    <n v="192940"/>
    <n v="6431.333333333333"/>
    <n v="16574"/>
    <n v="15292"/>
    <n v="196906"/>
    <n v="192940"/>
    <n v="54026"/>
    <n v="58562"/>
    <n v="62626"/>
    <n v="54341"/>
    <n v="54780"/>
    <n v="29924"/>
    <n v="71749"/>
    <n v="44754"/>
    <n v="243181"/>
    <n v="270.20111111111112"/>
    <n v="187581"/>
    <n v="208.42333333333335"/>
    <m/>
    <m/>
    <n v="0"/>
    <n v="187581"/>
  </r>
  <r>
    <x v="13"/>
    <s v="St. Philip's College  (ACCD)"/>
    <m/>
    <n v="227854"/>
    <x v="6"/>
    <s v="sem"/>
    <m/>
    <n v="80150"/>
    <n v="81483"/>
    <n v="34872"/>
    <n v="33443"/>
    <n v="0"/>
    <n v="0"/>
    <n v="69848"/>
    <n v="70967"/>
    <n v="184870"/>
    <n v="6162.333333333333"/>
    <n v="185893"/>
    <n v="6196.4333333333334"/>
    <n v="26669"/>
    <n v="33418"/>
    <n v="184870"/>
    <n v="185893"/>
    <n v="35755"/>
    <n v="22668"/>
    <n v="33708"/>
    <n v="29200"/>
    <n v="32559"/>
    <n v="19926"/>
    <n v="28255"/>
    <n v="17486"/>
    <n v="130277"/>
    <n v="144.75222222222223"/>
    <n v="89280"/>
    <n v="99.2"/>
    <m/>
    <m/>
    <n v="0"/>
    <n v="89280"/>
  </r>
  <r>
    <x v="13"/>
    <s v="Tarrant County College"/>
    <m/>
    <n v="228547"/>
    <x v="6"/>
    <s v="sem"/>
    <m/>
    <n v="388247"/>
    <n v="389745"/>
    <n v="199216"/>
    <n v="185050"/>
    <n v="0"/>
    <n v="0"/>
    <n v="364906"/>
    <n v="358642"/>
    <n v="952369"/>
    <n v="31745.633333333335"/>
    <n v="933437"/>
    <n v="31114.566666666666"/>
    <n v="49687"/>
    <n v="84960"/>
    <n v="952369"/>
    <n v="933437"/>
    <n v="200454"/>
    <n v="231266"/>
    <n v="190411"/>
    <n v="228072"/>
    <n v="186594"/>
    <n v="166906"/>
    <n v="225357"/>
    <n v="214732"/>
    <n v="802816"/>
    <n v="892.01777777777772"/>
    <n v="840976"/>
    <n v="934.41777777777781"/>
    <m/>
    <m/>
    <n v="0"/>
    <n v="840976"/>
  </r>
  <r>
    <x v="13"/>
    <s v="Trinity Valley Community College"/>
    <m/>
    <n v="225308"/>
    <x v="6"/>
    <s v="sem"/>
    <m/>
    <n v="58850"/>
    <n v="56635"/>
    <n v="12876"/>
    <n v="13301"/>
    <n v="11288"/>
    <n v="11169"/>
    <n v="58858"/>
    <n v="61729"/>
    <n v="141872"/>
    <n v="4729.0666666666666"/>
    <n v="142834"/>
    <n v="4761.1333333333332"/>
    <n v="22796"/>
    <n v="27984"/>
    <n v="141872"/>
    <n v="142834"/>
    <n v="73122"/>
    <n v="83083"/>
    <n v="41052"/>
    <n v="90753"/>
    <n v="82730"/>
    <n v="104945"/>
    <n v="65378"/>
    <n v="108507"/>
    <n v="262282"/>
    <n v="291.42444444444442"/>
    <n v="387288"/>
    <n v="430.32"/>
    <m/>
    <m/>
    <n v="0"/>
    <n v="387288"/>
  </r>
  <r>
    <x v="13"/>
    <s v="Tyler Junior College "/>
    <m/>
    <n v="229355"/>
    <x v="6"/>
    <s v="sem"/>
    <m/>
    <n v="103583"/>
    <n v="100258"/>
    <n v="25643"/>
    <n v="28688"/>
    <n v="7056"/>
    <n v="6447"/>
    <n v="96088"/>
    <n v="97196"/>
    <n v="232370"/>
    <n v="7745.666666666667"/>
    <n v="232589"/>
    <n v="7752.9666666666662"/>
    <n v="19804"/>
    <n v="20304"/>
    <n v="232370"/>
    <n v="232589"/>
    <n v="58370"/>
    <n v="43256"/>
    <n v="31229"/>
    <n v="37959"/>
    <n v="44245"/>
    <n v="38151"/>
    <n v="46697"/>
    <n v="46032"/>
    <n v="180541"/>
    <n v="200.60111111111112"/>
    <n v="165398"/>
    <n v="183.77555555555554"/>
    <m/>
    <m/>
    <n v="0"/>
    <n v="165398"/>
  </r>
  <r>
    <x v="13"/>
    <s v="Alvin Community College "/>
    <m/>
    <n v="222567"/>
    <x v="7"/>
    <s v="sem"/>
    <m/>
    <n v="39806"/>
    <n v="42393"/>
    <n v="17370"/>
    <n v="18966"/>
    <n v="0"/>
    <n v="0"/>
    <n v="40333"/>
    <n v="44424"/>
    <n v="97509"/>
    <n v="3250.3"/>
    <n v="105783"/>
    <n v="3526.1"/>
    <n v="16792"/>
    <n v="21156"/>
    <n v="97509"/>
    <n v="105783"/>
    <n v="32476"/>
    <n v="31404"/>
    <n v="30660"/>
    <n v="17393"/>
    <n v="35120"/>
    <n v="25451"/>
    <n v="23917"/>
    <n v="31024"/>
    <n v="122173"/>
    <n v="135.74777777777777"/>
    <n v="105272"/>
    <n v="116.96888888888888"/>
    <m/>
    <m/>
    <n v="0"/>
    <n v="105272"/>
  </r>
  <r>
    <x v="13"/>
    <s v="Angelina College "/>
    <m/>
    <n v="222822"/>
    <x v="7"/>
    <s v="sem"/>
    <m/>
    <n v="40585"/>
    <n v="40605"/>
    <n v="7499"/>
    <n v="7987"/>
    <n v="4345"/>
    <n v="4169"/>
    <n v="42371"/>
    <n v="43651"/>
    <n v="94800"/>
    <n v="3160"/>
    <n v="96412"/>
    <n v="3213.7333333333331"/>
    <n v="15867"/>
    <n v="16952"/>
    <n v="94800"/>
    <n v="96412"/>
    <n v="80767"/>
    <n v="19870"/>
    <n v="16796"/>
    <n v="65558"/>
    <n v="81471"/>
    <n v="57159"/>
    <n v="43712"/>
    <n v="29692"/>
    <n v="222746"/>
    <n v="247.49555555555557"/>
    <n v="172279"/>
    <n v="191.42111111111112"/>
    <m/>
    <m/>
    <n v="0"/>
    <n v="172279"/>
  </r>
  <r>
    <x v="13"/>
    <s v="Cedar Valley College  (DCCCD)"/>
    <m/>
    <n v="223773"/>
    <x v="7"/>
    <s v="sem"/>
    <m/>
    <n v="43999"/>
    <n v="42812"/>
    <n v="25497"/>
    <n v="28384"/>
    <n v="0"/>
    <n v="0"/>
    <n v="37118"/>
    <n v="37888"/>
    <n v="106614"/>
    <n v="3553.8"/>
    <n v="109084"/>
    <n v="3636.1333333333332"/>
    <n v="17439"/>
    <n v="19987"/>
    <n v="106614"/>
    <n v="109084"/>
    <n v="42851"/>
    <n v="41919"/>
    <n v="48234"/>
    <n v="26597"/>
    <n v="33029"/>
    <n v="61598"/>
    <n v="68273"/>
    <n v="36740"/>
    <n v="192387"/>
    <n v="213.76333333333332"/>
    <n v="166854"/>
    <n v="185.39333333333335"/>
    <m/>
    <m/>
    <n v="0"/>
    <n v="166854"/>
  </r>
  <r>
    <x v="13"/>
    <s v="Cisco Junior College"/>
    <m/>
    <n v="223898"/>
    <x v="7"/>
    <s v="sem"/>
    <m/>
    <n v="32444"/>
    <n v="30089"/>
    <n v="5614"/>
    <n v="5475"/>
    <n v="1801"/>
    <n v="1866"/>
    <n v="31207"/>
    <n v="29382"/>
    <n v="71066"/>
    <n v="2368.8666666666668"/>
    <n v="66812"/>
    <n v="2227.0666666666666"/>
    <n v="8040"/>
    <n v="8358"/>
    <n v="71066"/>
    <n v="66812"/>
    <n v="1968"/>
    <n v="1400"/>
    <n v="4224"/>
    <n v="4900"/>
    <n v="2700"/>
    <n v="3600"/>
    <n v="7620"/>
    <n v="4328"/>
    <n v="16512"/>
    <n v="18.346666666666668"/>
    <n v="14228"/>
    <n v="15.808888888888889"/>
    <m/>
    <m/>
    <n v="0"/>
    <n v="14228"/>
  </r>
  <r>
    <x v="13"/>
    <s v="Coastal Bend College"/>
    <m/>
    <n v="223320"/>
    <x v="7"/>
    <s v="sem"/>
    <m/>
    <n v="31051"/>
    <n v="34548"/>
    <n v="6445"/>
    <n v="8259"/>
    <n v="3212"/>
    <n v="3430"/>
    <n v="35280"/>
    <n v="37858"/>
    <n v="75988"/>
    <n v="2532.9333333333334"/>
    <n v="84095"/>
    <n v="2803.1666666666665"/>
    <n v="13740"/>
    <n v="14406"/>
    <n v="75988"/>
    <n v="84095"/>
    <n v="30553"/>
    <n v="38000"/>
    <n v="47851"/>
    <n v="51488"/>
    <n v="42918"/>
    <n v="46272"/>
    <n v="62204"/>
    <n v="13093"/>
    <n v="183526"/>
    <n v="203.91777777777779"/>
    <n v="148853"/>
    <n v="165.39222222222222"/>
    <m/>
    <m/>
    <n v="0"/>
    <n v="148853"/>
  </r>
  <r>
    <x v="13"/>
    <s v="College of the Mainland"/>
    <m/>
    <n v="226408"/>
    <x v="7"/>
    <s v="sem"/>
    <m/>
    <n v="32025"/>
    <n v="32679"/>
    <n v="7189"/>
    <n v="6915"/>
    <n v="6237"/>
    <n v="6025"/>
    <n v="30814"/>
    <n v="31332"/>
    <n v="76265"/>
    <n v="2542.1666666666665"/>
    <n v="76951"/>
    <n v="2565.0333333333333"/>
    <n v="14165"/>
    <n v="15109"/>
    <n v="76265"/>
    <n v="76951"/>
    <n v="46317"/>
    <n v="39449"/>
    <n v="23915"/>
    <n v="18886"/>
    <n v="34422"/>
    <n v="26632"/>
    <n v="19956"/>
    <n v="24797"/>
    <n v="124610"/>
    <n v="138.45555555555555"/>
    <n v="109764"/>
    <n v="121.96"/>
    <m/>
    <m/>
    <n v="0"/>
    <n v="109764"/>
  </r>
  <r>
    <x v="13"/>
    <s v="Grayson County College "/>
    <m/>
    <n v="225070"/>
    <x v="7"/>
    <s v="sem"/>
    <m/>
    <n v="40085"/>
    <n v="40125"/>
    <n v="7662"/>
    <n v="7116"/>
    <n v="2816"/>
    <n v="0"/>
    <n v="41111"/>
    <n v="41925"/>
    <n v="91674"/>
    <n v="3055.8"/>
    <n v="89166"/>
    <n v="2972.2"/>
    <n v="8366"/>
    <n v="10412"/>
    <n v="91674"/>
    <n v="89166"/>
    <n v="14929"/>
    <n v="12424"/>
    <n v="15581"/>
    <n v="9932"/>
    <n v="11852"/>
    <n v="14700"/>
    <n v="17688"/>
    <n v="15071"/>
    <n v="60050"/>
    <n v="66.722222222222229"/>
    <n v="52127"/>
    <n v="57.918888888888887"/>
    <m/>
    <m/>
    <n v="0"/>
    <n v="52127"/>
  </r>
  <r>
    <x v="13"/>
    <s v="Hill College"/>
    <m/>
    <n v="225371"/>
    <x v="7"/>
    <s v="sem"/>
    <m/>
    <n v="34973"/>
    <n v="33885"/>
    <n v="7866"/>
    <n v="9472"/>
    <n v="2511"/>
    <n v="2486"/>
    <n v="34261"/>
    <n v="34826"/>
    <n v="79611"/>
    <n v="2653.7"/>
    <n v="80669"/>
    <n v="2688.9666666666667"/>
    <n v="10006"/>
    <n v="10143"/>
    <n v="79611"/>
    <n v="80669"/>
    <n v="33517"/>
    <n v="16987"/>
    <n v="25684"/>
    <n v="21659"/>
    <n v="16214"/>
    <n v="13794"/>
    <n v="25314"/>
    <n v="25877"/>
    <n v="100729"/>
    <n v="111.92111111111112"/>
    <n v="78317"/>
    <n v="87.018888888888895"/>
    <m/>
    <m/>
    <n v="0"/>
    <n v="78317"/>
  </r>
  <r>
    <x v="13"/>
    <s v="Howard College (HCJCD)"/>
    <m/>
    <n v="225520"/>
    <x v="7"/>
    <s v="sem"/>
    <m/>
    <n v="26056"/>
    <n v="26195"/>
    <n v="3688"/>
    <n v="4176"/>
    <n v="1600"/>
    <n v="1988"/>
    <n v="29553"/>
    <n v="32001"/>
    <n v="60897"/>
    <n v="2029.9"/>
    <n v="64360"/>
    <n v="2145.3333333333335"/>
    <n v="17667"/>
    <n v="19478"/>
    <n v="60897"/>
    <n v="64360"/>
    <n v="130658"/>
    <n v="124964"/>
    <n v="128260"/>
    <n v="137861"/>
    <n v="140947"/>
    <n v="132667"/>
    <n v="131190"/>
    <n v="136533"/>
    <n v="531055"/>
    <n v="590.06111111111113"/>
    <n v="532025"/>
    <n v="591.13888888888891"/>
    <m/>
    <m/>
    <n v="0"/>
    <n v="532025"/>
  </r>
  <r>
    <x v="13"/>
    <s v="Kilgore College "/>
    <m/>
    <n v="226019"/>
    <x v="7"/>
    <s v="sem"/>
    <m/>
    <n v="48648"/>
    <n v="46017"/>
    <n v="8222"/>
    <n v="8345"/>
    <n v="3596"/>
    <n v="0"/>
    <n v="51106"/>
    <n v="56188"/>
    <n v="111572"/>
    <n v="3719.0666666666666"/>
    <n v="110550"/>
    <n v="3685"/>
    <n v="10155"/>
    <n v="13024"/>
    <n v="111572"/>
    <n v="110550"/>
    <n v="137223"/>
    <n v="31653"/>
    <n v="123916"/>
    <n v="167281"/>
    <n v="155975"/>
    <n v="103479"/>
    <n v="93064"/>
    <n v="87713"/>
    <n v="510178"/>
    <n v="566.86444444444442"/>
    <n v="390126"/>
    <n v="433.47333333333336"/>
    <m/>
    <m/>
    <n v="0"/>
    <n v="390126"/>
  </r>
  <r>
    <x v="13"/>
    <s v="Lamar Institute of Technology"/>
    <m/>
    <n v="441760"/>
    <x v="7"/>
    <s v="sem"/>
    <m/>
    <n v="25250"/>
    <n v="25346"/>
    <n v="5287"/>
    <n v="5328"/>
    <n v="0"/>
    <n v="0"/>
    <n v="28508"/>
    <n v="27537"/>
    <n v="59045"/>
    <n v="1968.1666666666667"/>
    <n v="58211"/>
    <n v="1940.3666666666666"/>
    <n v="594"/>
    <n v="663"/>
    <n v="59045"/>
    <n v="58211"/>
    <n v="32443"/>
    <n v="50671"/>
    <n v="36368"/>
    <n v="59577"/>
    <n v="39479"/>
    <n v="42767"/>
    <n v="43894"/>
    <n v="50664"/>
    <n v="152184"/>
    <n v="169.09333333333333"/>
    <n v="203679"/>
    <n v="226.31"/>
    <m/>
    <m/>
    <n v="0"/>
    <n v="203679"/>
  </r>
  <r>
    <x v="13"/>
    <s v="Lamar State College-Port Arthur"/>
    <s v="Reclassified: Met the criteria for Two-Year 3 in 2014-15 and 2015-16 and 2016-17."/>
    <n v="226116"/>
    <x v="8"/>
    <s v="sem"/>
    <m/>
    <n v="17861"/>
    <n v="17736"/>
    <n v="3677"/>
    <n v="5057"/>
    <n v="1033"/>
    <n v="1018"/>
    <n v="16406"/>
    <n v="18076"/>
    <n v="38977"/>
    <n v="1299.2333333333333"/>
    <n v="41887"/>
    <n v="1396.2333333333333"/>
    <n v="2044"/>
    <n v="3198"/>
    <n v="38977"/>
    <n v="41887"/>
    <n v="37069"/>
    <n v="42521"/>
    <n v="111008"/>
    <n v="89284"/>
    <n v="33150"/>
    <n v="57998"/>
    <n v="116712"/>
    <n v="102236"/>
    <n v="297939"/>
    <n v="331.04333333333335"/>
    <n v="292039"/>
    <n v="324.48777777777775"/>
    <m/>
    <m/>
    <n v="0"/>
    <n v="292039"/>
  </r>
  <r>
    <x v="13"/>
    <s v="Lee College "/>
    <s v="Met the criteria for Two-Year 1 in 2016-17."/>
    <n v="226204"/>
    <x v="7"/>
    <s v="sem"/>
    <m/>
    <n v="54083"/>
    <n v="63550"/>
    <n v="24513"/>
    <n v="27098"/>
    <n v="3064"/>
    <n v="2544"/>
    <n v="48328"/>
    <n v="55741"/>
    <n v="129988"/>
    <n v="4332.9333333333334"/>
    <n v="148933"/>
    <n v="4964.4333333333334"/>
    <n v="13945"/>
    <n v="15605"/>
    <n v="129988"/>
    <n v="148933"/>
    <n v="10710"/>
    <n v="26640"/>
    <n v="12122"/>
    <n v="16785"/>
    <n v="12554"/>
    <n v="6064"/>
    <n v="29938"/>
    <n v="17550"/>
    <n v="65324"/>
    <n v="72.582222222222228"/>
    <n v="67039"/>
    <n v="74.487777777777779"/>
    <m/>
    <m/>
    <n v="0"/>
    <n v="67039"/>
  </r>
  <r>
    <x v="13"/>
    <s v="Mountain View College  (DCCCD)"/>
    <s v="Met the criteria for Two-Year 1 in 2016-17."/>
    <n v="226930"/>
    <x v="7"/>
    <s v="sem"/>
    <m/>
    <n v="54614"/>
    <n v="60235"/>
    <n v="32096"/>
    <n v="31045"/>
    <n v="0"/>
    <n v="0"/>
    <n v="57131"/>
    <n v="57659"/>
    <n v="143841"/>
    <n v="4794.7"/>
    <n v="148939"/>
    <n v="4964.6333333333332"/>
    <n v="17760"/>
    <n v="21050"/>
    <n v="143841"/>
    <n v="148939"/>
    <n v="26871"/>
    <n v="31909"/>
    <n v="30151"/>
    <n v="32826"/>
    <n v="49020"/>
    <n v="36973"/>
    <n v="30892"/>
    <n v="22274"/>
    <n v="136934"/>
    <n v="152.14888888888888"/>
    <n v="123982"/>
    <n v="137.75777777777779"/>
    <m/>
    <m/>
    <n v="0"/>
    <n v="123982"/>
  </r>
  <r>
    <x v="13"/>
    <s v="Northeast Texas Community College "/>
    <m/>
    <n v="227225"/>
    <x v="7"/>
    <s v="sem"/>
    <m/>
    <n v="26425"/>
    <n v="25432"/>
    <n v="4506"/>
    <n v="6440"/>
    <n v="0"/>
    <n v="0"/>
    <n v="25978"/>
    <n v="28359"/>
    <n v="56909"/>
    <n v="1896.9666666666667"/>
    <n v="60231"/>
    <n v="2007.7"/>
    <n v="3415"/>
    <n v="7469"/>
    <n v="56909"/>
    <n v="60231"/>
    <n v="6237"/>
    <n v="9388"/>
    <n v="13063"/>
    <n v="9770"/>
    <n v="9845"/>
    <n v="16491"/>
    <n v="15802"/>
    <n v="16814"/>
    <n v="44947"/>
    <n v="49.941111111111113"/>
    <n v="52463"/>
    <n v="58.292222222222222"/>
    <m/>
    <m/>
    <n v="0"/>
    <n v="52463"/>
  </r>
  <r>
    <x v="13"/>
    <s v="Odessa College "/>
    <m/>
    <n v="227304"/>
    <x v="7"/>
    <s v="sem"/>
    <m/>
    <n v="40295"/>
    <n v="28411"/>
    <n v="18956"/>
    <n v="21050"/>
    <n v="5126"/>
    <n v="5766"/>
    <n v="45361"/>
    <n v="52983"/>
    <n v="109738"/>
    <n v="3657.9333333333334"/>
    <n v="108210"/>
    <n v="3607"/>
    <n v="15099"/>
    <n v="18056"/>
    <n v="109738"/>
    <n v="108210"/>
    <n v="95680"/>
    <n v="50415"/>
    <n v="58820"/>
    <n v="53720"/>
    <n v="81181"/>
    <n v="56939"/>
    <n v="81454"/>
    <n v="62601"/>
    <n v="317135"/>
    <n v="352.37222222222221"/>
    <n v="223675"/>
    <n v="248.52777777777777"/>
    <m/>
    <m/>
    <n v="0"/>
    <n v="223675"/>
  </r>
  <r>
    <x v="13"/>
    <s v="Paris Junior College"/>
    <m/>
    <n v="227401"/>
    <x v="7"/>
    <s v="sem"/>
    <m/>
    <n v="44847"/>
    <n v="41051"/>
    <n v="10828"/>
    <n v="10068"/>
    <n v="4807"/>
    <n v="4946"/>
    <n v="45945"/>
    <n v="42579"/>
    <n v="106427"/>
    <n v="3547.5666666666666"/>
    <n v="98644"/>
    <n v="3288.1333333333332"/>
    <n v="15088"/>
    <n v="17241"/>
    <n v="106427"/>
    <n v="98644"/>
    <n v="29825"/>
    <n v="25430"/>
    <n v="22497"/>
    <n v="30095"/>
    <n v="10301"/>
    <n v="23958"/>
    <n v="46343"/>
    <n v="45407"/>
    <n v="108966"/>
    <n v="121.07333333333334"/>
    <n v="124890"/>
    <n v="138.76666666666668"/>
    <m/>
    <m/>
    <n v="0"/>
    <n v="124890"/>
  </r>
  <r>
    <x v="13"/>
    <s v="Southwest Texas Junior College "/>
    <m/>
    <n v="228316"/>
    <x v="7"/>
    <s v="sem"/>
    <m/>
    <n v="42948"/>
    <n v="44037"/>
    <n v="6668"/>
    <n v="5567"/>
    <n v="4139"/>
    <n v="4007"/>
    <n v="46902"/>
    <n v="50721"/>
    <n v="100657"/>
    <n v="3355.2333333333331"/>
    <n v="104332"/>
    <n v="3477.7333333333331"/>
    <n v="17172"/>
    <n v="19781"/>
    <n v="100657"/>
    <n v="104332"/>
    <n v="10052"/>
    <n v="22108"/>
    <n v="15014"/>
    <n v="33395"/>
    <n v="40085"/>
    <n v="10335"/>
    <n v="10304"/>
    <n v="9905"/>
    <n v="75455"/>
    <n v="83.838888888888889"/>
    <n v="75743"/>
    <n v="84.158888888888896"/>
    <m/>
    <m/>
    <n v="0"/>
    <n v="75743"/>
  </r>
  <r>
    <x v="13"/>
    <s v="Temple College "/>
    <m/>
    <n v="228608"/>
    <x v="7"/>
    <s v="sem"/>
    <m/>
    <n v="44901"/>
    <n v="42993"/>
    <n v="12076"/>
    <n v="12018"/>
    <n v="0"/>
    <n v="0"/>
    <n v="46935"/>
    <n v="45302"/>
    <n v="103912"/>
    <n v="3463.7333333333331"/>
    <n v="100313"/>
    <n v="3343.7666666666669"/>
    <n v="13259"/>
    <n v="13610"/>
    <n v="103912"/>
    <n v="100313"/>
    <n v="20324"/>
    <n v="11856"/>
    <n v="22900"/>
    <n v="29955"/>
    <n v="19955"/>
    <n v="16360"/>
    <n v="37995"/>
    <n v="21111"/>
    <n v="101174"/>
    <n v="112.41555555555556"/>
    <n v="79282"/>
    <n v="88.091111111111104"/>
    <m/>
    <m/>
    <n v="0"/>
    <n v="79282"/>
  </r>
  <r>
    <x v="13"/>
    <s v="Texarkana College "/>
    <m/>
    <n v="228699"/>
    <x v="7"/>
    <s v="sem"/>
    <m/>
    <n v="31878"/>
    <n v="29921"/>
    <n v="6844"/>
    <n v="6327"/>
    <n v="0"/>
    <n v="0"/>
    <n v="37406"/>
    <n v="38735"/>
    <n v="76128"/>
    <n v="2537.6"/>
    <n v="74983"/>
    <n v="2499.4333333333334"/>
    <n v="13993"/>
    <n v="16114"/>
    <n v="76128"/>
    <n v="74983"/>
    <n v="82945"/>
    <n v="76631"/>
    <n v="77155"/>
    <n v="82181"/>
    <n v="70724"/>
    <n v="80581"/>
    <n v="93032"/>
    <n v="80104"/>
    <n v="323856"/>
    <n v="359.84"/>
    <n v="319497"/>
    <n v="354.99666666666667"/>
    <m/>
    <m/>
    <n v="0"/>
    <n v="319497"/>
  </r>
  <r>
    <x v="13"/>
    <s v="Texas Southmost College "/>
    <m/>
    <n v="229072"/>
    <x v="7"/>
    <s v="sem"/>
    <m/>
    <n v="34144"/>
    <n v="35045"/>
    <n v="2395"/>
    <n v="2279"/>
    <n v="2533"/>
    <n v="1361"/>
    <n v="31235"/>
    <n v="38436"/>
    <n v="70307"/>
    <n v="2343.5666666666666"/>
    <n v="77121"/>
    <n v="2570.6999999999998"/>
    <n v="10397"/>
    <n v="12785"/>
    <n v="70307"/>
    <n v="77121"/>
    <n v="33532"/>
    <n v="8096"/>
    <n v="10040"/>
    <n v="3800"/>
    <n v="13840"/>
    <n v="8496"/>
    <n v="13080"/>
    <n v="8148"/>
    <n v="70492"/>
    <n v="78.324444444444438"/>
    <n v="28540"/>
    <n v="31.711111111111112"/>
    <m/>
    <m/>
    <n v="0"/>
    <n v="28540"/>
  </r>
  <r>
    <x v="13"/>
    <s v="Texas State Technical College-Harlingen "/>
    <m/>
    <n v="229319"/>
    <x v="7"/>
    <s v="sem"/>
    <m/>
    <n v="43512"/>
    <n v="40201"/>
    <n v="24557"/>
    <n v="26173"/>
    <n v="0"/>
    <n v="0"/>
    <n v="43519"/>
    <n v="48886"/>
    <n v="111588"/>
    <n v="3719.6"/>
    <n v="115260"/>
    <n v="3842"/>
    <n v="12502"/>
    <n v="18542"/>
    <n v="111588"/>
    <n v="115260"/>
    <n v="29972"/>
    <n v="22780"/>
    <n v="55465"/>
    <n v="41022"/>
    <n v="34193"/>
    <n v="22091"/>
    <n v="30247"/>
    <n v="17002"/>
    <n v="149877"/>
    <n v="166.53"/>
    <n v="102895"/>
    <n v="114.32777777777778"/>
    <m/>
    <m/>
    <n v="0"/>
    <n v="102895"/>
  </r>
  <r>
    <x v="13"/>
    <s v="Texas State Technical College-Waco"/>
    <m/>
    <n v="228680"/>
    <x v="7"/>
    <s v="sem"/>
    <m/>
    <n v="40694"/>
    <n v="39122"/>
    <n v="29051"/>
    <n v="27868"/>
    <n v="0"/>
    <n v="0"/>
    <n v="41289"/>
    <n v="43939"/>
    <n v="111034"/>
    <n v="3701.1333333333332"/>
    <n v="110929"/>
    <n v="3697.6333333333332"/>
    <n v="3614"/>
    <n v="4318"/>
    <n v="111034"/>
    <n v="110929"/>
    <n v="3980"/>
    <n v="1120"/>
    <n v="3800"/>
    <n v="4216"/>
    <n v="1128"/>
    <n v="2658"/>
    <n v="0"/>
    <n v="1190"/>
    <n v="8908"/>
    <n v="9.8977777777777778"/>
    <n v="9184"/>
    <n v="10.204444444444444"/>
    <m/>
    <m/>
    <n v="0"/>
    <n v="9184"/>
  </r>
  <r>
    <x v="13"/>
    <s v="Vernon College "/>
    <m/>
    <n v="229504"/>
    <x v="7"/>
    <s v="sem"/>
    <m/>
    <n v="25202"/>
    <n v="25245"/>
    <n v="2997"/>
    <n v="3000"/>
    <n v="4565"/>
    <n v="4158"/>
    <n v="25557"/>
    <n v="26227"/>
    <n v="58321"/>
    <n v="1944.0333333333333"/>
    <n v="58630"/>
    <n v="1954.3333333333333"/>
    <n v="4375"/>
    <n v="5739"/>
    <n v="58321"/>
    <n v="58630"/>
    <n v="65312"/>
    <n v="61735"/>
    <n v="50689"/>
    <n v="48328"/>
    <n v="35088"/>
    <n v="46400"/>
    <n v="89631"/>
    <n v="54249"/>
    <n v="240720"/>
    <n v="267.46666666666664"/>
    <n v="210712"/>
    <n v="234.12444444444444"/>
    <m/>
    <m/>
    <n v="0"/>
    <n v="210712"/>
  </r>
  <r>
    <x v="13"/>
    <s v="Victoria College "/>
    <m/>
    <n v="229540"/>
    <x v="7"/>
    <s v="sem"/>
    <m/>
    <n v="29339"/>
    <n v="28856"/>
    <n v="9092"/>
    <n v="8308"/>
    <n v="0"/>
    <n v="0"/>
    <n v="32053"/>
    <n v="31258"/>
    <n v="70484"/>
    <n v="2349.4666666666667"/>
    <n v="68422"/>
    <n v="2280.7333333333331"/>
    <n v="6117"/>
    <n v="6858"/>
    <n v="70484"/>
    <n v="68422"/>
    <n v="50333"/>
    <n v="44248"/>
    <n v="19263"/>
    <n v="21531"/>
    <n v="38952"/>
    <n v="13741"/>
    <n v="63824"/>
    <n v="44716"/>
    <n v="172372"/>
    <n v="191.52444444444444"/>
    <n v="124236"/>
    <n v="138.04"/>
    <m/>
    <m/>
    <n v="0"/>
    <n v="124236"/>
  </r>
  <r>
    <x v="13"/>
    <s v="Weatherford College "/>
    <m/>
    <n v="229799"/>
    <x v="7"/>
    <s v="sem"/>
    <m/>
    <n v="46464"/>
    <n v="46450"/>
    <n v="7626"/>
    <n v="7546"/>
    <n v="4464"/>
    <n v="4130"/>
    <n v="48854"/>
    <n v="49346"/>
    <n v="107408"/>
    <n v="3580.2666666666669"/>
    <n v="107472"/>
    <n v="3582.4"/>
    <n v="10827"/>
    <n v="11651"/>
    <n v="107408"/>
    <n v="107472"/>
    <n v="149568"/>
    <n v="43637"/>
    <n v="30466"/>
    <n v="36491"/>
    <n v="42369"/>
    <n v="29866"/>
    <n v="211390"/>
    <n v="29744"/>
    <n v="433793"/>
    <n v="481.99222222222221"/>
    <n v="139738"/>
    <n v="155.26444444444445"/>
    <m/>
    <m/>
    <n v="0"/>
    <n v="139738"/>
  </r>
  <r>
    <x v="13"/>
    <s v="Wharton County Junior College "/>
    <m/>
    <n v="229841"/>
    <x v="7"/>
    <s v="sem"/>
    <m/>
    <n v="59698"/>
    <n v="59887"/>
    <n v="13036"/>
    <n v="11956"/>
    <n v="6056"/>
    <n v="6096"/>
    <n v="65723"/>
    <n v="65395"/>
    <n v="144513"/>
    <n v="4817.1000000000004"/>
    <n v="143334"/>
    <n v="4777.8"/>
    <n v="9399"/>
    <n v="8099"/>
    <n v="144513"/>
    <n v="143334"/>
    <n v="13943"/>
    <n v="10885"/>
    <n v="7840"/>
    <n v="9653"/>
    <n v="12724"/>
    <n v="9847"/>
    <n v="10761"/>
    <n v="7402"/>
    <n v="45268"/>
    <n v="50.297777777777775"/>
    <n v="37787"/>
    <n v="41.985555555555557"/>
    <m/>
    <m/>
    <n v="0"/>
    <n v="37787"/>
  </r>
  <r>
    <x v="13"/>
    <s v="Clarendon College "/>
    <m/>
    <n v="223922"/>
    <x v="8"/>
    <s v="sem"/>
    <m/>
    <n v="11211"/>
    <n v="11843"/>
    <n v="2541"/>
    <n v="2337"/>
    <n v="738"/>
    <n v="632"/>
    <n v="12907"/>
    <n v="14152"/>
    <n v="27397"/>
    <n v="913.23333333333335"/>
    <n v="28964"/>
    <n v="965.4666666666667"/>
    <n v="4439"/>
    <n v="6044"/>
    <n v="27397"/>
    <n v="28964"/>
    <n v="5898"/>
    <n v="6780"/>
    <n v="6427"/>
    <n v="8284"/>
    <n v="1572"/>
    <n v="7632"/>
    <n v="6862"/>
    <n v="4888"/>
    <n v="20759"/>
    <n v="23.065555555555555"/>
    <n v="27584"/>
    <n v="30.648888888888887"/>
    <m/>
    <m/>
    <n v="0"/>
    <n v="27584"/>
  </r>
  <r>
    <x v="13"/>
    <s v="Frank Phillips College "/>
    <m/>
    <n v="224891"/>
    <x v="8"/>
    <s v="sem"/>
    <m/>
    <n v="11655"/>
    <n v="11867"/>
    <n v="1641"/>
    <n v="1732"/>
    <n v="618"/>
    <n v="700"/>
    <n v="12372"/>
    <n v="13426"/>
    <n v="26286"/>
    <n v="876.2"/>
    <n v="27725"/>
    <n v="924.16666666666663"/>
    <n v="7957"/>
    <n v="10224"/>
    <n v="26286"/>
    <n v="27725"/>
    <n v="33357"/>
    <n v="32739"/>
    <n v="28725"/>
    <n v="18032"/>
    <n v="25851"/>
    <n v="14588"/>
    <n v="15387"/>
    <n v="24711"/>
    <n v="103320"/>
    <n v="114.8"/>
    <n v="90070"/>
    <n v="100.07777777777778"/>
    <m/>
    <m/>
    <n v="0"/>
    <n v="90070"/>
  </r>
  <r>
    <x v="13"/>
    <s v="Galveston College "/>
    <m/>
    <n v="224961"/>
    <x v="8"/>
    <s v="sem"/>
    <m/>
    <n v="17400"/>
    <n v="16715"/>
    <n v="4252"/>
    <n v="4218"/>
    <n v="3435"/>
    <n v="3592"/>
    <n v="16412"/>
    <n v="17295"/>
    <n v="41499"/>
    <n v="1383.3"/>
    <n v="41820"/>
    <n v="1394"/>
    <n v="3458"/>
    <n v="4515"/>
    <n v="41499"/>
    <n v="41820"/>
    <n v="7520"/>
    <n v="11599"/>
    <n v="3704"/>
    <n v="8337"/>
    <n v="3984"/>
    <n v="3012"/>
    <n v="16315"/>
    <n v="19700"/>
    <n v="31523"/>
    <n v="35.025555555555556"/>
    <n v="42648"/>
    <n v="47.386666666666663"/>
    <m/>
    <m/>
    <n v="0"/>
    <n v="42648"/>
  </r>
  <r>
    <x v="13"/>
    <s v="Lamar State College-Orange"/>
    <m/>
    <n v="226107"/>
    <x v="8"/>
    <s v="sem"/>
    <m/>
    <n v="19087"/>
    <n v="18905"/>
    <n v="5696"/>
    <n v="5798"/>
    <n v="0"/>
    <n v="0"/>
    <n v="21101"/>
    <n v="21007"/>
    <n v="45884"/>
    <n v="1529.4666666666667"/>
    <n v="45710"/>
    <n v="1523.6666666666667"/>
    <n v="3825"/>
    <n v="3320"/>
    <n v="45884"/>
    <n v="45710"/>
    <n v="11059"/>
    <n v="3239"/>
    <n v="4067"/>
    <n v="1349"/>
    <n v="4764"/>
    <n v="1528"/>
    <n v="6916"/>
    <n v="1804"/>
    <n v="26806"/>
    <n v="29.784444444444443"/>
    <n v="7920"/>
    <n v="8.8000000000000007"/>
    <m/>
    <m/>
    <n v="0"/>
    <n v="7920"/>
  </r>
  <r>
    <x v="13"/>
    <s v="Northeast Lakeview College (ACCD)"/>
    <m/>
    <s v="???1"/>
    <x v="8"/>
    <s v="sem"/>
    <m/>
    <n v="15964"/>
    <n v="24471"/>
    <n v="7755"/>
    <n v="8443"/>
    <n v="0"/>
    <n v="0"/>
    <n v="19402"/>
    <n v="22699"/>
    <n v="43121"/>
    <n v="1437.3666666666666"/>
    <n v="55613"/>
    <n v="1853.7666666666667"/>
    <n v="24"/>
    <n v="0"/>
    <n v="43121"/>
    <n v="55613"/>
    <n v="1808"/>
    <n v="4520"/>
    <n v="552"/>
    <n v="10052"/>
    <n v="6528"/>
    <n v="2536"/>
    <n v="2680"/>
    <n v="1320"/>
    <n v="11568"/>
    <n v="12.853333333333333"/>
    <n v="18428"/>
    <n v="20.475555555555555"/>
    <m/>
    <m/>
    <n v="0"/>
    <n v="18428"/>
  </r>
  <r>
    <x v="13"/>
    <s v="Panola College"/>
    <m/>
    <n v="227386"/>
    <x v="8"/>
    <s v="sem"/>
    <m/>
    <n v="24672"/>
    <n v="24360"/>
    <n v="2848"/>
    <n v="3983"/>
    <n v="1766"/>
    <n v="1399"/>
    <n v="27379"/>
    <n v="27374"/>
    <n v="56665"/>
    <n v="1888.8333333333333"/>
    <n v="57116"/>
    <n v="1903.8666666666666"/>
    <n v="6149"/>
    <n v="6650"/>
    <n v="56665"/>
    <n v="57116"/>
    <n v="13245"/>
    <n v="10454"/>
    <n v="7942"/>
    <n v="9625"/>
    <n v="12179"/>
    <n v="12748"/>
    <n v="7868"/>
    <n v="9159"/>
    <n v="41234"/>
    <n v="45.815555555555555"/>
    <n v="41986"/>
    <n v="46.651111111111113"/>
    <m/>
    <m/>
    <n v="0"/>
    <n v="41986"/>
  </r>
  <r>
    <x v="13"/>
    <s v="Ranger College "/>
    <m/>
    <n v="227687"/>
    <x v="8"/>
    <s v="sem"/>
    <m/>
    <n v="19111"/>
    <n v="18614"/>
    <n v="3510"/>
    <n v="3927"/>
    <n v="1060"/>
    <n v="1032"/>
    <n v="20731"/>
    <n v="21783"/>
    <n v="44412"/>
    <n v="1480.4"/>
    <n v="45356"/>
    <n v="1511.8666666666666"/>
    <n v="8345"/>
    <n v="10180"/>
    <n v="44412"/>
    <n v="45356"/>
    <n v="8711"/>
    <n v="5612"/>
    <n v="24916"/>
    <n v="45020"/>
    <n v="12542"/>
    <n v="24890"/>
    <n v="10075"/>
    <n v="12548"/>
    <n v="56244"/>
    <n v="62.493333333333332"/>
    <n v="88070"/>
    <n v="97.855555555555554"/>
    <m/>
    <m/>
    <n v="0"/>
    <n v="88070"/>
  </r>
  <r>
    <x v="13"/>
    <s v="Southwest Collegiate Institute for the Deaf (HCJCD)"/>
    <m/>
    <n v="382911"/>
    <x v="8"/>
    <s v="sem"/>
    <m/>
    <n v="1121"/>
    <n v="1079"/>
    <n v="0"/>
    <n v="3"/>
    <n v="0"/>
    <n v="0"/>
    <n v="1219"/>
    <n v="1141"/>
    <n v="2340"/>
    <n v="78"/>
    <n v="2223"/>
    <n v="74.099999999999994"/>
    <n v="0"/>
    <n v="0"/>
    <n v="2340"/>
    <n v="2223"/>
    <m/>
    <m/>
    <m/>
    <m/>
    <m/>
    <m/>
    <m/>
    <m/>
    <n v="0"/>
    <n v="0"/>
    <n v="0"/>
    <n v="0"/>
    <m/>
    <m/>
    <n v="0"/>
    <n v="0"/>
  </r>
  <r>
    <x v="13"/>
    <s v="Texas State Technical College-Marshall"/>
    <m/>
    <n v="408394"/>
    <x v="8"/>
    <s v="sem"/>
    <m/>
    <n v="6613"/>
    <n v="8155"/>
    <n v="4029"/>
    <n v="4904"/>
    <n v="0"/>
    <n v="0"/>
    <n v="7917"/>
    <n v="7917"/>
    <n v="18559"/>
    <n v="618.63333333333333"/>
    <n v="20976"/>
    <n v="699.2"/>
    <n v="1829"/>
    <n v="1829"/>
    <n v="18559"/>
    <n v="20976"/>
    <n v="7368"/>
    <n v="2984"/>
    <n v="6032"/>
    <n v="4848"/>
    <n v="7408"/>
    <n v="5288"/>
    <n v="4312"/>
    <n v="5664"/>
    <n v="25120"/>
    <n v="27.911111111111111"/>
    <n v="18784"/>
    <n v="20.871111111111112"/>
    <m/>
    <m/>
    <n v="0"/>
    <n v="18784"/>
  </r>
  <r>
    <x v="13"/>
    <s v="Texas State Technical College-West Texas"/>
    <m/>
    <n v="229328"/>
    <x v="8"/>
    <s v="sem"/>
    <m/>
    <n v="10066"/>
    <n v="8926"/>
    <n v="6532"/>
    <n v="6684"/>
    <n v="0"/>
    <n v="0"/>
    <n v="10833"/>
    <n v="12266"/>
    <n v="27431"/>
    <n v="914.36666666666667"/>
    <n v="27876"/>
    <n v="929.2"/>
    <n v="2817"/>
    <n v="1901"/>
    <n v="27431"/>
    <n v="27876"/>
    <n v="1513"/>
    <n v="0"/>
    <n v="1547"/>
    <n v="1176"/>
    <n v="945"/>
    <n v="672"/>
    <n v="1752"/>
    <n v="0"/>
    <n v="5757"/>
    <n v="6.3966666666666665"/>
    <n v="1848"/>
    <n v="2.0533333333333332"/>
    <m/>
    <m/>
    <n v="0"/>
    <n v="1848"/>
  </r>
  <r>
    <x v="13"/>
    <s v="Western Texas College "/>
    <m/>
    <n v="229832"/>
    <x v="8"/>
    <s v="sem"/>
    <m/>
    <n v="16396"/>
    <n v="16761"/>
    <n v="7275"/>
    <n v="8006"/>
    <n v="2918"/>
    <n v="3929"/>
    <n v="16972"/>
    <n v="17048"/>
    <n v="43561"/>
    <n v="1452.0333333333333"/>
    <n v="45744"/>
    <n v="1524.8"/>
    <n v="8621"/>
    <n v="8855"/>
    <n v="43561"/>
    <n v="45744"/>
    <n v="12853"/>
    <n v="32671"/>
    <n v="25382"/>
    <n v="23447"/>
    <n v="11821"/>
    <n v="7234"/>
    <n v="29433"/>
    <n v="33968"/>
    <n v="79489"/>
    <n v="88.321111111111108"/>
    <n v="97320"/>
    <n v="108.13333333333334"/>
    <m/>
    <m/>
    <n v="0"/>
    <n v="97320"/>
  </r>
  <r>
    <x v="13"/>
    <s v="Alamo Community College District (ACCD)"/>
    <m/>
    <m/>
    <x v="12"/>
    <s v="sem"/>
    <m/>
    <n v="446949"/>
    <n v="457529"/>
    <n v="177199"/>
    <n v="172238"/>
    <n v="0"/>
    <n v="0"/>
    <n v="409197"/>
    <n v="413107"/>
    <n v="1033345"/>
    <n v="34444.833333333336"/>
    <n v="1042874"/>
    <n v="34762.466666666667"/>
    <n v="101860"/>
    <n v="122203"/>
    <n v="1033345"/>
    <n v="1042874"/>
    <n v="123642"/>
    <n v="94588"/>
    <n v="125171"/>
    <n v="101166"/>
    <n v="119697"/>
    <n v="79333"/>
    <n v="111508"/>
    <n v="111993"/>
    <n v="480018"/>
    <n v="533.35333333333335"/>
    <n v="387080"/>
    <n v="430.0888888888889"/>
    <m/>
    <m/>
    <n v="0"/>
    <n v="387080"/>
  </r>
  <r>
    <x v="13"/>
    <s v="Dallas County Community College District (DCCD)"/>
    <m/>
    <m/>
    <x v="12"/>
    <s v="sem"/>
    <m/>
    <n v="550686"/>
    <n v="538585"/>
    <n v="303598"/>
    <n v="325288"/>
    <n v="0"/>
    <n v="0"/>
    <n v="466836"/>
    <n v="456803"/>
    <n v="1321120"/>
    <n v="44037.333333333336"/>
    <n v="1320676"/>
    <n v="44022.533333333333"/>
    <n v="134601"/>
    <n v="156958"/>
    <n v="1321120"/>
    <n v="1320676"/>
    <n v="737303"/>
    <n v="778165"/>
    <n v="822144"/>
    <n v="679422"/>
    <n v="750388"/>
    <n v="582214"/>
    <n v="957130"/>
    <n v="742438"/>
    <n v="3266965"/>
    <n v="3629.9611111111112"/>
    <n v="2782239"/>
    <n v="3091.3766666666666"/>
    <m/>
    <m/>
    <n v="0"/>
    <n v="2782239"/>
  </r>
  <r>
    <x v="13"/>
    <s v="Howard County Community/Junior College District (HCJCD)"/>
    <m/>
    <m/>
    <x v="12"/>
    <s v="sem"/>
    <m/>
    <n v="27177"/>
    <n v="27274"/>
    <n v="3688"/>
    <n v="4179"/>
    <n v="1600"/>
    <n v="1988"/>
    <n v="30772"/>
    <n v="33142"/>
    <n v="63237"/>
    <n v="2107.9"/>
    <n v="66583"/>
    <n v="2219.4333333333334"/>
    <n v="17667"/>
    <n v="19478"/>
    <n v="63237"/>
    <n v="66583"/>
    <n v="130658"/>
    <n v="124964"/>
    <n v="128260"/>
    <n v="137861"/>
    <n v="140947"/>
    <n v="132667"/>
    <n v="131190"/>
    <n v="136533"/>
    <n v="531055"/>
    <n v="590.06111111111113"/>
    <n v="532025"/>
    <n v="591.13888888888891"/>
    <m/>
    <m/>
    <n v="0"/>
    <n v="532025"/>
  </r>
  <r>
    <x v="13"/>
    <s v="University of North Texas at Dallas"/>
    <s v="New fall 2009. No degrees yet granted."/>
    <n v="443711"/>
    <x v="13"/>
    <s v="sem"/>
    <m/>
    <n v="0"/>
    <n v="0"/>
    <n v="17970"/>
    <n v="19606"/>
    <n v="5282"/>
    <n v="5332"/>
    <n v="20795"/>
    <n v="25236"/>
    <n v="44047"/>
    <n v="1468.2333333333333"/>
    <n v="50174"/>
    <n v="1672.4666666666667"/>
    <n v="0"/>
    <n v="0"/>
    <n v="44047"/>
    <n v="50174"/>
    <m/>
    <m/>
    <m/>
    <m/>
    <m/>
    <m/>
    <m/>
    <m/>
    <n v="0"/>
    <n v="0"/>
    <n v="0"/>
    <n v="0"/>
    <m/>
    <m/>
    <n v="0"/>
    <n v="0"/>
  </r>
  <r>
    <x v="13"/>
    <s v="Alamo Community College District (ACCD)"/>
    <m/>
    <m/>
    <x v="14"/>
    <s v="sem"/>
    <m/>
    <n v="430985"/>
    <n v="433058"/>
    <n v="169444"/>
    <n v="163795"/>
    <n v="0"/>
    <n v="0"/>
    <n v="389795"/>
    <n v="390408"/>
    <n v="990224"/>
    <n v="33007.466666666667"/>
    <n v="987261"/>
    <n v="32908.699999999997"/>
    <n v="101836"/>
    <n v="122203"/>
    <n v="990224"/>
    <n v="987261"/>
    <n v="121834"/>
    <n v="90068"/>
    <n v="124619"/>
    <n v="91114"/>
    <n v="113169"/>
    <n v="76797"/>
    <n v="108828"/>
    <n v="110673"/>
    <n v="468450"/>
    <n v="520.5"/>
    <n v="368652"/>
    <n v="409.61333333333334"/>
    <m/>
    <m/>
    <n v="0"/>
    <n v="368652"/>
  </r>
  <r>
    <x v="13"/>
    <s v="Dallas County Community College District (DCCD)"/>
    <m/>
    <m/>
    <x v="14"/>
    <s v="sem"/>
    <m/>
    <n v="452073"/>
    <n v="435538"/>
    <n v="246005"/>
    <n v="265859"/>
    <n v="0"/>
    <n v="0"/>
    <n v="372587"/>
    <n v="361256"/>
    <n v="1070665"/>
    <n v="35688.833333333336"/>
    <n v="1062653"/>
    <n v="35421.76666666667"/>
    <n v="99402"/>
    <n v="115921"/>
    <n v="1070665"/>
    <n v="1062653"/>
    <n v="667581"/>
    <n v="704337"/>
    <n v="743759"/>
    <n v="619999"/>
    <n v="668339"/>
    <n v="483643"/>
    <n v="857965"/>
    <n v="683424"/>
    <n v="2937644"/>
    <n v="3264.048888888889"/>
    <n v="2491403"/>
    <n v="2768.2255555555557"/>
    <m/>
    <m/>
    <n v="0"/>
    <n v="2491403"/>
  </r>
  <r>
    <x v="13"/>
    <s v="Dallas County Community College District (DCCD)"/>
    <m/>
    <m/>
    <x v="15"/>
    <s v="sem"/>
    <m/>
    <n v="98613"/>
    <n v="103047"/>
    <n v="57593"/>
    <n v="59429"/>
    <n v="0"/>
    <n v="0"/>
    <n v="94249"/>
    <n v="95547"/>
    <n v="250455"/>
    <n v="8348.5"/>
    <n v="258023"/>
    <n v="8600.7666666666664"/>
    <n v="35199"/>
    <n v="41037"/>
    <n v="250455"/>
    <n v="258023"/>
    <n v="69722"/>
    <n v="73828"/>
    <n v="78385"/>
    <n v="59423"/>
    <n v="82049"/>
    <n v="98571"/>
    <n v="99165"/>
    <n v="59014"/>
    <n v="329321"/>
    <n v="365.91222222222223"/>
    <n v="290836"/>
    <n v="323.15111111111111"/>
    <m/>
    <m/>
    <n v="0"/>
    <n v="290836"/>
  </r>
  <r>
    <x v="13"/>
    <s v="Howard County Community/Junior College District (HCJCD)"/>
    <m/>
    <m/>
    <x v="15"/>
    <s v="sem"/>
    <m/>
    <n v="26056"/>
    <n v="26195"/>
    <n v="3688"/>
    <n v="4176"/>
    <n v="1600"/>
    <n v="1988"/>
    <n v="29553"/>
    <n v="32001"/>
    <n v="60897"/>
    <n v="2029.9"/>
    <n v="64360"/>
    <n v="2145.3333333333335"/>
    <n v="17667"/>
    <n v="19478"/>
    <n v="60897"/>
    <n v="64360"/>
    <n v="130658"/>
    <n v="124964"/>
    <n v="128260"/>
    <n v="137861"/>
    <n v="140947"/>
    <n v="132667"/>
    <n v="131190"/>
    <n v="136533"/>
    <n v="531055"/>
    <n v="590.06111111111113"/>
    <n v="532025"/>
    <n v="591.13888888888891"/>
    <m/>
    <m/>
    <n v="0"/>
    <n v="532025"/>
  </r>
  <r>
    <x v="13"/>
    <s v="Alamo Community College District (ACCD)"/>
    <m/>
    <m/>
    <x v="16"/>
    <s v="sem"/>
    <m/>
    <n v="15964"/>
    <n v="24471"/>
    <n v="7755"/>
    <n v="8443"/>
    <n v="0"/>
    <n v="0"/>
    <n v="19402"/>
    <n v="22699"/>
    <n v="43121"/>
    <n v="1437.3666666666666"/>
    <n v="55613"/>
    <n v="1853.7666666666667"/>
    <n v="24"/>
    <n v="0"/>
    <n v="43121"/>
    <n v="55613"/>
    <n v="1808"/>
    <n v="4520"/>
    <n v="552"/>
    <n v="10052"/>
    <n v="6528"/>
    <n v="2536"/>
    <n v="2680"/>
    <n v="1320"/>
    <n v="11568"/>
    <n v="12.853333333333333"/>
    <n v="18428"/>
    <n v="20.475555555555555"/>
    <m/>
    <m/>
    <n v="0"/>
    <n v="18428"/>
  </r>
  <r>
    <x v="13"/>
    <s v="Howard County Community/Junior College District (HCJCD)"/>
    <m/>
    <m/>
    <x v="16"/>
    <s v="sem"/>
    <m/>
    <n v="1121"/>
    <n v="1079"/>
    <n v="0"/>
    <n v="3"/>
    <n v="0"/>
    <n v="0"/>
    <n v="1219"/>
    <n v="1141"/>
    <n v="2340"/>
    <n v="78"/>
    <n v="2223"/>
    <n v="74.099999999999994"/>
    <n v="0"/>
    <n v="0"/>
    <n v="2340"/>
    <n v="2223"/>
    <n v="0"/>
    <n v="0"/>
    <n v="0"/>
    <n v="0"/>
    <n v="0"/>
    <n v="0"/>
    <n v="0"/>
    <n v="0"/>
    <n v="0"/>
    <n v="0"/>
    <n v="0"/>
    <n v="0"/>
    <m/>
    <m/>
    <n v="0"/>
    <n v="0"/>
  </r>
  <r>
    <x v="13"/>
    <s v="Texas State Technical College-North Texas"/>
    <s v="New Fall 2016"/>
    <m/>
    <x v="13"/>
    <s v="sem"/>
    <m/>
    <m/>
    <n v="0"/>
    <m/>
    <n v="0"/>
    <m/>
    <n v="0"/>
    <m/>
    <n v="2566"/>
    <n v="0"/>
    <n v="0"/>
    <n v="2566"/>
    <n v="85.533333333333331"/>
    <m/>
    <n v="0"/>
    <n v="0"/>
    <n v="2566"/>
    <m/>
    <m/>
    <m/>
    <m/>
    <m/>
    <m/>
    <m/>
    <m/>
    <n v="0"/>
    <n v="0"/>
    <n v="0"/>
    <n v="0"/>
    <m/>
    <m/>
    <n v="0"/>
    <n v="0"/>
  </r>
  <r>
    <x v="13"/>
    <s v="Texas State Technical College-Fort Bend"/>
    <s v="New Fall 2016"/>
    <m/>
    <x v="13"/>
    <s v="sem"/>
    <m/>
    <m/>
    <n v="0"/>
    <m/>
    <n v="0"/>
    <m/>
    <n v="0"/>
    <m/>
    <n v="2830"/>
    <n v="0"/>
    <n v="0"/>
    <n v="2830"/>
    <n v="94.333333333333329"/>
    <m/>
    <n v="0"/>
    <n v="0"/>
    <n v="2830"/>
    <m/>
    <m/>
    <m/>
    <m/>
    <m/>
    <m/>
    <m/>
    <m/>
    <n v="0"/>
    <n v="0"/>
    <n v="0"/>
    <n v="0"/>
    <m/>
    <m/>
    <n v="0"/>
    <n v="0"/>
  </r>
  <r>
    <x v="14"/>
    <s v="George Mason University "/>
    <m/>
    <n v="232186"/>
    <x v="0"/>
    <s v="sem"/>
    <m/>
    <m/>
    <m/>
    <n v="284102"/>
    <n v="294967.5"/>
    <n v="53435"/>
    <n v="52960"/>
    <n v="302855.5"/>
    <n v="316483"/>
    <n v="640392.5"/>
    <n v="21346.416666666668"/>
    <n v="664410.5"/>
    <n v="22147.016666666666"/>
    <n v="16141"/>
    <n v="15812"/>
    <n v="640392.5"/>
    <n v="664410.5"/>
    <m/>
    <m/>
    <m/>
    <m/>
    <m/>
    <m/>
    <m/>
    <m/>
    <n v="0"/>
    <n v="0"/>
    <n v="0"/>
    <n v="0"/>
    <m/>
    <m/>
    <n v="0"/>
    <n v="0"/>
  </r>
  <r>
    <x v="14"/>
    <s v="Old Dominion University "/>
    <m/>
    <n v="232982"/>
    <x v="0"/>
    <s v="sem"/>
    <m/>
    <m/>
    <m/>
    <n v="224529"/>
    <n v="224955"/>
    <n v="55397"/>
    <n v="54737"/>
    <n v="245454"/>
    <n v="242315"/>
    <n v="525380"/>
    <n v="17512.666666666668"/>
    <n v="522007"/>
    <n v="17400.233333333334"/>
    <n v="66"/>
    <n v="73"/>
    <n v="525380"/>
    <n v="522007"/>
    <m/>
    <m/>
    <m/>
    <m/>
    <m/>
    <m/>
    <m/>
    <m/>
    <n v="0"/>
    <n v="0"/>
    <n v="0"/>
    <n v="0"/>
    <m/>
    <m/>
    <n v="0"/>
    <n v="0"/>
  </r>
  <r>
    <x v="14"/>
    <s v="University of Virginia"/>
    <m/>
    <n v="234076"/>
    <x v="0"/>
    <s v="sem"/>
    <m/>
    <m/>
    <m/>
    <n v="230413"/>
    <n v="236143"/>
    <n v="18270"/>
    <n v="17273"/>
    <n v="239828.5"/>
    <n v="237561"/>
    <n v="488511.5"/>
    <n v="16283.716666666667"/>
    <n v="490977"/>
    <n v="16365.9"/>
    <n v="0"/>
    <n v="0"/>
    <n v="488511.5"/>
    <n v="490977"/>
    <m/>
    <m/>
    <m/>
    <m/>
    <m/>
    <m/>
    <m/>
    <m/>
    <n v="0"/>
    <n v="0"/>
    <n v="0"/>
    <n v="0"/>
    <m/>
    <m/>
    <n v="0"/>
    <n v="0"/>
  </r>
  <r>
    <x v="14"/>
    <s v="Virginia Commonwealth University"/>
    <m/>
    <n v="234030"/>
    <x v="0"/>
    <s v="sem"/>
    <m/>
    <m/>
    <m/>
    <n v="298822"/>
    <n v="295047.5"/>
    <n v="39960.5"/>
    <n v="37762.5"/>
    <n v="322337.5"/>
    <n v="323259"/>
    <n v="661120"/>
    <n v="22037.333333333332"/>
    <n v="656069"/>
    <n v="21868.966666666667"/>
    <n v="7673"/>
    <n v="7729"/>
    <n v="661120"/>
    <n v="656069"/>
    <m/>
    <m/>
    <m/>
    <m/>
    <m/>
    <m/>
    <m/>
    <m/>
    <n v="0"/>
    <n v="0"/>
    <n v="0"/>
    <n v="0"/>
    <m/>
    <m/>
    <n v="0"/>
    <n v="0"/>
  </r>
  <r>
    <x v="14"/>
    <s v="Virginia Tech "/>
    <m/>
    <n v="233921"/>
    <x v="0"/>
    <s v="sem"/>
    <m/>
    <m/>
    <m/>
    <n v="359738"/>
    <n v="374222"/>
    <n v="33893"/>
    <n v="33106"/>
    <n v="389183"/>
    <n v="394355"/>
    <n v="782814"/>
    <n v="26093.8"/>
    <n v="801683"/>
    <n v="26722.766666666666"/>
    <n v="0"/>
    <n v="0"/>
    <n v="782814"/>
    <n v="801683"/>
    <m/>
    <m/>
    <m/>
    <m/>
    <m/>
    <m/>
    <m/>
    <m/>
    <n v="0"/>
    <n v="0"/>
    <n v="0"/>
    <n v="0"/>
    <m/>
    <m/>
    <n v="0"/>
    <n v="0"/>
  </r>
  <r>
    <x v="14"/>
    <s v="College of William &amp; Mary"/>
    <m/>
    <n v="231624"/>
    <x v="1"/>
    <s v="sem"/>
    <m/>
    <m/>
    <m/>
    <n v="86903.6"/>
    <n v="87109.3"/>
    <n v="8631"/>
    <n v="8911"/>
    <n v="90795.3"/>
    <n v="90343.3"/>
    <n v="186329.90000000002"/>
    <n v="6210.9966666666678"/>
    <n v="186363.6"/>
    <n v="6212.12"/>
    <n v="0"/>
    <n v="0"/>
    <n v="186329.90000000002"/>
    <n v="186363.6"/>
    <m/>
    <m/>
    <m/>
    <m/>
    <m/>
    <m/>
    <m/>
    <m/>
    <n v="0"/>
    <n v="0"/>
    <n v="0"/>
    <n v="0"/>
    <m/>
    <m/>
    <n v="0"/>
    <n v="0"/>
  </r>
  <r>
    <x v="14"/>
    <s v="James Madison University"/>
    <m/>
    <n v="232423"/>
    <x v="2"/>
    <s v="sem"/>
    <m/>
    <m/>
    <m/>
    <n v="261923"/>
    <n v="266631"/>
    <n v="27605"/>
    <n v="29862"/>
    <n v="283191"/>
    <n v="284856"/>
    <n v="572719"/>
    <n v="19090.633333333335"/>
    <n v="581349"/>
    <n v="19378.3"/>
    <n v="6114"/>
    <n v="4824"/>
    <n v="572719"/>
    <n v="581349"/>
    <m/>
    <m/>
    <m/>
    <m/>
    <m/>
    <m/>
    <m/>
    <m/>
    <n v="0"/>
    <n v="0"/>
    <n v="0"/>
    <n v="0"/>
    <m/>
    <m/>
    <n v="0"/>
    <n v="0"/>
  </r>
  <r>
    <x v="14"/>
    <s v="Longwood University "/>
    <m/>
    <n v="232566"/>
    <x v="2"/>
    <s v="sem"/>
    <m/>
    <m/>
    <m/>
    <n v="61851"/>
    <n v="61622"/>
    <n v="9954"/>
    <n v="9765"/>
    <n v="63561"/>
    <n v="60712.5"/>
    <n v="135366"/>
    <n v="4512.2"/>
    <n v="132099.5"/>
    <n v="4403.3166666666666"/>
    <n v="1346"/>
    <n v="1998"/>
    <n v="135366"/>
    <n v="132099.5"/>
    <m/>
    <m/>
    <m/>
    <m/>
    <m/>
    <m/>
    <m/>
    <m/>
    <n v="0"/>
    <n v="0"/>
    <n v="0"/>
    <n v="0"/>
    <m/>
    <m/>
    <n v="0"/>
    <n v="0"/>
  </r>
  <r>
    <x v="14"/>
    <s v="Norfolk State University "/>
    <m/>
    <n v="232937"/>
    <x v="2"/>
    <s v="sem"/>
    <m/>
    <m/>
    <m/>
    <n v="65661"/>
    <n v="55394"/>
    <n v="7911"/>
    <n v="7778"/>
    <n v="61923"/>
    <n v="65164"/>
    <n v="135495"/>
    <n v="4516.5"/>
    <n v="128336"/>
    <n v="4277.8666666666668"/>
    <n v="433"/>
    <n v="331"/>
    <n v="135495"/>
    <n v="128336"/>
    <m/>
    <m/>
    <m/>
    <m/>
    <m/>
    <m/>
    <m/>
    <m/>
    <n v="0"/>
    <n v="0"/>
    <n v="0"/>
    <n v="0"/>
    <m/>
    <m/>
    <n v="0"/>
    <n v="0"/>
  </r>
  <r>
    <x v="14"/>
    <s v="Radford University"/>
    <s v="Met the criteria for Four-Year 2 in 2016-17."/>
    <n v="233277"/>
    <x v="2"/>
    <s v="sem"/>
    <m/>
    <m/>
    <m/>
    <n v="121297"/>
    <n v="120134"/>
    <n v="11066"/>
    <n v="10497"/>
    <n v="130137"/>
    <n v="124328"/>
    <n v="262500"/>
    <n v="8750"/>
    <n v="254959"/>
    <n v="8498.6333333333332"/>
    <n v="0"/>
    <n v="0"/>
    <n v="262500"/>
    <n v="254959"/>
    <m/>
    <m/>
    <m/>
    <m/>
    <m/>
    <m/>
    <m/>
    <m/>
    <n v="0"/>
    <n v="0"/>
    <n v="0"/>
    <n v="0"/>
    <m/>
    <m/>
    <n v="0"/>
    <n v="0"/>
  </r>
  <r>
    <x v="14"/>
    <s v="University of Mary Washington "/>
    <m/>
    <n v="232681"/>
    <x v="2"/>
    <s v="sem"/>
    <m/>
    <m/>
    <m/>
    <n v="54910"/>
    <n v="55543"/>
    <n v="4690"/>
    <n v="4894"/>
    <n v="59702"/>
    <n v="60157"/>
    <n v="119302"/>
    <n v="3976.7333333333331"/>
    <n v="120594"/>
    <n v="4019.8"/>
    <n v="54"/>
    <n v="32"/>
    <n v="119302"/>
    <n v="120594"/>
    <m/>
    <m/>
    <m/>
    <m/>
    <m/>
    <m/>
    <m/>
    <m/>
    <n v="0"/>
    <n v="0"/>
    <n v="0"/>
    <n v="0"/>
    <m/>
    <m/>
    <n v="0"/>
    <n v="0"/>
  </r>
  <r>
    <x v="14"/>
    <s v="Virginia State University "/>
    <m/>
    <n v="234155"/>
    <x v="2"/>
    <s v="sem"/>
    <m/>
    <m/>
    <m/>
    <n v="63192"/>
    <n v="58666"/>
    <n v="3465"/>
    <n v="3911"/>
    <n v="66136"/>
    <n v="63436.9"/>
    <n v="132793"/>
    <n v="4426.4333333333334"/>
    <n v="126013.9"/>
    <n v="4200.4633333333331"/>
    <n v="0"/>
    <n v="0"/>
    <n v="132793"/>
    <n v="126013.9"/>
    <m/>
    <m/>
    <m/>
    <m/>
    <m/>
    <m/>
    <m/>
    <m/>
    <n v="0"/>
    <n v="0"/>
    <n v="0"/>
    <n v="0"/>
    <m/>
    <m/>
    <n v="0"/>
    <n v="0"/>
  </r>
  <r>
    <x v="14"/>
    <s v="Christopher Newport University"/>
    <s v="Met the criteria for Four-Year 4 in 2016-17."/>
    <n v="231712"/>
    <x v="4"/>
    <s v="sem"/>
    <m/>
    <m/>
    <m/>
    <n v="71331"/>
    <n v="70932"/>
    <n v="1203"/>
    <n v="1249"/>
    <n v="75257"/>
    <n v="73809"/>
    <n v="147791"/>
    <n v="4926.3666666666668"/>
    <n v="145990"/>
    <n v="4866.333333333333"/>
    <n v="57"/>
    <n v="102"/>
    <n v="147791"/>
    <n v="145990"/>
    <m/>
    <m/>
    <m/>
    <m/>
    <m/>
    <m/>
    <m/>
    <m/>
    <n v="0"/>
    <n v="0"/>
    <n v="0"/>
    <n v="0"/>
    <m/>
    <m/>
    <n v="0"/>
    <n v="0"/>
  </r>
  <r>
    <x v="14"/>
    <s v="University of Virginia's College at Wise "/>
    <m/>
    <n v="233897"/>
    <x v="5"/>
    <s v="sem"/>
    <m/>
    <m/>
    <m/>
    <n v="23496"/>
    <n v="21350"/>
    <n v="5708"/>
    <n v="5569"/>
    <n v="22802"/>
    <n v="22912"/>
    <n v="52006"/>
    <n v="1733.5333333333333"/>
    <n v="49831"/>
    <n v="1661.0333333333333"/>
    <n v="449"/>
    <n v="432"/>
    <n v="52006"/>
    <n v="49831"/>
    <m/>
    <m/>
    <m/>
    <m/>
    <m/>
    <m/>
    <m/>
    <m/>
    <n v="0"/>
    <n v="0"/>
    <n v="0"/>
    <n v="0"/>
    <m/>
    <m/>
    <n v="0"/>
    <n v="0"/>
  </r>
  <r>
    <x v="14"/>
    <s v="J.S. Reynolds Community College"/>
    <s v="Met the criteria for Two-Year 2 in 2016-17. "/>
    <n v="232414"/>
    <x v="6"/>
    <s v="sem"/>
    <m/>
    <m/>
    <m/>
    <n v="92271"/>
    <n v="82868"/>
    <n v="33671"/>
    <n v="31545"/>
    <n v="90084"/>
    <n v="85469"/>
    <n v="216026"/>
    <n v="7200.8666666666668"/>
    <n v="199882"/>
    <n v="6662.7333333333336"/>
    <n v="16807"/>
    <n v="23240"/>
    <n v="216026"/>
    <n v="199882"/>
    <m/>
    <m/>
    <m/>
    <m/>
    <m/>
    <m/>
    <m/>
    <m/>
    <n v="0"/>
    <n v="0"/>
    <n v="0"/>
    <n v="0"/>
    <m/>
    <m/>
    <n v="0"/>
    <n v="0"/>
  </r>
  <r>
    <x v="14"/>
    <s v="John Tyler Community College"/>
    <s v="Met the criteria for Two-Year 2 in 2016-17. "/>
    <n v="232450"/>
    <x v="6"/>
    <s v="sem"/>
    <m/>
    <m/>
    <m/>
    <n v="70008"/>
    <n v="70277"/>
    <n v="18698"/>
    <n v="18859"/>
    <n v="76688"/>
    <n v="73885"/>
    <n v="165394"/>
    <n v="5513.1333333333332"/>
    <n v="163021"/>
    <n v="5434.0333333333338"/>
    <n v="45125"/>
    <n v="50106"/>
    <n v="165394"/>
    <n v="163021"/>
    <m/>
    <m/>
    <m/>
    <m/>
    <m/>
    <m/>
    <m/>
    <m/>
    <n v="0"/>
    <n v="0"/>
    <n v="0"/>
    <n v="0"/>
    <m/>
    <m/>
    <n v="0"/>
    <n v="0"/>
  </r>
  <r>
    <x v="14"/>
    <s v="Northern Virginia Community College "/>
    <m/>
    <n v="232946"/>
    <x v="6"/>
    <s v="sem"/>
    <m/>
    <m/>
    <m/>
    <n v="426055.5"/>
    <n v="418452"/>
    <n v="157192"/>
    <n v="148052.5"/>
    <n v="453988"/>
    <n v="435968"/>
    <n v="1037235.5"/>
    <n v="34574.51666666667"/>
    <n v="1002472.5"/>
    <n v="33415.75"/>
    <n v="62676"/>
    <n v="86358"/>
    <n v="1037235.5"/>
    <n v="1002472.5"/>
    <m/>
    <m/>
    <m/>
    <m/>
    <m/>
    <m/>
    <m/>
    <m/>
    <n v="0"/>
    <n v="0"/>
    <n v="0"/>
    <n v="0"/>
    <m/>
    <m/>
    <n v="0"/>
    <n v="0"/>
  </r>
  <r>
    <x v="14"/>
    <s v="Thomas Nelson Community College "/>
    <s v="Met the criteria for Two-Year 2 in 2016-17. "/>
    <n v="233754"/>
    <x v="6"/>
    <s v="sem"/>
    <m/>
    <m/>
    <m/>
    <n v="81747"/>
    <n v="75576"/>
    <n v="23591"/>
    <n v="23811"/>
    <n v="81214"/>
    <n v="76037"/>
    <n v="186552"/>
    <n v="6218.4"/>
    <n v="175424"/>
    <n v="5847.4666666666662"/>
    <n v="18578"/>
    <n v="20873"/>
    <n v="186552"/>
    <n v="175424"/>
    <m/>
    <m/>
    <m/>
    <m/>
    <m/>
    <m/>
    <m/>
    <m/>
    <n v="0"/>
    <n v="0"/>
    <n v="0"/>
    <n v="0"/>
    <m/>
    <m/>
    <n v="0"/>
    <n v="0"/>
  </r>
  <r>
    <x v="14"/>
    <s v="Tidewater Community College "/>
    <m/>
    <n v="233772"/>
    <x v="6"/>
    <s v="sem"/>
    <m/>
    <m/>
    <m/>
    <n v="233794"/>
    <n v="211185"/>
    <n v="75337"/>
    <n v="76138"/>
    <n v="233258"/>
    <n v="213676"/>
    <n v="542389"/>
    <n v="18079.633333333335"/>
    <n v="500999"/>
    <n v="16699.966666666667"/>
    <n v="23955"/>
    <n v="26516"/>
    <n v="542389"/>
    <n v="500999"/>
    <m/>
    <m/>
    <m/>
    <m/>
    <m/>
    <m/>
    <m/>
    <m/>
    <n v="0"/>
    <n v="0"/>
    <n v="0"/>
    <n v="0"/>
    <m/>
    <m/>
    <n v="0"/>
    <n v="0"/>
  </r>
  <r>
    <x v="14"/>
    <s v="Blue Ridge Community College "/>
    <s v="Met the criteria for Two-Year 3 in 2016-17. "/>
    <n v="231536"/>
    <x v="7"/>
    <s v="sem"/>
    <m/>
    <m/>
    <m/>
    <n v="35738"/>
    <n v="32321"/>
    <n v="9397"/>
    <n v="9323"/>
    <n v="36911"/>
    <n v="34993"/>
    <n v="82046"/>
    <n v="2734.8666666666668"/>
    <n v="76637"/>
    <n v="2554.5666666666666"/>
    <n v="11167"/>
    <n v="13414"/>
    <n v="82046"/>
    <n v="76637"/>
    <m/>
    <m/>
    <m/>
    <m/>
    <m/>
    <m/>
    <m/>
    <m/>
    <n v="0"/>
    <n v="0"/>
    <n v="0"/>
    <n v="0"/>
    <m/>
    <m/>
    <n v="0"/>
    <n v="0"/>
  </r>
  <r>
    <x v="14"/>
    <s v="Central Virginia Community College "/>
    <s v="Met the criteria for Two-Year 3 in 2016-17. "/>
    <n v="231697"/>
    <x v="7"/>
    <s v="sem"/>
    <m/>
    <m/>
    <m/>
    <n v="33880"/>
    <n v="32641"/>
    <n v="7373"/>
    <n v="7733"/>
    <n v="36608"/>
    <n v="35006"/>
    <n v="77861"/>
    <n v="2595.3666666666668"/>
    <n v="75380"/>
    <n v="2512.6666666666665"/>
    <n v="35848"/>
    <n v="35767"/>
    <n v="77861"/>
    <n v="75380"/>
    <m/>
    <m/>
    <m/>
    <m/>
    <m/>
    <m/>
    <m/>
    <m/>
    <n v="0"/>
    <n v="0"/>
    <n v="0"/>
    <n v="0"/>
    <m/>
    <m/>
    <n v="0"/>
    <n v="0"/>
  </r>
  <r>
    <x v="14"/>
    <s v="Danville Community College "/>
    <s v="Met the criteria for Two-Year 3 in 2016-17. "/>
    <n v="231882"/>
    <x v="7"/>
    <s v="sem"/>
    <m/>
    <m/>
    <m/>
    <n v="29759"/>
    <n v="28105"/>
    <n v="7890"/>
    <n v="7174"/>
    <n v="31445"/>
    <n v="28976"/>
    <n v="69094"/>
    <n v="2303.1333333333332"/>
    <n v="64255"/>
    <n v="2141.8333333333335"/>
    <n v="30058"/>
    <n v="31375"/>
    <n v="69094"/>
    <n v="64255"/>
    <m/>
    <m/>
    <m/>
    <m/>
    <m/>
    <m/>
    <m/>
    <m/>
    <n v="0"/>
    <n v="0"/>
    <n v="0"/>
    <n v="0"/>
    <m/>
    <m/>
    <n v="0"/>
    <n v="0"/>
  </r>
  <r>
    <x v="14"/>
    <s v="Germanna Community College"/>
    <m/>
    <n v="232195"/>
    <x v="7"/>
    <s v="sem"/>
    <m/>
    <m/>
    <m/>
    <n v="57447"/>
    <n v="53995"/>
    <n v="16103"/>
    <n v="15454"/>
    <n v="59548"/>
    <n v="56321"/>
    <n v="133098"/>
    <n v="4436.6000000000004"/>
    <n v="125770"/>
    <n v="4192.333333333333"/>
    <n v="21287"/>
    <n v="22873"/>
    <n v="133098"/>
    <n v="125770"/>
    <m/>
    <m/>
    <m/>
    <m/>
    <m/>
    <m/>
    <m/>
    <m/>
    <n v="0"/>
    <n v="0"/>
    <n v="0"/>
    <n v="0"/>
    <m/>
    <m/>
    <n v="0"/>
    <n v="0"/>
  </r>
  <r>
    <x v="14"/>
    <s v="Lord Fairfax Community College"/>
    <m/>
    <n v="232575"/>
    <x v="7"/>
    <s v="sem"/>
    <m/>
    <m/>
    <m/>
    <n v="50535"/>
    <n v="48707"/>
    <n v="12607"/>
    <n v="12209"/>
    <n v="57424"/>
    <n v="57039"/>
    <n v="120566"/>
    <n v="4018.8666666666668"/>
    <n v="117955"/>
    <n v="3931.8333333333335"/>
    <n v="54418"/>
    <n v="61508"/>
    <n v="120566"/>
    <n v="117955"/>
    <m/>
    <m/>
    <m/>
    <m/>
    <m/>
    <m/>
    <m/>
    <m/>
    <n v="0"/>
    <n v="0"/>
    <n v="0"/>
    <n v="0"/>
    <m/>
    <m/>
    <n v="0"/>
    <n v="0"/>
  </r>
  <r>
    <x v="14"/>
    <s v="New River Community College "/>
    <s v="Met the criteria for Two-Year 3 in 2016-17. "/>
    <n v="232867"/>
    <x v="7"/>
    <s v="sem"/>
    <m/>
    <m/>
    <m/>
    <n v="38000"/>
    <n v="36576"/>
    <n v="6990"/>
    <n v="7546"/>
    <n v="40612"/>
    <n v="40547"/>
    <n v="85602"/>
    <n v="2853.4"/>
    <n v="84669"/>
    <n v="2822.3"/>
    <n v="32411"/>
    <n v="34733"/>
    <n v="85602"/>
    <n v="84669"/>
    <m/>
    <m/>
    <m/>
    <m/>
    <m/>
    <m/>
    <m/>
    <m/>
    <n v="0"/>
    <n v="0"/>
    <n v="0"/>
    <n v="0"/>
    <m/>
    <m/>
    <n v="0"/>
    <n v="0"/>
  </r>
  <r>
    <x v="14"/>
    <s v="Patrick Henry Community College "/>
    <s v="Met the criteria for Two-Year 3 in 2015-16 and 2016-17. "/>
    <n v="233019"/>
    <x v="7"/>
    <s v="sem"/>
    <m/>
    <m/>
    <m/>
    <n v="26551"/>
    <n v="23661"/>
    <n v="5567"/>
    <n v="4084"/>
    <n v="26748"/>
    <n v="25433"/>
    <n v="58866"/>
    <n v="1962.2"/>
    <n v="53178"/>
    <n v="1772.6"/>
    <n v="28079"/>
    <n v="27314"/>
    <n v="58866"/>
    <n v="53178"/>
    <m/>
    <m/>
    <m/>
    <m/>
    <m/>
    <m/>
    <m/>
    <m/>
    <n v="0"/>
    <n v="0"/>
    <n v="0"/>
    <n v="0"/>
    <m/>
    <m/>
    <n v="0"/>
    <n v="0"/>
  </r>
  <r>
    <x v="14"/>
    <s v="Piedmont Virginia Community College "/>
    <s v="Met the criteria for Two-Year 3 in 2016-17. "/>
    <n v="233116"/>
    <x v="7"/>
    <s v="sem"/>
    <m/>
    <m/>
    <m/>
    <n v="37878"/>
    <n v="37876"/>
    <n v="10353"/>
    <n v="10543"/>
    <n v="41071"/>
    <n v="41340"/>
    <n v="89302"/>
    <n v="2976.7333333333331"/>
    <n v="89759"/>
    <n v="2991.9666666666667"/>
    <n v="31786"/>
    <n v="35215"/>
    <n v="89302"/>
    <n v="89759"/>
    <m/>
    <m/>
    <m/>
    <m/>
    <m/>
    <m/>
    <m/>
    <m/>
    <n v="0"/>
    <n v="0"/>
    <n v="0"/>
    <n v="0"/>
    <m/>
    <m/>
    <n v="0"/>
    <n v="0"/>
  </r>
  <r>
    <x v="14"/>
    <s v="Southside Virginia Community College"/>
    <s v="Met the criteria for Two-Year 3 in 2016-17. "/>
    <n v="233639"/>
    <x v="7"/>
    <s v="sem"/>
    <m/>
    <m/>
    <m/>
    <n v="40879"/>
    <n v="35617"/>
    <n v="9566"/>
    <n v="8554"/>
    <n v="39757"/>
    <n v="34593"/>
    <n v="90202"/>
    <n v="3006.7333333333331"/>
    <n v="78764"/>
    <n v="2625.4666666666667"/>
    <n v="67449"/>
    <n v="63570"/>
    <n v="90202"/>
    <n v="78764"/>
    <m/>
    <m/>
    <m/>
    <m/>
    <m/>
    <m/>
    <m/>
    <m/>
    <n v="0"/>
    <n v="0"/>
    <n v="0"/>
    <n v="0"/>
    <m/>
    <m/>
    <n v="0"/>
    <n v="0"/>
  </r>
  <r>
    <x v="14"/>
    <s v="Virginia Western Community College "/>
    <m/>
    <n v="233949"/>
    <x v="7"/>
    <s v="sem"/>
    <m/>
    <m/>
    <m/>
    <n v="65732"/>
    <n v="59662"/>
    <n v="15306"/>
    <n v="14829"/>
    <n v="62563"/>
    <n v="62890"/>
    <n v="143601"/>
    <n v="4786.7"/>
    <n v="137381"/>
    <n v="4579.3666666666668"/>
    <n v="57799"/>
    <n v="56586"/>
    <n v="143601"/>
    <n v="137381"/>
    <m/>
    <m/>
    <m/>
    <m/>
    <m/>
    <m/>
    <m/>
    <m/>
    <n v="0"/>
    <n v="0"/>
    <n v="0"/>
    <n v="0"/>
    <m/>
    <m/>
    <n v="0"/>
    <n v="0"/>
  </r>
  <r>
    <x v="14"/>
    <s v="Wytheville Community College "/>
    <s v="Met the criteria for Two-Year 3 in 2015-16 and 2016-17. "/>
    <n v="234377"/>
    <x v="7"/>
    <s v="sem"/>
    <m/>
    <m/>
    <m/>
    <n v="24696"/>
    <n v="22648"/>
    <n v="6381"/>
    <n v="6226"/>
    <n v="24555"/>
    <n v="23257"/>
    <n v="55632"/>
    <n v="1854.4"/>
    <n v="52131"/>
    <n v="1737.7"/>
    <n v="27441"/>
    <n v="27694"/>
    <n v="55632"/>
    <n v="52131"/>
    <m/>
    <m/>
    <m/>
    <m/>
    <m/>
    <m/>
    <m/>
    <m/>
    <n v="0"/>
    <n v="0"/>
    <n v="0"/>
    <n v="0"/>
    <m/>
    <m/>
    <n v="0"/>
    <n v="0"/>
  </r>
  <r>
    <x v="14"/>
    <s v="D.S. Lancaster Community College "/>
    <m/>
    <n v="231873"/>
    <x v="8"/>
    <s v="sem"/>
    <m/>
    <m/>
    <m/>
    <n v="9947"/>
    <n v="9427"/>
    <n v="1449"/>
    <n v="1702"/>
    <n v="10286"/>
    <n v="11432"/>
    <n v="21682"/>
    <n v="722.73333333333335"/>
    <n v="22561"/>
    <n v="752.0333333333333"/>
    <n v="9335"/>
    <n v="10335"/>
    <n v="21682"/>
    <n v="22561"/>
    <m/>
    <m/>
    <m/>
    <m/>
    <m/>
    <m/>
    <m/>
    <m/>
    <n v="0"/>
    <n v="0"/>
    <n v="0"/>
    <n v="0"/>
    <m/>
    <m/>
    <n v="0"/>
    <n v="0"/>
  </r>
  <r>
    <x v="14"/>
    <s v="Eastern Shore Community College"/>
    <m/>
    <n v="232052"/>
    <x v="8"/>
    <s v="sem"/>
    <m/>
    <m/>
    <m/>
    <n v="6843"/>
    <n v="5633"/>
    <n v="893"/>
    <n v="821"/>
    <n v="6041"/>
    <n v="5531"/>
    <n v="13777"/>
    <n v="459.23333333333335"/>
    <n v="11985"/>
    <n v="399.5"/>
    <n v="5505"/>
    <n v="4941"/>
    <n v="13777"/>
    <n v="11985"/>
    <m/>
    <m/>
    <m/>
    <m/>
    <m/>
    <m/>
    <m/>
    <m/>
    <n v="0"/>
    <n v="0"/>
    <n v="0"/>
    <n v="0"/>
    <m/>
    <m/>
    <n v="0"/>
    <n v="0"/>
  </r>
  <r>
    <x v="14"/>
    <s v="Mountain Empire Community College"/>
    <m/>
    <n v="232788"/>
    <x v="8"/>
    <s v="sem"/>
    <m/>
    <m/>
    <m/>
    <n v="22336"/>
    <n v="22822"/>
    <n v="5391"/>
    <n v="5304"/>
    <n v="25394"/>
    <n v="24168"/>
    <n v="53121"/>
    <n v="1770.7"/>
    <n v="52294"/>
    <n v="1743.1333333333334"/>
    <n v="23769"/>
    <n v="25012"/>
    <n v="53121"/>
    <n v="52294"/>
    <m/>
    <m/>
    <m/>
    <m/>
    <m/>
    <m/>
    <m/>
    <m/>
    <n v="0"/>
    <n v="0"/>
    <n v="0"/>
    <n v="0"/>
    <m/>
    <m/>
    <n v="0"/>
    <n v="0"/>
  </r>
  <r>
    <x v="14"/>
    <s v="Paul D. Camp Community College"/>
    <m/>
    <n v="233037"/>
    <x v="8"/>
    <s v="sem"/>
    <m/>
    <m/>
    <m/>
    <n v="9679"/>
    <n v="10778"/>
    <n v="3586"/>
    <n v="3161"/>
    <n v="11021"/>
    <n v="11367"/>
    <n v="24286"/>
    <n v="809.5333333333333"/>
    <n v="25306"/>
    <n v="843.5333333333333"/>
    <n v="11633"/>
    <n v="16040"/>
    <n v="24286"/>
    <n v="25306"/>
    <m/>
    <m/>
    <m/>
    <m/>
    <m/>
    <m/>
    <m/>
    <m/>
    <n v="0"/>
    <n v="0"/>
    <n v="0"/>
    <n v="0"/>
    <m/>
    <m/>
    <n v="0"/>
    <n v="0"/>
  </r>
  <r>
    <x v="14"/>
    <s v="Rappahannock Community College"/>
    <m/>
    <n v="233310"/>
    <x v="8"/>
    <s v="sem"/>
    <m/>
    <m/>
    <m/>
    <n v="23232"/>
    <n v="23905"/>
    <n v="4973"/>
    <n v="5424"/>
    <n v="27753"/>
    <n v="27284"/>
    <n v="55958"/>
    <n v="1865.2666666666667"/>
    <n v="56613"/>
    <n v="1887.1"/>
    <n v="46129"/>
    <n v="49556"/>
    <n v="55958"/>
    <n v="56613"/>
    <m/>
    <m/>
    <m/>
    <m/>
    <m/>
    <m/>
    <m/>
    <m/>
    <n v="0"/>
    <n v="0"/>
    <n v="0"/>
    <n v="0"/>
    <m/>
    <m/>
    <n v="0"/>
    <n v="0"/>
  </r>
  <r>
    <x v="14"/>
    <s v="Richard Bland College "/>
    <m/>
    <n v="233338"/>
    <x v="8"/>
    <s v="sem"/>
    <m/>
    <m/>
    <m/>
    <n v="13926"/>
    <n v="17178"/>
    <n v="1145"/>
    <n v="869"/>
    <n v="19238"/>
    <n v="20912"/>
    <n v="34309"/>
    <n v="1143.6333333333334"/>
    <n v="38959"/>
    <n v="1298.6333333333334"/>
    <n v="13359"/>
    <n v="20729"/>
    <n v="34309"/>
    <n v="38959"/>
    <m/>
    <m/>
    <m/>
    <m/>
    <m/>
    <m/>
    <m/>
    <m/>
    <n v="0"/>
    <n v="0"/>
    <n v="0"/>
    <n v="0"/>
    <m/>
    <m/>
    <n v="0"/>
    <n v="0"/>
  </r>
  <r>
    <x v="14"/>
    <s v="Southwest Virginia Community College "/>
    <m/>
    <n v="233648"/>
    <x v="8"/>
    <s v="sem"/>
    <m/>
    <m/>
    <m/>
    <n v="22410"/>
    <n v="22437"/>
    <n v="7164"/>
    <n v="7483"/>
    <n v="24576"/>
    <n v="24060"/>
    <n v="54150"/>
    <n v="1805"/>
    <n v="53980"/>
    <n v="1799.3333333333333"/>
    <n v="14855"/>
    <n v="14729"/>
    <n v="54150"/>
    <n v="53980"/>
    <m/>
    <m/>
    <m/>
    <m/>
    <m/>
    <m/>
    <m/>
    <m/>
    <n v="0"/>
    <n v="0"/>
    <n v="0"/>
    <n v="0"/>
    <m/>
    <m/>
    <n v="0"/>
    <n v="0"/>
  </r>
  <r>
    <x v="14"/>
    <s v="Virginia Highlands Community College "/>
    <m/>
    <n v="233903"/>
    <x v="8"/>
    <s v="sem"/>
    <m/>
    <m/>
    <m/>
    <n v="20928"/>
    <n v="19728"/>
    <n v="4017"/>
    <n v="3396"/>
    <n v="21908"/>
    <n v="22381"/>
    <n v="46853"/>
    <n v="1561.7666666666667"/>
    <n v="45505"/>
    <n v="1516.8333333333333"/>
    <n v="17371"/>
    <n v="19069"/>
    <n v="46853"/>
    <n v="45505"/>
    <m/>
    <m/>
    <m/>
    <m/>
    <m/>
    <m/>
    <m/>
    <m/>
    <n v="0"/>
    <n v="0"/>
    <n v="0"/>
    <n v="0"/>
    <m/>
    <m/>
    <n v="0"/>
    <n v="0"/>
  </r>
  <r>
    <x v="14"/>
    <s v="All Community Colleges except R. Bland"/>
    <m/>
    <s v="All CC - Bland"/>
    <x v="12"/>
    <s v="sem"/>
    <m/>
    <m/>
    <m/>
    <n v="1460345.5"/>
    <n v="1406247"/>
    <n v="443495"/>
    <n v="434940.5"/>
    <n v="1519453"/>
    <n v="1474565"/>
    <n v="3423293.5"/>
    <n v="114109.78333333334"/>
    <n v="3315752.5"/>
    <n v="110525.08333333333"/>
    <n v="693481"/>
    <n v="757256"/>
    <n v="3423293.5"/>
    <n v="3315752.5"/>
    <m/>
    <m/>
    <m/>
    <m/>
    <m/>
    <m/>
    <m/>
    <m/>
    <n v="0"/>
    <n v="0"/>
    <n v="0"/>
    <n v="0"/>
    <m/>
    <m/>
    <n v="0"/>
    <n v="0"/>
  </r>
  <r>
    <x v="14"/>
    <m/>
    <s v="all 8's"/>
    <m/>
    <x v="14"/>
    <s v="sem"/>
    <m/>
    <m/>
    <m/>
    <n v="903875.5"/>
    <n v="858358"/>
    <n v="308489"/>
    <n v="298405.5"/>
    <n v="935232"/>
    <n v="885035"/>
    <n v="2147596.5"/>
    <n v="71586.55"/>
    <n v="2041798.5"/>
    <n v="68059.95"/>
    <n v="167141"/>
    <n v="207093"/>
    <n v="2147596.5"/>
    <n v="2041798.5"/>
    <m/>
    <m/>
    <m/>
    <m/>
    <m/>
    <m/>
    <m/>
    <m/>
    <n v="0"/>
    <n v="0"/>
    <n v="0"/>
    <n v="0"/>
    <m/>
    <m/>
    <n v="0"/>
    <n v="0"/>
  </r>
  <r>
    <x v="14"/>
    <m/>
    <s v="all 9's"/>
    <m/>
    <x v="15"/>
    <s v="sem"/>
    <m/>
    <m/>
    <m/>
    <n v="463431"/>
    <n v="411809"/>
    <n v="112924"/>
    <n v="103675"/>
    <n v="482636"/>
    <n v="440395"/>
    <n v="1058991"/>
    <n v="35299.699999999997"/>
    <n v="955879"/>
    <n v="31862.633333333335"/>
    <n v="421512"/>
    <n v="410049"/>
    <n v="1058991"/>
    <n v="955879"/>
    <m/>
    <m/>
    <m/>
    <m/>
    <m/>
    <m/>
    <m/>
    <m/>
    <n v="0"/>
    <n v="0"/>
    <n v="0"/>
    <n v="0"/>
    <m/>
    <m/>
    <n v="0"/>
    <n v="0"/>
  </r>
  <r>
    <x v="14"/>
    <s v="Richard Bland College B"/>
    <m/>
    <n v="233338"/>
    <x v="16"/>
    <s v="sem"/>
    <m/>
    <m/>
    <m/>
    <n v="13926"/>
    <n v="17178"/>
    <n v="1145"/>
    <n v="869"/>
    <n v="19238"/>
    <n v="20912"/>
    <n v="34309"/>
    <n v="1143.6333333333334"/>
    <n v="38959"/>
    <n v="1298.6333333333334"/>
    <n v="13359"/>
    <n v="20729"/>
    <n v="34309"/>
    <n v="38959"/>
    <m/>
    <m/>
    <m/>
    <m/>
    <m/>
    <m/>
    <m/>
    <m/>
    <n v="0"/>
    <n v="0"/>
    <n v="0"/>
    <n v="0"/>
    <m/>
    <m/>
    <n v="0"/>
    <n v="0"/>
  </r>
  <r>
    <x v="14"/>
    <m/>
    <s v="All'10's except R.B."/>
    <m/>
    <x v="16"/>
    <s v="sem"/>
    <m/>
    <m/>
    <m/>
    <n v="93039"/>
    <n v="114730"/>
    <n v="22082"/>
    <n v="27291"/>
    <n v="101585"/>
    <n v="126223"/>
    <n v="216706"/>
    <n v="7223.5333333333338"/>
    <n v="268244"/>
    <n v="8941.4666666666672"/>
    <n v="104828"/>
    <n v="139682"/>
    <n v="216706"/>
    <n v="268244"/>
    <m/>
    <m/>
    <m/>
    <m/>
    <m/>
    <m/>
    <m/>
    <m/>
    <n v="0"/>
    <n v="0"/>
    <n v="0"/>
    <n v="0"/>
    <m/>
    <m/>
    <n v="0"/>
    <n v="0"/>
  </r>
  <r>
    <x v="15"/>
    <s v="West Virginia University"/>
    <m/>
    <n v="238032"/>
    <x v="0"/>
    <s v="sem"/>
    <s v="sem"/>
    <m/>
    <m/>
    <n v="295191"/>
    <n v="291463"/>
    <n v="41586"/>
    <n v="41350"/>
    <n v="315348"/>
    <n v="312694"/>
    <n v="652125"/>
    <n v="21737.5"/>
    <n v="645507"/>
    <n v="21516.9"/>
    <n v="4737"/>
    <n v="6112"/>
    <n v="652125"/>
    <n v="645507"/>
    <m/>
    <m/>
    <m/>
    <m/>
    <m/>
    <m/>
    <m/>
    <m/>
    <n v="0"/>
    <n v="0"/>
    <n v="0"/>
    <n v="0"/>
    <m/>
    <m/>
    <n v="0"/>
    <n v="0"/>
  </r>
  <r>
    <x v="15"/>
    <s v="Marshall University "/>
    <m/>
    <n v="237525"/>
    <x v="2"/>
    <s v="sem"/>
    <s v="sem"/>
    <m/>
    <m/>
    <n v="117475"/>
    <n v="117073"/>
    <n v="13801"/>
    <n v="11988"/>
    <n v="130472"/>
    <n v="131018"/>
    <n v="261748"/>
    <n v="8724.9333333333325"/>
    <n v="260079"/>
    <n v="8669.2999999999993"/>
    <n v="5608"/>
    <n v="7934"/>
    <n v="261748"/>
    <n v="260079"/>
    <m/>
    <m/>
    <m/>
    <m/>
    <m/>
    <m/>
    <m/>
    <m/>
    <n v="0"/>
    <n v="0"/>
    <n v="0"/>
    <n v="0"/>
    <m/>
    <m/>
    <n v="0"/>
    <n v="0"/>
  </r>
  <r>
    <x v="15"/>
    <s v="Fairmont State University"/>
    <m/>
    <n v="237367"/>
    <x v="4"/>
    <s v="sem"/>
    <s v="sem"/>
    <m/>
    <m/>
    <n v="45683"/>
    <n v="47392"/>
    <n v="4549"/>
    <n v="4893"/>
    <n v="51351"/>
    <n v="51782"/>
    <n v="101583"/>
    <n v="3386.1"/>
    <n v="104067"/>
    <n v="3468.9"/>
    <n v="283"/>
    <n v="311"/>
    <n v="101583"/>
    <n v="104067"/>
    <m/>
    <m/>
    <m/>
    <m/>
    <m/>
    <m/>
    <m/>
    <m/>
    <n v="0"/>
    <n v="0"/>
    <n v="0"/>
    <n v="0"/>
    <m/>
    <m/>
    <n v="0"/>
    <n v="0"/>
  </r>
  <r>
    <x v="15"/>
    <s v="Shepherd University "/>
    <m/>
    <n v="237792"/>
    <x v="4"/>
    <s v="sem"/>
    <s v="sem"/>
    <m/>
    <m/>
    <n v="45057"/>
    <n v="42770"/>
    <n v="4045"/>
    <n v="4092"/>
    <n v="47486"/>
    <n v="44187"/>
    <n v="96588"/>
    <n v="3219.6"/>
    <n v="91049"/>
    <n v="3034.9666666666667"/>
    <n v="118"/>
    <n v="124"/>
    <n v="96588"/>
    <n v="91049"/>
    <m/>
    <m/>
    <m/>
    <m/>
    <m/>
    <m/>
    <m/>
    <m/>
    <n v="0"/>
    <n v="0"/>
    <n v="0"/>
    <n v="0"/>
    <m/>
    <m/>
    <n v="0"/>
    <n v="0"/>
  </r>
  <r>
    <x v="15"/>
    <s v="Bluefield State College "/>
    <m/>
    <n v="237215"/>
    <x v="5"/>
    <s v="sem"/>
    <s v="sem"/>
    <m/>
    <m/>
    <n v="18472"/>
    <n v="17879"/>
    <n v="1470"/>
    <n v="1456"/>
    <n v="19537"/>
    <n v="17904"/>
    <n v="39479"/>
    <n v="1315.9666666666667"/>
    <n v="37239"/>
    <n v="1241.3"/>
    <n v="302"/>
    <n v="197"/>
    <n v="39479"/>
    <n v="37239"/>
    <m/>
    <m/>
    <m/>
    <m/>
    <m/>
    <m/>
    <m/>
    <m/>
    <n v="0"/>
    <n v="0"/>
    <n v="0"/>
    <n v="0"/>
    <m/>
    <m/>
    <n v="0"/>
    <n v="0"/>
  </r>
  <r>
    <x v="15"/>
    <s v="Concord University "/>
    <s v="Reclassified: Met the criteria for Four-Year 5 in 2014-15, 2015-16, and 2016-17."/>
    <n v="237330"/>
    <x v="4"/>
    <s v="sem"/>
    <s v="sem"/>
    <m/>
    <m/>
    <n v="28993"/>
    <n v="28578"/>
    <n v="3035"/>
    <n v="2908"/>
    <n v="31002"/>
    <n v="29564"/>
    <n v="63030"/>
    <n v="2101"/>
    <n v="61050"/>
    <n v="2035"/>
    <n v="287"/>
    <n v="325"/>
    <n v="63030"/>
    <n v="61050"/>
    <m/>
    <m/>
    <m/>
    <m/>
    <m/>
    <m/>
    <m/>
    <m/>
    <n v="0"/>
    <n v="0"/>
    <n v="0"/>
    <n v="0"/>
    <m/>
    <m/>
    <n v="0"/>
    <n v="0"/>
  </r>
  <r>
    <x v="15"/>
    <s v="Glenville State College "/>
    <m/>
    <n v="237385"/>
    <x v="5"/>
    <s v="sem"/>
    <s v="sem"/>
    <m/>
    <m/>
    <n v="17240"/>
    <n v="16538.400000000001"/>
    <n v="1459"/>
    <n v="1303"/>
    <n v="18696.3"/>
    <n v="18674.099999999999"/>
    <n v="37395.300000000003"/>
    <n v="1246.51"/>
    <n v="36515.5"/>
    <n v="1217.1833333333334"/>
    <n v="2050"/>
    <n v="1778"/>
    <n v="37395.300000000003"/>
    <n v="36515.5"/>
    <m/>
    <m/>
    <m/>
    <m/>
    <m/>
    <m/>
    <m/>
    <m/>
    <n v="0"/>
    <n v="0"/>
    <n v="0"/>
    <n v="0"/>
    <m/>
    <m/>
    <n v="0"/>
    <n v="0"/>
  </r>
  <r>
    <x v="15"/>
    <s v="West Liberty University"/>
    <s v="Reclassified: Met the criteria for Four-Year 5 in 2014-15, 2015-16, and 2016-17."/>
    <n v="237932"/>
    <x v="4"/>
    <s v="sem"/>
    <s v="sem"/>
    <m/>
    <m/>
    <n v="32120"/>
    <n v="28573"/>
    <n v="2255"/>
    <n v="1648"/>
    <n v="31549"/>
    <n v="30800"/>
    <n v="65924"/>
    <n v="2197.4666666666667"/>
    <n v="61021"/>
    <n v="2034.0333333333333"/>
    <n v="1513"/>
    <n v="1301"/>
    <n v="65924"/>
    <n v="61021"/>
    <m/>
    <m/>
    <m/>
    <m/>
    <m/>
    <m/>
    <m/>
    <m/>
    <n v="0"/>
    <n v="0"/>
    <n v="0"/>
    <n v="0"/>
    <m/>
    <m/>
    <n v="0"/>
    <n v="0"/>
  </r>
  <r>
    <x v="15"/>
    <s v="West Virginia State University "/>
    <m/>
    <n v="237899"/>
    <x v="5"/>
    <s v="sem"/>
    <s v="sem"/>
    <m/>
    <m/>
    <n v="30505"/>
    <n v="29223"/>
    <n v="2865"/>
    <n v="2390"/>
    <n v="33966"/>
    <n v="34006"/>
    <n v="67336"/>
    <n v="2244.5333333333333"/>
    <n v="65619"/>
    <n v="2187.3000000000002"/>
    <n v="6015"/>
    <n v="8770"/>
    <n v="67336"/>
    <n v="65619"/>
    <m/>
    <m/>
    <m/>
    <m/>
    <m/>
    <m/>
    <m/>
    <m/>
    <n v="0"/>
    <n v="0"/>
    <n v="0"/>
    <n v="0"/>
    <m/>
    <m/>
    <n v="0"/>
    <n v="0"/>
  </r>
  <r>
    <x v="15"/>
    <s v="West Virginia University at Parkersburg"/>
    <m/>
    <n v="237686"/>
    <x v="5"/>
    <s v="sem"/>
    <s v="sem"/>
    <m/>
    <m/>
    <n v="27270"/>
    <n v="25374"/>
    <n v="5131"/>
    <n v="4676"/>
    <n v="28215"/>
    <n v="27645"/>
    <n v="60616"/>
    <n v="2020.5333333333333"/>
    <n v="57695"/>
    <n v="1923.1666666666667"/>
    <n v="3072"/>
    <n v="2611"/>
    <n v="60616"/>
    <n v="57695"/>
    <m/>
    <m/>
    <m/>
    <m/>
    <m/>
    <m/>
    <m/>
    <m/>
    <n v="0"/>
    <n v="0"/>
    <n v="0"/>
    <n v="0"/>
    <m/>
    <m/>
    <n v="0"/>
    <n v="0"/>
  </r>
  <r>
    <x v="15"/>
    <s v="West Virginia University Institute of Technology"/>
    <m/>
    <n v="237950"/>
    <x v="5"/>
    <s v="sem"/>
    <s v="sem"/>
    <m/>
    <m/>
    <n v="15332"/>
    <n v="15008"/>
    <n v="1015"/>
    <n v="1044"/>
    <n v="16470"/>
    <n v="16611"/>
    <n v="32817"/>
    <n v="1093.9000000000001"/>
    <n v="32663"/>
    <n v="1088.7666666666667"/>
    <n v="1152"/>
    <n v="1600"/>
    <n v="32817"/>
    <n v="32663"/>
    <m/>
    <m/>
    <m/>
    <m/>
    <m/>
    <m/>
    <m/>
    <m/>
    <n v="0"/>
    <n v="0"/>
    <n v="0"/>
    <n v="0"/>
    <m/>
    <m/>
    <n v="0"/>
    <n v="0"/>
  </r>
  <r>
    <x v="15"/>
    <s v="Potomac State College of West Virginia University"/>
    <m/>
    <n v="237701"/>
    <x v="11"/>
    <s v="sem"/>
    <s v="sem"/>
    <m/>
    <m/>
    <n v="17451"/>
    <n v="16237"/>
    <n v="1233"/>
    <n v="1015"/>
    <n v="18868"/>
    <n v="17550"/>
    <n v="37552"/>
    <n v="1251.7333333333333"/>
    <n v="34802"/>
    <n v="1160.0666666666666"/>
    <n v="2557"/>
    <n v="2524"/>
    <n v="37552"/>
    <n v="34802"/>
    <m/>
    <m/>
    <m/>
    <m/>
    <m/>
    <m/>
    <m/>
    <m/>
    <n v="0"/>
    <n v="0"/>
    <n v="0"/>
    <n v="0"/>
    <m/>
    <m/>
    <n v="0"/>
    <n v="0"/>
  </r>
  <r>
    <x v="15"/>
    <s v="New River Community &amp; Technical College"/>
    <s v="Reclassified: Met the criteria for Two-Year 3 in 2014-15 and 2015-16 and 2016-17."/>
    <n v="447582"/>
    <x v="8"/>
    <s v="sem"/>
    <s v="sem"/>
    <m/>
    <m/>
    <n v="21186"/>
    <n v="16690"/>
    <n v="2599"/>
    <n v="3311"/>
    <n v="18811"/>
    <n v="16967"/>
    <n v="42596"/>
    <n v="1419.8666666666666"/>
    <n v="36968"/>
    <n v="1232.2666666666667"/>
    <n v="984"/>
    <n v="1874"/>
    <n v="42596"/>
    <n v="36968"/>
    <m/>
    <m/>
    <m/>
    <m/>
    <m/>
    <m/>
    <m/>
    <m/>
    <n v="0"/>
    <n v="0"/>
    <n v="0"/>
    <n v="0"/>
    <m/>
    <m/>
    <n v="0"/>
    <n v="0"/>
  </r>
  <r>
    <x v="15"/>
    <s v="Pierpont Community &amp; Technical College"/>
    <s v="Reclassified: Met the criteria for Two-Year 3 in 2014-15 and 2015-16 and 2016-17."/>
    <n v="443492"/>
    <x v="8"/>
    <s v="sem"/>
    <s v="sem"/>
    <m/>
    <m/>
    <n v="20117"/>
    <n v="18506"/>
    <n v="1976"/>
    <n v="1954"/>
    <n v="22666"/>
    <n v="20581"/>
    <n v="44759"/>
    <n v="1491.9666666666667"/>
    <n v="41041"/>
    <n v="1368.0333333333333"/>
    <n v="4466"/>
    <n v="4014"/>
    <n v="44759"/>
    <n v="41041"/>
    <m/>
    <m/>
    <m/>
    <m/>
    <m/>
    <m/>
    <m/>
    <m/>
    <n v="0"/>
    <n v="0"/>
    <n v="0"/>
    <n v="0"/>
    <m/>
    <m/>
    <n v="0"/>
    <n v="0"/>
  </r>
  <r>
    <x v="15"/>
    <s v="Blue Ridge Community &amp; Technical College"/>
    <m/>
    <n v="446774"/>
    <x v="8"/>
    <s v="sem"/>
    <s v="sem"/>
    <m/>
    <m/>
    <n v="26991.8"/>
    <n v="26394.3"/>
    <n v="3066"/>
    <n v="3006"/>
    <n v="29979.8"/>
    <n v="29273"/>
    <n v="60037.599999999999"/>
    <n v="2001.2533333333333"/>
    <n v="58673.3"/>
    <n v="1955.7766666666669"/>
    <n v="1992.4"/>
    <n v="2429.1999999999998"/>
    <n v="60037.599999999999"/>
    <n v="58673.3"/>
    <m/>
    <m/>
    <m/>
    <m/>
    <m/>
    <m/>
    <m/>
    <m/>
    <n v="0"/>
    <n v="0"/>
    <n v="0"/>
    <n v="0"/>
    <m/>
    <m/>
    <n v="0"/>
    <n v="0"/>
  </r>
  <r>
    <x v="15"/>
    <s v="BridgeValley Community &amp; Technical College"/>
    <m/>
    <n v="484932"/>
    <x v="8"/>
    <s v="sem"/>
    <s v="sem"/>
    <m/>
    <m/>
    <n v="19190"/>
    <n v="18929"/>
    <n v="2160"/>
    <n v="2218"/>
    <n v="22118.5"/>
    <n v="20551"/>
    <n v="43468.5"/>
    <n v="1448.95"/>
    <n v="41698"/>
    <n v="1389.9333333333334"/>
    <n v="1506"/>
    <n v="1041"/>
    <n v="43468.5"/>
    <n v="41698"/>
    <m/>
    <m/>
    <m/>
    <m/>
    <m/>
    <m/>
    <m/>
    <m/>
    <n v="0"/>
    <n v="0"/>
    <n v="0"/>
    <n v="0"/>
    <m/>
    <m/>
    <n v="0"/>
    <n v="0"/>
  </r>
  <r>
    <x v="15"/>
    <s v="Eastern West Virginia Community &amp; Technical College"/>
    <m/>
    <n v="438708"/>
    <x v="8"/>
    <s v="sem"/>
    <s v="sem"/>
    <m/>
    <m/>
    <n v="5643"/>
    <n v="5168"/>
    <n v="1027"/>
    <n v="652"/>
    <n v="6934"/>
    <n v="5506"/>
    <n v="13604"/>
    <n v="453.46666666666664"/>
    <n v="11326"/>
    <n v="377.53333333333336"/>
    <n v="2063"/>
    <n v="2199"/>
    <n v="13604"/>
    <n v="11326"/>
    <m/>
    <m/>
    <m/>
    <m/>
    <m/>
    <m/>
    <m/>
    <m/>
    <n v="0"/>
    <n v="0"/>
    <n v="0"/>
    <n v="0"/>
    <m/>
    <m/>
    <n v="0"/>
    <n v="0"/>
  </r>
  <r>
    <x v="15"/>
    <s v="Mountwest Community &amp; Technical College"/>
    <m/>
    <n v="444954"/>
    <x v="8"/>
    <s v="sem"/>
    <s v="sem"/>
    <m/>
    <m/>
    <n v="19787"/>
    <n v="19971"/>
    <n v="3948"/>
    <n v="3488"/>
    <n v="21539"/>
    <n v="22184"/>
    <n v="45274"/>
    <n v="1509.1333333333334"/>
    <n v="45643"/>
    <n v="1521.4333333333334"/>
    <n v="1301"/>
    <n v="2019"/>
    <n v="45274"/>
    <n v="45643"/>
    <m/>
    <m/>
    <m/>
    <m/>
    <m/>
    <m/>
    <m/>
    <m/>
    <n v="0"/>
    <n v="0"/>
    <n v="0"/>
    <n v="0"/>
    <m/>
    <m/>
    <n v="0"/>
    <n v="0"/>
  </r>
  <r>
    <x v="15"/>
    <s v="Southern West Virginia Community &amp; Technical College "/>
    <m/>
    <n v="237817"/>
    <x v="8"/>
    <s v="sem"/>
    <s v="sem"/>
    <m/>
    <m/>
    <n v="17542"/>
    <n v="17642"/>
    <n v="1238"/>
    <n v="1289"/>
    <n v="18681"/>
    <n v="19457"/>
    <n v="37461"/>
    <n v="1248.7"/>
    <n v="38388"/>
    <n v="1279.5999999999999"/>
    <n v="1081"/>
    <n v="776"/>
    <n v="37461"/>
    <n v="38388"/>
    <m/>
    <m/>
    <m/>
    <m/>
    <m/>
    <m/>
    <m/>
    <m/>
    <n v="0"/>
    <n v="0"/>
    <n v="0"/>
    <n v="0"/>
    <m/>
    <m/>
    <n v="0"/>
    <n v="0"/>
  </r>
  <r>
    <x v="15"/>
    <s v="West Virginia Northern Community College"/>
    <m/>
    <n v="238014"/>
    <x v="8"/>
    <s v="sem"/>
    <s v="sem"/>
    <m/>
    <m/>
    <n v="16874.2"/>
    <n v="16133.8"/>
    <n v="4180"/>
    <n v="3937"/>
    <n v="18429.400000000001"/>
    <n v="17746.599999999999"/>
    <n v="39483.600000000006"/>
    <n v="1316.1200000000001"/>
    <n v="37817.399999999994"/>
    <n v="1260.5799999999997"/>
    <n v="3028"/>
    <n v="3431"/>
    <n v="39483.600000000006"/>
    <n v="37817.399999999994"/>
    <m/>
    <m/>
    <m/>
    <m/>
    <m/>
    <m/>
    <m/>
    <m/>
    <n v="0"/>
    <n v="0"/>
    <n v="0"/>
    <n v="0"/>
    <m/>
    <m/>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3" cacheId="0" dataOnRows="1" applyNumberFormats="0" applyBorderFormats="0" applyFontFormats="0" applyPatternFormats="0" applyAlignmentFormats="0" applyWidthHeightFormats="1" dataCaption="Values" updatedVersion="6" minRefreshableVersion="3" useAutoFormatting="1" itemPrintTitles="1" createdVersion="6" indent="0" outline="1" outlineData="1">
  <location ref="A2:AB208" firstHeaderRow="1" firstDataRow="3" firstDataCol="2"/>
  <pivotFields count="58">
    <pivotField axis="axisRow" outline="0" subtotalTop="0" showAll="0">
      <items count="17">
        <item x="0"/>
        <item x="1"/>
        <item x="2"/>
        <item x="3"/>
        <item x="4"/>
        <item x="5"/>
        <item x="6"/>
        <item x="7"/>
        <item x="8"/>
        <item x="9"/>
        <item x="10"/>
        <item x="11"/>
        <item x="12"/>
        <item x="13"/>
        <item x="14"/>
        <item x="15"/>
        <item t="default"/>
      </items>
    </pivotField>
    <pivotField subtotalTop="0" showAll="0"/>
    <pivotField subtotalTop="0" showAll="0"/>
    <pivotField subtotalTop="0" showAll="0"/>
    <pivotField axis="axisCol" outline="0" subtotalTop="0" showAll="0" includeNewItemsInFilter="1">
      <items count="18">
        <item x="0"/>
        <item x="1"/>
        <item x="2"/>
        <item x="3"/>
        <item x="4"/>
        <item x="5"/>
        <item x="11"/>
        <item x="6"/>
        <item x="7"/>
        <item x="8"/>
        <item x="12"/>
        <item x="9"/>
        <item x="10"/>
        <item x="13"/>
        <item x="14"/>
        <item x="15"/>
        <item x="16"/>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3" subtotalTop="0" showAll="0"/>
    <pivotField dataField="1" numFmtId="3" subtotalTop="0" showAll="0"/>
    <pivotField numFmtId="3" subtotalTop="0" showAll="0"/>
    <pivotField dataField="1" numFmtId="3" subtotalTop="0" showAll="0"/>
    <pivotField subtotalTop="0" showAll="0"/>
    <pivotField subtotalTop="0" showAll="0"/>
    <pivotField numFmtId="3" subtotalTop="0" showAll="0"/>
    <pivotField numFmtId="3"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3" subtotalTop="0" showAll="0"/>
    <pivotField dataField="1" numFmtId="3" subtotalTop="0" showAll="0"/>
    <pivotField subtotalTop="0" showAll="0"/>
    <pivotField dataField="1" subtotalTop="0" showAll="0"/>
    <pivotField subtotalTop="0" showAll="0"/>
    <pivotField subtotalTop="0" showAll="0"/>
    <pivotField numFmtId="3" subtotalTop="0" showAll="0"/>
    <pivotField numFmtId="3"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3" subtotalTop="0" showAll="0"/>
    <pivotField dataField="1" numFmtId="3" subtotalTop="0" showAll="0"/>
    <pivotField numFmtId="3" subtotalTop="0" showAll="0"/>
    <pivotField dataField="1" numFmtId="3" subtotalTop="0" showAll="0"/>
    <pivotField dataField="1" numFmtId="3" subtotalTop="0" showAll="0"/>
    <pivotField dataField="1" subtotalTop="0" showAll="0"/>
    <pivotField dataField="1" dragToRow="0" dragToCol="0" dragToPage="0" showAll="0" defaultSubtotal="0"/>
    <pivotField axis="axisCol" subtotalCaption="? Total" outline="0" showAll="0" includeNewItemsInFilter="1">
      <items count="9">
        <item n="Four-Year" x="5"/>
        <item n="Two-Year" x="6"/>
        <item x="0"/>
        <item n="Technical" x="7"/>
        <item x="1"/>
        <item x="2"/>
        <item x="3"/>
        <item x="4"/>
        <item t="default"/>
      </items>
    </pivotField>
    <pivotField dataField="1" dragToRow="0" dragToCol="0" dragToPage="0" showAll="0" defaultSubtotal="0"/>
    <pivotField dataField="1" dragToRow="0" dragToCol="0" dragToPage="0" showAll="0" defaultSubtotal="0"/>
    <pivotField dataField="1" dragToRow="0" dragToCol="0" dragToPage="0" showAll="0" defaultSubtotal="0"/>
  </pivotFields>
  <rowFields count="2">
    <field x="0"/>
    <field x="-2"/>
  </rowFields>
  <rowItems count="204">
    <i>
      <x/>
      <x/>
    </i>
    <i r="1" i="1">
      <x v="1"/>
    </i>
    <i r="1" i="2">
      <x v="2"/>
    </i>
    <i r="1" i="3">
      <x v="3"/>
    </i>
    <i r="1" i="4">
      <x v="4"/>
    </i>
    <i r="1" i="5">
      <x v="5"/>
    </i>
    <i r="1" i="6">
      <x v="6"/>
    </i>
    <i r="1" i="7">
      <x v="7"/>
    </i>
    <i r="1" i="8">
      <x v="8"/>
    </i>
    <i r="1" i="9">
      <x v="9"/>
    </i>
    <i r="1" i="10">
      <x v="10"/>
    </i>
    <i r="1" i="11">
      <x v="11"/>
    </i>
    <i>
      <x v="1"/>
      <x/>
    </i>
    <i r="1" i="1">
      <x v="1"/>
    </i>
    <i r="1" i="2">
      <x v="2"/>
    </i>
    <i r="1" i="3">
      <x v="3"/>
    </i>
    <i r="1" i="4">
      <x v="4"/>
    </i>
    <i r="1" i="5">
      <x v="5"/>
    </i>
    <i r="1" i="6">
      <x v="6"/>
    </i>
    <i r="1" i="7">
      <x v="7"/>
    </i>
    <i r="1" i="8">
      <x v="8"/>
    </i>
    <i r="1" i="9">
      <x v="9"/>
    </i>
    <i r="1" i="10">
      <x v="10"/>
    </i>
    <i r="1" i="11">
      <x v="11"/>
    </i>
    <i>
      <x v="2"/>
      <x/>
    </i>
    <i r="1" i="1">
      <x v="1"/>
    </i>
    <i r="1" i="2">
      <x v="2"/>
    </i>
    <i r="1" i="3">
      <x v="3"/>
    </i>
    <i r="1" i="4">
      <x v="4"/>
    </i>
    <i r="1" i="5">
      <x v="5"/>
    </i>
    <i r="1" i="6">
      <x v="6"/>
    </i>
    <i r="1" i="7">
      <x v="7"/>
    </i>
    <i r="1" i="8">
      <x v="8"/>
    </i>
    <i r="1" i="9">
      <x v="9"/>
    </i>
    <i r="1" i="10">
      <x v="10"/>
    </i>
    <i r="1" i="11">
      <x v="11"/>
    </i>
    <i>
      <x v="3"/>
      <x/>
    </i>
    <i r="1" i="1">
      <x v="1"/>
    </i>
    <i r="1" i="2">
      <x v="2"/>
    </i>
    <i r="1" i="3">
      <x v="3"/>
    </i>
    <i r="1" i="4">
      <x v="4"/>
    </i>
    <i r="1" i="5">
      <x v="5"/>
    </i>
    <i r="1" i="6">
      <x v="6"/>
    </i>
    <i r="1" i="7">
      <x v="7"/>
    </i>
    <i r="1" i="8">
      <x v="8"/>
    </i>
    <i r="1" i="9">
      <x v="9"/>
    </i>
    <i r="1" i="10">
      <x v="10"/>
    </i>
    <i r="1" i="11">
      <x v="11"/>
    </i>
    <i>
      <x v="4"/>
      <x/>
    </i>
    <i r="1" i="1">
      <x v="1"/>
    </i>
    <i r="1" i="2">
      <x v="2"/>
    </i>
    <i r="1" i="3">
      <x v="3"/>
    </i>
    <i r="1" i="4">
      <x v="4"/>
    </i>
    <i r="1" i="5">
      <x v="5"/>
    </i>
    <i r="1" i="6">
      <x v="6"/>
    </i>
    <i r="1" i="7">
      <x v="7"/>
    </i>
    <i r="1" i="8">
      <x v="8"/>
    </i>
    <i r="1" i="9">
      <x v="9"/>
    </i>
    <i r="1" i="10">
      <x v="10"/>
    </i>
    <i r="1" i="11">
      <x v="11"/>
    </i>
    <i>
      <x v="5"/>
      <x/>
    </i>
    <i r="1" i="1">
      <x v="1"/>
    </i>
    <i r="1" i="2">
      <x v="2"/>
    </i>
    <i r="1" i="3">
      <x v="3"/>
    </i>
    <i r="1" i="4">
      <x v="4"/>
    </i>
    <i r="1" i="5">
      <x v="5"/>
    </i>
    <i r="1" i="6">
      <x v="6"/>
    </i>
    <i r="1" i="7">
      <x v="7"/>
    </i>
    <i r="1" i="8">
      <x v="8"/>
    </i>
    <i r="1" i="9">
      <x v="9"/>
    </i>
    <i r="1" i="10">
      <x v="10"/>
    </i>
    <i r="1" i="11">
      <x v="11"/>
    </i>
    <i>
      <x v="6"/>
      <x/>
    </i>
    <i r="1" i="1">
      <x v="1"/>
    </i>
    <i r="1" i="2">
      <x v="2"/>
    </i>
    <i r="1" i="3">
      <x v="3"/>
    </i>
    <i r="1" i="4">
      <x v="4"/>
    </i>
    <i r="1" i="5">
      <x v="5"/>
    </i>
    <i r="1" i="6">
      <x v="6"/>
    </i>
    <i r="1" i="7">
      <x v="7"/>
    </i>
    <i r="1" i="8">
      <x v="8"/>
    </i>
    <i r="1" i="9">
      <x v="9"/>
    </i>
    <i r="1" i="10">
      <x v="10"/>
    </i>
    <i r="1" i="11">
      <x v="11"/>
    </i>
    <i>
      <x v="7"/>
      <x/>
    </i>
    <i r="1" i="1">
      <x v="1"/>
    </i>
    <i r="1" i="2">
      <x v="2"/>
    </i>
    <i r="1" i="3">
      <x v="3"/>
    </i>
    <i r="1" i="4">
      <x v="4"/>
    </i>
    <i r="1" i="5">
      <x v="5"/>
    </i>
    <i r="1" i="6">
      <x v="6"/>
    </i>
    <i r="1" i="7">
      <x v="7"/>
    </i>
    <i r="1" i="8">
      <x v="8"/>
    </i>
    <i r="1" i="9">
      <x v="9"/>
    </i>
    <i r="1" i="10">
      <x v="10"/>
    </i>
    <i r="1" i="11">
      <x v="11"/>
    </i>
    <i>
      <x v="8"/>
      <x/>
    </i>
    <i r="1" i="1">
      <x v="1"/>
    </i>
    <i r="1" i="2">
      <x v="2"/>
    </i>
    <i r="1" i="3">
      <x v="3"/>
    </i>
    <i r="1" i="4">
      <x v="4"/>
    </i>
    <i r="1" i="5">
      <x v="5"/>
    </i>
    <i r="1" i="6">
      <x v="6"/>
    </i>
    <i r="1" i="7">
      <x v="7"/>
    </i>
    <i r="1" i="8">
      <x v="8"/>
    </i>
    <i r="1" i="9">
      <x v="9"/>
    </i>
    <i r="1" i="10">
      <x v="10"/>
    </i>
    <i r="1" i="11">
      <x v="11"/>
    </i>
    <i>
      <x v="9"/>
      <x/>
    </i>
    <i r="1" i="1">
      <x v="1"/>
    </i>
    <i r="1" i="2">
      <x v="2"/>
    </i>
    <i r="1" i="3">
      <x v="3"/>
    </i>
    <i r="1" i="4">
      <x v="4"/>
    </i>
    <i r="1" i="5">
      <x v="5"/>
    </i>
    <i r="1" i="6">
      <x v="6"/>
    </i>
    <i r="1" i="7">
      <x v="7"/>
    </i>
    <i r="1" i="8">
      <x v="8"/>
    </i>
    <i r="1" i="9">
      <x v="9"/>
    </i>
    <i r="1" i="10">
      <x v="10"/>
    </i>
    <i r="1" i="11">
      <x v="11"/>
    </i>
    <i>
      <x v="10"/>
      <x/>
    </i>
    <i r="1" i="1">
      <x v="1"/>
    </i>
    <i r="1" i="2">
      <x v="2"/>
    </i>
    <i r="1" i="3">
      <x v="3"/>
    </i>
    <i r="1" i="4">
      <x v="4"/>
    </i>
    <i r="1" i="5">
      <x v="5"/>
    </i>
    <i r="1" i="6">
      <x v="6"/>
    </i>
    <i r="1" i="7">
      <x v="7"/>
    </i>
    <i r="1" i="8">
      <x v="8"/>
    </i>
    <i r="1" i="9">
      <x v="9"/>
    </i>
    <i r="1" i="10">
      <x v="10"/>
    </i>
    <i r="1" i="11">
      <x v="11"/>
    </i>
    <i>
      <x v="11"/>
      <x/>
    </i>
    <i r="1" i="1">
      <x v="1"/>
    </i>
    <i r="1" i="2">
      <x v="2"/>
    </i>
    <i r="1" i="3">
      <x v="3"/>
    </i>
    <i r="1" i="4">
      <x v="4"/>
    </i>
    <i r="1" i="5">
      <x v="5"/>
    </i>
    <i r="1" i="6">
      <x v="6"/>
    </i>
    <i r="1" i="7">
      <x v="7"/>
    </i>
    <i r="1" i="8">
      <x v="8"/>
    </i>
    <i r="1" i="9">
      <x v="9"/>
    </i>
    <i r="1" i="10">
      <x v="10"/>
    </i>
    <i r="1" i="11">
      <x v="11"/>
    </i>
    <i>
      <x v="12"/>
      <x/>
    </i>
    <i r="1" i="1">
      <x v="1"/>
    </i>
    <i r="1" i="2">
      <x v="2"/>
    </i>
    <i r="1" i="3">
      <x v="3"/>
    </i>
    <i r="1" i="4">
      <x v="4"/>
    </i>
    <i r="1" i="5">
      <x v="5"/>
    </i>
    <i r="1" i="6">
      <x v="6"/>
    </i>
    <i r="1" i="7">
      <x v="7"/>
    </i>
    <i r="1" i="8">
      <x v="8"/>
    </i>
    <i r="1" i="9">
      <x v="9"/>
    </i>
    <i r="1" i="10">
      <x v="10"/>
    </i>
    <i r="1" i="11">
      <x v="11"/>
    </i>
    <i>
      <x v="13"/>
      <x/>
    </i>
    <i r="1" i="1">
      <x v="1"/>
    </i>
    <i r="1" i="2">
      <x v="2"/>
    </i>
    <i r="1" i="3">
      <x v="3"/>
    </i>
    <i r="1" i="4">
      <x v="4"/>
    </i>
    <i r="1" i="5">
      <x v="5"/>
    </i>
    <i r="1" i="6">
      <x v="6"/>
    </i>
    <i r="1" i="7">
      <x v="7"/>
    </i>
    <i r="1" i="8">
      <x v="8"/>
    </i>
    <i r="1" i="9">
      <x v="9"/>
    </i>
    <i r="1" i="10">
      <x v="10"/>
    </i>
    <i r="1" i="11">
      <x v="11"/>
    </i>
    <i>
      <x v="14"/>
      <x/>
    </i>
    <i r="1" i="1">
      <x v="1"/>
    </i>
    <i r="1" i="2">
      <x v="2"/>
    </i>
    <i r="1" i="3">
      <x v="3"/>
    </i>
    <i r="1" i="4">
      <x v="4"/>
    </i>
    <i r="1" i="5">
      <x v="5"/>
    </i>
    <i r="1" i="6">
      <x v="6"/>
    </i>
    <i r="1" i="7">
      <x v="7"/>
    </i>
    <i r="1" i="8">
      <x v="8"/>
    </i>
    <i r="1" i="9">
      <x v="9"/>
    </i>
    <i r="1" i="10">
      <x v="10"/>
    </i>
    <i r="1" i="11">
      <x v="11"/>
    </i>
    <i>
      <x v="15"/>
      <x/>
    </i>
    <i r="1" i="1">
      <x v="1"/>
    </i>
    <i r="1" i="2">
      <x v="2"/>
    </i>
    <i r="1" i="3">
      <x v="3"/>
    </i>
    <i r="1" i="4">
      <x v="4"/>
    </i>
    <i r="1" i="5">
      <x v="5"/>
    </i>
    <i r="1" i="6">
      <x v="6"/>
    </i>
    <i r="1" i="7">
      <x v="7"/>
    </i>
    <i r="1" i="8">
      <x v="8"/>
    </i>
    <i r="1" i="9">
      <x v="9"/>
    </i>
    <i r="1" i="10">
      <x v="10"/>
    </i>
    <i r="1" i="11">
      <x v="11"/>
    </i>
    <i t="grand">
      <x/>
    </i>
    <i t="grand" i="1">
      <x/>
    </i>
    <i t="grand" i="2">
      <x/>
    </i>
    <i t="grand" i="3">
      <x/>
    </i>
    <i t="grand" i="4">
      <x/>
    </i>
    <i t="grand" i="5">
      <x/>
    </i>
    <i t="grand" i="6">
      <x/>
    </i>
    <i t="grand" i="7">
      <x/>
    </i>
    <i t="grand" i="8">
      <x/>
    </i>
    <i t="grand" i="9">
      <x/>
    </i>
    <i t="grand" i="10">
      <x/>
    </i>
    <i t="grand" i="11">
      <x/>
    </i>
  </rowItems>
  <colFields count="2">
    <field x="54"/>
    <field x="4"/>
  </colFields>
  <colItems count="26">
    <i>
      <x/>
      <x/>
    </i>
    <i r="1">
      <x v="1"/>
    </i>
    <i r="1">
      <x v="2"/>
    </i>
    <i r="1">
      <x v="3"/>
    </i>
    <i r="1">
      <x v="4"/>
    </i>
    <i r="1">
      <x v="5"/>
    </i>
    <i t="default">
      <x/>
    </i>
    <i>
      <x v="1"/>
      <x v="6"/>
    </i>
    <i r="1">
      <x v="7"/>
    </i>
    <i r="1">
      <x v="8"/>
    </i>
    <i r="1">
      <x v="9"/>
    </i>
    <i t="default">
      <x v="1"/>
    </i>
    <i>
      <x v="2"/>
      <x v="10"/>
    </i>
    <i t="default">
      <x v="2"/>
    </i>
    <i>
      <x v="3"/>
      <x v="11"/>
    </i>
    <i r="1">
      <x v="12"/>
    </i>
    <i t="default">
      <x v="3"/>
    </i>
    <i>
      <x v="4"/>
      <x v="13"/>
    </i>
    <i t="default">
      <x v="4"/>
    </i>
    <i>
      <x v="5"/>
      <x v="14"/>
    </i>
    <i t="default">
      <x v="5"/>
    </i>
    <i>
      <x v="6"/>
      <x v="15"/>
    </i>
    <i t="default">
      <x v="6"/>
    </i>
    <i>
      <x v="7"/>
      <x v="16"/>
    </i>
    <i t="default">
      <x v="7"/>
    </i>
    <i t="grand">
      <x/>
    </i>
  </colItems>
  <dataFields count="12">
    <dataField name="Sum of Old-Total Undg SCH FTE" fld="16" baseField="0" baseItem="0" numFmtId="3"/>
    <dataField name="Sum of New-Total Undg SCH FTE" fld="18" baseField="0" baseItem="0" numFmtId="3"/>
    <dataField name="Sum of % Change Undergrad SCH FTE" fld="57" baseField="0" baseItem="0" numFmtId="3"/>
    <dataField name="Sum of Old-Total Undg CH FTE" fld="32" baseField="0" baseItem="0" numFmtId="3"/>
    <dataField name="Sum of New-Total Undg CH FTE" fld="34" baseField="0" baseItem="0" numFmtId="3"/>
    <dataField name="Sum of % Change Undergrad CH FTE" fld="56" baseField="0" baseItem="0" numFmtId="3"/>
    <dataField name="Sum of Old-Total Grad FTE" fld="48" baseField="0" baseItem="0" numFmtId="3"/>
    <dataField name="Sum of New-Total Grad FTE" fld="50" baseField="0" baseItem="0" numFmtId="3"/>
    <dataField name="Sum of % Change Graduate FTE" fld="55" baseField="0" baseItem="0" numFmtId="3"/>
    <dataField name="Sum of Old Grand Total FTE" fld="51" baseField="0" baseItem="0" numFmtId="3"/>
    <dataField name="Sum of New Grand Total FTE" fld="52" baseField="0" baseItem="0" numFmtId="3"/>
    <dataField name="Sum of % Change Grand Total FTE" fld="53" baseField="0" baseItem="0" numFmtId="3"/>
  </dataFields>
  <formats count="14">
    <format dxfId="276">
      <pivotArea field="54" grandRow="1" outline="0" collapsedLevelsAreSubtotals="1" axis="axisCol" fieldPosition="0">
        <references count="3">
          <reference field="4294967294" count="1" selected="0">
            <x v="5"/>
          </reference>
          <reference field="4" count="1" selected="0">
            <x v="6"/>
          </reference>
          <reference field="54" count="1" selected="0">
            <x v="1"/>
          </reference>
        </references>
      </pivotArea>
    </format>
    <format dxfId="275">
      <pivotArea field="54" grandRow="1" outline="0" collapsedLevelsAreSubtotals="1" axis="axisCol" fieldPosition="0">
        <references count="3">
          <reference field="4294967294" count="1" selected="0">
            <x v="5"/>
          </reference>
          <reference field="4" count="1" selected="0">
            <x v="10"/>
          </reference>
          <reference field="54" count="1" selected="0">
            <x v="2"/>
          </reference>
        </references>
      </pivotArea>
    </format>
    <format dxfId="274">
      <pivotArea collapsedLevelsAreSubtotals="1" fieldPosition="0">
        <references count="4">
          <reference field="4294967294" count="1">
            <x v="5"/>
          </reference>
          <reference field="0" count="1" selected="0">
            <x v="13"/>
          </reference>
          <reference field="4" count="1" selected="0">
            <x v="6"/>
          </reference>
          <reference field="54" count="1" selected="0">
            <x v="1"/>
          </reference>
        </references>
      </pivotArea>
    </format>
    <format dxfId="273">
      <pivotArea collapsedLevelsAreSubtotals="1" fieldPosition="0">
        <references count="4">
          <reference field="4294967294" count="1">
            <x v="5"/>
          </reference>
          <reference field="0" count="1" selected="0">
            <x v="13"/>
          </reference>
          <reference field="4" count="1" selected="0">
            <x v="8"/>
          </reference>
          <reference field="54" count="1" selected="0">
            <x v="1"/>
          </reference>
        </references>
      </pivotArea>
    </format>
    <format dxfId="272">
      <pivotArea collapsedLevelsAreSubtotals="1" fieldPosition="0">
        <references count="4">
          <reference field="4294967294" count="1">
            <x v="8"/>
          </reference>
          <reference field="0" count="1" selected="0">
            <x v="9"/>
          </reference>
          <reference field="4" count="1" selected="0">
            <x v="3"/>
          </reference>
          <reference field="54" count="1" selected="0">
            <x v="0"/>
          </reference>
        </references>
      </pivotArea>
    </format>
    <format dxfId="271">
      <pivotArea collapsedLevelsAreSubtotals="1" fieldPosition="0">
        <references count="4">
          <reference field="4294967294" count="1">
            <x v="8"/>
          </reference>
          <reference field="0" count="1" selected="0">
            <x v="8"/>
          </reference>
          <reference field="4" count="1" selected="0">
            <x v="4"/>
          </reference>
          <reference field="54" count="1" selected="0">
            <x v="0"/>
          </reference>
        </references>
      </pivotArea>
    </format>
    <format dxfId="270">
      <pivotArea collapsedLevelsAreSubtotals="1" fieldPosition="0">
        <references count="4">
          <reference field="4294967294" count="1">
            <x v="8"/>
          </reference>
          <reference field="0" count="1" selected="0">
            <x v="6"/>
          </reference>
          <reference field="4" count="1" selected="0">
            <x v="4"/>
          </reference>
          <reference field="54" count="1" selected="0">
            <x v="0"/>
          </reference>
        </references>
      </pivotArea>
    </format>
    <format dxfId="269">
      <pivotArea collapsedLevelsAreSubtotals="1" fieldPosition="0">
        <references count="4">
          <reference field="4294967294" count="1">
            <x v="11"/>
          </reference>
          <reference field="0" count="1" selected="0">
            <x v="6"/>
          </reference>
          <reference field="4" count="1" selected="0">
            <x v="4"/>
          </reference>
          <reference field="54" count="1" selected="0">
            <x v="0"/>
          </reference>
        </references>
      </pivotArea>
    </format>
    <format dxfId="268">
      <pivotArea collapsedLevelsAreSubtotals="1" fieldPosition="0">
        <references count="4">
          <reference field="4294967294" count="1">
            <x v="8"/>
          </reference>
          <reference field="0" count="1" selected="0">
            <x v="6"/>
          </reference>
          <reference field="4" count="1" selected="0">
            <x v="3"/>
          </reference>
          <reference field="54" count="1" selected="0">
            <x v="0"/>
          </reference>
        </references>
      </pivotArea>
    </format>
    <format dxfId="267">
      <pivotArea collapsedLevelsAreSubtotals="1" fieldPosition="0">
        <references count="4">
          <reference field="4294967294" count="1">
            <x v="8"/>
          </reference>
          <reference field="0" count="1" selected="0">
            <x v="4"/>
          </reference>
          <reference field="4" count="1" selected="0">
            <x v="4"/>
          </reference>
          <reference field="54" count="1" selected="0">
            <x v="0"/>
          </reference>
        </references>
      </pivotArea>
    </format>
    <format dxfId="266">
      <pivotArea collapsedLevelsAreSubtotals="1" fieldPosition="0">
        <references count="4">
          <reference field="4294967294" count="1">
            <x v="8"/>
          </reference>
          <reference field="0" count="1" selected="0">
            <x v="2"/>
          </reference>
          <reference field="4" count="1" selected="0">
            <x v="2"/>
          </reference>
          <reference field="54" count="1" selected="0">
            <x v="0"/>
          </reference>
        </references>
      </pivotArea>
    </format>
    <format dxfId="265">
      <pivotArea collapsedLevelsAreSubtotals="1" fieldPosition="0">
        <references count="4">
          <reference field="4294967294" count="1">
            <x v="11"/>
          </reference>
          <reference field="0" count="1" selected="0">
            <x v="4"/>
          </reference>
          <reference field="4" count="1" selected="0">
            <x v="7"/>
          </reference>
          <reference field="54" count="1" selected="0">
            <x v="1"/>
          </reference>
        </references>
      </pivotArea>
    </format>
    <format dxfId="264">
      <pivotArea collapsedLevelsAreSubtotals="1" fieldPosition="0">
        <references count="4">
          <reference field="4294967294" count="1">
            <x v="11"/>
          </reference>
          <reference field="0" count="1" selected="0">
            <x v="5"/>
          </reference>
          <reference field="4" count="1" selected="0">
            <x v="7"/>
          </reference>
          <reference field="54" count="1" selected="0">
            <x v="1"/>
          </reference>
        </references>
      </pivotArea>
    </format>
    <format dxfId="263">
      <pivotArea collapsedLevelsAreSubtotals="1" fieldPosition="0">
        <references count="4">
          <reference field="4294967294" count="1">
            <x v="2"/>
          </reference>
          <reference field="0" count="1" selected="0">
            <x v="4"/>
          </reference>
          <reference field="4" count="1" selected="0">
            <x v="7"/>
          </reference>
          <reference field="54" count="1" selected="0">
            <x v="1"/>
          </reference>
        </references>
      </pivotArea>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3" cacheId="1" dataOnRows="1" applyNumberFormats="0" applyBorderFormats="0" applyFontFormats="0" applyPatternFormats="0" applyAlignmentFormats="0" applyWidthHeightFormats="1" dataCaption="Data" updatedVersion="6" minRefreshableVersion="3" asteriskTotals="1" showMemberPropertyTips="0" useAutoFormatting="1" colGrandTotals="0" itemPrintTitles="1" createdVersion="3" indent="0" compact="0" compactData="0" gridDropZones="1">
  <location ref="A3:AA124" firstHeaderRow="1" firstDataRow="3" firstDataCol="2"/>
  <pivotFields count="47">
    <pivotField axis="axisRow" compact="0" outline="0" subtotalTop="0" showAll="0" includeNewItemsInFilter="1" sortType="ascending">
      <items count="17">
        <item x="0"/>
        <item x="1"/>
        <item x="2"/>
        <item x="3"/>
        <item x="4"/>
        <item x="5"/>
        <item x="6"/>
        <item x="7"/>
        <item x="8"/>
        <item x="9"/>
        <item x="10"/>
        <item x="11"/>
        <item x="12"/>
        <item x="13"/>
        <item x="14"/>
        <item x="15"/>
        <item t="default"/>
      </items>
    </pivotField>
    <pivotField compact="0" outline="0" subtotalTop="0" showAll="0" includeNewItemsInFilter="1"/>
    <pivotField compact="0" outline="0" showAll="0" defaultSubtotal="0"/>
    <pivotField compact="0" outline="0" subtotalTop="0" showAll="0" includeNewItemsInFilter="1"/>
    <pivotField axis="axisCol" compact="0" outline="0" subtotalTop="0" showAll="0" includeNewItemsInFilter="1">
      <items count="20">
        <item x="0"/>
        <item x="1"/>
        <item x="2"/>
        <item x="3"/>
        <item x="4"/>
        <item x="5"/>
        <item x="11"/>
        <item x="6"/>
        <item x="7"/>
        <item x="8"/>
        <item x="12"/>
        <item x="9"/>
        <item x="10"/>
        <item m="1" x="17"/>
        <item m="1" x="18"/>
        <item x="13"/>
        <item x="14"/>
        <item x="15"/>
        <item x="16"/>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compact="0" numFmtId="3" outline="0" subtotalTop="0" showAll="0" includeNewItemsInFilter="1"/>
    <pivotField compact="0" numFmtId="3" outline="0" subtotalTop="0" showAll="0" includeNewItemsInFilter="1"/>
    <pivotField compact="0" numFmtId="3" outline="0" subtotalTop="0" showAll="0" includeNewItemsInFilter="1"/>
    <pivotField compact="0" outline="0" subtotalTop="0" showAll="0" includeNewItemsInFilter="1"/>
    <pivotField compact="0" outline="0" subtotalTop="0" showAll="0" includeNewItemsInFilter="1"/>
    <pivotField compact="0" numFmtId="3" outline="0" showAll="0" defaultSubtotal="0"/>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compact="0" numFmtId="3" outline="0" subtotalTop="0" showAll="0" includeNewItemsInFilter="1"/>
    <pivotField compact="0" numFmtId="3" outline="0" subtotalTop="0" showAll="0" includeNewItemsInFilter="1"/>
    <pivotField compact="0" numFmtId="3" outline="0" subtotalTop="0" showAll="0" includeNewItemsInFilter="1"/>
    <pivotField compact="0" outline="0" subtotalTop="0" showAll="0" includeNewItemsInFilter="1"/>
    <pivotField compact="0" outline="0" subtotalTop="0" showAll="0" includeNewItemsInFilter="1"/>
    <pivotField compact="0" numFmtId="3" outline="0" showAll="0" defaultSubtotal="0"/>
    <pivotField compact="0" numFmtId="3" outline="0" showAll="0"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axis="axisCol" compact="0" outline="0" subtotalTop="0" showAll="0" includeNewItemsInFilter="1">
      <items count="10">
        <item n="Four-Year" x="2"/>
        <item n="Two-Year" x="3"/>
        <item x="1"/>
        <item n="Technical" x="4"/>
        <item x="0"/>
        <item x="5"/>
        <item x="6"/>
        <item x="7"/>
        <item x="8"/>
        <item t="default"/>
      </items>
    </pivotField>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dragToRow="0" dragToCol="0" dragToPage="0" showAll="0" defaultSubtotal="0"/>
  </pivotFields>
  <rowFields count="2">
    <field x="0"/>
    <field x="-2"/>
  </rowFields>
  <rowItems count="119">
    <i>
      <x/>
      <x/>
    </i>
    <i r="1" i="1">
      <x v="1"/>
    </i>
    <i r="1" i="2">
      <x v="2"/>
    </i>
    <i r="1" i="3">
      <x v="3"/>
    </i>
    <i r="1" i="4">
      <x v="4"/>
    </i>
    <i r="1" i="5">
      <x v="5"/>
    </i>
    <i r="1" i="6">
      <x v="6"/>
    </i>
    <i>
      <x v="1"/>
      <x/>
    </i>
    <i r="1" i="1">
      <x v="1"/>
    </i>
    <i r="1" i="2">
      <x v="2"/>
    </i>
    <i r="1" i="3">
      <x v="3"/>
    </i>
    <i r="1" i="4">
      <x v="4"/>
    </i>
    <i r="1" i="5">
      <x v="5"/>
    </i>
    <i r="1" i="6">
      <x v="6"/>
    </i>
    <i>
      <x v="2"/>
      <x/>
    </i>
    <i r="1" i="1">
      <x v="1"/>
    </i>
    <i r="1" i="2">
      <x v="2"/>
    </i>
    <i r="1" i="3">
      <x v="3"/>
    </i>
    <i r="1" i="4">
      <x v="4"/>
    </i>
    <i r="1" i="5">
      <x v="5"/>
    </i>
    <i r="1" i="6">
      <x v="6"/>
    </i>
    <i>
      <x v="3"/>
      <x/>
    </i>
    <i r="1" i="1">
      <x v="1"/>
    </i>
    <i r="1" i="2">
      <x v="2"/>
    </i>
    <i r="1" i="3">
      <x v="3"/>
    </i>
    <i r="1" i="4">
      <x v="4"/>
    </i>
    <i r="1" i="5">
      <x v="5"/>
    </i>
    <i r="1" i="6">
      <x v="6"/>
    </i>
    <i>
      <x v="4"/>
      <x/>
    </i>
    <i r="1" i="1">
      <x v="1"/>
    </i>
    <i r="1" i="2">
      <x v="2"/>
    </i>
    <i r="1" i="3">
      <x v="3"/>
    </i>
    <i r="1" i="4">
      <x v="4"/>
    </i>
    <i r="1" i="5">
      <x v="5"/>
    </i>
    <i r="1" i="6">
      <x v="6"/>
    </i>
    <i>
      <x v="5"/>
      <x/>
    </i>
    <i r="1" i="1">
      <x v="1"/>
    </i>
    <i r="1" i="2">
      <x v="2"/>
    </i>
    <i r="1" i="3">
      <x v="3"/>
    </i>
    <i r="1" i="4">
      <x v="4"/>
    </i>
    <i r="1" i="5">
      <x v="5"/>
    </i>
    <i r="1" i="6">
      <x v="6"/>
    </i>
    <i>
      <x v="6"/>
      <x/>
    </i>
    <i r="1" i="1">
      <x v="1"/>
    </i>
    <i r="1" i="2">
      <x v="2"/>
    </i>
    <i r="1" i="3">
      <x v="3"/>
    </i>
    <i r="1" i="4">
      <x v="4"/>
    </i>
    <i r="1" i="5">
      <x v="5"/>
    </i>
    <i r="1" i="6">
      <x v="6"/>
    </i>
    <i>
      <x v="7"/>
      <x/>
    </i>
    <i r="1" i="1">
      <x v="1"/>
    </i>
    <i r="1" i="2">
      <x v="2"/>
    </i>
    <i r="1" i="3">
      <x v="3"/>
    </i>
    <i r="1" i="4">
      <x v="4"/>
    </i>
    <i r="1" i="5">
      <x v="5"/>
    </i>
    <i r="1" i="6">
      <x v="6"/>
    </i>
    <i>
      <x v="8"/>
      <x/>
    </i>
    <i r="1" i="1">
      <x v="1"/>
    </i>
    <i r="1" i="2">
      <x v="2"/>
    </i>
    <i r="1" i="3">
      <x v="3"/>
    </i>
    <i r="1" i="4">
      <x v="4"/>
    </i>
    <i r="1" i="5">
      <x v="5"/>
    </i>
    <i r="1" i="6">
      <x v="6"/>
    </i>
    <i>
      <x v="9"/>
      <x/>
    </i>
    <i r="1" i="1">
      <x v="1"/>
    </i>
    <i r="1" i="2">
      <x v="2"/>
    </i>
    <i r="1" i="3">
      <x v="3"/>
    </i>
    <i r="1" i="4">
      <x v="4"/>
    </i>
    <i r="1" i="5">
      <x v="5"/>
    </i>
    <i r="1" i="6">
      <x v="6"/>
    </i>
    <i>
      <x v="10"/>
      <x/>
    </i>
    <i r="1" i="1">
      <x v="1"/>
    </i>
    <i r="1" i="2">
      <x v="2"/>
    </i>
    <i r="1" i="3">
      <x v="3"/>
    </i>
    <i r="1" i="4">
      <x v="4"/>
    </i>
    <i r="1" i="5">
      <x v="5"/>
    </i>
    <i r="1" i="6">
      <x v="6"/>
    </i>
    <i>
      <x v="11"/>
      <x/>
    </i>
    <i r="1" i="1">
      <x v="1"/>
    </i>
    <i r="1" i="2">
      <x v="2"/>
    </i>
    <i r="1" i="3">
      <x v="3"/>
    </i>
    <i r="1" i="4">
      <x v="4"/>
    </i>
    <i r="1" i="5">
      <x v="5"/>
    </i>
    <i r="1" i="6">
      <x v="6"/>
    </i>
    <i>
      <x v="12"/>
      <x/>
    </i>
    <i r="1" i="1">
      <x v="1"/>
    </i>
    <i r="1" i="2">
      <x v="2"/>
    </i>
    <i r="1" i="3">
      <x v="3"/>
    </i>
    <i r="1" i="4">
      <x v="4"/>
    </i>
    <i r="1" i="5">
      <x v="5"/>
    </i>
    <i r="1" i="6">
      <x v="6"/>
    </i>
    <i>
      <x v="13"/>
      <x/>
    </i>
    <i r="1" i="1">
      <x v="1"/>
    </i>
    <i r="1" i="2">
      <x v="2"/>
    </i>
    <i r="1" i="3">
      <x v="3"/>
    </i>
    <i r="1" i="4">
      <x v="4"/>
    </i>
    <i r="1" i="5">
      <x v="5"/>
    </i>
    <i r="1" i="6">
      <x v="6"/>
    </i>
    <i>
      <x v="14"/>
      <x/>
    </i>
    <i r="1" i="1">
      <x v="1"/>
    </i>
    <i r="1" i="2">
      <x v="2"/>
    </i>
    <i r="1" i="3">
      <x v="3"/>
    </i>
    <i r="1" i="4">
      <x v="4"/>
    </i>
    <i r="1" i="5">
      <x v="5"/>
    </i>
    <i r="1" i="6">
      <x v="6"/>
    </i>
    <i>
      <x v="15"/>
      <x/>
    </i>
    <i r="1" i="1">
      <x v="1"/>
    </i>
    <i r="1" i="2">
      <x v="2"/>
    </i>
    <i r="1" i="3">
      <x v="3"/>
    </i>
    <i r="1" i="4">
      <x v="4"/>
    </i>
    <i r="1" i="5">
      <x v="5"/>
    </i>
    <i r="1" i="6">
      <x v="6"/>
    </i>
    <i t="grand">
      <x/>
    </i>
    <i t="grand" i="1">
      <x/>
    </i>
    <i t="grand" i="2">
      <x/>
    </i>
    <i t="grand" i="3">
      <x/>
    </i>
    <i t="grand" i="4">
      <x/>
    </i>
    <i t="grand" i="5">
      <x/>
    </i>
    <i t="grand" i="6">
      <x/>
    </i>
  </rowItems>
  <colFields count="2">
    <field x="43"/>
    <field x="4"/>
  </colFields>
  <colItems count="25">
    <i>
      <x/>
      <x/>
    </i>
    <i r="1">
      <x v="1"/>
    </i>
    <i r="1">
      <x v="2"/>
    </i>
    <i r="1">
      <x v="3"/>
    </i>
    <i r="1">
      <x v="4"/>
    </i>
    <i r="1">
      <x v="5"/>
    </i>
    <i t="default">
      <x/>
    </i>
    <i>
      <x v="1"/>
      <x v="6"/>
    </i>
    <i r="1">
      <x v="7"/>
    </i>
    <i r="1">
      <x v="8"/>
    </i>
    <i r="1">
      <x v="9"/>
    </i>
    <i t="default">
      <x v="1"/>
    </i>
    <i>
      <x v="2"/>
      <x v="10"/>
    </i>
    <i t="default">
      <x v="2"/>
    </i>
    <i>
      <x v="3"/>
      <x v="11"/>
    </i>
    <i r="1">
      <x v="12"/>
    </i>
    <i t="default">
      <x v="3"/>
    </i>
    <i>
      <x v="5"/>
      <x v="15"/>
    </i>
    <i t="default">
      <x v="5"/>
    </i>
    <i>
      <x v="6"/>
      <x v="16"/>
    </i>
    <i t="default">
      <x v="6"/>
    </i>
    <i>
      <x v="7"/>
      <x v="17"/>
    </i>
    <i t="default">
      <x v="7"/>
    </i>
    <i>
      <x v="8"/>
      <x v="18"/>
    </i>
    <i t="default">
      <x v="8"/>
    </i>
  </colItems>
  <dataFields count="7">
    <dataField name="Sum of Old-Total UGH" fld="44" baseField="0" baseItem="0" numFmtId="3"/>
    <dataField name="Sum of Old-Total HSH" fld="45" baseField="0" baseItem="0" numFmtId="3"/>
    <dataField name="Sum of Old-HS % of Total" fld="42" baseField="0" baseItem="0" numFmtId="3"/>
    <dataField name="Sum of New-Total UGH" fld="40" baseField="0" baseItem="0" numFmtId="3"/>
    <dataField name="Sum of New-Total HSH" fld="39" baseField="0" baseItem="0" numFmtId="3"/>
    <dataField name="Sum of New-HS % of Total" fld="41" baseField="0" baseItem="0" numFmtId="3"/>
    <dataField name=" HS Percentage-point Change" fld="46" baseField="0" baseItem="0" numFmtId="3"/>
  </dataFields>
  <formats count="259">
    <format dxfId="262">
      <pivotArea dataOnly="0" labelOnly="1" outline="0" fieldPosition="0">
        <references count="1">
          <reference field="0" count="1">
            <x v="4"/>
          </reference>
        </references>
      </pivotArea>
    </format>
    <format dxfId="261">
      <pivotArea type="all" dataOnly="0" outline="0" fieldPosition="0"/>
    </format>
    <format dxfId="260">
      <pivotArea dataOnly="0" labelOnly="1" outline="0" fieldPosition="0">
        <references count="2">
          <reference field="4294967294" count="1">
            <x v="0"/>
          </reference>
          <reference field="0" count="1" selected="0">
            <x v="4"/>
          </reference>
        </references>
      </pivotArea>
    </format>
    <format dxfId="259">
      <pivotArea dataOnly="0" labelOnly="1" outline="0" fieldPosition="0">
        <references count="2">
          <reference field="4294967294" count="1">
            <x v="2"/>
          </reference>
          <reference field="0" count="1" selected="0">
            <x v="4"/>
          </reference>
        </references>
      </pivotArea>
    </format>
    <format dxfId="258">
      <pivotArea dataOnly="0" labelOnly="1" outline="0" fieldPosition="0">
        <references count="2">
          <reference field="4294967294" count="1">
            <x v="5"/>
          </reference>
          <reference field="0" count="1" selected="0">
            <x v="4"/>
          </reference>
        </references>
      </pivotArea>
    </format>
    <format dxfId="257">
      <pivotArea field="0" grandRow="1" outline="0" collapsedLevelsAreSubtotals="1" axis="axisRow" fieldPosition="0">
        <references count="1">
          <reference field="4294967294" count="1" selected="0">
            <x v="2"/>
          </reference>
        </references>
      </pivotArea>
    </format>
    <format dxfId="256">
      <pivotArea field="0" grandRow="1" outline="0" collapsedLevelsAreSubtotals="1" axis="axisRow" fieldPosition="0">
        <references count="1">
          <reference field="4294967294" count="1" selected="0">
            <x v="2"/>
          </reference>
        </references>
      </pivotArea>
    </format>
    <format dxfId="255">
      <pivotArea field="43" grandRow="1" outline="0" collapsedLevelsAreSubtotals="1" axis="axisCol" fieldPosition="0">
        <references count="3">
          <reference field="4294967294" count="1" selected="0">
            <x v="5"/>
          </reference>
          <reference field="4" count="1" selected="0">
            <x v="3"/>
          </reference>
          <reference field="43" count="1" selected="0">
            <x v="0"/>
          </reference>
        </references>
      </pivotArea>
    </format>
    <format dxfId="254">
      <pivotArea outline="0" collapsedLevelsAreSubtotals="1" fieldPosition="0">
        <references count="4">
          <reference field="4294967294" count="1" selected="0">
            <x v="2"/>
          </reference>
          <reference field="0" count="1" selected="0">
            <x v="4"/>
          </reference>
          <reference field="4" count="1" selected="0">
            <x v="3"/>
          </reference>
          <reference field="43" count="1" selected="0">
            <x v="0"/>
          </reference>
        </references>
      </pivotArea>
    </format>
    <format dxfId="253">
      <pivotArea field="0" dataOnly="0" labelOnly="1" grandRow="1" outline="0" axis="axisRow" fieldPosition="0">
        <references count="1">
          <reference field="4294967294" count="1" selected="0">
            <x v="0"/>
          </reference>
        </references>
      </pivotArea>
    </format>
    <format dxfId="252">
      <pivotArea field="0" dataOnly="0" labelOnly="1" grandRow="1" outline="0" axis="axisRow" fieldPosition="0">
        <references count="1">
          <reference field="4294967294" count="1" selected="0">
            <x v="1"/>
          </reference>
        </references>
      </pivotArea>
    </format>
    <format dxfId="251">
      <pivotArea field="0" dataOnly="0" labelOnly="1" grandRow="1" outline="0" axis="axisRow" fieldPosition="0">
        <references count="1">
          <reference field="4294967294" count="1" selected="0">
            <x v="2"/>
          </reference>
        </references>
      </pivotArea>
    </format>
    <format dxfId="250">
      <pivotArea field="0" dataOnly="0" labelOnly="1" grandRow="1" outline="0" axis="axisRow" fieldPosition="0">
        <references count="1">
          <reference field="4294967294" count="1" selected="0">
            <x v="3"/>
          </reference>
        </references>
      </pivotArea>
    </format>
    <format dxfId="249">
      <pivotArea field="0" dataOnly="0" labelOnly="1" grandRow="1" outline="0" axis="axisRow" fieldPosition="0">
        <references count="1">
          <reference field="4294967294" count="1" selected="0">
            <x v="4"/>
          </reference>
        </references>
      </pivotArea>
    </format>
    <format dxfId="248">
      <pivotArea field="0" dataOnly="0" labelOnly="1" grandRow="1" outline="0" axis="axisRow" fieldPosition="0">
        <references count="1">
          <reference field="4294967294" count="1" selected="0">
            <x v="5"/>
          </reference>
        </references>
      </pivotArea>
    </format>
    <format dxfId="247">
      <pivotArea field="0" dataOnly="0" labelOnly="1" grandRow="1" outline="0" axis="axisRow" fieldPosition="0">
        <references count="1">
          <reference field="4294967294" count="1" selected="0">
            <x v="6"/>
          </reference>
        </references>
      </pivotArea>
    </format>
    <format dxfId="246">
      <pivotArea field="43" grandRow="1" outline="0" collapsedLevelsAreSubtotals="1" axis="axisCol" fieldPosition="0">
        <references count="3">
          <reference field="4294967294" count="1" selected="0">
            <x v="6"/>
          </reference>
          <reference field="4" count="1" selected="0">
            <x v="0"/>
          </reference>
          <reference field="43" count="1" selected="0">
            <x v="0"/>
          </reference>
        </references>
      </pivotArea>
    </format>
    <format dxfId="245">
      <pivotArea field="43" grandRow="1" outline="0" collapsedLevelsAreSubtotals="1" axis="axisCol" fieldPosition="0">
        <references count="3">
          <reference field="4294967294" count="1" selected="0">
            <x v="6"/>
          </reference>
          <reference field="4" count="5" selected="0">
            <x v="1"/>
            <x v="2"/>
            <x v="3"/>
            <x v="4"/>
            <x v="5"/>
          </reference>
          <reference field="43" count="1" selected="0">
            <x v="0"/>
          </reference>
        </references>
      </pivotArea>
    </format>
    <format dxfId="244">
      <pivotArea field="43" grandRow="1" outline="0" collapsedLevelsAreSubtotals="1" axis="axisCol" fieldPosition="0">
        <references count="2">
          <reference field="4294967294" count="1" selected="0">
            <x v="6"/>
          </reference>
          <reference field="43" count="1" selected="0" defaultSubtotal="1">
            <x v="0"/>
          </reference>
        </references>
      </pivotArea>
    </format>
    <format dxfId="243">
      <pivotArea field="43" grandRow="1" outline="0" collapsedLevelsAreSubtotals="1" axis="axisCol" fieldPosition="0">
        <references count="2">
          <reference field="4294967294" count="1" selected="0">
            <x v="6"/>
          </reference>
          <reference field="43" count="3" selected="0" defaultSubtotal="1">
            <x v="1"/>
            <x v="3"/>
            <x v="4"/>
          </reference>
        </references>
      </pivotArea>
    </format>
    <format dxfId="242">
      <pivotArea field="0" dataOnly="0" labelOnly="1" grandRow="1" outline="0" axis="axisRow" fieldPosition="0">
        <references count="1">
          <reference field="4294967294" count="1" selected="0">
            <x v="0"/>
          </reference>
        </references>
      </pivotArea>
    </format>
    <format dxfId="241">
      <pivotArea field="0" dataOnly="0" labelOnly="1" grandRow="1" outline="0" axis="axisRow" fieldPosition="0">
        <references count="1">
          <reference field="4294967294" count="1" selected="0">
            <x v="1"/>
          </reference>
        </references>
      </pivotArea>
    </format>
    <format dxfId="240">
      <pivotArea field="0" dataOnly="0" labelOnly="1" grandRow="1" outline="0" axis="axisRow" fieldPosition="0">
        <references count="1">
          <reference field="4294967294" count="1" selected="0">
            <x v="2"/>
          </reference>
        </references>
      </pivotArea>
    </format>
    <format dxfId="239">
      <pivotArea field="0" dataOnly="0" labelOnly="1" grandRow="1" outline="0" axis="axisRow" fieldPosition="0">
        <references count="1">
          <reference field="4294967294" count="1" selected="0">
            <x v="3"/>
          </reference>
        </references>
      </pivotArea>
    </format>
    <format dxfId="238">
      <pivotArea field="0" dataOnly="0" labelOnly="1" grandRow="1" outline="0" axis="axisRow" fieldPosition="0">
        <references count="1">
          <reference field="4294967294" count="1" selected="0">
            <x v="4"/>
          </reference>
        </references>
      </pivotArea>
    </format>
    <format dxfId="237">
      <pivotArea field="0" dataOnly="0" labelOnly="1" grandRow="1" outline="0" axis="axisRow" fieldPosition="0">
        <references count="1">
          <reference field="4294967294" count="1" selected="0">
            <x v="5"/>
          </reference>
        </references>
      </pivotArea>
    </format>
    <format dxfId="236">
      <pivotArea field="0" dataOnly="0" labelOnly="1" grandRow="1" outline="0" axis="axisRow" fieldPosition="0">
        <references count="1">
          <reference field="4294967294" count="1" selected="0">
            <x v="6"/>
          </reference>
        </references>
      </pivotArea>
    </format>
    <format dxfId="235">
      <pivotArea field="43" grandRow="1" outline="0" collapsedLevelsAreSubtotals="1" axis="axisCol" fieldPosition="0">
        <references count="3">
          <reference field="4294967294" count="1" selected="0">
            <x v="6"/>
          </reference>
          <reference field="4" count="2" selected="0">
            <x v="12"/>
            <x v="13"/>
          </reference>
          <reference field="43" count="1" selected="0">
            <x v="3"/>
          </reference>
        </references>
      </pivotArea>
    </format>
    <format dxfId="234">
      <pivotArea field="43" grandRow="1" outline="0" collapsedLevelsAreSubtotals="1" axis="axisCol" fieldPosition="0">
        <references count="2">
          <reference field="4294967294" count="1" selected="0">
            <x v="6"/>
          </reference>
          <reference field="43" count="1" selected="0" defaultSubtotal="1">
            <x v="3"/>
          </reference>
        </references>
      </pivotArea>
    </format>
    <format dxfId="233">
      <pivotArea field="43" grandRow="1" outline="0" collapsedLevelsAreSubtotals="1" axis="axisCol" fieldPosition="0">
        <references count="2">
          <reference field="4294967294" count="1" selected="0">
            <x v="6"/>
          </reference>
          <reference field="43" count="1" selected="0" defaultSubtotal="1">
            <x v="4"/>
          </reference>
        </references>
      </pivotArea>
    </format>
    <format dxfId="232">
      <pivotArea field="43" grandRow="1" outline="0" collapsedLevelsAreSubtotals="1" axis="axisCol" fieldPosition="0">
        <references count="2">
          <reference field="4294967294" count="1" selected="0">
            <x v="6"/>
          </reference>
          <reference field="43" count="2" selected="0" defaultSubtotal="1">
            <x v="0"/>
            <x v="1"/>
          </reference>
        </references>
      </pivotArea>
    </format>
    <format dxfId="231">
      <pivotArea field="43" grandRow="1" outline="0" collapsedLevelsAreSubtotals="1" axis="axisCol" fieldPosition="0">
        <references count="3">
          <reference field="4294967294" count="1" selected="0">
            <x v="6"/>
          </reference>
          <reference field="4" count="1" selected="0">
            <x v="11"/>
          </reference>
          <reference field="43" count="1" selected="0">
            <x v="3"/>
          </reference>
        </references>
      </pivotArea>
    </format>
    <format dxfId="230">
      <pivotArea outline="0" collapsedLevelsAreSubtotals="1" fieldPosition="0">
        <references count="1">
          <reference field="43" count="3" selected="0" defaultSubtotal="1">
            <x v="0"/>
            <x v="1"/>
            <x v="3"/>
          </reference>
        </references>
      </pivotArea>
    </format>
    <format dxfId="229">
      <pivotArea field="0" grandRow="1" outline="0" collapsedLevelsAreSubtotals="1" axis="axisRow" fieldPosition="0">
        <references count="1">
          <reference field="4294967294" count="1" selected="0">
            <x v="6"/>
          </reference>
        </references>
      </pivotArea>
    </format>
    <format dxfId="228">
      <pivotArea field="0" dataOnly="0" labelOnly="1" grandRow="1" outline="0" offset="IV256" axis="axisRow" fieldPosition="0">
        <references count="1">
          <reference field="4294967294" count="1" selected="0">
            <x v="0"/>
          </reference>
        </references>
      </pivotArea>
    </format>
    <format dxfId="227">
      <pivotArea field="0" dataOnly="0" labelOnly="1" grandRow="1" outline="0" offset="IV256" axis="axisRow" fieldPosition="0">
        <references count="1">
          <reference field="4294967294" count="1" selected="0">
            <x v="1"/>
          </reference>
        </references>
      </pivotArea>
    </format>
    <format dxfId="226">
      <pivotArea field="0" dataOnly="0" labelOnly="1" grandRow="1" outline="0" offset="IV256" axis="axisRow" fieldPosition="0">
        <references count="1">
          <reference field="4294967294" count="1" selected="0">
            <x v="2"/>
          </reference>
        </references>
      </pivotArea>
    </format>
    <format dxfId="225">
      <pivotArea field="0" dataOnly="0" labelOnly="1" grandRow="1" outline="0" offset="IV256" axis="axisRow" fieldPosition="0">
        <references count="1">
          <reference field="4294967294" count="1" selected="0">
            <x v="3"/>
          </reference>
        </references>
      </pivotArea>
    </format>
    <format dxfId="224">
      <pivotArea field="0" dataOnly="0" labelOnly="1" grandRow="1" outline="0" offset="IV256" axis="axisRow" fieldPosition="0">
        <references count="1">
          <reference field="4294967294" count="1" selected="0">
            <x v="4"/>
          </reference>
        </references>
      </pivotArea>
    </format>
    <format dxfId="223">
      <pivotArea field="0" dataOnly="0" labelOnly="1" grandRow="1" outline="0" offset="IV256" axis="axisRow" fieldPosition="0">
        <references count="1">
          <reference field="4294967294" count="1" selected="0">
            <x v="5"/>
          </reference>
        </references>
      </pivotArea>
    </format>
    <format dxfId="222">
      <pivotArea field="0" dataOnly="0" labelOnly="1" grandRow="1" outline="0" offset="IV256" axis="axisRow" fieldPosition="0">
        <references count="1">
          <reference field="4294967294" count="1" selected="0">
            <x v="6"/>
          </reference>
        </references>
      </pivotArea>
    </format>
    <format dxfId="221">
      <pivotArea outline="0" collapsedLevelsAreSubtotals="1" fieldPosition="0">
        <references count="3">
          <reference field="4294967294" count="1" selected="0">
            <x v="2"/>
          </reference>
          <reference field="0" count="1" selected="0">
            <x v="4"/>
          </reference>
          <reference field="43" count="3" selected="0" defaultSubtotal="1">
            <x v="0"/>
            <x v="1"/>
            <x v="2"/>
          </reference>
        </references>
      </pivotArea>
    </format>
    <format dxfId="220">
      <pivotArea outline="0" collapsedLevelsAreSubtotals="1" fieldPosition="0">
        <references count="4">
          <reference field="4294967294" count="1" selected="0">
            <x v="2"/>
          </reference>
          <reference field="0" count="1" selected="0">
            <x v="4"/>
          </reference>
          <reference field="4" count="1" selected="0">
            <x v="11"/>
          </reference>
          <reference field="43" count="1" selected="0">
            <x v="3"/>
          </reference>
        </references>
      </pivotArea>
    </format>
    <format dxfId="219">
      <pivotArea outline="0" collapsedLevelsAreSubtotals="1" fieldPosition="0">
        <references count="3">
          <reference field="4294967294" count="2" selected="0">
            <x v="5"/>
            <x v="6"/>
          </reference>
          <reference field="0" count="1" selected="0">
            <x v="4"/>
          </reference>
          <reference field="43" count="3" selected="0" defaultSubtotal="1">
            <x v="0"/>
            <x v="1"/>
            <x v="2"/>
          </reference>
        </references>
      </pivotArea>
    </format>
    <format dxfId="218">
      <pivotArea outline="0" collapsedLevelsAreSubtotals="1" fieldPosition="0">
        <references count="4">
          <reference field="4294967294" count="2" selected="0">
            <x v="5"/>
            <x v="6"/>
          </reference>
          <reference field="0" count="1" selected="0">
            <x v="4"/>
          </reference>
          <reference field="4" count="1" selected="0">
            <x v="11"/>
          </reference>
          <reference field="43" count="1" selected="0">
            <x v="3"/>
          </reference>
        </references>
      </pivotArea>
    </format>
    <format dxfId="217">
      <pivotArea outline="0" collapsedLevelsAreSubtotals="1" fieldPosition="0">
        <references count="2">
          <reference field="4" count="1" selected="0">
            <x v="12"/>
          </reference>
          <reference field="43" count="1" selected="0">
            <x v="3"/>
          </reference>
        </references>
      </pivotArea>
    </format>
    <format dxfId="216">
      <pivotArea outline="0" collapsedLevelsAreSubtotals="1" fieldPosition="0">
        <references count="1">
          <reference field="43" count="1" selected="0" defaultSubtotal="1">
            <x v="3"/>
          </reference>
        </references>
      </pivotArea>
    </format>
    <format dxfId="215">
      <pivotArea outline="0" collapsedLevelsAreSubtotals="1" fieldPosition="0">
        <references count="4">
          <reference field="4294967294" count="1" selected="0">
            <x v="6"/>
          </reference>
          <reference field="0" count="1" selected="0">
            <x v="0"/>
          </reference>
          <reference field="4" count="1" selected="0">
            <x v="12"/>
          </reference>
          <reference field="43" count="1" selected="0">
            <x v="3"/>
          </reference>
        </references>
      </pivotArea>
    </format>
    <format dxfId="214">
      <pivotArea outline="0" collapsedLevelsAreSubtotals="1" fieldPosition="0">
        <references count="4">
          <reference field="4294967294" count="1" selected="0">
            <x v="6"/>
          </reference>
          <reference field="0" count="1" selected="0">
            <x v="4"/>
          </reference>
          <reference field="4" count="2" selected="0">
            <x v="6"/>
            <x v="7"/>
          </reference>
          <reference field="43" count="1" selected="0">
            <x v="1"/>
          </reference>
        </references>
      </pivotArea>
    </format>
    <format dxfId="213">
      <pivotArea outline="0" collapsedLevelsAreSubtotals="1" fieldPosition="0">
        <references count="4">
          <reference field="4294967294" count="1" selected="0">
            <x v="6"/>
          </reference>
          <reference field="0" count="1" selected="0">
            <x v="5"/>
          </reference>
          <reference field="4" count="2" selected="0">
            <x v="8"/>
            <x v="9"/>
          </reference>
          <reference field="43" count="1" selected="0">
            <x v="1"/>
          </reference>
        </references>
      </pivotArea>
    </format>
    <format dxfId="212">
      <pivotArea outline="0" collapsedLevelsAreSubtotals="1" fieldPosition="0">
        <references count="4">
          <reference field="4294967294" count="1" selected="0">
            <x v="6"/>
          </reference>
          <reference field="0" count="1" selected="0">
            <x v="10"/>
          </reference>
          <reference field="4" count="1" selected="0">
            <x v="8"/>
          </reference>
          <reference field="43" count="1" selected="0">
            <x v="1"/>
          </reference>
        </references>
      </pivotArea>
    </format>
    <format dxfId="211">
      <pivotArea outline="0" collapsedLevelsAreSubtotals="1" fieldPosition="0">
        <references count="4">
          <reference field="4294967294" count="1" selected="0">
            <x v="6"/>
          </reference>
          <reference field="0" count="1" selected="0">
            <x v="13"/>
          </reference>
          <reference field="4" count="1" selected="0">
            <x v="10"/>
          </reference>
          <reference field="43" count="1" selected="0">
            <x v="2"/>
          </reference>
        </references>
      </pivotArea>
    </format>
    <format dxfId="210">
      <pivotArea outline="0" collapsedLevelsAreSubtotals="1" fieldPosition="0">
        <references count="4">
          <reference field="4294967294" count="1" selected="0">
            <x v="6"/>
          </reference>
          <reference field="0" count="1" selected="0">
            <x v="14"/>
          </reference>
          <reference field="4" count="1" selected="0">
            <x v="10"/>
          </reference>
          <reference field="43" count="1" selected="0">
            <x v="2"/>
          </reference>
        </references>
      </pivotArea>
    </format>
    <format dxfId="209">
      <pivotArea field="0" dataOnly="0" labelOnly="1" grandRow="1" outline="0" offset="A256" axis="axisRow" fieldPosition="0">
        <references count="1">
          <reference field="4294967294" count="1" selected="0">
            <x v="0"/>
          </reference>
        </references>
      </pivotArea>
    </format>
    <format dxfId="208">
      <pivotArea field="0" dataOnly="0" labelOnly="1" grandRow="1" outline="0" offset="A256" axis="axisRow" fieldPosition="0">
        <references count="1">
          <reference field="4294967294" count="1" selected="0">
            <x v="1"/>
          </reference>
        </references>
      </pivotArea>
    </format>
    <format dxfId="207">
      <pivotArea field="0" dataOnly="0" labelOnly="1" grandRow="1" outline="0" offset="A256" axis="axisRow" fieldPosition="0">
        <references count="1">
          <reference field="4294967294" count="1" selected="0">
            <x v="2"/>
          </reference>
        </references>
      </pivotArea>
    </format>
    <format dxfId="206">
      <pivotArea field="0" dataOnly="0" labelOnly="1" grandRow="1" outline="0" offset="A256" axis="axisRow" fieldPosition="0">
        <references count="1">
          <reference field="4294967294" count="1" selected="0">
            <x v="3"/>
          </reference>
        </references>
      </pivotArea>
    </format>
    <format dxfId="205">
      <pivotArea field="0" dataOnly="0" labelOnly="1" grandRow="1" outline="0" offset="A256" axis="axisRow" fieldPosition="0">
        <references count="1">
          <reference field="4294967294" count="1" selected="0">
            <x v="4"/>
          </reference>
        </references>
      </pivotArea>
    </format>
    <format dxfId="204">
      <pivotArea field="0" dataOnly="0" labelOnly="1" grandRow="1" outline="0" offset="A256" axis="axisRow" fieldPosition="0">
        <references count="1">
          <reference field="4294967294" count="1" selected="0">
            <x v="5"/>
          </reference>
        </references>
      </pivotArea>
    </format>
    <format dxfId="203">
      <pivotArea field="0" dataOnly="0" labelOnly="1" grandRow="1" outline="0" offset="A256" axis="axisRow" fieldPosition="0">
        <references count="1">
          <reference field="4294967294" count="1" selected="0">
            <x v="6"/>
          </reference>
        </references>
      </pivotArea>
    </format>
    <format dxfId="202">
      <pivotArea field="43" grandRow="1" outline="0" collapsedLevelsAreSubtotals="1" axis="axisCol" fieldPosition="0">
        <references count="2">
          <reference field="4294967294" count="7" selected="0">
            <x v="0"/>
            <x v="1"/>
            <x v="2"/>
            <x v="3"/>
            <x v="4"/>
            <x v="5"/>
            <x v="6"/>
          </reference>
          <reference field="43" count="4" selected="0" defaultSubtotal="1">
            <x v="0"/>
            <x v="1"/>
            <x v="2"/>
            <x v="3"/>
          </reference>
        </references>
      </pivotArea>
    </format>
    <format dxfId="201">
      <pivotArea field="0" dataOnly="0" labelOnly="1" grandRow="1" outline="0" axis="axisRow" fieldPosition="0">
        <references count="1">
          <reference field="4294967294" count="1" selected="0">
            <x v="0"/>
          </reference>
        </references>
      </pivotArea>
    </format>
    <format dxfId="200">
      <pivotArea field="0" dataOnly="0" labelOnly="1" grandRow="1" outline="0" axis="axisRow" fieldPosition="0">
        <references count="1">
          <reference field="4294967294" count="1" selected="0">
            <x v="1"/>
          </reference>
        </references>
      </pivotArea>
    </format>
    <format dxfId="199">
      <pivotArea field="0" dataOnly="0" labelOnly="1" grandRow="1" outline="0" axis="axisRow" fieldPosition="0">
        <references count="1">
          <reference field="4294967294" count="1" selected="0">
            <x v="2"/>
          </reference>
        </references>
      </pivotArea>
    </format>
    <format dxfId="198">
      <pivotArea field="0" dataOnly="0" labelOnly="1" grandRow="1" outline="0" axis="axisRow" fieldPosition="0">
        <references count="1">
          <reference field="4294967294" count="1" selected="0">
            <x v="3"/>
          </reference>
        </references>
      </pivotArea>
    </format>
    <format dxfId="197">
      <pivotArea field="0" dataOnly="0" labelOnly="1" grandRow="1" outline="0" axis="axisRow" fieldPosition="0">
        <references count="1">
          <reference field="4294967294" count="1" selected="0">
            <x v="4"/>
          </reference>
        </references>
      </pivotArea>
    </format>
    <format dxfId="196">
      <pivotArea field="0" dataOnly="0" labelOnly="1" grandRow="1" outline="0" axis="axisRow" fieldPosition="0">
        <references count="1">
          <reference field="4294967294" count="1" selected="0">
            <x v="5"/>
          </reference>
        </references>
      </pivotArea>
    </format>
    <format dxfId="195">
      <pivotArea field="0" dataOnly="0" labelOnly="1" grandRow="1" outline="0" axis="axisRow" fieldPosition="0">
        <references count="1">
          <reference field="4294967294" count="1" selected="0">
            <x v="6"/>
          </reference>
        </references>
      </pivotArea>
    </format>
    <format dxfId="194">
      <pivotArea outline="0" collapsedLevelsAreSubtotals="1" fieldPosition="0">
        <references count="3">
          <reference field="4294967294" count="7" selected="0">
            <x v="0"/>
            <x v="1"/>
            <x v="2"/>
            <x v="3"/>
            <x v="4"/>
            <x v="5"/>
            <x v="6"/>
          </reference>
          <reference field="0" count="1" selected="0">
            <x v="12"/>
          </reference>
          <reference field="43" count="4" selected="0" defaultSubtotal="1">
            <x v="5"/>
            <x v="6"/>
            <x v="7"/>
            <x v="8"/>
          </reference>
        </references>
      </pivotArea>
    </format>
    <format dxfId="193">
      <pivotArea outline="0" collapsedLevelsAreSubtotals="1" fieldPosition="0">
        <references count="4">
          <reference field="4294967294" count="1" selected="0">
            <x v="6"/>
          </reference>
          <reference field="0" count="1" selected="0">
            <x v="6"/>
          </reference>
          <reference field="4" count="4" selected="0">
            <x v="2"/>
            <x v="3"/>
            <x v="4"/>
            <x v="5"/>
          </reference>
          <reference field="43" count="1" selected="0">
            <x v="0"/>
          </reference>
        </references>
      </pivotArea>
    </format>
    <format dxfId="192">
      <pivotArea outline="0" collapsedLevelsAreSubtotals="1" fieldPosition="0">
        <references count="4">
          <reference field="4294967294" count="1" selected="0">
            <x v="6"/>
          </reference>
          <reference field="0" count="1" selected="0">
            <x v="6"/>
          </reference>
          <reference field="4" count="1" selected="0">
            <x v="11"/>
          </reference>
          <reference field="43" count="1" selected="0">
            <x v="3"/>
          </reference>
        </references>
      </pivotArea>
    </format>
    <format dxfId="191">
      <pivotArea outline="0" collapsedLevelsAreSubtotals="1" fieldPosition="0">
        <references count="4">
          <reference field="4294967294" count="1" selected="0">
            <x v="5"/>
          </reference>
          <reference field="0" count="1" selected="0">
            <x v="1"/>
          </reference>
          <reference field="4" count="1" selected="0">
            <x v="0"/>
          </reference>
          <reference field="43" count="1" selected="0">
            <x v="0"/>
          </reference>
        </references>
      </pivotArea>
    </format>
    <format dxfId="190">
      <pivotArea outline="0" collapsedLevelsAreSubtotals="1" fieldPosition="0">
        <references count="4">
          <reference field="4294967294" count="1" selected="0">
            <x v="5"/>
          </reference>
          <reference field="0" count="1" selected="0">
            <x v="9"/>
          </reference>
          <reference field="4" count="1" selected="0">
            <x v="0"/>
          </reference>
          <reference field="43" count="1" selected="0">
            <x v="0"/>
          </reference>
        </references>
      </pivotArea>
    </format>
    <format dxfId="189">
      <pivotArea outline="0" collapsedLevelsAreSubtotals="1" fieldPosition="0">
        <references count="4">
          <reference field="4294967294" count="1" selected="0">
            <x v="5"/>
          </reference>
          <reference field="0" count="1" selected="0">
            <x v="13"/>
          </reference>
          <reference field="4" count="1" selected="0">
            <x v="0"/>
          </reference>
          <reference field="43" count="1" selected="0">
            <x v="0"/>
          </reference>
        </references>
      </pivotArea>
    </format>
    <format dxfId="188">
      <pivotArea outline="0" collapsedLevelsAreSubtotals="1" fieldPosition="0">
        <references count="4">
          <reference field="4294967294" count="1" selected="0">
            <x v="5"/>
          </reference>
          <reference field="0" count="1" selected="0">
            <x v="14"/>
          </reference>
          <reference field="4" count="1" selected="0">
            <x v="3"/>
          </reference>
          <reference field="43" count="1" selected="0">
            <x v="0"/>
          </reference>
        </references>
      </pivotArea>
    </format>
    <format dxfId="187">
      <pivotArea outline="0" collapsedLevelsAreSubtotals="1" fieldPosition="0">
        <references count="4">
          <reference field="4294967294" count="1" selected="0">
            <x v="5"/>
          </reference>
          <reference field="0" count="1" selected="0">
            <x v="14"/>
          </reference>
          <reference field="4" count="1" selected="0">
            <x v="4"/>
          </reference>
          <reference field="43" count="1" selected="0">
            <x v="0"/>
          </reference>
        </references>
      </pivotArea>
    </format>
    <format dxfId="186">
      <pivotArea outline="0" collapsedLevelsAreSubtotals="1" fieldPosition="0">
        <references count="4">
          <reference field="4294967294" count="1" selected="0">
            <x v="5"/>
          </reference>
          <reference field="0" count="1" selected="0">
            <x v="14"/>
          </reference>
          <reference field="4" count="1" selected="0">
            <x v="5"/>
          </reference>
          <reference field="43" count="1" selected="0">
            <x v="0"/>
          </reference>
        </references>
      </pivotArea>
    </format>
    <format dxfId="185">
      <pivotArea outline="0" collapsedLevelsAreSubtotals="1" fieldPosition="0">
        <references count="4">
          <reference field="4294967294" count="1" selected="0">
            <x v="5"/>
          </reference>
          <reference field="0" count="1" selected="0">
            <x v="15"/>
          </reference>
          <reference field="4" count="1" selected="0">
            <x v="4"/>
          </reference>
          <reference field="43" count="1" selected="0">
            <x v="0"/>
          </reference>
        </references>
      </pivotArea>
    </format>
    <format dxfId="184">
      <pivotArea outline="0" collapsedLevelsAreSubtotals="1" fieldPosition="0">
        <references count="4">
          <reference field="4294967294" count="1" selected="0">
            <x v="2"/>
          </reference>
          <reference field="0" count="1" selected="0">
            <x v="15"/>
          </reference>
          <reference field="4" count="1" selected="0">
            <x v="4"/>
          </reference>
          <reference field="43" count="1" selected="0">
            <x v="0"/>
          </reference>
        </references>
      </pivotArea>
    </format>
    <format dxfId="183">
      <pivotArea outline="0" collapsedLevelsAreSubtotals="1" fieldPosition="0">
        <references count="3">
          <reference field="4294967294" count="7" selected="0">
            <x v="0"/>
            <x v="1"/>
            <x v="2"/>
            <x v="3"/>
            <x v="4"/>
            <x v="5"/>
            <x v="6"/>
          </reference>
          <reference field="0" count="0" selected="0"/>
          <reference field="43" count="4" selected="0" defaultSubtotal="1">
            <x v="0"/>
            <x v="1"/>
            <x v="2"/>
            <x v="3"/>
          </reference>
        </references>
      </pivotArea>
    </format>
    <format dxfId="182">
      <pivotArea field="43" type="button" dataOnly="0" labelOnly="1" outline="0" axis="axisCol" fieldPosition="0"/>
    </format>
    <format dxfId="181">
      <pivotArea field="4" type="button" dataOnly="0" labelOnly="1" outline="0" axis="axisCol" fieldPosition="1"/>
    </format>
    <format dxfId="180">
      <pivotArea type="topRight" dataOnly="0" labelOnly="1" outline="0" fieldPosition="0"/>
    </format>
    <format dxfId="179">
      <pivotArea dataOnly="0" labelOnly="1" outline="0" fieldPosition="0">
        <references count="1">
          <reference field="43" count="4">
            <x v="0"/>
            <x v="1"/>
            <x v="2"/>
            <x v="3"/>
          </reference>
        </references>
      </pivotArea>
    </format>
    <format dxfId="178">
      <pivotArea dataOnly="0" labelOnly="1" outline="0" fieldPosition="0">
        <references count="1">
          <reference field="43" count="4" defaultSubtotal="1">
            <x v="0"/>
            <x v="1"/>
            <x v="2"/>
            <x v="3"/>
          </reference>
        </references>
      </pivotArea>
    </format>
    <format dxfId="177">
      <pivotArea dataOnly="0" labelOnly="1" outline="0" fieldPosition="0">
        <references count="2">
          <reference field="4" count="6">
            <x v="0"/>
            <x v="1"/>
            <x v="2"/>
            <x v="3"/>
            <x v="4"/>
            <x v="5"/>
          </reference>
          <reference field="43" count="1" selected="0">
            <x v="0"/>
          </reference>
        </references>
      </pivotArea>
    </format>
    <format dxfId="176">
      <pivotArea dataOnly="0" labelOnly="1" outline="0" fieldPosition="0">
        <references count="2">
          <reference field="4" count="4">
            <x v="6"/>
            <x v="7"/>
            <x v="8"/>
            <x v="9"/>
          </reference>
          <reference field="43" count="1" selected="0">
            <x v="1"/>
          </reference>
        </references>
      </pivotArea>
    </format>
    <format dxfId="175">
      <pivotArea dataOnly="0" labelOnly="1" outline="0" fieldPosition="0">
        <references count="2">
          <reference field="4" count="1">
            <x v="10"/>
          </reference>
          <reference field="43" count="1" selected="0">
            <x v="2"/>
          </reference>
        </references>
      </pivotArea>
    </format>
    <format dxfId="174">
      <pivotArea dataOnly="0" labelOnly="1" outline="0" fieldPosition="0">
        <references count="2">
          <reference field="4" count="2">
            <x v="11"/>
            <x v="12"/>
          </reference>
          <reference field="43" count="1" selected="0">
            <x v="3"/>
          </reference>
        </references>
      </pivotArea>
    </format>
    <format dxfId="173">
      <pivotArea outline="0" collapsedLevelsAreSubtotals="1" fieldPosition="0">
        <references count="4">
          <reference field="4294967294" count="1" selected="0">
            <x v="6"/>
          </reference>
          <reference field="0" count="1" selected="0">
            <x v="0"/>
          </reference>
          <reference field="4" count="1" selected="0">
            <x v="4"/>
          </reference>
          <reference field="43" count="1" selected="0">
            <x v="0"/>
          </reference>
        </references>
      </pivotArea>
    </format>
    <format dxfId="172">
      <pivotArea outline="0" collapsedLevelsAreSubtotals="1" fieldPosition="0">
        <references count="4">
          <reference field="4294967294" count="1" selected="0">
            <x v="6"/>
          </reference>
          <reference field="0" count="1" selected="0">
            <x v="1"/>
          </reference>
          <reference field="4" count="1" selected="0">
            <x v="9"/>
          </reference>
          <reference field="43" count="1" selected="0">
            <x v="1"/>
          </reference>
        </references>
      </pivotArea>
    </format>
    <format dxfId="171">
      <pivotArea outline="0" collapsedLevelsAreSubtotals="1" fieldPosition="0">
        <references count="4">
          <reference field="4294967294" count="1" selected="0">
            <x v="6"/>
          </reference>
          <reference field="0" count="1" selected="0">
            <x v="1"/>
          </reference>
          <reference field="4" count="1" selected="0">
            <x v="8"/>
          </reference>
          <reference field="43" count="1" selected="0">
            <x v="1"/>
          </reference>
        </references>
      </pivotArea>
    </format>
    <format dxfId="170">
      <pivotArea outline="0" collapsedLevelsAreSubtotals="1" fieldPosition="0">
        <references count="4">
          <reference field="4294967294" count="1" selected="0">
            <x v="6"/>
          </reference>
          <reference field="0" count="1" selected="0">
            <x v="1"/>
          </reference>
          <reference field="4" count="1" selected="0">
            <x v="7"/>
          </reference>
          <reference field="43" count="1" selected="0">
            <x v="1"/>
          </reference>
        </references>
      </pivotArea>
    </format>
    <format dxfId="169">
      <pivotArea outline="0" collapsedLevelsAreSubtotals="1" fieldPosition="0">
        <references count="4">
          <reference field="4294967294" count="1" selected="0">
            <x v="6"/>
          </reference>
          <reference field="0" count="1" selected="0">
            <x v="6"/>
          </reference>
          <reference field="4" count="2" selected="0">
            <x v="8"/>
            <x v="9"/>
          </reference>
          <reference field="43" count="1" selected="0">
            <x v="1"/>
          </reference>
        </references>
      </pivotArea>
    </format>
    <format dxfId="168">
      <pivotArea outline="0" collapsedLevelsAreSubtotals="1" fieldPosition="0">
        <references count="4">
          <reference field="4294967294" count="1" selected="0">
            <x v="6"/>
          </reference>
          <reference field="0" count="1" selected="0">
            <x v="6"/>
          </reference>
          <reference field="4" count="1" selected="0">
            <x v="2"/>
          </reference>
          <reference field="43" count="1" selected="0">
            <x v="0"/>
          </reference>
        </references>
      </pivotArea>
    </format>
    <format dxfId="167">
      <pivotArea outline="0" collapsedLevelsAreSubtotals="1" fieldPosition="0">
        <references count="4">
          <reference field="4294967294" count="1" selected="0">
            <x v="6"/>
          </reference>
          <reference field="0" count="1" selected="0">
            <x v="10"/>
          </reference>
          <reference field="4" count="1" selected="0">
            <x v="9"/>
          </reference>
          <reference field="43" count="1" selected="0">
            <x v="1"/>
          </reference>
        </references>
      </pivotArea>
    </format>
    <format dxfId="166">
      <pivotArea outline="0" collapsedLevelsAreSubtotals="1" fieldPosition="0">
        <references count="4">
          <reference field="4294967294" count="1" selected="0">
            <x v="6"/>
          </reference>
          <reference field="0" count="1" selected="0">
            <x v="11"/>
          </reference>
          <reference field="4" count="1" selected="0">
            <x v="8"/>
          </reference>
          <reference field="43" count="1" selected="0">
            <x v="1"/>
          </reference>
        </references>
      </pivotArea>
    </format>
    <format dxfId="165">
      <pivotArea outline="0" collapsedLevelsAreSubtotals="1" fieldPosition="0">
        <references count="4">
          <reference field="4294967294" count="1" selected="0">
            <x v="6"/>
          </reference>
          <reference field="0" count="1" selected="0">
            <x v="12"/>
          </reference>
          <reference field="4" count="1" selected="0">
            <x v="8"/>
          </reference>
          <reference field="43" count="1" selected="0">
            <x v="1"/>
          </reference>
        </references>
      </pivotArea>
    </format>
    <format dxfId="164">
      <pivotArea outline="0" collapsedLevelsAreSubtotals="1" fieldPosition="0">
        <references count="4">
          <reference field="4294967294" count="1" selected="0">
            <x v="6"/>
          </reference>
          <reference field="0" count="1" selected="0">
            <x v="13"/>
          </reference>
          <reference field="4" count="1" selected="0">
            <x v="9"/>
          </reference>
          <reference field="43" count="1" selected="0">
            <x v="1"/>
          </reference>
        </references>
      </pivotArea>
    </format>
    <format dxfId="163">
      <pivotArea outline="0" collapsedLevelsAreSubtotals="1" fieldPosition="0">
        <references count="4">
          <reference field="4294967294" count="1" selected="0">
            <x v="6"/>
          </reference>
          <reference field="0" count="1" selected="0">
            <x v="14"/>
          </reference>
          <reference field="4" count="2" selected="0">
            <x v="8"/>
            <x v="9"/>
          </reference>
          <reference field="43" count="1" selected="0">
            <x v="1"/>
          </reference>
        </references>
      </pivotArea>
    </format>
    <format dxfId="162">
      <pivotArea outline="0" collapsedLevelsAreSubtotals="1" fieldPosition="0">
        <references count="4">
          <reference field="4294967294" count="1" selected="0">
            <x v="6"/>
          </reference>
          <reference field="0" count="1" selected="0">
            <x v="0"/>
          </reference>
          <reference field="4" count="1" selected="0">
            <x v="4"/>
          </reference>
          <reference field="43" count="1" selected="0">
            <x v="0"/>
          </reference>
        </references>
      </pivotArea>
    </format>
    <format dxfId="161">
      <pivotArea outline="0" collapsedLevelsAreSubtotals="1" fieldPosition="0">
        <references count="4">
          <reference field="4294967294" count="1" selected="0">
            <x v="6"/>
          </reference>
          <reference field="0" count="1" selected="0">
            <x v="0"/>
          </reference>
          <reference field="4" count="1" selected="0">
            <x v="3"/>
          </reference>
          <reference field="43" count="1" selected="0">
            <x v="0"/>
          </reference>
        </references>
      </pivotArea>
    </format>
    <format dxfId="160">
      <pivotArea outline="0" collapsedLevelsAreSubtotals="1" fieldPosition="0">
        <references count="4">
          <reference field="4294967294" count="1" selected="0">
            <x v="6"/>
          </reference>
          <reference field="0" count="1" selected="0">
            <x v="0"/>
          </reference>
          <reference field="4" count="1" selected="0">
            <x v="12"/>
          </reference>
          <reference field="43" count="1" selected="0">
            <x v="3"/>
          </reference>
        </references>
      </pivotArea>
    </format>
    <format dxfId="159">
      <pivotArea outline="0" collapsedLevelsAreSubtotals="1" fieldPosition="0">
        <references count="1">
          <reference field="43" count="4" selected="0" defaultSubtotal="1">
            <x v="0"/>
            <x v="1"/>
            <x v="2"/>
            <x v="3"/>
          </reference>
        </references>
      </pivotArea>
    </format>
    <format dxfId="158">
      <pivotArea type="origin" dataOnly="0" labelOnly="1" outline="0" fieldPosition="0"/>
    </format>
    <format dxfId="157">
      <pivotArea field="43" type="button" dataOnly="0" labelOnly="1" outline="0" axis="axisCol" fieldPosition="0"/>
    </format>
    <format dxfId="156">
      <pivotArea field="4" type="button" dataOnly="0" labelOnly="1" outline="0" axis="axisCol" fieldPosition="1"/>
    </format>
    <format dxfId="155">
      <pivotArea type="topRight" dataOnly="0" labelOnly="1" outline="0" offset="A1:O1" fieldPosition="0"/>
    </format>
    <format dxfId="154">
      <pivotArea field="0" type="button" dataOnly="0" labelOnly="1" outline="0" axis="axisRow" fieldPosition="0"/>
    </format>
    <format dxfId="153">
      <pivotArea field="-2" type="button" dataOnly="0" labelOnly="1" outline="0" axis="axisRow" fieldPosition="1"/>
    </format>
    <format dxfId="152">
      <pivotArea dataOnly="0" labelOnly="1" outline="0" fieldPosition="0">
        <references count="1">
          <reference field="0" count="0"/>
        </references>
      </pivotArea>
    </format>
    <format dxfId="151">
      <pivotArea field="0" dataOnly="0" labelOnly="1" grandRow="1" outline="0" axis="axisRow" fieldPosition="0">
        <references count="1">
          <reference field="4294967294" count="1" selected="0">
            <x v="0"/>
          </reference>
        </references>
      </pivotArea>
    </format>
    <format dxfId="150">
      <pivotArea field="0" dataOnly="0" labelOnly="1" grandRow="1" outline="0" axis="axisRow" fieldPosition="0">
        <references count="1">
          <reference field="4294967294" count="1" selected="0">
            <x v="1"/>
          </reference>
        </references>
      </pivotArea>
    </format>
    <format dxfId="149">
      <pivotArea field="0" dataOnly="0" labelOnly="1" grandRow="1" outline="0" axis="axisRow" fieldPosition="0">
        <references count="1">
          <reference field="4294967294" count="1" selected="0">
            <x v="2"/>
          </reference>
        </references>
      </pivotArea>
    </format>
    <format dxfId="148">
      <pivotArea field="0" dataOnly="0" labelOnly="1" grandRow="1" outline="0" axis="axisRow" fieldPosition="0">
        <references count="1">
          <reference field="4294967294" count="1" selected="0">
            <x v="3"/>
          </reference>
        </references>
      </pivotArea>
    </format>
    <format dxfId="147">
      <pivotArea field="0" dataOnly="0" labelOnly="1" grandRow="1" outline="0" axis="axisRow" fieldPosition="0">
        <references count="1">
          <reference field="4294967294" count="1" selected="0">
            <x v="4"/>
          </reference>
        </references>
      </pivotArea>
    </format>
    <format dxfId="146">
      <pivotArea field="0" dataOnly="0" labelOnly="1" grandRow="1" outline="0" axis="axisRow" fieldPosition="0">
        <references count="1">
          <reference field="4294967294" count="1" selected="0">
            <x v="5"/>
          </reference>
        </references>
      </pivotArea>
    </format>
    <format dxfId="145">
      <pivotArea field="0" dataOnly="0" labelOnly="1" grandRow="1" outline="0" axis="axisRow" fieldPosition="0">
        <references count="1">
          <reference field="4294967294" count="1" selected="0">
            <x v="6"/>
          </reference>
        </references>
      </pivotArea>
    </format>
    <format dxfId="144">
      <pivotArea field="0" dataOnly="0" labelOnly="1" grandRow="1" outline="0" axis="axisRow" fieldPosition="0">
        <references count="1">
          <reference field="4294967294" count="1" selected="0">
            <x v="0"/>
          </reference>
        </references>
      </pivotArea>
    </format>
    <format dxfId="143">
      <pivotArea field="0" dataOnly="0" labelOnly="1" grandRow="1" outline="0" axis="axisRow" fieldPosition="0">
        <references count="1">
          <reference field="4294967294" count="1" selected="0">
            <x v="1"/>
          </reference>
        </references>
      </pivotArea>
    </format>
    <format dxfId="142">
      <pivotArea field="0" dataOnly="0" labelOnly="1" grandRow="1" outline="0" axis="axisRow" fieldPosition="0">
        <references count="1">
          <reference field="4294967294" count="1" selected="0">
            <x v="2"/>
          </reference>
        </references>
      </pivotArea>
    </format>
    <format dxfId="141">
      <pivotArea field="0" dataOnly="0" labelOnly="1" grandRow="1" outline="0" axis="axisRow" fieldPosition="0">
        <references count="1">
          <reference field="4294967294" count="1" selected="0">
            <x v="3"/>
          </reference>
        </references>
      </pivotArea>
    </format>
    <format dxfId="140">
      <pivotArea field="0" dataOnly="0" labelOnly="1" grandRow="1" outline="0" axis="axisRow" fieldPosition="0">
        <references count="1">
          <reference field="4294967294" count="1" selected="0">
            <x v="4"/>
          </reference>
        </references>
      </pivotArea>
    </format>
    <format dxfId="139">
      <pivotArea field="0" dataOnly="0" labelOnly="1" grandRow="1" outline="0" axis="axisRow" fieldPosition="0">
        <references count="1">
          <reference field="4294967294" count="1" selected="0">
            <x v="5"/>
          </reference>
        </references>
      </pivotArea>
    </format>
    <format dxfId="138">
      <pivotArea field="0" dataOnly="0" labelOnly="1" grandRow="1" outline="0" axis="axisRow" fieldPosition="0">
        <references count="1">
          <reference field="4294967294" count="1" selected="0">
            <x v="6"/>
          </reference>
        </references>
      </pivotArea>
    </format>
    <format dxfId="137">
      <pivotArea field="0" dataOnly="0" labelOnly="1" grandRow="1" outline="0" axis="axisRow" fieldPosition="0">
        <references count="1">
          <reference field="4294967294" count="1" selected="0">
            <x v="0"/>
          </reference>
        </references>
      </pivotArea>
    </format>
    <format dxfId="136">
      <pivotArea field="0" dataOnly="0" labelOnly="1" grandRow="1" outline="0" axis="axisRow" fieldPosition="0">
        <references count="1">
          <reference field="4294967294" count="1" selected="0">
            <x v="1"/>
          </reference>
        </references>
      </pivotArea>
    </format>
    <format dxfId="135">
      <pivotArea field="0" dataOnly="0" labelOnly="1" grandRow="1" outline="0" axis="axisRow" fieldPosition="0">
        <references count="1">
          <reference field="4294967294" count="1" selected="0">
            <x v="2"/>
          </reference>
        </references>
      </pivotArea>
    </format>
    <format dxfId="134">
      <pivotArea field="0" dataOnly="0" labelOnly="1" grandRow="1" outline="0" axis="axisRow" fieldPosition="0">
        <references count="1">
          <reference field="4294967294" count="1" selected="0">
            <x v="3"/>
          </reference>
        </references>
      </pivotArea>
    </format>
    <format dxfId="133">
      <pivotArea field="0" dataOnly="0" labelOnly="1" grandRow="1" outline="0" axis="axisRow" fieldPosition="0">
        <references count="1">
          <reference field="4294967294" count="1" selected="0">
            <x v="4"/>
          </reference>
        </references>
      </pivotArea>
    </format>
    <format dxfId="132">
      <pivotArea field="0" dataOnly="0" labelOnly="1" grandRow="1" outline="0" axis="axisRow" fieldPosition="0">
        <references count="1">
          <reference field="4294967294" count="1" selected="0">
            <x v="5"/>
          </reference>
        </references>
      </pivotArea>
    </format>
    <format dxfId="131">
      <pivotArea field="0" dataOnly="0" labelOnly="1" grandRow="1" outline="0" axis="axisRow" fieldPosition="0">
        <references count="1">
          <reference field="4294967294" count="1" selected="0">
            <x v="6"/>
          </reference>
        </references>
      </pivotArea>
    </format>
    <format dxfId="130">
      <pivotArea field="0" dataOnly="0" labelOnly="1" grandRow="1" outline="0" axis="axisRow" fieldPosition="0">
        <references count="1">
          <reference field="4294967294" count="1" selected="0">
            <x v="0"/>
          </reference>
        </references>
      </pivotArea>
    </format>
    <format dxfId="129">
      <pivotArea field="0" dataOnly="0" labelOnly="1" grandRow="1" outline="0" axis="axisRow" fieldPosition="0">
        <references count="1">
          <reference field="4294967294" count="1" selected="0">
            <x v="1"/>
          </reference>
        </references>
      </pivotArea>
    </format>
    <format dxfId="128">
      <pivotArea field="0" dataOnly="0" labelOnly="1" grandRow="1" outline="0" axis="axisRow" fieldPosition="0">
        <references count="1">
          <reference field="4294967294" count="1" selected="0">
            <x v="2"/>
          </reference>
        </references>
      </pivotArea>
    </format>
    <format dxfId="127">
      <pivotArea field="0" dataOnly="0" labelOnly="1" grandRow="1" outline="0" axis="axisRow" fieldPosition="0">
        <references count="1">
          <reference field="4294967294" count="1" selected="0">
            <x v="3"/>
          </reference>
        </references>
      </pivotArea>
    </format>
    <format dxfId="126">
      <pivotArea field="0" dataOnly="0" labelOnly="1" grandRow="1" outline="0" axis="axisRow" fieldPosition="0">
        <references count="1">
          <reference field="4294967294" count="1" selected="0">
            <x v="4"/>
          </reference>
        </references>
      </pivotArea>
    </format>
    <format dxfId="125">
      <pivotArea field="0" dataOnly="0" labelOnly="1" grandRow="1" outline="0" axis="axisRow" fieldPosition="0">
        <references count="1">
          <reference field="4294967294" count="1" selected="0">
            <x v="5"/>
          </reference>
        </references>
      </pivotArea>
    </format>
    <format dxfId="124">
      <pivotArea field="0" dataOnly="0" labelOnly="1" grandRow="1" outline="0" axis="axisRow" fieldPosition="0">
        <references count="1">
          <reference field="4294967294" count="1" selected="0">
            <x v="6"/>
          </reference>
        </references>
      </pivotArea>
    </format>
    <format dxfId="123">
      <pivotArea field="0" dataOnly="0" labelOnly="1" grandRow="1" outline="0" axis="axisRow" fieldPosition="0">
        <references count="1">
          <reference field="4294967294" count="1" selected="0">
            <x v="0"/>
          </reference>
        </references>
      </pivotArea>
    </format>
    <format dxfId="122">
      <pivotArea field="0" dataOnly="0" labelOnly="1" grandRow="1" outline="0" axis="axisRow" fieldPosition="0">
        <references count="1">
          <reference field="4294967294" count="1" selected="0">
            <x v="1"/>
          </reference>
        </references>
      </pivotArea>
    </format>
    <format dxfId="121">
      <pivotArea field="0" dataOnly="0" labelOnly="1" grandRow="1" outline="0" axis="axisRow" fieldPosition="0">
        <references count="1">
          <reference field="4294967294" count="1" selected="0">
            <x v="2"/>
          </reference>
        </references>
      </pivotArea>
    </format>
    <format dxfId="120">
      <pivotArea field="0" dataOnly="0" labelOnly="1" grandRow="1" outline="0" axis="axisRow" fieldPosition="0">
        <references count="1">
          <reference field="4294967294" count="1" selected="0">
            <x v="3"/>
          </reference>
        </references>
      </pivotArea>
    </format>
    <format dxfId="119">
      <pivotArea field="0" dataOnly="0" labelOnly="1" grandRow="1" outline="0" axis="axisRow" fieldPosition="0">
        <references count="1">
          <reference field="4294967294" count="1" selected="0">
            <x v="4"/>
          </reference>
        </references>
      </pivotArea>
    </format>
    <format dxfId="118">
      <pivotArea field="0" dataOnly="0" labelOnly="1" grandRow="1" outline="0" axis="axisRow" fieldPosition="0">
        <references count="1">
          <reference field="4294967294" count="1" selected="0">
            <x v="5"/>
          </reference>
        </references>
      </pivotArea>
    </format>
    <format dxfId="117">
      <pivotArea field="0" dataOnly="0" labelOnly="1" grandRow="1" outline="0" axis="axisRow" fieldPosition="0">
        <references count="1">
          <reference field="4294967294" count="1" selected="0">
            <x v="6"/>
          </reference>
        </references>
      </pivotArea>
    </format>
    <format dxfId="116">
      <pivotArea field="0" dataOnly="0" labelOnly="1" grandRow="1" outline="0" axis="axisRow" fieldPosition="0">
        <references count="1">
          <reference field="4294967294" count="1" selected="0">
            <x v="0"/>
          </reference>
        </references>
      </pivotArea>
    </format>
    <format dxfId="115">
      <pivotArea field="0" dataOnly="0" labelOnly="1" grandRow="1" outline="0" axis="axisRow" fieldPosition="0">
        <references count="1">
          <reference field="4294967294" count="1" selected="0">
            <x v="1"/>
          </reference>
        </references>
      </pivotArea>
    </format>
    <format dxfId="114">
      <pivotArea field="0" dataOnly="0" labelOnly="1" grandRow="1" outline="0" axis="axisRow" fieldPosition="0">
        <references count="1">
          <reference field="4294967294" count="1" selected="0">
            <x v="2"/>
          </reference>
        </references>
      </pivotArea>
    </format>
    <format dxfId="113">
      <pivotArea field="0" dataOnly="0" labelOnly="1" grandRow="1" outline="0" axis="axisRow" fieldPosition="0">
        <references count="1">
          <reference field="4294967294" count="1" selected="0">
            <x v="3"/>
          </reference>
        </references>
      </pivotArea>
    </format>
    <format dxfId="112">
      <pivotArea field="0" dataOnly="0" labelOnly="1" grandRow="1" outline="0" axis="axisRow" fieldPosition="0">
        <references count="1">
          <reference field="4294967294" count="1" selected="0">
            <x v="4"/>
          </reference>
        </references>
      </pivotArea>
    </format>
    <format dxfId="111">
      <pivotArea field="0" dataOnly="0" labelOnly="1" grandRow="1" outline="0" axis="axisRow" fieldPosition="0">
        <references count="1">
          <reference field="4294967294" count="1" selected="0">
            <x v="5"/>
          </reference>
        </references>
      </pivotArea>
    </format>
    <format dxfId="110">
      <pivotArea field="0" dataOnly="0" labelOnly="1" grandRow="1" outline="0" axis="axisRow" fieldPosition="0">
        <references count="1">
          <reference field="4294967294" count="1" selected="0">
            <x v="6"/>
          </reference>
        </references>
      </pivotArea>
    </format>
    <format dxfId="109">
      <pivotArea field="0" dataOnly="0" labelOnly="1" grandRow="1" outline="0" axis="axisRow" fieldPosition="0">
        <references count="1">
          <reference field="4294967294" count="1" selected="0">
            <x v="0"/>
          </reference>
        </references>
      </pivotArea>
    </format>
    <format dxfId="108">
      <pivotArea field="0" dataOnly="0" labelOnly="1" grandRow="1" outline="0" axis="axisRow" fieldPosition="0">
        <references count="1">
          <reference field="4294967294" count="1" selected="0">
            <x v="1"/>
          </reference>
        </references>
      </pivotArea>
    </format>
    <format dxfId="107">
      <pivotArea field="0" dataOnly="0" labelOnly="1" grandRow="1" outline="0" axis="axisRow" fieldPosition="0">
        <references count="1">
          <reference field="4294967294" count="1" selected="0">
            <x v="2"/>
          </reference>
        </references>
      </pivotArea>
    </format>
    <format dxfId="106">
      <pivotArea field="0" dataOnly="0" labelOnly="1" grandRow="1" outline="0" axis="axisRow" fieldPosition="0">
        <references count="1">
          <reference field="4294967294" count="1" selected="0">
            <x v="3"/>
          </reference>
        </references>
      </pivotArea>
    </format>
    <format dxfId="105">
      <pivotArea field="0" dataOnly="0" labelOnly="1" grandRow="1" outline="0" axis="axisRow" fieldPosition="0">
        <references count="1">
          <reference field="4294967294" count="1" selected="0">
            <x v="4"/>
          </reference>
        </references>
      </pivotArea>
    </format>
    <format dxfId="104">
      <pivotArea field="0" dataOnly="0" labelOnly="1" grandRow="1" outline="0" axis="axisRow" fieldPosition="0">
        <references count="1">
          <reference field="4294967294" count="1" selected="0">
            <x v="5"/>
          </reference>
        </references>
      </pivotArea>
    </format>
    <format dxfId="103">
      <pivotArea field="0" dataOnly="0" labelOnly="1" grandRow="1" outline="0" axis="axisRow" fieldPosition="0">
        <references count="1">
          <reference field="4294967294" count="1" selected="0">
            <x v="6"/>
          </reference>
        </references>
      </pivotArea>
    </format>
    <format dxfId="102">
      <pivotArea dataOnly="0" labelOnly="1" outline="0" fieldPosition="0">
        <references count="2">
          <reference field="4294967294" count="7">
            <x v="0"/>
            <x v="1"/>
            <x v="2"/>
            <x v="3"/>
            <x v="4"/>
            <x v="5"/>
            <x v="6"/>
          </reference>
          <reference field="0" count="1" selected="0">
            <x v="0"/>
          </reference>
        </references>
      </pivotArea>
    </format>
    <format dxfId="101">
      <pivotArea dataOnly="0" labelOnly="1" outline="0" fieldPosition="0">
        <references count="2">
          <reference field="4294967294" count="7">
            <x v="0"/>
            <x v="1"/>
            <x v="2"/>
            <x v="3"/>
            <x v="4"/>
            <x v="5"/>
            <x v="6"/>
          </reference>
          <reference field="0" count="1" selected="0">
            <x v="1"/>
          </reference>
        </references>
      </pivotArea>
    </format>
    <format dxfId="100">
      <pivotArea dataOnly="0" labelOnly="1" outline="0" fieldPosition="0">
        <references count="2">
          <reference field="4294967294" count="7">
            <x v="0"/>
            <x v="1"/>
            <x v="2"/>
            <x v="3"/>
            <x v="4"/>
            <x v="5"/>
            <x v="6"/>
          </reference>
          <reference field="0" count="1" selected="0">
            <x v="2"/>
          </reference>
        </references>
      </pivotArea>
    </format>
    <format dxfId="99">
      <pivotArea dataOnly="0" labelOnly="1" outline="0" fieldPosition="0">
        <references count="2">
          <reference field="4294967294" count="7">
            <x v="0"/>
            <x v="1"/>
            <x v="2"/>
            <x v="3"/>
            <x v="4"/>
            <x v="5"/>
            <x v="6"/>
          </reference>
          <reference field="0" count="1" selected="0">
            <x v="3"/>
          </reference>
        </references>
      </pivotArea>
    </format>
    <format dxfId="98">
      <pivotArea dataOnly="0" labelOnly="1" outline="0" fieldPosition="0">
        <references count="2">
          <reference field="4294967294" count="7">
            <x v="0"/>
            <x v="1"/>
            <x v="2"/>
            <x v="3"/>
            <x v="4"/>
            <x v="5"/>
            <x v="6"/>
          </reference>
          <reference field="0" count="1" selected="0">
            <x v="4"/>
          </reference>
        </references>
      </pivotArea>
    </format>
    <format dxfId="97">
      <pivotArea dataOnly="0" labelOnly="1" outline="0" fieldPosition="0">
        <references count="2">
          <reference field="4294967294" count="7">
            <x v="0"/>
            <x v="1"/>
            <x v="2"/>
            <x v="3"/>
            <x v="4"/>
            <x v="5"/>
            <x v="6"/>
          </reference>
          <reference field="0" count="1" selected="0">
            <x v="5"/>
          </reference>
        </references>
      </pivotArea>
    </format>
    <format dxfId="96">
      <pivotArea dataOnly="0" labelOnly="1" outline="0" fieldPosition="0">
        <references count="2">
          <reference field="4294967294" count="7">
            <x v="0"/>
            <x v="1"/>
            <x v="2"/>
            <x v="3"/>
            <x v="4"/>
            <x v="5"/>
            <x v="6"/>
          </reference>
          <reference field="0" count="1" selected="0">
            <x v="6"/>
          </reference>
        </references>
      </pivotArea>
    </format>
    <format dxfId="95">
      <pivotArea dataOnly="0" labelOnly="1" outline="0" fieldPosition="0">
        <references count="2">
          <reference field="4294967294" count="7">
            <x v="0"/>
            <x v="1"/>
            <x v="2"/>
            <x v="3"/>
            <x v="4"/>
            <x v="5"/>
            <x v="6"/>
          </reference>
          <reference field="0" count="1" selected="0">
            <x v="7"/>
          </reference>
        </references>
      </pivotArea>
    </format>
    <format dxfId="94">
      <pivotArea dataOnly="0" labelOnly="1" outline="0" fieldPosition="0">
        <references count="2">
          <reference field="4294967294" count="7">
            <x v="0"/>
            <x v="1"/>
            <x v="2"/>
            <x v="3"/>
            <x v="4"/>
            <x v="5"/>
            <x v="6"/>
          </reference>
          <reference field="0" count="1" selected="0">
            <x v="8"/>
          </reference>
        </references>
      </pivotArea>
    </format>
    <format dxfId="93">
      <pivotArea dataOnly="0" labelOnly="1" outline="0" fieldPosition="0">
        <references count="2">
          <reference field="4294967294" count="7">
            <x v="0"/>
            <x v="1"/>
            <x v="2"/>
            <x v="3"/>
            <x v="4"/>
            <x v="5"/>
            <x v="6"/>
          </reference>
          <reference field="0" count="1" selected="0">
            <x v="9"/>
          </reference>
        </references>
      </pivotArea>
    </format>
    <format dxfId="92">
      <pivotArea dataOnly="0" labelOnly="1" outline="0" fieldPosition="0">
        <references count="2">
          <reference field="4294967294" count="7">
            <x v="0"/>
            <x v="1"/>
            <x v="2"/>
            <x v="3"/>
            <x v="4"/>
            <x v="5"/>
            <x v="6"/>
          </reference>
          <reference field="0" count="1" selected="0">
            <x v="10"/>
          </reference>
        </references>
      </pivotArea>
    </format>
    <format dxfId="91">
      <pivotArea dataOnly="0" labelOnly="1" outline="0" fieldPosition="0">
        <references count="2">
          <reference field="4294967294" count="7">
            <x v="0"/>
            <x v="1"/>
            <x v="2"/>
            <x v="3"/>
            <x v="4"/>
            <x v="5"/>
            <x v="6"/>
          </reference>
          <reference field="0" count="1" selected="0">
            <x v="11"/>
          </reference>
        </references>
      </pivotArea>
    </format>
    <format dxfId="90">
      <pivotArea dataOnly="0" labelOnly="1" outline="0" fieldPosition="0">
        <references count="2">
          <reference field="4294967294" count="7">
            <x v="0"/>
            <x v="1"/>
            <x v="2"/>
            <x v="3"/>
            <x v="4"/>
            <x v="5"/>
            <x v="6"/>
          </reference>
          <reference field="0" count="1" selected="0">
            <x v="12"/>
          </reference>
        </references>
      </pivotArea>
    </format>
    <format dxfId="89">
      <pivotArea dataOnly="0" labelOnly="1" outline="0" fieldPosition="0">
        <references count="2">
          <reference field="4294967294" count="7">
            <x v="0"/>
            <x v="1"/>
            <x v="2"/>
            <x v="3"/>
            <x v="4"/>
            <x v="5"/>
            <x v="6"/>
          </reference>
          <reference field="0" count="1" selected="0">
            <x v="13"/>
          </reference>
        </references>
      </pivotArea>
    </format>
    <format dxfId="88">
      <pivotArea dataOnly="0" labelOnly="1" outline="0" fieldPosition="0">
        <references count="2">
          <reference field="4294967294" count="7">
            <x v="0"/>
            <x v="1"/>
            <x v="2"/>
            <x v="3"/>
            <x v="4"/>
            <x v="5"/>
            <x v="6"/>
          </reference>
          <reference field="0" count="1" selected="0">
            <x v="14"/>
          </reference>
        </references>
      </pivotArea>
    </format>
    <format dxfId="87">
      <pivotArea dataOnly="0" labelOnly="1" outline="0" fieldPosition="0">
        <references count="2">
          <reference field="4294967294" count="7">
            <x v="0"/>
            <x v="1"/>
            <x v="2"/>
            <x v="3"/>
            <x v="4"/>
            <x v="5"/>
            <x v="6"/>
          </reference>
          <reference field="0" count="1" selected="0">
            <x v="15"/>
          </reference>
        </references>
      </pivotArea>
    </format>
    <format dxfId="86">
      <pivotArea dataOnly="0" labelOnly="1" outline="0" fieldPosition="0">
        <references count="1">
          <reference field="43" count="4">
            <x v="0"/>
            <x v="1"/>
            <x v="2"/>
            <x v="3"/>
          </reference>
        </references>
      </pivotArea>
    </format>
    <format dxfId="85">
      <pivotArea dataOnly="0" labelOnly="1" outline="0" fieldPosition="0">
        <references count="1">
          <reference field="43" count="4" defaultSubtotal="1">
            <x v="0"/>
            <x v="1"/>
            <x v="2"/>
            <x v="3"/>
          </reference>
        </references>
      </pivotArea>
    </format>
    <format dxfId="84">
      <pivotArea dataOnly="0" labelOnly="1" outline="0" fieldPosition="0">
        <references count="2">
          <reference field="4" count="6">
            <x v="0"/>
            <x v="1"/>
            <x v="2"/>
            <x v="3"/>
            <x v="4"/>
            <x v="5"/>
          </reference>
          <reference field="43" count="1" selected="0">
            <x v="0"/>
          </reference>
        </references>
      </pivotArea>
    </format>
    <format dxfId="83">
      <pivotArea dataOnly="0" labelOnly="1" outline="0" fieldPosition="0">
        <references count="2">
          <reference field="4" count="4">
            <x v="6"/>
            <x v="7"/>
            <x v="8"/>
            <x v="9"/>
          </reference>
          <reference field="43" count="1" selected="0">
            <x v="1"/>
          </reference>
        </references>
      </pivotArea>
    </format>
    <format dxfId="82">
      <pivotArea dataOnly="0" labelOnly="1" outline="0" fieldPosition="0">
        <references count="2">
          <reference field="4" count="1">
            <x v="10"/>
          </reference>
          <reference field="43" count="1" selected="0">
            <x v="2"/>
          </reference>
        </references>
      </pivotArea>
    </format>
    <format dxfId="81">
      <pivotArea dataOnly="0" labelOnly="1" outline="0" fieldPosition="0">
        <references count="2">
          <reference field="4" count="2">
            <x v="11"/>
            <x v="12"/>
          </reference>
          <reference field="43" count="1" selected="0">
            <x v="3"/>
          </reference>
        </references>
      </pivotArea>
    </format>
    <format dxfId="80">
      <pivotArea outline="0" collapsedLevelsAreSubtotals="1" fieldPosition="0">
        <references count="4">
          <reference field="4294967294" count="1" selected="0">
            <x v="6"/>
          </reference>
          <reference field="0" count="1" selected="0">
            <x v="0"/>
          </reference>
          <reference field="4" count="1" selected="0">
            <x v="3"/>
          </reference>
          <reference field="43" count="1" selected="0">
            <x v="0"/>
          </reference>
        </references>
      </pivotArea>
    </format>
    <format dxfId="79">
      <pivotArea outline="0" collapsedLevelsAreSubtotals="1" fieldPosition="0">
        <references count="3">
          <reference field="4294967294" count="1" selected="0">
            <x v="6"/>
          </reference>
          <reference field="0" count="1" selected="0">
            <x v="0"/>
          </reference>
          <reference field="43" count="1" selected="0" defaultSubtotal="1">
            <x v="3"/>
          </reference>
        </references>
      </pivotArea>
    </format>
    <format dxfId="78">
      <pivotArea outline="0" collapsedLevelsAreSubtotals="1" fieldPosition="0">
        <references count="3">
          <reference field="4294967294" count="1" selected="0">
            <x v="6"/>
          </reference>
          <reference field="0" count="1" selected="0">
            <x v="0"/>
          </reference>
          <reference field="43" count="1" selected="0" defaultSubtotal="1">
            <x v="3"/>
          </reference>
        </references>
      </pivotArea>
    </format>
    <format dxfId="77">
      <pivotArea outline="0" collapsedLevelsAreSubtotals="1" fieldPosition="0">
        <references count="4">
          <reference field="4294967294" count="1" selected="0">
            <x v="6"/>
          </reference>
          <reference field="0" count="1" selected="0">
            <x v="0"/>
          </reference>
          <reference field="4" count="1" selected="0">
            <x v="12"/>
          </reference>
          <reference field="43" count="1" selected="0">
            <x v="3"/>
          </reference>
        </references>
      </pivotArea>
    </format>
    <format dxfId="76">
      <pivotArea outline="0" collapsedLevelsAreSubtotals="1" fieldPosition="0">
        <references count="4">
          <reference field="4294967294" count="1" selected="0">
            <x v="2"/>
          </reference>
          <reference field="0" count="1" selected="0">
            <x v="5"/>
          </reference>
          <reference field="4" count="1" selected="0">
            <x v="8"/>
          </reference>
          <reference field="43" count="1" selected="0">
            <x v="1"/>
          </reference>
        </references>
      </pivotArea>
    </format>
    <format dxfId="75">
      <pivotArea outline="0" collapsedLevelsAreSubtotals="1" fieldPosition="0">
        <references count="4">
          <reference field="4294967294" count="1" selected="0">
            <x v="5"/>
          </reference>
          <reference field="0" count="1" selected="0">
            <x v="5"/>
          </reference>
          <reference field="4" count="1" selected="0">
            <x v="9"/>
          </reference>
          <reference field="43" count="1" selected="0">
            <x v="1"/>
          </reference>
        </references>
      </pivotArea>
    </format>
    <format dxfId="74">
      <pivotArea outline="0" collapsedLevelsAreSubtotals="1" fieldPosition="0">
        <references count="4">
          <reference field="4294967294" count="1" selected="0">
            <x v="5"/>
          </reference>
          <reference field="0" count="1" selected="0">
            <x v="5"/>
          </reference>
          <reference field="4" count="1" selected="0">
            <x v="8"/>
          </reference>
          <reference field="43" count="1" selected="0">
            <x v="1"/>
          </reference>
        </references>
      </pivotArea>
    </format>
    <format dxfId="73">
      <pivotArea outline="0" collapsedLevelsAreSubtotals="1" fieldPosition="0">
        <references count="4">
          <reference field="4294967294" count="1" selected="0">
            <x v="2"/>
          </reference>
          <reference field="0" count="1" selected="0">
            <x v="5"/>
          </reference>
          <reference field="4" count="1" selected="0">
            <x v="8"/>
          </reference>
          <reference field="43" count="1" selected="0">
            <x v="1"/>
          </reference>
        </references>
      </pivotArea>
    </format>
    <format dxfId="72">
      <pivotArea outline="0" collapsedLevelsAreSubtotals="1" fieldPosition="0">
        <references count="4">
          <reference field="4294967294" count="1" selected="0">
            <x v="5"/>
          </reference>
          <reference field="0" count="1" selected="0">
            <x v="6"/>
          </reference>
          <reference field="4" count="1" selected="0">
            <x v="11"/>
          </reference>
          <reference field="43" count="1" selected="0">
            <x v="3"/>
          </reference>
        </references>
      </pivotArea>
    </format>
    <format dxfId="71">
      <pivotArea outline="0" collapsedLevelsAreSubtotals="1" fieldPosition="0">
        <references count="4">
          <reference field="4294967294" count="1" selected="0">
            <x v="2"/>
          </reference>
          <reference field="0" count="1" selected="0">
            <x v="10"/>
          </reference>
          <reference field="4" count="1" selected="0">
            <x v="9"/>
          </reference>
          <reference field="43" count="1" selected="0">
            <x v="1"/>
          </reference>
        </references>
      </pivotArea>
    </format>
    <format dxfId="70">
      <pivotArea outline="0" collapsedLevelsAreSubtotals="1" fieldPosition="0">
        <references count="4">
          <reference field="4294967294" count="1" selected="0">
            <x v="6"/>
          </reference>
          <reference field="0" count="1" selected="0">
            <x v="10"/>
          </reference>
          <reference field="4" count="1" selected="0">
            <x v="9"/>
          </reference>
          <reference field="43" count="1" selected="0">
            <x v="1"/>
          </reference>
        </references>
      </pivotArea>
    </format>
    <format dxfId="69">
      <pivotArea outline="0" collapsedLevelsAreSubtotals="1" fieldPosition="0">
        <references count="4">
          <reference field="4294967294" count="1" selected="0">
            <x v="5"/>
          </reference>
          <reference field="0" count="1" selected="0">
            <x v="11"/>
          </reference>
          <reference field="4" count="1" selected="0">
            <x v="9"/>
          </reference>
          <reference field="43" count="1" selected="0">
            <x v="1"/>
          </reference>
        </references>
      </pivotArea>
    </format>
    <format dxfId="68">
      <pivotArea outline="0" collapsedLevelsAreSubtotals="1" fieldPosition="0">
        <references count="4">
          <reference field="4294967294" count="1" selected="0">
            <x v="5"/>
          </reference>
          <reference field="0" count="1" selected="0">
            <x v="12"/>
          </reference>
          <reference field="4" count="1" selected="0">
            <x v="8"/>
          </reference>
          <reference field="43" count="1" selected="0">
            <x v="1"/>
          </reference>
        </references>
      </pivotArea>
    </format>
    <format dxfId="67">
      <pivotArea outline="0" collapsedLevelsAreSubtotals="1" fieldPosition="0">
        <references count="4">
          <reference field="4294967294" count="1" selected="0">
            <x v="5"/>
          </reference>
          <reference field="0" count="1" selected="0">
            <x v="14"/>
          </reference>
          <reference field="4" count="1" selected="0">
            <x v="10"/>
          </reference>
          <reference field="43" count="1" selected="0">
            <x v="2"/>
          </reference>
        </references>
      </pivotArea>
    </format>
    <format dxfId="66">
      <pivotArea outline="0" collapsedLevelsAreSubtotals="1" fieldPosition="0">
        <references count="3">
          <reference field="4294967294" count="1" selected="0">
            <x v="5"/>
          </reference>
          <reference field="0" count="1" selected="0">
            <x v="14"/>
          </reference>
          <reference field="43" count="1" selected="0" defaultSubtotal="1">
            <x v="2"/>
          </reference>
        </references>
      </pivotArea>
    </format>
    <format dxfId="65">
      <pivotArea outline="0" collapsedLevelsAreSubtotals="1" fieldPosition="0">
        <references count="3">
          <reference field="4294967294" count="1" selected="0">
            <x v="5"/>
          </reference>
          <reference field="0" count="1" selected="0">
            <x v="14"/>
          </reference>
          <reference field="43" count="1" selected="0" defaultSubtotal="1">
            <x v="2"/>
          </reference>
        </references>
      </pivotArea>
    </format>
    <format dxfId="64">
      <pivotArea outline="0" collapsedLevelsAreSubtotals="1" fieldPosition="0">
        <references count="4">
          <reference field="4294967294" count="1" selected="0">
            <x v="6"/>
          </reference>
          <reference field="0" count="1" selected="0">
            <x v="0"/>
          </reference>
          <reference field="4" count="1" selected="0">
            <x v="3"/>
          </reference>
          <reference field="43" count="1" selected="0">
            <x v="0"/>
          </reference>
        </references>
      </pivotArea>
    </format>
    <format dxfId="63">
      <pivotArea outline="0" collapsedLevelsAreSubtotals="1" fieldPosition="0">
        <references count="4">
          <reference field="4294967294" count="1" selected="0">
            <x v="5"/>
          </reference>
          <reference field="0" count="1" selected="0">
            <x v="5"/>
          </reference>
          <reference field="4" count="2" selected="0">
            <x v="8"/>
            <x v="9"/>
          </reference>
          <reference field="43" count="1" selected="0">
            <x v="1"/>
          </reference>
        </references>
      </pivotArea>
    </format>
    <format dxfId="62">
      <pivotArea outline="0" collapsedLevelsAreSubtotals="1" fieldPosition="0">
        <references count="4">
          <reference field="4294967294" count="1" selected="0">
            <x v="6"/>
          </reference>
          <reference field="0" count="1" selected="0">
            <x v="5"/>
          </reference>
          <reference field="4" count="1" selected="0">
            <x v="9"/>
          </reference>
          <reference field="43" count="1" selected="0">
            <x v="1"/>
          </reference>
        </references>
      </pivotArea>
    </format>
    <format dxfId="61">
      <pivotArea outline="0" collapsedLevelsAreSubtotals="1" fieldPosition="0">
        <references count="4">
          <reference field="4294967294" count="1" selected="0">
            <x v="6"/>
          </reference>
          <reference field="0" count="1" selected="0">
            <x v="6"/>
          </reference>
          <reference field="4" count="1" selected="0">
            <x v="11"/>
          </reference>
          <reference field="43" count="1" selected="0">
            <x v="3"/>
          </reference>
        </references>
      </pivotArea>
    </format>
    <format dxfId="60">
      <pivotArea outline="0" collapsedLevelsAreSubtotals="1" fieldPosition="0">
        <references count="4">
          <reference field="4294967294" count="1" selected="0">
            <x v="6"/>
          </reference>
          <reference field="0" count="1" selected="0">
            <x v="6"/>
          </reference>
          <reference field="4" count="1" selected="0">
            <x v="9"/>
          </reference>
          <reference field="43" count="1" selected="0">
            <x v="1"/>
          </reference>
        </references>
      </pivotArea>
    </format>
    <format dxfId="59">
      <pivotArea outline="0" collapsedLevelsAreSubtotals="1" fieldPosition="0">
        <references count="4">
          <reference field="4294967294" count="1" selected="0">
            <x v="5"/>
          </reference>
          <reference field="0" count="1" selected="0">
            <x v="12"/>
          </reference>
          <reference field="4" count="1" selected="0">
            <x v="8"/>
          </reference>
          <reference field="43" count="1" selected="0">
            <x v="1"/>
          </reference>
        </references>
      </pivotArea>
    </format>
    <format dxfId="58">
      <pivotArea outline="0" collapsedLevelsAreSubtotals="1" fieldPosition="0">
        <references count="4">
          <reference field="4294967294" count="1" selected="0">
            <x v="6"/>
          </reference>
          <reference field="0" count="1" selected="0">
            <x v="12"/>
          </reference>
          <reference field="4" count="1" selected="0">
            <x v="8"/>
          </reference>
          <reference field="43" count="1" selected="0">
            <x v="1"/>
          </reference>
        </references>
      </pivotArea>
    </format>
    <format dxfId="57">
      <pivotArea outline="0" collapsedLevelsAreSubtotals="1" fieldPosition="0">
        <references count="1">
          <reference field="43" count="4" selected="0" defaultSubtotal="1">
            <x v="0"/>
            <x v="1"/>
            <x v="2"/>
            <x v="3"/>
          </reference>
        </references>
      </pivotArea>
    </format>
    <format dxfId="56">
      <pivotArea dataOnly="0" labelOnly="1" outline="0" offset="IV256" fieldPosition="0">
        <references count="1">
          <reference field="43" count="1" defaultSubtotal="1">
            <x v="0"/>
          </reference>
        </references>
      </pivotArea>
    </format>
    <format dxfId="55">
      <pivotArea dataOnly="0" labelOnly="1" outline="0" offset="IV256" fieldPosition="0">
        <references count="1">
          <reference field="43" count="1" defaultSubtotal="1">
            <x v="1"/>
          </reference>
        </references>
      </pivotArea>
    </format>
    <format dxfId="54">
      <pivotArea dataOnly="0" labelOnly="1" outline="0" offset="IV256" fieldPosition="0">
        <references count="1">
          <reference field="43" count="1" defaultSubtotal="1">
            <x v="2"/>
          </reference>
        </references>
      </pivotArea>
    </format>
    <format dxfId="53">
      <pivotArea dataOnly="0" labelOnly="1" outline="0" offset="IV256" fieldPosition="0">
        <references count="1">
          <reference field="43" count="1" defaultSubtotal="1">
            <x v="3"/>
          </reference>
        </references>
      </pivotArea>
    </format>
    <format dxfId="52">
      <pivotArea dataOnly="0" labelOnly="1" outline="0" fieldPosition="0">
        <references count="2">
          <reference field="4" count="6">
            <x v="0"/>
            <x v="1"/>
            <x v="2"/>
            <x v="3"/>
            <x v="4"/>
            <x v="5"/>
          </reference>
          <reference field="43" count="1" selected="0">
            <x v="0"/>
          </reference>
        </references>
      </pivotArea>
    </format>
    <format dxfId="51">
      <pivotArea dataOnly="0" labelOnly="1" outline="0" fieldPosition="0">
        <references count="2">
          <reference field="4" count="4">
            <x v="6"/>
            <x v="7"/>
            <x v="8"/>
            <x v="9"/>
          </reference>
          <reference field="43" count="1" selected="0">
            <x v="1"/>
          </reference>
        </references>
      </pivotArea>
    </format>
    <format dxfId="50">
      <pivotArea dataOnly="0" labelOnly="1" outline="0" fieldPosition="0">
        <references count="2">
          <reference field="4" count="1">
            <x v="10"/>
          </reference>
          <reference field="43" count="1" selected="0">
            <x v="2"/>
          </reference>
        </references>
      </pivotArea>
    </format>
    <format dxfId="49">
      <pivotArea dataOnly="0" labelOnly="1" outline="0" fieldPosition="0">
        <references count="2">
          <reference field="4" count="2">
            <x v="11"/>
            <x v="12"/>
          </reference>
          <reference field="43" count="1" selected="0">
            <x v="3"/>
          </reference>
        </references>
      </pivotArea>
    </format>
    <format dxfId="48">
      <pivotArea outline="0" collapsedLevelsAreSubtotals="1" fieldPosition="0">
        <references count="4">
          <reference field="4294967294" count="1" selected="0">
            <x v="6"/>
          </reference>
          <reference field="0" count="1" selected="0">
            <x v="1"/>
          </reference>
          <reference field="4" count="1" selected="0">
            <x v="1"/>
          </reference>
          <reference field="43" count="1" selected="0">
            <x v="0"/>
          </reference>
        </references>
      </pivotArea>
    </format>
    <format dxfId="47">
      <pivotArea outline="0" collapsedLevelsAreSubtotals="1" fieldPosition="0">
        <references count="4">
          <reference field="4294967294" count="1" selected="0">
            <x v="6"/>
          </reference>
          <reference field="0" count="1" selected="0">
            <x v="1"/>
          </reference>
          <reference field="4" count="1" selected="0">
            <x v="4"/>
          </reference>
          <reference field="43" count="1" selected="0">
            <x v="0"/>
          </reference>
        </references>
      </pivotArea>
    </format>
    <format dxfId="46">
      <pivotArea outline="0" collapsedLevelsAreSubtotals="1" fieldPosition="0">
        <references count="4">
          <reference field="4294967294" count="1" selected="0">
            <x v="6"/>
          </reference>
          <reference field="0" count="1" selected="0">
            <x v="1"/>
          </reference>
          <reference field="4" count="1" selected="0">
            <x v="5"/>
          </reference>
          <reference field="43" count="1" selected="0">
            <x v="0"/>
          </reference>
        </references>
      </pivotArea>
    </format>
    <format dxfId="45">
      <pivotArea outline="0" collapsedLevelsAreSubtotals="1" fieldPosition="0">
        <references count="4">
          <reference field="4294967294" count="1" selected="0">
            <x v="2"/>
          </reference>
          <reference field="0" count="1" selected="0">
            <x v="1"/>
          </reference>
          <reference field="4" count="1" selected="0">
            <x v="1"/>
          </reference>
          <reference field="43" count="1" selected="0">
            <x v="0"/>
          </reference>
        </references>
      </pivotArea>
    </format>
    <format dxfId="44">
      <pivotArea outline="0" collapsedLevelsAreSubtotals="1" fieldPosition="0">
        <references count="4">
          <reference field="4294967294" count="1" selected="0">
            <x v="5"/>
          </reference>
          <reference field="0" count="1" selected="0">
            <x v="1"/>
          </reference>
          <reference field="4" count="1" selected="0">
            <x v="1"/>
          </reference>
          <reference field="43" count="1" selected="0">
            <x v="0"/>
          </reference>
        </references>
      </pivotArea>
    </format>
    <format dxfId="43">
      <pivotArea outline="0" collapsedLevelsAreSubtotals="1" fieldPosition="0">
        <references count="4">
          <reference field="4294967294" count="1" selected="0">
            <x v="5"/>
          </reference>
          <reference field="0" count="1" selected="0">
            <x v="1"/>
          </reference>
          <reference field="4" count="1" selected="0">
            <x v="4"/>
          </reference>
          <reference field="43" count="1" selected="0">
            <x v="0"/>
          </reference>
        </references>
      </pivotArea>
    </format>
    <format dxfId="42">
      <pivotArea outline="0" collapsedLevelsAreSubtotals="1" fieldPosition="0">
        <references count="4">
          <reference field="4294967294" count="1" selected="0">
            <x v="5"/>
          </reference>
          <reference field="0" count="1" selected="0">
            <x v="1"/>
          </reference>
          <reference field="4" count="1" selected="0">
            <x v="8"/>
          </reference>
          <reference field="43" count="1" selected="0">
            <x v="1"/>
          </reference>
        </references>
      </pivotArea>
    </format>
    <format dxfId="41">
      <pivotArea outline="0" collapsedLevelsAreSubtotals="1" fieldPosition="0">
        <references count="4">
          <reference field="4294967294" count="1" selected="0">
            <x v="2"/>
          </reference>
          <reference field="0" count="1" selected="0">
            <x v="1"/>
          </reference>
          <reference field="4" count="1" selected="0">
            <x v="9"/>
          </reference>
          <reference field="43" count="1" selected="0">
            <x v="1"/>
          </reference>
        </references>
      </pivotArea>
    </format>
    <format dxfId="40">
      <pivotArea outline="0" collapsedLevelsAreSubtotals="1" fieldPosition="0">
        <references count="4">
          <reference field="4294967294" count="1" selected="0">
            <x v="5"/>
          </reference>
          <reference field="0" count="1" selected="0">
            <x v="1"/>
          </reference>
          <reference field="4" count="1" selected="0">
            <x v="9"/>
          </reference>
          <reference field="43" count="1" selected="0">
            <x v="1"/>
          </reference>
        </references>
      </pivotArea>
    </format>
    <format dxfId="39">
      <pivotArea outline="0" collapsedLevelsAreSubtotals="1" fieldPosition="0">
        <references count="4">
          <reference field="4294967294" count="1" selected="0">
            <x v="2"/>
          </reference>
          <reference field="0" count="1" selected="0">
            <x v="3"/>
          </reference>
          <reference field="4" count="1" selected="0">
            <x v="8"/>
          </reference>
          <reference field="43" count="1" selected="0">
            <x v="1"/>
          </reference>
        </references>
      </pivotArea>
    </format>
    <format dxfId="38">
      <pivotArea outline="0" collapsedLevelsAreSubtotals="1" fieldPosition="0">
        <references count="4">
          <reference field="4294967294" count="1" selected="0">
            <x v="5"/>
          </reference>
          <reference field="0" count="1" selected="0">
            <x v="3"/>
          </reference>
          <reference field="4" count="1" selected="0">
            <x v="8"/>
          </reference>
          <reference field="43" count="1" selected="0">
            <x v="1"/>
          </reference>
        </references>
      </pivotArea>
    </format>
    <format dxfId="37">
      <pivotArea outline="0" collapsedLevelsAreSubtotals="1" fieldPosition="0">
        <references count="4">
          <reference field="4294967294" count="1" selected="0">
            <x v="6"/>
          </reference>
          <reference field="0" count="1" selected="0">
            <x v="3"/>
          </reference>
          <reference field="4" count="1" selected="0">
            <x v="8"/>
          </reference>
          <reference field="43" count="1" selected="0">
            <x v="1"/>
          </reference>
        </references>
      </pivotArea>
    </format>
    <format dxfId="36">
      <pivotArea outline="0" collapsedLevelsAreSubtotals="1" fieldPosition="0">
        <references count="4">
          <reference field="4294967294" count="1" selected="0">
            <x v="6"/>
          </reference>
          <reference field="0" count="1" selected="0">
            <x v="4"/>
          </reference>
          <reference field="4" count="1" selected="0">
            <x v="8"/>
          </reference>
          <reference field="43" count="1" selected="0">
            <x v="1"/>
          </reference>
        </references>
      </pivotArea>
    </format>
    <format dxfId="35">
      <pivotArea outline="0" collapsedLevelsAreSubtotals="1" fieldPosition="0">
        <references count="4">
          <reference field="4294967294" count="1" selected="0">
            <x v="6"/>
          </reference>
          <reference field="0" count="1" selected="0">
            <x v="4"/>
          </reference>
          <reference field="4" count="1" selected="0">
            <x v="11"/>
          </reference>
          <reference field="43" count="1" selected="0">
            <x v="3"/>
          </reference>
        </references>
      </pivotArea>
    </format>
    <format dxfId="34">
      <pivotArea outline="0" collapsedLevelsAreSubtotals="1" fieldPosition="0">
        <references count="4">
          <reference field="4294967294" count="1" selected="0">
            <x v="6"/>
          </reference>
          <reference field="0" count="1" selected="0">
            <x v="5"/>
          </reference>
          <reference field="4" count="1" selected="0">
            <x v="11"/>
          </reference>
          <reference field="43" count="1" selected="0">
            <x v="3"/>
          </reference>
        </references>
      </pivotArea>
    </format>
    <format dxfId="33">
      <pivotArea outline="0" collapsedLevelsAreSubtotals="1" fieldPosition="0">
        <references count="4">
          <reference field="4294967294" count="1" selected="0">
            <x v="6"/>
          </reference>
          <reference field="0" count="1" selected="0">
            <x v="6"/>
          </reference>
          <reference field="4" count="1" selected="0">
            <x v="5"/>
          </reference>
          <reference field="43" count="1" selected="0">
            <x v="0"/>
          </reference>
        </references>
      </pivotArea>
    </format>
    <format dxfId="32">
      <pivotArea outline="0" collapsedLevelsAreSubtotals="1" fieldPosition="0">
        <references count="4">
          <reference field="4294967294" count="1" selected="0">
            <x v="2"/>
          </reference>
          <reference field="0" count="1" selected="0">
            <x v="6"/>
          </reference>
          <reference field="4" count="1" selected="0">
            <x v="5"/>
          </reference>
          <reference field="43" count="1" selected="0">
            <x v="0"/>
          </reference>
        </references>
      </pivotArea>
    </format>
    <format dxfId="31">
      <pivotArea outline="0" collapsedLevelsAreSubtotals="1" fieldPosition="0">
        <references count="4">
          <reference field="4294967294" count="1" selected="0">
            <x v="5"/>
          </reference>
          <reference field="0" count="1" selected="0">
            <x v="6"/>
          </reference>
          <reference field="4" count="1" selected="0">
            <x v="5"/>
          </reference>
          <reference field="43" count="1" selected="0">
            <x v="0"/>
          </reference>
        </references>
      </pivotArea>
    </format>
    <format dxfId="30">
      <pivotArea outline="0" collapsedLevelsAreSubtotals="1" fieldPosition="0">
        <references count="4">
          <reference field="4294967294" count="1" selected="0">
            <x v="2"/>
          </reference>
          <reference field="0" count="1" selected="0">
            <x v="6"/>
          </reference>
          <reference field="4" count="1" selected="0">
            <x v="9"/>
          </reference>
          <reference field="43" count="1" selected="0">
            <x v="1"/>
          </reference>
        </references>
      </pivotArea>
    </format>
    <format dxfId="29">
      <pivotArea outline="0" collapsedLevelsAreSubtotals="1" fieldPosition="0">
        <references count="4">
          <reference field="4294967294" count="1" selected="0">
            <x v="5"/>
          </reference>
          <reference field="0" count="1" selected="0">
            <x v="6"/>
          </reference>
          <reference field="4" count="1" selected="0">
            <x v="9"/>
          </reference>
          <reference field="43" count="1" selected="0">
            <x v="1"/>
          </reference>
        </references>
      </pivotArea>
    </format>
    <format dxfId="28">
      <pivotArea outline="0" collapsedLevelsAreSubtotals="1" fieldPosition="0">
        <references count="4">
          <reference field="4294967294" count="1" selected="0">
            <x v="6"/>
          </reference>
          <reference field="0" count="1" selected="0">
            <x v="9"/>
          </reference>
          <reference field="4" count="1" selected="0">
            <x v="3"/>
          </reference>
          <reference field="43" count="1" selected="0">
            <x v="0"/>
          </reference>
        </references>
      </pivotArea>
    </format>
    <format dxfId="27">
      <pivotArea outline="0" collapsedLevelsAreSubtotals="1" fieldPosition="0">
        <references count="4">
          <reference field="4294967294" count="1" selected="0">
            <x v="6"/>
          </reference>
          <reference field="0" count="1" selected="0">
            <x v="9"/>
          </reference>
          <reference field="4" count="1" selected="0">
            <x v="8"/>
          </reference>
          <reference field="43" count="1" selected="0">
            <x v="1"/>
          </reference>
        </references>
      </pivotArea>
    </format>
    <format dxfId="26">
      <pivotArea outline="0" collapsedLevelsAreSubtotals="1" fieldPosition="0">
        <references count="4">
          <reference field="4294967294" count="1" selected="0">
            <x v="6"/>
          </reference>
          <reference field="0" count="1" selected="0">
            <x v="9"/>
          </reference>
          <reference field="4" count="1" selected="0">
            <x v="9"/>
          </reference>
          <reference field="43" count="1" selected="0">
            <x v="1"/>
          </reference>
        </references>
      </pivotArea>
    </format>
    <format dxfId="25">
      <pivotArea outline="0" collapsedLevelsAreSubtotals="1" fieldPosition="0">
        <references count="4">
          <reference field="4294967294" count="1" selected="0">
            <x v="2"/>
          </reference>
          <reference field="0" count="1" selected="0">
            <x v="11"/>
          </reference>
          <reference field="4" count="1" selected="0">
            <x v="4"/>
          </reference>
          <reference field="43" count="1" selected="0">
            <x v="0"/>
          </reference>
        </references>
      </pivotArea>
    </format>
    <format dxfId="24">
      <pivotArea outline="0" collapsedLevelsAreSubtotals="1" fieldPosition="0">
        <references count="4">
          <reference field="4294967294" count="1" selected="0">
            <x v="5"/>
          </reference>
          <reference field="0" count="1" selected="0">
            <x v="11"/>
          </reference>
          <reference field="4" count="1" selected="0">
            <x v="4"/>
          </reference>
          <reference field="43" count="1" selected="0">
            <x v="0"/>
          </reference>
        </references>
      </pivotArea>
    </format>
    <format dxfId="23">
      <pivotArea outline="0" collapsedLevelsAreSubtotals="1" fieldPosition="0">
        <references count="4">
          <reference field="4294967294" count="1" selected="0">
            <x v="6"/>
          </reference>
          <reference field="0" count="1" selected="0">
            <x v="11"/>
          </reference>
          <reference field="4" count="1" selected="0">
            <x v="5"/>
          </reference>
          <reference field="43" count="1" selected="0">
            <x v="0"/>
          </reference>
        </references>
      </pivotArea>
    </format>
    <format dxfId="22">
      <pivotArea outline="0" collapsedLevelsAreSubtotals="1" fieldPosition="0">
        <references count="4">
          <reference field="4294967294" count="1" selected="0">
            <x v="6"/>
          </reference>
          <reference field="0" count="1" selected="0">
            <x v="11"/>
          </reference>
          <reference field="4" count="1" selected="0">
            <x v="9"/>
          </reference>
          <reference field="43" count="1" selected="0">
            <x v="1"/>
          </reference>
        </references>
      </pivotArea>
    </format>
    <format dxfId="21">
      <pivotArea outline="0" collapsedLevelsAreSubtotals="1" fieldPosition="0">
        <references count="4">
          <reference field="4294967294" count="1" selected="0">
            <x v="5"/>
          </reference>
          <reference field="0" count="1" selected="0">
            <x v="12"/>
          </reference>
          <reference field="4" count="1" selected="0">
            <x v="0"/>
          </reference>
          <reference field="43" count="1" selected="0">
            <x v="0"/>
          </reference>
        </references>
      </pivotArea>
    </format>
    <format dxfId="20">
      <pivotArea outline="0" collapsedLevelsAreSubtotals="1" fieldPosition="0">
        <references count="4">
          <reference field="4294967294" count="1" selected="0">
            <x v="6"/>
          </reference>
          <reference field="0" count="1" selected="0">
            <x v="12"/>
          </reference>
          <reference field="4" count="1" selected="0">
            <x v="0"/>
          </reference>
          <reference field="43" count="1" selected="0">
            <x v="0"/>
          </reference>
        </references>
      </pivotArea>
    </format>
    <format dxfId="19">
      <pivotArea outline="0" collapsedLevelsAreSubtotals="1" fieldPosition="0">
        <references count="4">
          <reference field="4294967294" count="1" selected="0">
            <x v="2"/>
          </reference>
          <reference field="0" count="1" selected="0">
            <x v="13"/>
          </reference>
          <reference field="4" count="1" selected="0">
            <x v="2"/>
          </reference>
          <reference field="43" count="1" selected="0">
            <x v="0"/>
          </reference>
        </references>
      </pivotArea>
    </format>
    <format dxfId="18">
      <pivotArea outline="0" collapsedLevelsAreSubtotals="1" fieldPosition="0">
        <references count="4">
          <reference field="4294967294" count="1" selected="0">
            <x v="5"/>
          </reference>
          <reference field="0" count="1" selected="0">
            <x v="13"/>
          </reference>
          <reference field="4" count="1" selected="0">
            <x v="2"/>
          </reference>
          <reference field="43" count="1" selected="0">
            <x v="0"/>
          </reference>
        </references>
      </pivotArea>
    </format>
    <format dxfId="17">
      <pivotArea outline="0" collapsedLevelsAreSubtotals="1" fieldPosition="0">
        <references count="4">
          <reference field="4294967294" count="1" selected="0">
            <x v="2"/>
          </reference>
          <reference field="0" count="1" selected="0">
            <x v="13"/>
          </reference>
          <reference field="4" count="1" selected="0">
            <x v="6"/>
          </reference>
          <reference field="43" count="1" selected="0">
            <x v="1"/>
          </reference>
        </references>
      </pivotArea>
    </format>
    <format dxfId="16">
      <pivotArea outline="0" collapsedLevelsAreSubtotals="1" fieldPosition="0">
        <references count="4">
          <reference field="4294967294" count="1" selected="0">
            <x v="5"/>
          </reference>
          <reference field="0" count="1" selected="0">
            <x v="13"/>
          </reference>
          <reference field="4" count="1" selected="0">
            <x v="6"/>
          </reference>
          <reference field="43" count="1" selected="0">
            <x v="1"/>
          </reference>
        </references>
      </pivotArea>
    </format>
    <format dxfId="15">
      <pivotArea outline="0" collapsedLevelsAreSubtotals="1" fieldPosition="0">
        <references count="4">
          <reference field="4294967294" count="1" selected="0">
            <x v="6"/>
          </reference>
          <reference field="0" count="1" selected="0">
            <x v="13"/>
          </reference>
          <reference field="4" count="1" selected="0">
            <x v="6"/>
          </reference>
          <reference field="43" count="1" selected="0">
            <x v="1"/>
          </reference>
        </references>
      </pivotArea>
    </format>
    <format dxfId="14">
      <pivotArea outline="0" collapsedLevelsAreSubtotals="1" fieldPosition="0">
        <references count="4">
          <reference field="4294967294" count="1" selected="0">
            <x v="6"/>
          </reference>
          <reference field="0" count="1" selected="0">
            <x v="14"/>
          </reference>
          <reference field="4" count="1" selected="0">
            <x v="8"/>
          </reference>
          <reference field="43" count="1" selected="0">
            <x v="1"/>
          </reference>
        </references>
      </pivotArea>
    </format>
    <format dxfId="13">
      <pivotArea outline="0" collapsedLevelsAreSubtotals="1" fieldPosition="0">
        <references count="4">
          <reference field="4294967294" count="1" selected="0">
            <x v="6"/>
          </reference>
          <reference field="0" count="1" selected="0">
            <x v="14"/>
          </reference>
          <reference field="4" count="1" selected="0">
            <x v="9"/>
          </reference>
          <reference field="43" count="1" selected="0">
            <x v="1"/>
          </reference>
        </references>
      </pivotArea>
    </format>
    <format dxfId="12">
      <pivotArea outline="0" collapsedLevelsAreSubtotals="1" fieldPosition="0">
        <references count="4">
          <reference field="4294967294" count="1" selected="0">
            <x v="2"/>
          </reference>
          <reference field="0" count="1" selected="0">
            <x v="1"/>
          </reference>
          <reference field="4" count="1" selected="0">
            <x v="5"/>
          </reference>
          <reference field="43" count="1" selected="0">
            <x v="0"/>
          </reference>
        </references>
      </pivotArea>
    </format>
    <format dxfId="11">
      <pivotArea outline="0" collapsedLevelsAreSubtotals="1" fieldPosition="0">
        <references count="4">
          <reference field="4294967294" count="1" selected="0">
            <x v="5"/>
          </reference>
          <reference field="0" count="1" selected="0">
            <x v="1"/>
          </reference>
          <reference field="4" count="1" selected="0">
            <x v="5"/>
          </reference>
          <reference field="43" count="1" selected="0">
            <x v="0"/>
          </reference>
        </references>
      </pivotArea>
    </format>
    <format dxfId="10">
      <pivotArea outline="0" fieldPosition="0">
        <references count="4">
          <reference field="4294967294" count="1" selected="0">
            <x v="2"/>
          </reference>
          <reference field="0" count="1" selected="0">
            <x v="14"/>
          </reference>
          <reference field="4" count="2" selected="0">
            <x v="8"/>
            <x v="9"/>
          </reference>
          <reference field="43" count="1" selected="0">
            <x v="1"/>
          </reference>
        </references>
      </pivotArea>
    </format>
    <format dxfId="9">
      <pivotArea outline="0" fieldPosition="0">
        <references count="4">
          <reference field="4294967294" count="1" selected="0">
            <x v="5"/>
          </reference>
          <reference field="0" count="1" selected="0">
            <x v="14"/>
          </reference>
          <reference field="4" count="2" selected="0">
            <x v="8"/>
            <x v="9"/>
          </reference>
          <reference field="43" count="1" selected="0">
            <x v="1"/>
          </reference>
        </references>
      </pivotArea>
    </format>
    <format dxfId="8">
      <pivotArea outline="0" fieldPosition="0">
        <references count="4">
          <reference field="4294967294" count="1" selected="0">
            <x v="5"/>
          </reference>
          <reference field="0" count="1" selected="0">
            <x v="9"/>
          </reference>
          <reference field="4" count="2" selected="0">
            <x v="8"/>
            <x v="9"/>
          </reference>
          <reference field="43" count="1" selected="0">
            <x v="1"/>
          </reference>
        </references>
      </pivotArea>
    </format>
    <format dxfId="7">
      <pivotArea outline="0" fieldPosition="0">
        <references count="4">
          <reference field="4294967294" count="1" selected="0">
            <x v="2"/>
          </reference>
          <reference field="0" count="1" selected="0">
            <x v="9"/>
          </reference>
          <reference field="4" count="2" selected="0">
            <x v="8"/>
            <x v="9"/>
          </reference>
          <reference field="43" count="1" selected="0">
            <x v="1"/>
          </reference>
        </references>
      </pivotArea>
    </format>
    <format dxfId="6">
      <pivotArea outline="0" fieldPosition="0">
        <references count="4">
          <reference field="4294967294" count="1" selected="0">
            <x v="2"/>
          </reference>
          <reference field="0" count="1" selected="0">
            <x v="1"/>
          </reference>
          <reference field="4" count="1" selected="0">
            <x v="4"/>
          </reference>
          <reference field="43" count="1" selected="0">
            <x v="0"/>
          </reference>
        </references>
      </pivotArea>
    </format>
    <format dxfId="5">
      <pivotArea outline="0" fieldPosition="0">
        <references count="3">
          <reference field="4294967294" count="1" selected="0">
            <x v="2"/>
          </reference>
          <reference field="0" count="1" selected="0">
            <x v="1"/>
          </reference>
          <reference field="43" count="1" selected="0" defaultSubtotal="1">
            <x v="1"/>
          </reference>
        </references>
      </pivotArea>
    </format>
    <format dxfId="4">
      <pivotArea outline="0" fieldPosition="0">
        <references count="4">
          <reference field="4294967294" count="1" selected="0">
            <x v="2"/>
          </reference>
          <reference field="0" count="1" selected="0">
            <x v="1"/>
          </reference>
          <reference field="4" count="1" selected="0">
            <x v="8"/>
          </reference>
          <reference field="43" count="1" selected="0">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6"/>
  </sheetPr>
  <dimension ref="A1:CJ266"/>
  <sheetViews>
    <sheetView showZeros="0" tabSelected="1" view="pageBreakPreview" topLeftCell="A202" zoomScaleNormal="80" zoomScaleSheetLayoutView="100" workbookViewId="0">
      <selection activeCell="B225" sqref="B225"/>
    </sheetView>
  </sheetViews>
  <sheetFormatPr defaultRowHeight="12.75"/>
  <cols>
    <col min="1" max="1" width="16.83203125" style="345" customWidth="1"/>
    <col min="2" max="2" width="12.1640625" style="345" customWidth="1"/>
    <col min="3" max="3" width="12" style="345" customWidth="1"/>
    <col min="4" max="4" width="12.1640625" style="345" customWidth="1"/>
    <col min="5" max="5" width="11.6640625" style="345" customWidth="1"/>
    <col min="6" max="6" width="12.83203125" style="345" customWidth="1"/>
    <col min="7" max="7" width="11.6640625" style="345" customWidth="1"/>
    <col min="8" max="8" width="11.83203125" style="270" customWidth="1"/>
    <col min="9" max="9" width="11.6640625" style="345" customWidth="1"/>
    <col min="10" max="10" width="11.1640625" style="270" customWidth="1"/>
    <col min="11" max="11" width="11.6640625" style="270" customWidth="1"/>
    <col min="12" max="12" width="9" style="270" customWidth="1"/>
    <col min="13" max="13" width="9.6640625" style="269" customWidth="1"/>
    <col min="14" max="14" width="12.1640625" style="345" bestFit="1" customWidth="1"/>
    <col min="15" max="15" width="9.6640625" style="345" customWidth="1"/>
    <col min="16" max="16" width="12" style="345" customWidth="1"/>
    <col min="17" max="17" width="12.33203125" style="345" customWidth="1"/>
    <col min="18" max="18" width="14.6640625" style="345" customWidth="1"/>
    <col min="19" max="19" width="15.6640625" style="345" customWidth="1"/>
    <col min="20" max="20" width="13.6640625" style="345" customWidth="1"/>
    <col min="21" max="21" width="13.83203125" style="345" customWidth="1"/>
    <col min="22" max="22" width="12.33203125" style="345" customWidth="1"/>
    <col min="23" max="23" width="12.83203125" style="345" customWidth="1"/>
    <col min="24" max="24" width="11.33203125" style="345" customWidth="1"/>
    <col min="25" max="26" width="13.33203125" style="345" customWidth="1"/>
    <col min="27" max="27" width="12.1640625" style="345" customWidth="1"/>
    <col min="28" max="28" width="12.5" style="345" customWidth="1"/>
    <col min="29" max="29" width="16.33203125" style="345" customWidth="1"/>
    <col min="30" max="30" width="9.83203125" style="345" customWidth="1"/>
    <col min="31" max="31" width="11.5" style="345" customWidth="1"/>
    <col min="32" max="32" width="10.83203125" style="345" customWidth="1"/>
    <col min="33" max="33" width="10" style="345" customWidth="1"/>
    <col min="34" max="34" width="11.1640625" style="345" customWidth="1"/>
    <col min="35" max="35" width="13.1640625" style="345" customWidth="1"/>
    <col min="36" max="36" width="13.5" style="345" customWidth="1"/>
    <col min="37" max="37" width="9.5" style="345" customWidth="1"/>
    <col min="38" max="38" width="12.5" style="345" customWidth="1"/>
    <col min="39" max="39" width="10" style="345" customWidth="1"/>
    <col min="40" max="40" width="11.5" style="345" customWidth="1"/>
    <col min="41" max="41" width="13.5" style="345" customWidth="1"/>
    <col min="42" max="42" width="12" style="345" customWidth="1"/>
    <col min="43" max="43" width="13" style="345" customWidth="1"/>
    <col min="44" max="44" width="17.5" style="345" customWidth="1"/>
    <col min="45" max="45" width="9.5" style="345" bestFit="1" customWidth="1"/>
    <col min="46" max="46" width="11" style="345" customWidth="1"/>
    <col min="47" max="48" width="9.33203125" style="345"/>
    <col min="49" max="49" width="11.1640625" style="345" customWidth="1"/>
    <col min="50" max="50" width="9.33203125" style="345"/>
    <col min="51" max="52" width="15.1640625" style="345" customWidth="1"/>
    <col min="53" max="56" width="9.33203125" style="345"/>
    <col min="57" max="57" width="12.33203125" style="345" customWidth="1"/>
    <col min="58" max="16384" width="9.33203125" style="345"/>
  </cols>
  <sheetData>
    <row r="1" spans="1:50" ht="18">
      <c r="A1" s="395" t="s">
        <v>839</v>
      </c>
      <c r="B1" s="396"/>
      <c r="C1" s="396"/>
      <c r="D1" s="396"/>
      <c r="E1" s="396"/>
      <c r="F1" s="396"/>
      <c r="G1" s="396"/>
      <c r="H1" s="397"/>
      <c r="I1" s="396"/>
      <c r="J1" s="397"/>
      <c r="K1" s="397"/>
      <c r="L1" s="397"/>
      <c r="M1" s="398"/>
      <c r="N1" s="399"/>
      <c r="O1" s="400"/>
    </row>
    <row r="2" spans="1:50" ht="13.5" customHeight="1">
      <c r="A2" s="401"/>
      <c r="B2" s="401"/>
      <c r="C2" s="401"/>
      <c r="D2" s="401"/>
      <c r="E2" s="401"/>
      <c r="F2" s="401"/>
      <c r="G2" s="401"/>
      <c r="H2" s="402"/>
      <c r="I2" s="401"/>
      <c r="J2" s="402"/>
      <c r="K2" s="402"/>
      <c r="L2" s="402"/>
      <c r="M2" s="403"/>
      <c r="N2" s="404"/>
      <c r="O2" s="400"/>
    </row>
    <row r="3" spans="1:50" ht="15.75">
      <c r="A3" s="405" t="s">
        <v>840</v>
      </c>
      <c r="B3" s="400"/>
      <c r="C3" s="400"/>
      <c r="D3" s="400"/>
      <c r="E3" s="400"/>
      <c r="F3" s="400"/>
      <c r="G3" s="400"/>
      <c r="H3" s="406"/>
      <c r="I3" s="400"/>
      <c r="J3" s="406"/>
      <c r="K3" s="406"/>
      <c r="L3" s="406"/>
      <c r="M3" s="407"/>
      <c r="N3" s="400"/>
      <c r="O3" s="404"/>
    </row>
    <row r="4" spans="1:50" ht="15.75">
      <c r="A4" s="405" t="s">
        <v>957</v>
      </c>
      <c r="B4" s="400"/>
      <c r="C4" s="400"/>
      <c r="D4" s="400"/>
      <c r="E4" s="400"/>
      <c r="F4" s="400"/>
      <c r="G4" s="400"/>
      <c r="H4" s="406"/>
      <c r="I4" s="400"/>
      <c r="J4" s="406"/>
      <c r="K4" s="406"/>
      <c r="L4" s="406"/>
      <c r="M4" s="407"/>
      <c r="N4" s="408"/>
      <c r="O4" s="400"/>
    </row>
    <row r="5" spans="1:50" ht="12.75" customHeight="1">
      <c r="B5" s="409"/>
      <c r="C5" s="409"/>
      <c r="D5" s="409"/>
      <c r="E5" s="409"/>
      <c r="F5" s="409"/>
      <c r="G5" s="409"/>
      <c r="H5" s="372"/>
      <c r="I5" s="409"/>
      <c r="J5" s="372"/>
      <c r="K5" s="372"/>
      <c r="L5" s="372"/>
      <c r="M5" s="410"/>
      <c r="Q5" s="411" t="s">
        <v>841</v>
      </c>
      <c r="AI5" s="412" t="s">
        <v>842</v>
      </c>
      <c r="AR5" s="412" t="s">
        <v>842</v>
      </c>
    </row>
    <row r="6" spans="1:50" ht="15" customHeight="1">
      <c r="A6" s="413"/>
      <c r="B6" s="414" t="s">
        <v>833</v>
      </c>
      <c r="C6" s="415"/>
      <c r="D6" s="415"/>
      <c r="E6" s="415"/>
      <c r="F6" s="415"/>
      <c r="G6" s="415"/>
      <c r="H6" s="416"/>
      <c r="I6" s="417"/>
      <c r="J6" s="417"/>
      <c r="K6" s="417"/>
      <c r="L6" s="417"/>
      <c r="M6" s="417"/>
      <c r="N6" s="417"/>
      <c r="O6" s="417"/>
      <c r="Q6" s="412" t="s">
        <v>843</v>
      </c>
      <c r="AI6" s="418" t="s">
        <v>844</v>
      </c>
      <c r="AR6" s="418" t="s">
        <v>844</v>
      </c>
    </row>
    <row r="7" spans="1:50" ht="17.25" customHeight="1">
      <c r="A7" s="419"/>
      <c r="B7" s="420">
        <v>1</v>
      </c>
      <c r="C7" s="400"/>
      <c r="D7" s="421">
        <v>2</v>
      </c>
      <c r="E7" s="400"/>
      <c r="F7" s="421">
        <v>3</v>
      </c>
      <c r="G7" s="400"/>
      <c r="H7" s="421">
        <v>4</v>
      </c>
      <c r="I7" s="422"/>
      <c r="J7" s="421">
        <v>5</v>
      </c>
      <c r="K7" s="422"/>
      <c r="L7" s="421">
        <v>6</v>
      </c>
      <c r="M7" s="423"/>
      <c r="N7" s="421" t="s">
        <v>845</v>
      </c>
      <c r="O7" s="422"/>
      <c r="P7" s="424"/>
      <c r="Q7" s="425"/>
      <c r="R7" s="425" t="s">
        <v>846</v>
      </c>
      <c r="S7" s="425"/>
      <c r="T7" s="426">
        <v>2</v>
      </c>
      <c r="U7" s="425"/>
      <c r="V7" s="426">
        <v>3</v>
      </c>
      <c r="W7" s="425"/>
      <c r="X7" s="426">
        <v>4</v>
      </c>
      <c r="Y7" s="425"/>
      <c r="Z7" s="426">
        <v>5</v>
      </c>
      <c r="AA7" s="425"/>
      <c r="AB7" s="426">
        <v>6</v>
      </c>
      <c r="AC7" s="425"/>
      <c r="AD7" s="426" t="s">
        <v>847</v>
      </c>
      <c r="AE7" s="425"/>
      <c r="AI7" s="427" t="s">
        <v>846</v>
      </c>
      <c r="AJ7" s="427">
        <v>2</v>
      </c>
      <c r="AK7" s="427">
        <v>3</v>
      </c>
      <c r="AL7" s="427">
        <v>4</v>
      </c>
      <c r="AM7" s="427">
        <v>5</v>
      </c>
      <c r="AN7" s="427">
        <v>6</v>
      </c>
      <c r="AO7" s="427" t="s">
        <v>845</v>
      </c>
      <c r="AR7" s="427" t="s">
        <v>846</v>
      </c>
      <c r="AS7" s="427">
        <v>2</v>
      </c>
      <c r="AT7" s="427">
        <v>3</v>
      </c>
      <c r="AU7" s="427">
        <v>4</v>
      </c>
      <c r="AV7" s="427">
        <v>5</v>
      </c>
      <c r="AW7" s="427">
        <v>6</v>
      </c>
      <c r="AX7" s="427" t="s">
        <v>845</v>
      </c>
    </row>
    <row r="8" spans="1:50" ht="77.25" customHeight="1">
      <c r="A8" s="428"/>
      <c r="B8" s="429" t="s">
        <v>848</v>
      </c>
      <c r="C8" s="430" t="s">
        <v>849</v>
      </c>
      <c r="D8" s="431" t="s">
        <v>848</v>
      </c>
      <c r="E8" s="430" t="s">
        <v>849</v>
      </c>
      <c r="F8" s="431" t="s">
        <v>848</v>
      </c>
      <c r="G8" s="430" t="s">
        <v>849</v>
      </c>
      <c r="H8" s="431" t="s">
        <v>848</v>
      </c>
      <c r="I8" s="430" t="s">
        <v>849</v>
      </c>
      <c r="J8" s="431" t="s">
        <v>848</v>
      </c>
      <c r="K8" s="430" t="s">
        <v>849</v>
      </c>
      <c r="L8" s="431" t="s">
        <v>848</v>
      </c>
      <c r="M8" s="432" t="s">
        <v>849</v>
      </c>
      <c r="N8" s="431" t="s">
        <v>848</v>
      </c>
      <c r="O8" s="430" t="s">
        <v>849</v>
      </c>
      <c r="P8" s="433"/>
      <c r="Q8" s="434"/>
      <c r="R8" s="435" t="s">
        <v>850</v>
      </c>
      <c r="S8" s="435" t="s">
        <v>851</v>
      </c>
      <c r="T8" s="436" t="s">
        <v>850</v>
      </c>
      <c r="U8" s="435" t="s">
        <v>851</v>
      </c>
      <c r="V8" s="436" t="s">
        <v>850</v>
      </c>
      <c r="W8" s="435" t="s">
        <v>851</v>
      </c>
      <c r="X8" s="436" t="s">
        <v>850</v>
      </c>
      <c r="Y8" s="435" t="s">
        <v>851</v>
      </c>
      <c r="Z8" s="436" t="s">
        <v>850</v>
      </c>
      <c r="AA8" s="435" t="s">
        <v>851</v>
      </c>
      <c r="AB8" s="436" t="s">
        <v>850</v>
      </c>
      <c r="AC8" s="435" t="s">
        <v>851</v>
      </c>
      <c r="AD8" s="436" t="s">
        <v>850</v>
      </c>
      <c r="AE8" s="435" t="s">
        <v>851</v>
      </c>
      <c r="AI8" s="437" t="s">
        <v>852</v>
      </c>
      <c r="AJ8" s="437" t="s">
        <v>852</v>
      </c>
      <c r="AK8" s="437" t="s">
        <v>852</v>
      </c>
      <c r="AL8" s="437" t="s">
        <v>852</v>
      </c>
      <c r="AM8" s="437" t="s">
        <v>852</v>
      </c>
      <c r="AN8" s="437" t="s">
        <v>852</v>
      </c>
      <c r="AO8" s="437" t="s">
        <v>852</v>
      </c>
      <c r="AR8" s="437" t="s">
        <v>852</v>
      </c>
      <c r="AS8" s="437" t="s">
        <v>852</v>
      </c>
      <c r="AT8" s="437" t="s">
        <v>852</v>
      </c>
      <c r="AU8" s="437" t="s">
        <v>852</v>
      </c>
      <c r="AV8" s="437" t="s">
        <v>852</v>
      </c>
      <c r="AW8" s="437" t="s">
        <v>852</v>
      </c>
      <c r="AX8" s="437" t="s">
        <v>852</v>
      </c>
    </row>
    <row r="9" spans="1:50" ht="15" customHeight="1">
      <c r="A9" s="345" t="s">
        <v>853</v>
      </c>
      <c r="B9" s="438">
        <f>+GETPIVOTDATA("Sum of New-Total Undg SCH FTE",'FTE Pivot for regular counts'!$A$2,"Category",1,"Category2","Group1")</f>
        <v>1008564.48</v>
      </c>
      <c r="C9" s="439"/>
      <c r="D9" s="440">
        <f>+GETPIVOTDATA("Sum of New-Total Undg SCH FTE",'FTE Pivot for regular counts'!$A$2,"Category",2,"Category2","Four-Year")</f>
        <v>203237.45333333337</v>
      </c>
      <c r="E9" s="439"/>
      <c r="F9" s="441">
        <f>+GETPIVOTDATA("Sum of New-Total Undg SCH FTE",'FTE Pivot for regular counts'!$A$2,"Category",3,"Category2","Four-Year")</f>
        <v>567168.39133333345</v>
      </c>
      <c r="G9" s="439"/>
      <c r="H9" s="441">
        <f>+GETPIVOTDATA("Sum of New-Total Undg SCH FTE",'FTE Pivot for regular counts'!$A$2,"Category",4,"Category2","Four-Year")</f>
        <v>136785.87333333332</v>
      </c>
      <c r="I9" s="439"/>
      <c r="J9" s="441">
        <f>+GETPIVOTDATA("Sum of New-Total Undg SCH FTE",'FTE Pivot for regular counts'!$A$2,"Category",5,"Category2","Four-Year")</f>
        <v>93960.769333333315</v>
      </c>
      <c r="K9" s="439"/>
      <c r="L9" s="441">
        <f>+GETPIVOTDATA("Sum of New-Total Undg SCH FTE",'FTE Pivot for regular counts'!$A$2,"Category",6,"Category2","Four-Year")</f>
        <v>68963.072</v>
      </c>
      <c r="M9" s="439"/>
      <c r="N9" s="441">
        <f>+GETPIVOTDATA("Sum of New-Total Undg SCH FTE",'FTE Pivot for regular counts'!$A$2,"Category2","Four-Year")</f>
        <v>2078680.0393333333</v>
      </c>
      <c r="O9" s="439"/>
      <c r="Q9" s="345" t="s">
        <v>853</v>
      </c>
      <c r="R9" s="442"/>
      <c r="S9" s="443">
        <f>(C9-R9)*100</f>
        <v>0</v>
      </c>
      <c r="T9" s="444"/>
      <c r="U9" s="443">
        <f>(E9-T9)*100</f>
        <v>0</v>
      </c>
      <c r="V9" s="444"/>
      <c r="W9" s="443">
        <f>(G9-V9)*100</f>
        <v>0</v>
      </c>
      <c r="X9" s="444"/>
      <c r="Y9" s="443">
        <f>(I9-X9)*100</f>
        <v>0</v>
      </c>
      <c r="Z9" s="444"/>
      <c r="AA9" s="443">
        <f>(K9-Z9)*100</f>
        <v>0</v>
      </c>
      <c r="AB9" s="444"/>
      <c r="AC9" s="443">
        <f>(M9-AB9)*100</f>
        <v>0</v>
      </c>
      <c r="AD9" s="444"/>
      <c r="AE9" s="443">
        <f>(O9-AD9)*100</f>
        <v>0</v>
      </c>
      <c r="AF9" s="345" t="s">
        <v>853</v>
      </c>
      <c r="AH9" s="445" t="s">
        <v>853</v>
      </c>
      <c r="AQ9" s="445" t="s">
        <v>853</v>
      </c>
    </row>
    <row r="10" spans="1:50" ht="12.75" customHeight="1">
      <c r="B10" s="446"/>
      <c r="C10" s="447" t="s">
        <v>930</v>
      </c>
      <c r="D10" s="448"/>
      <c r="E10" s="447" t="s">
        <v>931</v>
      </c>
      <c r="F10" s="448"/>
      <c r="G10" s="447" t="s">
        <v>932</v>
      </c>
      <c r="H10" s="448"/>
      <c r="I10" s="447" t="s">
        <v>933</v>
      </c>
      <c r="J10" s="448"/>
      <c r="K10" s="447" t="s">
        <v>934</v>
      </c>
      <c r="L10" s="448"/>
      <c r="M10" s="447" t="s">
        <v>935</v>
      </c>
      <c r="N10" s="448"/>
      <c r="O10" s="447" t="s">
        <v>936</v>
      </c>
      <c r="R10" s="449" t="s">
        <v>854</v>
      </c>
      <c r="S10" s="450"/>
      <c r="T10" s="451" t="s">
        <v>855</v>
      </c>
      <c r="U10" s="450"/>
      <c r="V10" s="451" t="s">
        <v>856</v>
      </c>
      <c r="W10" s="450"/>
      <c r="X10" s="451" t="s">
        <v>857</v>
      </c>
      <c r="Y10" s="450"/>
      <c r="Z10" s="451" t="s">
        <v>858</v>
      </c>
      <c r="AA10" s="450"/>
      <c r="AB10" s="451" t="s">
        <v>859</v>
      </c>
      <c r="AC10" s="450"/>
      <c r="AD10" s="451" t="s">
        <v>860</v>
      </c>
      <c r="AE10" s="450"/>
      <c r="AH10" s="445"/>
      <c r="AQ10" s="445"/>
    </row>
    <row r="11" spans="1:50" ht="15" customHeight="1">
      <c r="A11" s="345" t="s">
        <v>861</v>
      </c>
      <c r="B11" s="452">
        <f>+GETPIVOTDATA("Sum of New-Total Undg SCH FTE",'FTE Pivot for regular counts'!$A$2,"State","AL","Category",1,"Category2","Four-Year")</f>
        <v>52050.3</v>
      </c>
      <c r="C11" s="453">
        <f>+GETPIVOTDATA("Sum of New-HS % of Total",'Pivot-HS Student % of Undergrad'!$A$3,"State","AL","Category",1,"Category2","Four-Year")</f>
        <v>3.9814051664127459E-3</v>
      </c>
      <c r="D11" s="441">
        <f>+GETPIVOTDATA("Sum of New-Total Undg SCH FTE",'FTE Pivot for regular counts'!$A$2,"State","AL","Category",2,"Category2","Four-Year")</f>
        <v>14661.933333333334</v>
      </c>
      <c r="E11" s="453">
        <f>+GETPIVOTDATA("Sum of New-HS % of Total",'Pivot-HS Student % of Undergrad'!$A$3,"State","AL","Category",2,"Category2","Four-Year")</f>
        <v>1.8415033942772441E-3</v>
      </c>
      <c r="F11" s="441">
        <f>+GETPIVOTDATA("Sum of New-Total Undg SCH FTE",'FTE Pivot for regular counts'!$A$2,"State","AL","Category",3,"Category2","Four-Year")</f>
        <v>34757.300000000003</v>
      </c>
      <c r="G11" s="453">
        <f>+GETPIVOTDATA("Sum of New-HS % of Total",'Pivot-HS Student % of Undergrad'!$A$3,"State","AL","Category",3,"Category2","Four-Year")</f>
        <v>9.5557863623852643E-3</v>
      </c>
      <c r="H11" s="441">
        <f>+GETPIVOTDATA("Sum of New-Total Undg SCH FTE",'FTE Pivot for regular counts'!$A$2,"State","AL","Category",4,"Category2","Four-Year")</f>
        <v>8400.3666666666668</v>
      </c>
      <c r="I11" s="453">
        <f>+GETPIVOTDATA("Sum of New-HS % of Total",'Pivot-HS Student % of Undergrad'!$A$3,"State","AL","Category",4,"Category2","Four-Year")</f>
        <v>2.0594339135990096E-3</v>
      </c>
      <c r="J11" s="441">
        <f>+GETPIVOTDATA("Sum of New-Total Undg SCH FTE",'FTE Pivot for regular counts'!$A$2,"State","AL","Category",5,"Category2","Four-Year")</f>
        <v>4094.9666666666667</v>
      </c>
      <c r="K11" s="453">
        <f>+GETPIVOTDATA("Sum of New-HS % of Total",'Pivot-HS Student % of Undergrad'!$A$3,"State","AL","Category",5,"Category2","Four-Year")</f>
        <v>4.28167913454729E-3</v>
      </c>
      <c r="L11" s="441">
        <f>+GETPIVOTDATA("Sum of New-Total Undg SCH FTE",'FTE Pivot for regular counts'!$A$2,"State","AL","Category",6,"Category2","Four-Year")</f>
        <v>2317.2666666666669</v>
      </c>
      <c r="M11" s="453">
        <f>+GETPIVOTDATA("Sum of New-HS % of Total",'Pivot-HS Student % of Undergrad'!$A$3,"State","AL","Category",6,"Category2","Four-Year")</f>
        <v>0</v>
      </c>
      <c r="N11" s="441">
        <f>+GETPIVOTDATA("Sum of New-Total Undg SCH FTE",'FTE Pivot for regular counts'!$A$2,"State","AL","Category2","Four-Year")</f>
        <v>116282.13333333333</v>
      </c>
      <c r="O11" s="453">
        <f>+GETPIVOTDATA("Sum of New-HS % of Total",'Pivot-HS Student % of Undergrad'!$A$3,"State","AL","Category2","Group1")</f>
        <v>5.1701837828912666E-3</v>
      </c>
      <c r="Q11" s="345" t="s">
        <v>861</v>
      </c>
      <c r="R11" s="454">
        <f>+GETPIVOTDATA("Sum of Old-HS % of Total",'Pivot-HS Student % of Undergrad'!$A$3,"State","AL","Category",1,"Category2","Four-Year")</f>
        <v>3.7514962193092574E-3</v>
      </c>
      <c r="S11" s="455">
        <f>(C11-R11)*100</f>
        <v>2.2990894710348854E-2</v>
      </c>
      <c r="T11" s="444">
        <f>+GETPIVOTDATA("Sum of Old-HS % of Total",'Pivot-HS Student % of Undergrad'!$A$3,"State","AL","Category",2,"Category2","Four-Year")</f>
        <v>1.2996791566952659E-3</v>
      </c>
      <c r="U11" s="455">
        <f t="shared" ref="U11:U29" si="0">(E11-T11)*100</f>
        <v>5.4182423758197817E-2</v>
      </c>
      <c r="V11" s="444">
        <f>GETPIVOTDATA("Sum of Old-HS % of Total",'Pivot-HS Student % of Undergrad'!$A$3,"State","AL","Category",3,"Category2","Four-Year")</f>
        <v>7.697829533105353E-3</v>
      </c>
      <c r="W11" s="455">
        <f t="shared" ref="W11:W29" si="1">(G11-V11)*100</f>
        <v>0.18579568292799112</v>
      </c>
      <c r="X11" s="444">
        <f>+GETPIVOTDATA("Sum of Old-HS % of Total",'Pivot-HS Student % of Undergrad'!$A$3,"State","AL","Category",4,"Category2","Four-Year")</f>
        <v>8.8888542344864156E-4</v>
      </c>
      <c r="Y11" s="455">
        <f t="shared" ref="Y11:Y29" si="2">(I11-X11)*100</f>
        <v>0.11705484901503682</v>
      </c>
      <c r="Z11" s="444">
        <f>+GETPIVOTDATA("Sum of Old-HS % of Total",'Pivot-HS Student % of Undergrad'!$A$3,"State","AL","Category",5,"Category2","Four-Year")</f>
        <v>4.9727185538012688E-3</v>
      </c>
      <c r="AA11" s="455">
        <f t="shared" ref="AA11:AA29" si="3">(K11-Z11)*100</f>
        <v>-6.9103941925397885E-2</v>
      </c>
      <c r="AB11" s="444">
        <f>+GETPIVOTDATA("Sum of Old-HS % of Total",'Pivot-HS Student % of Undergrad'!$A$3,"State","AL","Category",6,"Category2","Four-Year")</f>
        <v>0</v>
      </c>
      <c r="AC11" s="455">
        <f t="shared" ref="AC11:AC29" si="4">(M11-AB11)*100</f>
        <v>0</v>
      </c>
      <c r="AD11" s="444">
        <f>+GETPIVOTDATA("Sum of Old-HS % of Total",'Pivot-HS Student % of Undergrad'!$A$3,"State","AL","Category2","Four-Year")</f>
        <v>4.3698318789921857E-3</v>
      </c>
      <c r="AE11" s="455">
        <f t="shared" ref="AE11:AE29" si="5">(O11-AD11)*100</f>
        <v>8.0035190389908098E-2</v>
      </c>
      <c r="AF11" s="345" t="s">
        <v>861</v>
      </c>
      <c r="AH11" s="445" t="s">
        <v>861</v>
      </c>
      <c r="AI11" s="456">
        <f>C11*100</f>
        <v>0.39814051664127459</v>
      </c>
      <c r="AJ11" s="456">
        <f>E11*100</f>
        <v>0.18415033942772441</v>
      </c>
      <c r="AK11" s="456">
        <f>G11*100</f>
        <v>0.95557863623852646</v>
      </c>
      <c r="AL11" s="456">
        <f>I11*100</f>
        <v>0.20594339135990097</v>
      </c>
      <c r="AM11" s="456">
        <f>K11*100</f>
        <v>0.42816791345472899</v>
      </c>
      <c r="AN11" s="456">
        <f>M11*100</f>
        <v>0</v>
      </c>
      <c r="AO11" s="456">
        <f>O11*100</f>
        <v>0.51701837828912667</v>
      </c>
      <c r="AQ11" s="445" t="s">
        <v>861</v>
      </c>
      <c r="AR11" s="456">
        <f>R11*100</f>
        <v>0.37514962193092571</v>
      </c>
      <c r="AS11" s="456">
        <f>T11*100</f>
        <v>0.12996791566952659</v>
      </c>
      <c r="AT11" s="456">
        <f>V11*100</f>
        <v>0.76978295331053526</v>
      </c>
      <c r="AU11" s="456">
        <f>X11*100</f>
        <v>8.8888542344864152E-2</v>
      </c>
      <c r="AV11" s="456">
        <f>Z11*100</f>
        <v>0.49727185538012686</v>
      </c>
      <c r="AW11" s="456">
        <f>AB11*100</f>
        <v>0</v>
      </c>
      <c r="AX11" s="456">
        <f>AD11*100</f>
        <v>0.43698318789921858</v>
      </c>
    </row>
    <row r="12" spans="1:50" ht="15" customHeight="1">
      <c r="A12" s="270" t="s">
        <v>862</v>
      </c>
      <c r="B12" s="452">
        <f>+GETPIVOTDATA("Sum of New-Total Undg SCH FTE",'FTE Pivot for regular counts'!$A$2,"State","AR","Category",1,"Category2","Four-Year")</f>
        <v>21291.066666666666</v>
      </c>
      <c r="C12" s="453">
        <f>+GETPIVOTDATA("Sum of New-HS % of Total",'Pivot-HS Student % of Undergrad'!$A$3,"State","AR","Category",1,"Category2","Four-Year")</f>
        <v>3.6212370759567394E-3</v>
      </c>
      <c r="D12" s="441">
        <f>+GETPIVOTDATA("Sum of New-Total Undg SCH FTE",'FTE Pivot for regular counts'!$A$2,"State","AR","Category",2,"Category2","Four-Year")</f>
        <v>6964.666666666667</v>
      </c>
      <c r="E12" s="453">
        <f>+GETPIVOTDATA("Sum of New-HS % of Total",'Pivot-HS Student % of Undergrad'!$A$3,"State","AR","Category",2,"Category2","Four-Year")</f>
        <v>9.998564181104623E-2</v>
      </c>
      <c r="F12" s="441">
        <f>+GETPIVOTDATA("Sum of New-Total Undg SCH FTE",'FTE Pivot for regular counts'!$A$2,"State","AR","Category",3,"Category2","Four-Year")</f>
        <v>25422.199999999997</v>
      </c>
      <c r="G12" s="453">
        <f>+GETPIVOTDATA("Sum of New-HS % of Total",'Pivot-HS Student % of Undergrad'!$A$3,"State","AR","Category",3,"Category2","Four-Year")</f>
        <v>2.7759202586715548E-2</v>
      </c>
      <c r="H12" s="441">
        <f>+GETPIVOTDATA("Sum of New-Total Undg SCH FTE",'FTE Pivot for regular counts'!$A$2,"State","AR","Category",4,"Category2","Four-Year")</f>
        <v>6016.7333333333336</v>
      </c>
      <c r="I12" s="453">
        <f>+GETPIVOTDATA("Sum of New-HS % of Total",'Pivot-HS Student % of Undergrad'!$A$3,"State","AR","Category",4,"Category2","Four-Year")</f>
        <v>1.2160530077229061E-2</v>
      </c>
      <c r="J12" s="441">
        <f>+GETPIVOTDATA("Sum of New-Total Undg SCH FTE",'FTE Pivot for regular counts'!$A$2,"State","AR","Category",5,"Category2","Four-Year")</f>
        <v>2255.9333333333334</v>
      </c>
      <c r="K12" s="453">
        <f>+GETPIVOTDATA("Sum of New-HS % of Total",'Pivot-HS Student % of Undergrad'!$A$3,"State","AR","Category",5,"Category2","Four-Year")</f>
        <v>0.10001773102042022</v>
      </c>
      <c r="L12" s="441">
        <f>+GETPIVOTDATA("Sum of New-Total Undg SCH FTE",'FTE Pivot for regular counts'!$A$2,"State","AR","Category",6,"Category2","Four-Year")</f>
        <v>7792.3666666666668</v>
      </c>
      <c r="M12" s="453">
        <f>+GETPIVOTDATA("Sum of New-HS % of Total",'Pivot-HS Student % of Undergrad'!$A$3,"State","AR","Category",6,"Category2","Four-Year")</f>
        <v>5.267975925157526E-2</v>
      </c>
      <c r="N12" s="441">
        <f>+GETPIVOTDATA("Sum of New-Total Undg SCH FTE",'FTE Pivot for regular counts'!$A$2,"State","AR","Category2","Four-Year")</f>
        <v>69742.966666666674</v>
      </c>
      <c r="O12" s="453">
        <f>+GETPIVOTDATA("Sum of New-HS % of Total",'Pivot-HS Student % of Undergrad'!$A$3,"State","AR","Category2","Group1")</f>
        <v>3.1379030334719532E-2</v>
      </c>
      <c r="Q12" s="270" t="s">
        <v>862</v>
      </c>
      <c r="R12" s="454">
        <f>+GETPIVOTDATA("Sum of Old-HS % of Total",'Pivot-HS Student % of Undergrad'!$A$3,"State","AR","Category",1,"Category2","Four-Year")</f>
        <v>7.8779083167885601E-3</v>
      </c>
      <c r="S12" s="457">
        <f>(C12-R12)*100</f>
        <v>-0.42566712408318208</v>
      </c>
      <c r="T12" s="444">
        <f>+GETPIVOTDATA("Sum of Old-HS % of Total",'Pivot-HS Student % of Undergrad'!$A$3,"State","AR","Category",2,"Category2","Four-Year")</f>
        <v>8.780905269295515E-2</v>
      </c>
      <c r="U12" s="455">
        <f t="shared" si="0"/>
        <v>1.2176589118091079</v>
      </c>
      <c r="V12" s="444">
        <f>+GETPIVOTDATA("Sum of Old-HS % of Total",'Pivot-HS Student % of Undergrad'!$A$3,"State","AR","Category",3,"Category2","Four-Year")</f>
        <v>2.3340893839054869E-2</v>
      </c>
      <c r="W12" s="455">
        <f t="shared" si="1"/>
        <v>0.44183087476606792</v>
      </c>
      <c r="X12" s="444">
        <f>+GETPIVOTDATA("Sum of Old-HS % of Total",'Pivot-HS Student % of Undergrad'!$A$3,"State","AR","Category",4,"Category2","Four-Year")</f>
        <v>7.5035351001231584E-3</v>
      </c>
      <c r="Y12" s="455">
        <f t="shared" si="2"/>
        <v>0.46569949771059027</v>
      </c>
      <c r="Z12" s="444">
        <f>+GETPIVOTDATA("Sum of Old-HS % of Total",'Pivot-HS Student % of Undergrad'!$A$3,"State","AR","Category",5,"Category2","Four-Year")</f>
        <v>8.9883354119286926E-2</v>
      </c>
      <c r="AA12" s="455">
        <f t="shared" si="3"/>
        <v>1.0134376901133293</v>
      </c>
      <c r="AB12" s="444">
        <f>+GETPIVOTDATA("Sum of Old-HS % of Total",'Pivot-HS Student % of Undergrad'!$A$3,"State","AR","Category",6,"Category2","Four-Year")</f>
        <v>5.0457786591283069E-2</v>
      </c>
      <c r="AC12" s="455">
        <f t="shared" si="4"/>
        <v>0.22219726602921916</v>
      </c>
      <c r="AD12" s="444">
        <f>+GETPIVOTDATA("Sum of Old-HS % of Total",'Pivot-HS Student % of Undergrad'!$A$3,"State","AR","Category2","Four-Year")</f>
        <v>2.915899970543567E-2</v>
      </c>
      <c r="AE12" s="455">
        <f t="shared" si="5"/>
        <v>0.22200306292838623</v>
      </c>
      <c r="AF12" s="270" t="s">
        <v>862</v>
      </c>
      <c r="AH12" s="458" t="s">
        <v>862</v>
      </c>
      <c r="AI12" s="456">
        <f t="shared" ref="AI12:AI29" si="6">C12*100</f>
        <v>0.36212370759567392</v>
      </c>
      <c r="AJ12" s="456">
        <f t="shared" ref="AJ12:AJ29" si="7">E12*100</f>
        <v>9.9985641811046229</v>
      </c>
      <c r="AK12" s="456">
        <f t="shared" ref="AK12:AK29" si="8">G12*100</f>
        <v>2.7759202586715546</v>
      </c>
      <c r="AL12" s="456">
        <f t="shared" ref="AL12:AL29" si="9">I12*100</f>
        <v>1.2160530077229061</v>
      </c>
      <c r="AM12" s="456">
        <f t="shared" ref="AM12:AM29" si="10">K12*100</f>
        <v>10.001773102042023</v>
      </c>
      <c r="AN12" s="456">
        <f t="shared" ref="AN12:AN29" si="11">M12*100</f>
        <v>5.2679759251575264</v>
      </c>
      <c r="AO12" s="456">
        <f t="shared" ref="AO12:AO29" si="12">O12*100</f>
        <v>3.1379030334719533</v>
      </c>
      <c r="AQ12" s="458" t="s">
        <v>862</v>
      </c>
      <c r="AR12" s="456">
        <f t="shared" ref="AR12:AR29" si="13">R12*100</f>
        <v>0.787790831678856</v>
      </c>
      <c r="AS12" s="456">
        <f t="shared" ref="AS12:AS29" si="14">T12*100</f>
        <v>8.7809052692955145</v>
      </c>
      <c r="AT12" s="456">
        <f t="shared" ref="AT12:AT29" si="15">V12*100</f>
        <v>2.334089383905487</v>
      </c>
      <c r="AU12" s="456">
        <f t="shared" ref="AU12:AU29" si="16">X12*100</f>
        <v>0.75035351001231587</v>
      </c>
      <c r="AV12" s="456">
        <f t="shared" ref="AV12:AV29" si="17">Z12*100</f>
        <v>8.9883354119286931</v>
      </c>
      <c r="AW12" s="456">
        <f t="shared" ref="AW12:AW29" si="18">AB12*100</f>
        <v>5.0457786591283069</v>
      </c>
      <c r="AX12" s="456">
        <f t="shared" ref="AX12:AX29" si="19">AD12*100</f>
        <v>2.9158999705435669</v>
      </c>
    </row>
    <row r="13" spans="1:50" ht="15" customHeight="1">
      <c r="A13" s="345" t="s">
        <v>863</v>
      </c>
      <c r="B13" s="452">
        <f>+GETPIVOTDATA("Sum of New-Total Undg SCH FTE",'FTE Pivot for regular counts'!$A$2,"State","DE","Category",1,"Category2","Four-Year")</f>
        <v>19261.599999999999</v>
      </c>
      <c r="C13" s="453">
        <f>+GETPIVOTDATA("Sum of New-HS % of Total",'Pivot-HS Student % of Undergrad'!$A$3,"State","DE","Category",1,"Category2","Four-Year")</f>
        <v>0</v>
      </c>
      <c r="D13" s="441">
        <f>+GETPIVOTDATA("Sum of New-Total Undg SCH FTE",'FTE Pivot for regular counts'!$A$2,"State","DE","Category",2,"Category2","Four-Year")</f>
        <v>0</v>
      </c>
      <c r="E13" s="453">
        <f>+GETPIVOTDATA("Sum of New-HS % of Total",'Pivot-HS Student % of Undergrad'!$A$3,"State","DE","Category",2,"Category2","Four-Year")</f>
        <v>0</v>
      </c>
      <c r="F13" s="441">
        <f>+GETPIVOTDATA("Sum of New-Total Undg SCH FTE",'FTE Pivot for regular counts'!$A$2,"State","DE","Category",3,"Category2","Four-Year")</f>
        <v>4408.5666666666666</v>
      </c>
      <c r="G13" s="453">
        <f>+GETPIVOTDATA("Sum of New-HS % of Total",'Pivot-HS Student % of Undergrad'!$A$3,"State","DE","Category",3,"Category2","Four-Year")</f>
        <v>0</v>
      </c>
      <c r="H13" s="441">
        <f>+GETPIVOTDATA("Sum of New-Total Undg SCH FTE",'FTE Pivot for regular counts'!$A$2,"State","DE","Category",4,"Category2","Four-Year")</f>
        <v>0</v>
      </c>
      <c r="I13" s="453">
        <f>GETPIVOTDATA("Sum of New-HS % of Total",'Pivot-HS Student % of Undergrad'!$A$3,"State","DE","Category",4,"Category2","Four-Year")</f>
        <v>0</v>
      </c>
      <c r="J13" s="441">
        <f>+GETPIVOTDATA("Sum of New-Total Undg SCH FTE",'FTE Pivot for regular counts'!$A$2,"State","DE","Category",5,"Category2","Four-Year")</f>
        <v>0</v>
      </c>
      <c r="K13" s="453">
        <f>+GETPIVOTDATA("Sum of New-HS % of Total",'Pivot-HS Student % of Undergrad'!$A$3,"State","DE","Category",5,"Category2","Four-Year")</f>
        <v>0</v>
      </c>
      <c r="L13" s="441">
        <f>+GETPIVOTDATA("Sum of New-Total Undg SCH FTE",'FTE Pivot for regular counts'!$A$2,"State","DE","Category",6,"Category2","Four-Year")</f>
        <v>0</v>
      </c>
      <c r="M13" s="453">
        <f>+GETPIVOTDATA("Sum of New-HS % of Total",'Pivot-HS Student % of Undergrad'!$A$3,"State","DE","Category",6,"Category2","Four-Year")</f>
        <v>0</v>
      </c>
      <c r="N13" s="441">
        <f>+GETPIVOTDATA("Sum of New-Total Undg SCH FTE",'FTE Pivot for regular counts'!$A$2,"State","DE","Category2","Four-Year")</f>
        <v>23670.166666666664</v>
      </c>
      <c r="O13" s="453">
        <f>+GETPIVOTDATA("Sum of New-HS % of Total",'Pivot-HS Student % of Undergrad'!$A$3,"State","DE","Category2","Group1")</f>
        <v>0</v>
      </c>
      <c r="Q13" s="345" t="s">
        <v>863</v>
      </c>
      <c r="R13" s="454">
        <f>+GETPIVOTDATA("Sum of Old-HS % of Total",'Pivot-HS Student % of Undergrad'!$A$3,"State","DE","Category",1,"Category2","Four-Year")</f>
        <v>0</v>
      </c>
      <c r="S13" s="455">
        <f>(C13-R13)*100</f>
        <v>0</v>
      </c>
      <c r="T13" s="444">
        <f>+GETPIVOTDATA("Sum of Old-HS % of Total",'Pivot-HS Student % of Undergrad'!$A$3,"State","DE","Category",2,"Category2","Four-Year")</f>
        <v>0</v>
      </c>
      <c r="U13" s="455">
        <f t="shared" si="0"/>
        <v>0</v>
      </c>
      <c r="V13" s="444">
        <f>+GETPIVOTDATA("Sum of Old-HS % of Total",'Pivot-HS Student % of Undergrad'!$A$3,"State","DE","Category",3,"Category2","Four-Year")</f>
        <v>0</v>
      </c>
      <c r="W13" s="455">
        <f t="shared" si="1"/>
        <v>0</v>
      </c>
      <c r="X13" s="444">
        <f>+GETPIVOTDATA("Sum of Old-HS % of Total",'Pivot-HS Student % of Undergrad'!$A$3,"State","DE","Category",4,"Category2","Four-Year")</f>
        <v>0</v>
      </c>
      <c r="Y13" s="455">
        <f t="shared" si="2"/>
        <v>0</v>
      </c>
      <c r="Z13" s="444">
        <f>+GETPIVOTDATA("Sum of Old-HS % of Total",'Pivot-HS Student % of Undergrad'!$A$3,"State","DE","Category",5,"Category2","Four-Year")</f>
        <v>0</v>
      </c>
      <c r="AA13" s="455">
        <f t="shared" si="3"/>
        <v>0</v>
      </c>
      <c r="AB13" s="444">
        <f>+GETPIVOTDATA("Sum of Old-HS % of Total",'Pivot-HS Student % of Undergrad'!$A$3,"State","DE","Category",6,"Category2","Four-Year")</f>
        <v>0</v>
      </c>
      <c r="AC13" s="455">
        <f t="shared" si="4"/>
        <v>0</v>
      </c>
      <c r="AD13" s="444">
        <f>+GETPIVOTDATA("Sum of Old-HS % of Total",'Pivot-HS Student % of Undergrad'!$A$3,"State","DE","Category2","Four-Year")</f>
        <v>0</v>
      </c>
      <c r="AE13" s="455">
        <f t="shared" si="5"/>
        <v>0</v>
      </c>
      <c r="AF13" s="345" t="s">
        <v>863</v>
      </c>
      <c r="AH13" s="445" t="s">
        <v>863</v>
      </c>
      <c r="AI13" s="456">
        <f t="shared" si="6"/>
        <v>0</v>
      </c>
      <c r="AJ13" s="456">
        <f t="shared" si="7"/>
        <v>0</v>
      </c>
      <c r="AK13" s="456">
        <f t="shared" si="8"/>
        <v>0</v>
      </c>
      <c r="AL13" s="456">
        <f t="shared" si="9"/>
        <v>0</v>
      </c>
      <c r="AM13" s="456">
        <f t="shared" si="10"/>
        <v>0</v>
      </c>
      <c r="AN13" s="456">
        <f t="shared" si="11"/>
        <v>0</v>
      </c>
      <c r="AO13" s="456">
        <f t="shared" si="12"/>
        <v>0</v>
      </c>
      <c r="AQ13" s="445" t="s">
        <v>863</v>
      </c>
      <c r="AR13" s="456">
        <f t="shared" si="13"/>
        <v>0</v>
      </c>
      <c r="AS13" s="456">
        <f t="shared" si="14"/>
        <v>0</v>
      </c>
      <c r="AT13" s="456">
        <f t="shared" si="15"/>
        <v>0</v>
      </c>
      <c r="AU13" s="456">
        <f t="shared" si="16"/>
        <v>0</v>
      </c>
      <c r="AV13" s="456">
        <f t="shared" si="17"/>
        <v>0</v>
      </c>
      <c r="AW13" s="456">
        <f t="shared" si="18"/>
        <v>0</v>
      </c>
      <c r="AX13" s="456">
        <f t="shared" si="19"/>
        <v>0</v>
      </c>
    </row>
    <row r="14" spans="1:50" ht="15" customHeight="1">
      <c r="A14" s="345" t="s">
        <v>864</v>
      </c>
      <c r="B14" s="452">
        <f>+GETPIVOTDATA("Sum of New-Total Undg SCH FTE",'FTE Pivot for regular counts'!$A$2,"State","FL","Category",1,"Category2","Four-Year")</f>
        <v>207134.76666666666</v>
      </c>
      <c r="C14" s="453">
        <f>+GETPIVOTDATA("Sum of New-HS % of Total",'Pivot-HS Student % of Undergrad'!$A$3,"State","FL","Category",1,"Category2","Four-Year")</f>
        <v>8.0625447876688325E-3</v>
      </c>
      <c r="D14" s="441">
        <f>+GETPIVOTDATA("Sum of New-Total Undg SCH FTE",'FTE Pivot for regular counts'!$A$2,"State","FL","Category",2,"Category2","Four-Year")</f>
        <v>0</v>
      </c>
      <c r="E14" s="453">
        <f>+GETPIVOTDATA("Sum of New-HS % of Total",'Pivot-HS Student % of Undergrad'!$A$3,"State","FL","Category",2,"Category2","Four-Year")</f>
        <v>0</v>
      </c>
      <c r="F14" s="441">
        <f>+GETPIVOTDATA("Sum of New-Total Undg SCH FTE",'FTE Pivot for regular counts'!$A$2,"State","FL","Category",3,"Category2","Four-Year")</f>
        <v>28325.799999999996</v>
      </c>
      <c r="G14" s="453">
        <f>+GETPIVOTDATA("Sum of New-HS % of Total",'Pivot-HS Student % of Undergrad'!$A$3,"State","FL","Category",3,"Category2","Four-Year")</f>
        <v>4.1222725101026864E-3</v>
      </c>
      <c r="H14" s="441">
        <f>+GETPIVOTDATA("Sum of New-Total Undg SCH FTE",'FTE Pivot for regular counts'!$A$2,"State","FL","Category",4,"Category2","Four-Year")</f>
        <v>11815.633333333333</v>
      </c>
      <c r="I14" s="453">
        <f>+GETPIVOTDATA("Sum of New-HS % of Total",'Pivot-HS Student % of Undergrad'!$A$3,"State","FL","Category",4,"Category2","Four-Year")</f>
        <v>4.0172765460449291E-3</v>
      </c>
      <c r="J14" s="441">
        <f>+GETPIVOTDATA("Sum of New-Total Undg SCH FTE",'FTE Pivot for regular counts'!$A$2,"State","FL","Category",5,"Category2","Four-Year")</f>
        <v>0</v>
      </c>
      <c r="K14" s="453">
        <f>+GETPIVOTDATA("Sum of New-HS % of Total",'Pivot-HS Student % of Undergrad'!$A$3,"State","FL","Category",5,"Category2","Four-Year")</f>
        <v>0</v>
      </c>
      <c r="L14" s="441">
        <f>+GETPIVOTDATA("Sum of New-Total Undg SCH FTE",'FTE Pivot for regular counts'!$A$2,"State","FL","Category",6,"Category2","Four-Year")</f>
        <v>953.6</v>
      </c>
      <c r="M14" s="453">
        <f>+GETPIVOTDATA("Sum of New-HS % of Total",'Pivot-HS Student % of Undergrad'!$A$3,"State","FL","Category",6,"Category2","Four-Year")</f>
        <v>0</v>
      </c>
      <c r="N14" s="441">
        <f>+GETPIVOTDATA("Sum of New-Total Undg SCH FTE",'FTE Pivot for regular counts'!$A$2,"State","FL","Category2","Four-Year")</f>
        <v>248229.8</v>
      </c>
      <c r="O14" s="453">
        <f>+GETPIVOTDATA("Sum of New-HS % of Total",'Pivot-HS Student % of Undergrad'!$A$3,"State","FL","Category2","Group1")</f>
        <v>7.4178860184144959E-3</v>
      </c>
      <c r="Q14" s="345" t="s">
        <v>864</v>
      </c>
      <c r="R14" s="454">
        <f>+GETPIVOTDATA("Sum of Old-HS % of Total",'Pivot-HS Student % of Undergrad'!$A$3,"State","FL","Category",1,"Category2","Four-Year")</f>
        <v>9.1463479664946751E-3</v>
      </c>
      <c r="S14" s="455">
        <f>(C14-R14)*100</f>
        <v>-0.10838031788258426</v>
      </c>
      <c r="T14" s="444">
        <f>+GETPIVOTDATA("Sum of Old-HS % of Total",'Pivot-HS Student % of Undergrad'!$A$3,"State","FL","Category",2,"Category2","Four-Year")</f>
        <v>0</v>
      </c>
      <c r="U14" s="455">
        <f t="shared" si="0"/>
        <v>0</v>
      </c>
      <c r="V14" s="444">
        <f>+GETPIVOTDATA("Sum of Old-HS % of Total",'Pivot-HS Student % of Undergrad'!$A$3,"State","FL","Category",3,"Category2","Four-Year")</f>
        <v>4.4498683940338629E-3</v>
      </c>
      <c r="W14" s="457">
        <f t="shared" si="1"/>
        <v>-3.2759588393117649E-2</v>
      </c>
      <c r="X14" s="444">
        <f>+GETPIVOTDATA("Sum of Old-HS % of Total",'Pivot-HS Student % of Undergrad'!$A$3,"State","FL","Category",4,"Category2","Four-Year")</f>
        <v>1.4902190048776015E-3</v>
      </c>
      <c r="Y14" s="455">
        <f t="shared" si="2"/>
        <v>0.25270575411673274</v>
      </c>
      <c r="Z14" s="444">
        <f>+GETPIVOTDATA("Sum of Old-HS % of Total",'Pivot-HS Student % of Undergrad'!$A$3,"State","FL","Category",5,"Category2","Four-Year")</f>
        <v>0</v>
      </c>
      <c r="AA14" s="455">
        <f t="shared" si="3"/>
        <v>0</v>
      </c>
      <c r="AB14" s="444">
        <f>+GETPIVOTDATA("Sum of Old-HS % of Total",'Pivot-HS Student % of Undergrad'!$A$3,"State","FL","Category",6,"Category2","Four-Year")</f>
        <v>0</v>
      </c>
      <c r="AC14" s="455">
        <f t="shared" si="4"/>
        <v>0</v>
      </c>
      <c r="AD14" s="444">
        <f>+GETPIVOTDATA("Sum of Old-HS % of Total",'Pivot-HS Student % of Undergrad'!$A$3,"State","FL","Category2","Four-Year")</f>
        <v>8.2290525083899262E-3</v>
      </c>
      <c r="AE14" s="455">
        <f t="shared" si="5"/>
        <v>-8.1116648997543034E-2</v>
      </c>
      <c r="AF14" s="345" t="s">
        <v>864</v>
      </c>
      <c r="AH14" s="445" t="s">
        <v>864</v>
      </c>
      <c r="AI14" s="456">
        <f t="shared" si="6"/>
        <v>0.80625447876688328</v>
      </c>
      <c r="AJ14" s="456">
        <f t="shared" si="7"/>
        <v>0</v>
      </c>
      <c r="AK14" s="456">
        <f t="shared" si="8"/>
        <v>0.41222725101026864</v>
      </c>
      <c r="AL14" s="456">
        <f t="shared" si="9"/>
        <v>0.40172765460449289</v>
      </c>
      <c r="AM14" s="456">
        <f t="shared" si="10"/>
        <v>0</v>
      </c>
      <c r="AN14" s="456">
        <f t="shared" si="11"/>
        <v>0</v>
      </c>
      <c r="AO14" s="456">
        <f t="shared" si="12"/>
        <v>0.74178860184144957</v>
      </c>
      <c r="AQ14" s="445" t="s">
        <v>864</v>
      </c>
      <c r="AR14" s="456">
        <f t="shared" si="13"/>
        <v>0.91463479664946745</v>
      </c>
      <c r="AS14" s="456">
        <f t="shared" si="14"/>
        <v>0</v>
      </c>
      <c r="AT14" s="456">
        <f t="shared" si="15"/>
        <v>0.44498683940338629</v>
      </c>
      <c r="AU14" s="456">
        <f t="shared" si="16"/>
        <v>0.14902190048776015</v>
      </c>
      <c r="AV14" s="456">
        <f t="shared" si="17"/>
        <v>0</v>
      </c>
      <c r="AW14" s="456">
        <f t="shared" si="18"/>
        <v>0</v>
      </c>
      <c r="AX14" s="456">
        <f t="shared" si="19"/>
        <v>0.82290525083899257</v>
      </c>
    </row>
    <row r="15" spans="1:50" ht="15" customHeight="1">
      <c r="B15" s="452"/>
      <c r="C15" s="453"/>
      <c r="D15" s="441"/>
      <c r="E15" s="453"/>
      <c r="F15" s="441"/>
      <c r="G15" s="453"/>
      <c r="H15" s="441"/>
      <c r="I15" s="453"/>
      <c r="J15" s="441"/>
      <c r="K15" s="453"/>
      <c r="L15" s="441"/>
      <c r="M15" s="453"/>
      <c r="N15" s="441"/>
      <c r="O15" s="453"/>
      <c r="R15" s="454"/>
      <c r="S15" s="455"/>
      <c r="T15" s="444"/>
      <c r="U15" s="455"/>
      <c r="V15" s="444"/>
      <c r="W15" s="455"/>
      <c r="X15" s="444"/>
      <c r="Y15" s="455"/>
      <c r="Z15" s="444"/>
      <c r="AA15" s="455"/>
      <c r="AB15" s="444"/>
      <c r="AC15" s="455"/>
      <c r="AD15" s="444"/>
      <c r="AE15" s="455"/>
      <c r="AH15" s="445"/>
      <c r="AI15" s="456">
        <f t="shared" si="6"/>
        <v>0</v>
      </c>
      <c r="AJ15" s="456">
        <f t="shared" si="7"/>
        <v>0</v>
      </c>
      <c r="AK15" s="456">
        <f t="shared" si="8"/>
        <v>0</v>
      </c>
      <c r="AL15" s="456">
        <f t="shared" si="9"/>
        <v>0</v>
      </c>
      <c r="AM15" s="456">
        <f t="shared" si="10"/>
        <v>0</v>
      </c>
      <c r="AN15" s="456">
        <f t="shared" si="11"/>
        <v>0</v>
      </c>
      <c r="AO15" s="456">
        <f t="shared" si="12"/>
        <v>0</v>
      </c>
      <c r="AQ15" s="445"/>
      <c r="AR15" s="456">
        <f t="shared" si="13"/>
        <v>0</v>
      </c>
      <c r="AS15" s="456">
        <f t="shared" si="14"/>
        <v>0</v>
      </c>
      <c r="AT15" s="456">
        <f t="shared" si="15"/>
        <v>0</v>
      </c>
      <c r="AU15" s="456">
        <f t="shared" si="16"/>
        <v>0</v>
      </c>
      <c r="AV15" s="456">
        <f t="shared" si="17"/>
        <v>0</v>
      </c>
      <c r="AW15" s="456">
        <f t="shared" si="18"/>
        <v>0</v>
      </c>
      <c r="AX15" s="456">
        <f t="shared" si="19"/>
        <v>0</v>
      </c>
    </row>
    <row r="16" spans="1:50" ht="15" customHeight="1">
      <c r="A16" s="345" t="s">
        <v>865</v>
      </c>
      <c r="B16" s="452">
        <f>GETPIVOTDATA("Sum of New-Total Undg SCH FTE",'FTE Pivot for regular counts'!$A$2,"State","GA","Category",1,"Category2","Four-Year")</f>
        <v>54951.796666666662</v>
      </c>
      <c r="C16" s="453">
        <f>+GETPIVOTDATA("Sum of New-HS % of Total",'Pivot-HS Student % of Undergrad'!$A$3,"State","GA","Category",1,"Category2","Four-Year")</f>
        <v>1.4304051569075176E-2</v>
      </c>
      <c r="D16" s="441">
        <f>+GETPIVOTDATA("Sum of New-Total Undg SCH FTE",'FTE Pivot for regular counts'!$A$2,"State","GA","Category",2,"Category2","Four-Year")</f>
        <v>14588.166666666666</v>
      </c>
      <c r="E16" s="453">
        <f>+GETPIVOTDATA("Sum of New-HS % of Total",'Pivot-HS Student % of Undergrad'!$A$3,"State","GA","Category",2,"Category2","Four-Year")</f>
        <v>8.5183196426327282E-3</v>
      </c>
      <c r="F16" s="441">
        <f>+GETPIVOTDATA("Sum of New-Total Undg SCH FTE",'FTE Pivot for regular counts'!$A$2,"State","GA","Category",3,"Category2","Four-Year")</f>
        <v>62812.678</v>
      </c>
      <c r="G16" s="453">
        <f>+GETPIVOTDATA("Sum of New-HS % of Total",'Pivot-HS Student % of Undergrad'!$A$3,"State","GA","Category",3,"Category2","Four-Year")</f>
        <v>1.0679372721538795E-2</v>
      </c>
      <c r="H16" s="441">
        <f>+GETPIVOTDATA("Sum of New-Total Undg SCH FTE",'FTE Pivot for regular counts'!$A$2,"State","GA","Category",4,"Category2","Four-Year")</f>
        <v>46193.04</v>
      </c>
      <c r="I16" s="453">
        <f>+GETPIVOTDATA("Sum of New-HS % of Total",'Pivot-HS Student % of Undergrad'!$A$3,"State","GA","Category",4,"Category2","Four-Year")</f>
        <v>2.2592148081182789E-2</v>
      </c>
      <c r="J16" s="441">
        <f>+GETPIVOTDATA("Sum of New-Total Undg SCH FTE",'FTE Pivot for regular counts'!$A$2,"State","GA","Category",5,"Category2","Four-Year")</f>
        <v>6478.9360000000006</v>
      </c>
      <c r="K16" s="453">
        <f>+GETPIVOTDATA("Sum of New-HS % of Total",'Pivot-HS Student % of Undergrad'!$A$3,"State","GA","Category",5,"Category2","Four-Year")</f>
        <v>1.5239127741550978E-2</v>
      </c>
      <c r="L16" s="441">
        <f>+GETPIVOTDATA("Sum of New-Total Undg SCH FTE",'FTE Pivot for regular counts'!$A$2,"State","GA","Category",6,"Category2","Four-Year")</f>
        <v>22561.338666666667</v>
      </c>
      <c r="M16" s="453">
        <f>+GETPIVOTDATA("Sum of New-HS % of Total",'Pivot-HS Student % of Undergrad'!$A$3,"State","GA","Category",6,"Category2","Four-Year")</f>
        <v>3.412622560694388E-2</v>
      </c>
      <c r="N16" s="441">
        <f>+GETPIVOTDATA("Sum of New-Total Undg SCH FTE",'FTE Pivot for regular counts'!$A$2,"State","GA","Category2","Four-Year")</f>
        <v>207585.95600000001</v>
      </c>
      <c r="O16" s="453">
        <f>+GETPIVOTDATA("Sum of New-HS % of Total",'Pivot-HS Student % of Undergrad'!$A$3,"State","GA","Category2","Group1")</f>
        <v>1.682853086008702E-2</v>
      </c>
      <c r="Q16" s="345" t="s">
        <v>865</v>
      </c>
      <c r="R16" s="454">
        <f>+GETPIVOTDATA("Sum of Old-HS % of Total",'Pivot-HS Student % of Undergrad'!$A$3,"State","GA","Category",1,"Category2","Four-Year")</f>
        <v>2.478650897856862E-3</v>
      </c>
      <c r="S16" s="455">
        <f>(C16-R16)*100</f>
        <v>1.1825400671218314</v>
      </c>
      <c r="T16" s="444">
        <f>+GETPIVOTDATA("Sum of Old-HS % of Total",'Pivot-HS Student % of Undergrad'!$A$3,"State","GA","Category",2,"Category2","Four-Year")</f>
        <v>8.3875477870560978E-3</v>
      </c>
      <c r="U16" s="455">
        <f t="shared" si="0"/>
        <v>1.3077185557663039E-2</v>
      </c>
      <c r="V16" s="444">
        <f>+GETPIVOTDATA("Sum of Old-HS % of Total",'Pivot-HS Student % of Undergrad'!$A$3,"State","GA","Category",3,"Category2","Four-Year")</f>
        <v>8.8447568795885275E-3</v>
      </c>
      <c r="W16" s="455">
        <f t="shared" si="1"/>
        <v>0.18346158419502678</v>
      </c>
      <c r="X16" s="444">
        <f>+GETPIVOTDATA("Sum of Old-HS % of Total",'Pivot-HS Student % of Undergrad'!$A$3,"State","GA","Category",4,"Category2","Four-Year")</f>
        <v>1.7239160540550816E-2</v>
      </c>
      <c r="Y16" s="455">
        <f t="shared" si="2"/>
        <v>0.53529875406319727</v>
      </c>
      <c r="Z16" s="444">
        <f>+GETPIVOTDATA("Sum of Old-HS % of Total",'Pivot-HS Student % of Undergrad'!$A$3,"State","GA","Category",5,"Category2","Four-Year")</f>
        <v>1.0487663264932497E-2</v>
      </c>
      <c r="AA16" s="455">
        <f t="shared" si="3"/>
        <v>0.4751464476618481</v>
      </c>
      <c r="AB16" s="444">
        <f>+GETPIVOTDATA("Sum of Old-HS % of Total",'Pivot-HS Student % of Undergrad'!$A$3,"State","GA","Category",6,"Category2","Four-Year")</f>
        <v>2.6463583528742767E-2</v>
      </c>
      <c r="AC16" s="455">
        <f t="shared" si="4"/>
        <v>0.76626420782011129</v>
      </c>
      <c r="AD16" s="444">
        <f>+GETPIVOTDATA("Sum of Old-HS % of Total",'Pivot-HS Student % of Undergrad'!$A$3,"State","GA","Category2","Four-Year")</f>
        <v>1.1183477717372343E-2</v>
      </c>
      <c r="AE16" s="455">
        <f t="shared" si="5"/>
        <v>0.56450531427146777</v>
      </c>
      <c r="AF16" s="345" t="s">
        <v>865</v>
      </c>
      <c r="AH16" s="445" t="s">
        <v>865</v>
      </c>
      <c r="AI16" s="456">
        <f t="shared" si="6"/>
        <v>1.4304051569075176</v>
      </c>
      <c r="AJ16" s="456">
        <f t="shared" si="7"/>
        <v>0.85183196426327279</v>
      </c>
      <c r="AK16" s="456">
        <f t="shared" si="8"/>
        <v>1.0679372721538796</v>
      </c>
      <c r="AL16" s="456">
        <f t="shared" si="9"/>
        <v>2.259214808118279</v>
      </c>
      <c r="AM16" s="456">
        <f t="shared" si="10"/>
        <v>1.523912774155098</v>
      </c>
      <c r="AN16" s="456">
        <f t="shared" si="11"/>
        <v>3.4126225606943881</v>
      </c>
      <c r="AO16" s="456">
        <f t="shared" si="12"/>
        <v>1.6828530860087021</v>
      </c>
      <c r="AQ16" s="445" t="s">
        <v>865</v>
      </c>
      <c r="AR16" s="456">
        <f t="shared" si="13"/>
        <v>0.24786508978568619</v>
      </c>
      <c r="AS16" s="456">
        <f t="shared" si="14"/>
        <v>0.83875477870560977</v>
      </c>
      <c r="AT16" s="456">
        <f t="shared" si="15"/>
        <v>0.88447568795885279</v>
      </c>
      <c r="AU16" s="456">
        <f t="shared" si="16"/>
        <v>1.7239160540550815</v>
      </c>
      <c r="AV16" s="456">
        <f t="shared" si="17"/>
        <v>1.0487663264932496</v>
      </c>
      <c r="AW16" s="456">
        <f t="shared" si="18"/>
        <v>2.6463583528742767</v>
      </c>
      <c r="AX16" s="456">
        <f t="shared" si="19"/>
        <v>1.1183477717372343</v>
      </c>
    </row>
    <row r="17" spans="1:50" ht="15" customHeight="1">
      <c r="A17" s="345" t="s">
        <v>866</v>
      </c>
      <c r="B17" s="452">
        <f>+GETPIVOTDATA("Sum of New-Total Undg SCH FTE",'FTE Pivot for regular counts'!$A$2,"State","KY","Category",1,"Category2","Four-Year")</f>
        <v>34076.533333333333</v>
      </c>
      <c r="C17" s="453">
        <f>+GETPIVOTDATA("Sum of New-HS % of Total",'Pivot-HS Student % of Undergrad'!$A$3,"State","KY","Category",1,"Category2","Four-Year")</f>
        <v>1.8018264768716692E-3</v>
      </c>
      <c r="D17" s="441">
        <f>+GETPIVOTDATA("Sum of New-Total Undg SCH FTE",'FTE Pivot for regular counts'!$A$2,"State","KY","Category",2,"Category2","Four-Year")</f>
        <v>0</v>
      </c>
      <c r="E17" s="453">
        <f>+GETPIVOTDATA("Sum of New-HS % of Total",'Pivot-HS Student % of Undergrad'!$A$3,"State","KY","Category",2,"Category2","Four-Year")</f>
        <v>0</v>
      </c>
      <c r="F17" s="441">
        <f>+GETPIVOTDATA("Sum of New-Total Undg SCH FTE",'FTE Pivot for regular counts'!$A$2,"State","KY","Category",3,"Category2","Four-Year")</f>
        <v>51321.266666666663</v>
      </c>
      <c r="G17" s="453">
        <f>+GETPIVOTDATA("Sum of New-HS % of Total",'Pivot-HS Student % of Undergrad'!$A$3,"State","KY","Category",3,"Category2","Four-Year")</f>
        <v>4.1383104340111117E-2</v>
      </c>
      <c r="H17" s="441">
        <f>+GETPIVOTDATA("Sum of New-Total Undg SCH FTE",'FTE Pivot for regular counts'!$A$2,"State","KY","Category",4,"Category2","Four-Year")</f>
        <v>1260.4666666666667</v>
      </c>
      <c r="I17" s="453">
        <f>+GETPIVOTDATA("Sum of New-HS % of Total",'Pivot-HS Student % of Undergrad'!$A$3,"State","KY","Category",4,"Category2","Four-Year")</f>
        <v>6.1247157137568099E-2</v>
      </c>
      <c r="J17" s="441">
        <f>+GETPIVOTDATA("Sum of New-Total Undg SCH FTE",'FTE Pivot for regular counts'!$A$2,"State","KY","Category",5,"Category2","Four-Year")</f>
        <v>0</v>
      </c>
      <c r="K17" s="453">
        <f>+GETPIVOTDATA("Sum of New-HS % of Total",'Pivot-HS Student % of Undergrad'!$A$3,"State","KY","Category",5,"Category2","Four-Year")</f>
        <v>0</v>
      </c>
      <c r="L17" s="441">
        <f>+GETPIVOTDATA("Sum of New-Total Undg SCH FTE",'FTE Pivot for regular counts'!$A$2,"State","KY","Category",6,"Category2","Four-Year")</f>
        <v>0</v>
      </c>
      <c r="M17" s="453">
        <f>+GETPIVOTDATA("Sum of New-HS % of Total",'Pivot-HS Student % of Undergrad'!$A$3,"State","KY","Category",6,"Category2","Four-Year")</f>
        <v>0</v>
      </c>
      <c r="N17" s="441">
        <f>+GETPIVOTDATA("Sum of New-Total Undg SCH FTE",'FTE Pivot for regular counts'!$A$2,"State","KY","Category2","Four-Year")</f>
        <v>86658.266666666648</v>
      </c>
      <c r="O17" s="453">
        <f>+GETPIVOTDATA("Sum of New-HS % of Total",'Pivot-HS Student % of Undergrad'!$A$3,"State","KY","Category2","Group1")</f>
        <v>2.6107530422179382E-2</v>
      </c>
      <c r="Q17" s="345" t="s">
        <v>866</v>
      </c>
      <c r="R17" s="454">
        <f>+GETPIVOTDATA("Sum of Old-HS % of Total",'Pivot-HS Student % of Undergrad'!$A$3,"State","KY","Category",1,"Category2","Four-Year")</f>
        <v>1.9097923342950088E-3</v>
      </c>
      <c r="S17" s="455">
        <f>(C17-R17)*100</f>
        <v>-1.0796585742333959E-2</v>
      </c>
      <c r="T17" s="444">
        <f>+GETPIVOTDATA("Sum of Old-HS % of Total",'Pivot-HS Student % of Undergrad'!$A$3,"State","KY","Category",2,"Category2","Four-Year")</f>
        <v>0</v>
      </c>
      <c r="U17" s="455">
        <f t="shared" si="0"/>
        <v>0</v>
      </c>
      <c r="V17" s="444">
        <f>+GETPIVOTDATA("Sum of Old-HS % of Total",'Pivot-HS Student % of Undergrad'!$A$3,"State","KY","Category",3,"Category2","Four-Year")</f>
        <v>3.4527916700670021E-2</v>
      </c>
      <c r="W17" s="455">
        <f t="shared" si="1"/>
        <v>0.6855187639441096</v>
      </c>
      <c r="X17" s="444">
        <f>+GETPIVOTDATA("Sum of Old-HS % of Total",'Pivot-HS Student % of Undergrad'!$A$3,"State","KY","Category",4,"Category2","Four-Year")</f>
        <v>4.1233356011274175E-2</v>
      </c>
      <c r="Y17" s="455">
        <f t="shared" si="2"/>
        <v>2.0013801126293926</v>
      </c>
      <c r="Z17" s="444">
        <f>+GETPIVOTDATA("Sum of Old-HS % of Total",'Pivot-HS Student % of Undergrad'!$A$3,"State","KY","Category",5,"Category2","Four-Year")</f>
        <v>0</v>
      </c>
      <c r="AA17" s="455">
        <f t="shared" si="3"/>
        <v>0</v>
      </c>
      <c r="AB17" s="444">
        <f>+GETPIVOTDATA("Sum of Old-HS % of Total",'Pivot-HS Student % of Undergrad'!$A$3,"State","KY","Category",6,"Category2","Four-Year")</f>
        <v>0</v>
      </c>
      <c r="AC17" s="455">
        <f t="shared" si="4"/>
        <v>0</v>
      </c>
      <c r="AD17" s="444">
        <f>+GETPIVOTDATA("Sum of Old-HS % of Total",'Pivot-HS Student % of Undergrad'!$A$3,"State","KY","Category2","Four-Year")</f>
        <v>2.18262870596681E-2</v>
      </c>
      <c r="AE17" s="455">
        <f t="shared" si="5"/>
        <v>0.42812433625112822</v>
      </c>
      <c r="AF17" s="345" t="s">
        <v>866</v>
      </c>
      <c r="AH17" s="445" t="s">
        <v>866</v>
      </c>
      <c r="AI17" s="456">
        <f t="shared" si="6"/>
        <v>0.18018264768716691</v>
      </c>
      <c r="AJ17" s="456">
        <f t="shared" si="7"/>
        <v>0</v>
      </c>
      <c r="AK17" s="456">
        <f t="shared" si="8"/>
        <v>4.1383104340111121</v>
      </c>
      <c r="AL17" s="456">
        <f t="shared" si="9"/>
        <v>6.1247157137568102</v>
      </c>
      <c r="AM17" s="456">
        <f t="shared" si="10"/>
        <v>0</v>
      </c>
      <c r="AN17" s="456">
        <f t="shared" si="11"/>
        <v>0</v>
      </c>
      <c r="AO17" s="456">
        <f t="shared" si="12"/>
        <v>2.6107530422179384</v>
      </c>
      <c r="AQ17" s="445" t="s">
        <v>866</v>
      </c>
      <c r="AR17" s="456">
        <f t="shared" si="13"/>
        <v>0.19097923342950088</v>
      </c>
      <c r="AS17" s="456">
        <f t="shared" si="14"/>
        <v>0</v>
      </c>
      <c r="AT17" s="456">
        <f t="shared" si="15"/>
        <v>3.4527916700670023</v>
      </c>
      <c r="AU17" s="456">
        <f t="shared" si="16"/>
        <v>4.1233356011274171</v>
      </c>
      <c r="AV17" s="456">
        <f t="shared" si="17"/>
        <v>0</v>
      </c>
      <c r="AW17" s="456">
        <f t="shared" si="18"/>
        <v>0</v>
      </c>
      <c r="AX17" s="456">
        <f t="shared" si="19"/>
        <v>2.1826287059668101</v>
      </c>
    </row>
    <row r="18" spans="1:50" ht="15" customHeight="1">
      <c r="A18" s="345" t="s">
        <v>867</v>
      </c>
      <c r="B18" s="452">
        <f>+GETPIVOTDATA("Sum of New-Total Undg SCH FTE",'FTE Pivot for regular counts'!$A$2,"State","LA","Category",1,"Category2","Four-Year")</f>
        <v>24329.599999999999</v>
      </c>
      <c r="C18" s="453">
        <f>+GETPIVOTDATA("Sum of New-HS % of Total",'Pivot-HS Student % of Undergrad'!$A$3,"State","LA","Category",1,"Category2","Four-Year")</f>
        <v>1.1077041957122188E-2</v>
      </c>
      <c r="D18" s="441">
        <f>+GETPIVOTDATA("Sum of New-Total Undg SCH FTE",'FTE Pivot for regular counts'!$A$2,"State","LA","Category",2,"Category2","Four-Year")</f>
        <v>28394.899999999998</v>
      </c>
      <c r="E18" s="453">
        <f>+GETPIVOTDATA("Sum of New-HS % of Total",'Pivot-HS Student % of Undergrad'!$A$3,"State","LA","Category",2,"Category2","Four-Year")</f>
        <v>3.544415839933697E-2</v>
      </c>
      <c r="F18" s="441">
        <f>+GETPIVOTDATA("Sum of New-Total Undg SCH FTE",'FTE Pivot for regular counts'!$A$2,"State","LA","Category",3,"Category2","Four-Year")</f>
        <v>21819.166666666664</v>
      </c>
      <c r="G18" s="453">
        <f>+GETPIVOTDATA("Sum of New-HS % of Total",'Pivot-HS Student % of Undergrad'!$A$3,"State","LA","Category",3,"Category2","Four-Year")</f>
        <v>6.072031470801665E-2</v>
      </c>
      <c r="H18" s="441">
        <f>+GETPIVOTDATA("Sum of New-Total Undg SCH FTE",'FTE Pivot for regular counts'!$A$2,"State","LA","Category",4,"Category2","Four-Year")</f>
        <v>24011.73333333333</v>
      </c>
      <c r="I18" s="453">
        <f>+GETPIVOTDATA("Sum of New-HS % of Total",'Pivot-HS Student % of Undergrad'!$A$3,"State","LA","Category",4,"Category2","Four-Year")</f>
        <v>3.4894051796899292E-2</v>
      </c>
      <c r="J18" s="441">
        <f>+GETPIVOTDATA("Sum of New-Total Undg SCH FTE",'FTE Pivot for regular counts'!$A$2,"State","LA","Category",5,"Category2","Four-Year")</f>
        <v>1576.2666666666667</v>
      </c>
      <c r="K18" s="453">
        <f>+GETPIVOTDATA("Sum of New-HS % of Total",'Pivot-HS Student % of Undergrad'!$A$3,"State","LA","Category",5,"Category2","Four-Year")</f>
        <v>3.2418372525799356E-2</v>
      </c>
      <c r="L18" s="441">
        <f>+GETPIVOTDATA("Sum of New-Total Undg SCH FTE",'FTE Pivot for regular counts'!$A$2,"State","LA","Category",6,"Category2","Four-Year")</f>
        <v>2303.4333333333334</v>
      </c>
      <c r="M18" s="453">
        <f>+GETPIVOTDATA("Sum of New-HS % of Total",'Pivot-HS Student % of Undergrad'!$A$3,"State","LA","Category",6,"Category2","Four-Year")</f>
        <v>9.5943736161961127E-2</v>
      </c>
      <c r="N18" s="441">
        <f>+GETPIVOTDATA("Sum of New-Total Undg SCH FTE",'FTE Pivot for regular counts'!$A$2,"State","LA","Category2","Four-Year")</f>
        <v>102435.09999999999</v>
      </c>
      <c r="O18" s="453">
        <f>+GETPIVOTDATA("Sum of New-HS % of Total",'Pivot-HS Student % of Undergrad'!$A$3,"State","LA","Category2","Group1")</f>
        <v>3.6225538576783414E-2</v>
      </c>
      <c r="Q18" s="345" t="s">
        <v>867</v>
      </c>
      <c r="R18" s="454">
        <f>+GETPIVOTDATA("Sum of Old-HS % of Total",'Pivot-HS Student % of Undergrad'!$A$3,"State","LA","Category",1,"Category2","Four-Year")</f>
        <v>7.9405057874696004E-3</v>
      </c>
      <c r="S18" s="455">
        <f>(C18-R18)*100</f>
        <v>0.31365361696525879</v>
      </c>
      <c r="T18" s="444">
        <f>+GETPIVOTDATA("Sum of Old-HS % of Total",'Pivot-HS Student % of Undergrad'!$A$3,"State","LA","Category",2,"Category2","Four-Year")</f>
        <v>2.839173555296768E-2</v>
      </c>
      <c r="U18" s="455">
        <f t="shared" si="0"/>
        <v>0.70524228463692895</v>
      </c>
      <c r="V18" s="444">
        <f>+GETPIVOTDATA("Sum of Old-HS % of Total",'Pivot-HS Student % of Undergrad'!$A$3,"State","LA","Category",3,"Category2","Four-Year")</f>
        <v>5.4650078958517888E-2</v>
      </c>
      <c r="W18" s="455">
        <f t="shared" si="1"/>
        <v>0.60702357494987624</v>
      </c>
      <c r="X18" s="444">
        <f>+GETPIVOTDATA("Sum of Old-HS % of Total",'Pivot-HS Student % of Undergrad'!$A$3,"State","LA","Category",4,"Category2","Four-Year")</f>
        <v>3.1908335849136084E-2</v>
      </c>
      <c r="Y18" s="455">
        <f t="shared" si="2"/>
        <v>0.29857159477632078</v>
      </c>
      <c r="Z18" s="444">
        <f>+GETPIVOTDATA("Sum of Old-HS % of Total",'Pivot-HS Student % of Undergrad'!$A$3,"State","LA","Category",5,"Category2","Four-Year")</f>
        <v>2.3328459391200318E-2</v>
      </c>
      <c r="AA18" s="455">
        <f t="shared" si="3"/>
        <v>0.9089913134599038</v>
      </c>
      <c r="AB18" s="444">
        <f>+GETPIVOTDATA("Sum of Old-HS % of Total",'Pivot-HS Student % of Undergrad'!$A$3,"State","LA","Category",6,"Category2","Four-Year")</f>
        <v>9.1368137109773345E-2</v>
      </c>
      <c r="AC18" s="455">
        <f t="shared" si="4"/>
        <v>0.45755990521877815</v>
      </c>
      <c r="AD18" s="444">
        <f>+GETPIVOTDATA("Sum of Old-HS % of Total",'Pivot-HS Student % of Undergrad'!$A$3,"State","LA","Category2","Four-Year")</f>
        <v>3.0997021717596059E-2</v>
      </c>
      <c r="AE18" s="455">
        <f t="shared" si="5"/>
        <v>0.52285168591873554</v>
      </c>
      <c r="AF18" s="345" t="s">
        <v>867</v>
      </c>
      <c r="AH18" s="445" t="s">
        <v>867</v>
      </c>
      <c r="AI18" s="456">
        <f t="shared" si="6"/>
        <v>1.1077041957122189</v>
      </c>
      <c r="AJ18" s="456">
        <f t="shared" si="7"/>
        <v>3.5444158399336971</v>
      </c>
      <c r="AK18" s="456">
        <f t="shared" si="8"/>
        <v>6.0720314708016652</v>
      </c>
      <c r="AL18" s="456">
        <f t="shared" si="9"/>
        <v>3.4894051796899292</v>
      </c>
      <c r="AM18" s="456">
        <f t="shared" si="10"/>
        <v>3.2418372525799355</v>
      </c>
      <c r="AN18" s="456">
        <f t="shared" si="11"/>
        <v>9.594373616196112</v>
      </c>
      <c r="AO18" s="456">
        <f t="shared" si="12"/>
        <v>3.6225538576783416</v>
      </c>
      <c r="AQ18" s="445" t="s">
        <v>867</v>
      </c>
      <c r="AR18" s="456">
        <f t="shared" si="13"/>
        <v>0.79405057874696006</v>
      </c>
      <c r="AS18" s="456">
        <f t="shared" si="14"/>
        <v>2.8391735552967678</v>
      </c>
      <c r="AT18" s="456">
        <f t="shared" si="15"/>
        <v>5.4650078958517891</v>
      </c>
      <c r="AU18" s="456">
        <f t="shared" si="16"/>
        <v>3.1908335849136082</v>
      </c>
      <c r="AV18" s="456">
        <f t="shared" si="17"/>
        <v>2.3328459391200318</v>
      </c>
      <c r="AW18" s="456">
        <f t="shared" si="18"/>
        <v>9.136813710977334</v>
      </c>
      <c r="AX18" s="456">
        <f t="shared" si="19"/>
        <v>3.0997021717596058</v>
      </c>
    </row>
    <row r="19" spans="1:50" ht="15" customHeight="1">
      <c r="A19" s="345" t="s">
        <v>868</v>
      </c>
      <c r="B19" s="452">
        <f>+GETPIVOTDATA("Sum of New-Total Undg SCH FTE",'FTE Pivot for regular counts'!$A$2,"State","MD","Category",1,"Category2","Four-Year")</f>
        <v>27675.9</v>
      </c>
      <c r="C19" s="453">
        <f>+GETPIVOTDATA("Sum of New-HS % of Total",'Pivot-HS Student % of Undergrad'!$A$3,"State","MD","Category",1,"Category2","Four-Year")</f>
        <v>0</v>
      </c>
      <c r="D19" s="441">
        <f>+GETPIVOTDATA("Sum of New-Total Undg SCH FTE",'FTE Pivot for regular counts'!$A$2,"State","MD","Category",2,"Category2","Four-Year")</f>
        <v>16738.900000000001</v>
      </c>
      <c r="E19" s="453">
        <f>+GETPIVOTDATA("Sum of New-HS % of Total",'Pivot-HS Student % of Undergrad'!$A$3,"State","MD","Category",2,"Category2","Four-Year")</f>
        <v>0</v>
      </c>
      <c r="F19" s="441">
        <f>+GETPIVOTDATA("Sum of New-Total Undg SCH FTE",'FTE Pivot for regular counts'!$A$2,"State","MD","Category",3,"Category2","Four-Year")</f>
        <v>20516.666666666668</v>
      </c>
      <c r="G19" s="453">
        <f>+GETPIVOTDATA("Sum of New-HS % of Total",'Pivot-HS Student % of Undergrad'!$A$3,"State","MD","Category",3,"Category2","Four-Year")</f>
        <v>0</v>
      </c>
      <c r="H19" s="441">
        <f>+GETPIVOTDATA("Sum of New-Total Undg SCH FTE",'FTE Pivot for regular counts'!$A$2,"State","MD","Category",4,"Category2","Four-Year")</f>
        <v>19686.733333333334</v>
      </c>
      <c r="I19" s="453">
        <f>+GETPIVOTDATA("Sum of New-HS % of Total",'Pivot-HS Student % of Undergrad'!$A$3,"State","MD","Category",4,"Category2","Four-Year")</f>
        <v>0</v>
      </c>
      <c r="J19" s="441">
        <f>+GETPIVOTDATA("Sum of New-Total Undg SCH FTE",'FTE Pivot for regular counts'!$A$2,"State","MD","Category",5,"Category2","Four-Year")</f>
        <v>2220.3333333333335</v>
      </c>
      <c r="K19" s="453">
        <f>+GETPIVOTDATA("Sum of New-HS % of Total",'Pivot-HS Student % of Undergrad'!$A$3,"State","MD","Category",5,"Category2","Four-Year")</f>
        <v>0</v>
      </c>
      <c r="L19" s="441">
        <f>+GETPIVOTDATA("Sum of New-Total Undg SCH FTE",'FTE Pivot for regular counts'!$A$2,"State","MD","Category",6,"Category2","Four-Year")</f>
        <v>1708.1</v>
      </c>
      <c r="M19" s="453">
        <f>+GETPIVOTDATA("Sum of New-HS % of Total",'Pivot-HS Student % of Undergrad'!$A$3,"State","MD","Category",6,"Category2","Four-Year")</f>
        <v>0</v>
      </c>
      <c r="N19" s="441">
        <f>+GETPIVOTDATA("Sum of New-Total Undg SCH FTE",'FTE Pivot for regular counts'!$A$2,"State","MD","Category2","Four-Year")</f>
        <v>88546.633333333346</v>
      </c>
      <c r="O19" s="453">
        <f>+GETPIVOTDATA("Sum of New-HS % of Total",'Pivot-HS Student % of Undergrad'!$A$3,"State","MD","Category2","Group1")</f>
        <v>0</v>
      </c>
      <c r="Q19" s="345" t="s">
        <v>868</v>
      </c>
      <c r="R19" s="454">
        <f>+GETPIVOTDATA("Sum of Old-HS % of Total",'Pivot-HS Student % of Undergrad'!$A$3,"State","MD","Category",1,"Category2","Four-Year")</f>
        <v>0</v>
      </c>
      <c r="S19" s="455">
        <f>(C19-R19)*100</f>
        <v>0</v>
      </c>
      <c r="T19" s="444">
        <f>+GETPIVOTDATA("Sum of Old-HS % of Total",'Pivot-HS Student % of Undergrad'!$A$3,"State","MD","Category",2,"Category2","Four-Year")</f>
        <v>0</v>
      </c>
      <c r="U19" s="455">
        <f t="shared" si="0"/>
        <v>0</v>
      </c>
      <c r="V19" s="444">
        <f>+GETPIVOTDATA("Sum of Old-HS % of Total",'Pivot-HS Student % of Undergrad'!$A$3,"State","MD","Category",3,"Category2","Four-Year")</f>
        <v>0</v>
      </c>
      <c r="W19" s="455">
        <f t="shared" si="1"/>
        <v>0</v>
      </c>
      <c r="X19" s="444">
        <f>+GETPIVOTDATA("Sum of Old-HS % of Total",'Pivot-HS Student % of Undergrad'!$A$3,"State","MD","Category",4,"Category2","Four-Year")</f>
        <v>0</v>
      </c>
      <c r="Y19" s="455">
        <f t="shared" si="2"/>
        <v>0</v>
      </c>
      <c r="Z19" s="444">
        <f>+GETPIVOTDATA("Sum of Old-HS % of Total",'Pivot-HS Student % of Undergrad'!$A$3,"State","MD","Category",5,"Category2","Four-Year")</f>
        <v>0</v>
      </c>
      <c r="AA19" s="455">
        <f t="shared" si="3"/>
        <v>0</v>
      </c>
      <c r="AB19" s="444">
        <f>+GETPIVOTDATA("Sum of Old-HS % of Total",'Pivot-HS Student % of Undergrad'!$A$3,"State","MD","Category",6,"Category2","Four-Year")</f>
        <v>0</v>
      </c>
      <c r="AC19" s="455">
        <f t="shared" si="4"/>
        <v>0</v>
      </c>
      <c r="AD19" s="444">
        <f>+GETPIVOTDATA("Sum of Old-HS % of Total",'Pivot-HS Student % of Undergrad'!$A$3,"State","MD","Category2","Four-Year")</f>
        <v>0</v>
      </c>
      <c r="AE19" s="455">
        <f t="shared" si="5"/>
        <v>0</v>
      </c>
      <c r="AF19" s="345" t="s">
        <v>868</v>
      </c>
      <c r="AH19" s="445" t="s">
        <v>868</v>
      </c>
      <c r="AI19" s="456">
        <f t="shared" si="6"/>
        <v>0</v>
      </c>
      <c r="AJ19" s="456">
        <f t="shared" si="7"/>
        <v>0</v>
      </c>
      <c r="AK19" s="456">
        <f t="shared" si="8"/>
        <v>0</v>
      </c>
      <c r="AL19" s="456">
        <f t="shared" si="9"/>
        <v>0</v>
      </c>
      <c r="AM19" s="456">
        <f t="shared" si="10"/>
        <v>0</v>
      </c>
      <c r="AN19" s="456">
        <f t="shared" si="11"/>
        <v>0</v>
      </c>
      <c r="AO19" s="456">
        <f t="shared" si="12"/>
        <v>0</v>
      </c>
      <c r="AQ19" s="445" t="s">
        <v>868</v>
      </c>
      <c r="AR19" s="456">
        <f t="shared" si="13"/>
        <v>0</v>
      </c>
      <c r="AS19" s="456">
        <f t="shared" si="14"/>
        <v>0</v>
      </c>
      <c r="AT19" s="456">
        <f t="shared" si="15"/>
        <v>0</v>
      </c>
      <c r="AU19" s="456">
        <f t="shared" si="16"/>
        <v>0</v>
      </c>
      <c r="AV19" s="456">
        <f t="shared" si="17"/>
        <v>0</v>
      </c>
      <c r="AW19" s="456">
        <f t="shared" si="18"/>
        <v>0</v>
      </c>
      <c r="AX19" s="456">
        <f t="shared" si="19"/>
        <v>0</v>
      </c>
    </row>
    <row r="20" spans="1:50" ht="15" customHeight="1">
      <c r="B20" s="452"/>
      <c r="C20" s="453"/>
      <c r="D20" s="441"/>
      <c r="E20" s="453"/>
      <c r="F20" s="441"/>
      <c r="G20" s="453"/>
      <c r="H20" s="441"/>
      <c r="I20" s="453"/>
      <c r="J20" s="441"/>
      <c r="K20" s="453"/>
      <c r="L20" s="441"/>
      <c r="M20" s="453"/>
      <c r="N20" s="441"/>
      <c r="O20" s="453"/>
      <c r="R20" s="454"/>
      <c r="S20" s="455"/>
      <c r="T20" s="444"/>
      <c r="U20" s="455"/>
      <c r="V20" s="444"/>
      <c r="W20" s="455"/>
      <c r="X20" s="444"/>
      <c r="Y20" s="455"/>
      <c r="Z20" s="444"/>
      <c r="AA20" s="455"/>
      <c r="AB20" s="444"/>
      <c r="AC20" s="455"/>
      <c r="AD20" s="444"/>
      <c r="AE20" s="455"/>
      <c r="AH20" s="445"/>
      <c r="AI20" s="456">
        <f t="shared" si="6"/>
        <v>0</v>
      </c>
      <c r="AJ20" s="456">
        <f t="shared" si="7"/>
        <v>0</v>
      </c>
      <c r="AK20" s="456">
        <f t="shared" si="8"/>
        <v>0</v>
      </c>
      <c r="AL20" s="456">
        <f t="shared" si="9"/>
        <v>0</v>
      </c>
      <c r="AM20" s="456">
        <f t="shared" si="10"/>
        <v>0</v>
      </c>
      <c r="AN20" s="456">
        <f t="shared" si="11"/>
        <v>0</v>
      </c>
      <c r="AO20" s="456">
        <f t="shared" si="12"/>
        <v>0</v>
      </c>
      <c r="AQ20" s="445"/>
      <c r="AR20" s="456">
        <f t="shared" si="13"/>
        <v>0</v>
      </c>
      <c r="AS20" s="456">
        <f t="shared" si="14"/>
        <v>0</v>
      </c>
      <c r="AT20" s="456">
        <f t="shared" si="15"/>
        <v>0</v>
      </c>
      <c r="AU20" s="456">
        <f t="shared" si="16"/>
        <v>0</v>
      </c>
      <c r="AV20" s="456">
        <f t="shared" si="17"/>
        <v>0</v>
      </c>
      <c r="AW20" s="456">
        <f t="shared" si="18"/>
        <v>0</v>
      </c>
      <c r="AX20" s="456">
        <f t="shared" si="19"/>
        <v>0</v>
      </c>
    </row>
    <row r="21" spans="1:50" ht="15" customHeight="1">
      <c r="A21" s="345" t="s">
        <v>869</v>
      </c>
      <c r="B21" s="452">
        <f>+GETPIVOTDATA("Sum of New-Total Undg SCH FTE",'FTE Pivot for regular counts'!$A$2,"State","MS","Category",1,"Category2","Four-Year")</f>
        <v>27333.666666666668</v>
      </c>
      <c r="C21" s="453">
        <f>+GETPIVOTDATA("Sum of New-HS % of Total",'Pivot-HS Student % of Undergrad'!$A$3,"State","MS","Category",1,"Category2","Four-Year")</f>
        <v>0</v>
      </c>
      <c r="D21" s="441">
        <f>+GETPIVOTDATA("Sum of New-Total Undg SCH FTE",'FTE Pivot for regular counts'!$A$2,"State","MS","Category",2,"Category2","Four-Year")</f>
        <v>24303.433333333334</v>
      </c>
      <c r="E21" s="453">
        <f>+GETPIVOTDATA("Sum of New-HS % of Total",'Pivot-HS Student % of Undergrad'!$A$3,"State","MS","Category",2,"Category2","Four-Year")</f>
        <v>0</v>
      </c>
      <c r="F21" s="441">
        <f>+GETPIVOTDATA("Sum of New-Total Undg SCH FTE",'FTE Pivot for regular counts'!$A$2,"State","MS","Category",3,"Category2","Four-Year")</f>
        <v>0</v>
      </c>
      <c r="G21" s="453">
        <f>+GETPIVOTDATA("Sum of New-HS % of Total",'Pivot-HS Student % of Undergrad'!$A$3,"State","MS","Category",3,"Category2","Four-Year")</f>
        <v>0</v>
      </c>
      <c r="H21" s="441">
        <f>+GETPIVOTDATA("Sum of New-Total Undg SCH FTE",'FTE Pivot for regular counts'!$A$2,"State","MS","Category",4,"Category2","Four-Year")</f>
        <v>6926.9333333333334</v>
      </c>
      <c r="I21" s="453">
        <f>+GETPIVOTDATA("Sum of New-HS % of Total",'Pivot-HS Student % of Undergrad'!$A$3,"State","MS","Category",4,"Category2","Four-Year")</f>
        <v>0</v>
      </c>
      <c r="J21" s="441">
        <f>+GETPIVOTDATA("Sum of New-Total Undg SCH FTE",'FTE Pivot for regular counts'!$A$2,"State","MS","Category",5,"Category2","Four-Year")</f>
        <v>2375.4</v>
      </c>
      <c r="K21" s="453">
        <f>+GETPIVOTDATA("Sum of New-HS % of Total",'Pivot-HS Student % of Undergrad'!$A$3,"State","MS","Category",5,"Category2","Four-Year")</f>
        <v>0</v>
      </c>
      <c r="L21" s="441">
        <f>+GETPIVOTDATA("Sum of New-Total Undg SCH FTE",'FTE Pivot for regular counts'!$A$2,"State","MS","Category",6,"Category2","Four-Year")</f>
        <v>0</v>
      </c>
      <c r="M21" s="453">
        <f>+GETPIVOTDATA("Sum of New-HS % of Total",'Pivot-HS Student % of Undergrad'!$A$3,"State","MS","Category",6,"Category2","Four-Year")</f>
        <v>0</v>
      </c>
      <c r="N21" s="441">
        <f>+GETPIVOTDATA("Sum of New-Total Undg SCH FTE",'FTE Pivot for regular counts'!$A$2,"State","MS","Category2","Four-Year")</f>
        <v>60939.433333333342</v>
      </c>
      <c r="O21" s="453">
        <f>+GETPIVOTDATA("Sum of New-HS % of Total",'Pivot-HS Student % of Undergrad'!$A$3,"State","MS","Category2","Group1")</f>
        <v>0</v>
      </c>
      <c r="Q21" s="345" t="s">
        <v>869</v>
      </c>
      <c r="R21" s="454">
        <f>+GETPIVOTDATA("Sum of Old-HS % of Total",'Pivot-HS Student % of Undergrad'!$A$3,"State","MS","Category",1,"Category2","Four-Year")</f>
        <v>0</v>
      </c>
      <c r="S21" s="455">
        <f>(C21-R21)*100</f>
        <v>0</v>
      </c>
      <c r="T21" s="444">
        <f>+GETPIVOTDATA("Sum of Old-HS % of Total",'Pivot-HS Student % of Undergrad'!$A$3,"State","MS","Category",2,"Category2","Four-Year")</f>
        <v>0</v>
      </c>
      <c r="U21" s="455">
        <f t="shared" si="0"/>
        <v>0</v>
      </c>
      <c r="V21" s="444">
        <f>+GETPIVOTDATA("Sum of Old-HS % of Total",'Pivot-HS Student % of Undergrad'!$A$3,"State","MS","Category",3,"Category2","Four-Year")</f>
        <v>0</v>
      </c>
      <c r="W21" s="455">
        <f t="shared" si="1"/>
        <v>0</v>
      </c>
      <c r="X21" s="444">
        <f>+GETPIVOTDATA("Sum of Old-HS % of Total",'Pivot-HS Student % of Undergrad'!$A$3,"State","MS","Category",4,"Category2","Four-Year")</f>
        <v>0</v>
      </c>
      <c r="Y21" s="455">
        <f t="shared" si="2"/>
        <v>0</v>
      </c>
      <c r="Z21" s="444">
        <f>+GETPIVOTDATA("Sum of Old-HS % of Total",'Pivot-HS Student % of Undergrad'!$A$3,"State","MS","Category",5,"Category2","Four-Year")</f>
        <v>0</v>
      </c>
      <c r="AA21" s="455">
        <f t="shared" si="3"/>
        <v>0</v>
      </c>
      <c r="AB21" s="444">
        <f>+GETPIVOTDATA("Sum of Old-HS % of Total",'Pivot-HS Student % of Undergrad'!$A$3,"State","MS","Category",6,"Category2","Four-Year")</f>
        <v>0</v>
      </c>
      <c r="AC21" s="455">
        <f t="shared" si="4"/>
        <v>0</v>
      </c>
      <c r="AD21" s="444">
        <f>+GETPIVOTDATA("Sum of Old-HS % of Total",'Pivot-HS Student % of Undergrad'!$A$3,"State","MS","Category2","Four-Year")</f>
        <v>0</v>
      </c>
      <c r="AE21" s="455">
        <f t="shared" si="5"/>
        <v>0</v>
      </c>
      <c r="AF21" s="345" t="s">
        <v>869</v>
      </c>
      <c r="AH21" s="445" t="s">
        <v>869</v>
      </c>
      <c r="AI21" s="456">
        <f t="shared" si="6"/>
        <v>0</v>
      </c>
      <c r="AJ21" s="456">
        <f t="shared" si="7"/>
        <v>0</v>
      </c>
      <c r="AK21" s="456">
        <f t="shared" si="8"/>
        <v>0</v>
      </c>
      <c r="AL21" s="456">
        <f t="shared" si="9"/>
        <v>0</v>
      </c>
      <c r="AM21" s="456">
        <f t="shared" si="10"/>
        <v>0</v>
      </c>
      <c r="AN21" s="456">
        <f t="shared" si="11"/>
        <v>0</v>
      </c>
      <c r="AO21" s="456">
        <f t="shared" si="12"/>
        <v>0</v>
      </c>
      <c r="AQ21" s="445" t="s">
        <v>869</v>
      </c>
      <c r="AR21" s="456">
        <f t="shared" si="13"/>
        <v>0</v>
      </c>
      <c r="AS21" s="456">
        <f t="shared" si="14"/>
        <v>0</v>
      </c>
      <c r="AT21" s="456">
        <f t="shared" si="15"/>
        <v>0</v>
      </c>
      <c r="AU21" s="456">
        <f t="shared" si="16"/>
        <v>0</v>
      </c>
      <c r="AV21" s="456">
        <f t="shared" si="17"/>
        <v>0</v>
      </c>
      <c r="AW21" s="456">
        <f t="shared" si="18"/>
        <v>0</v>
      </c>
      <c r="AX21" s="456">
        <f t="shared" si="19"/>
        <v>0</v>
      </c>
    </row>
    <row r="22" spans="1:50" ht="15" customHeight="1">
      <c r="A22" s="345" t="s">
        <v>870</v>
      </c>
      <c r="B22" s="452">
        <f>+GETPIVOTDATA("Sum of New-Total Undg SCH FTE",'FTE Pivot for regular counts'!$A$2,"State","NC","Category",1,"Category2","Four-Year")</f>
        <v>76508.666666666672</v>
      </c>
      <c r="C22" s="453">
        <f>+GETPIVOTDATA("Sum of New-HS % of Total",'Pivot-HS Student % of Undergrad'!$A$3,"State","NC","Category",1,"Category2","Four-Year")</f>
        <v>2.1147930953356047E-3</v>
      </c>
      <c r="D22" s="441">
        <f>+GETPIVOTDATA("Sum of New-Total Undg SCH FTE",'FTE Pivot for regular counts'!$A$2,"State","NC","Category",2,"Category2","Four-Year")</f>
        <v>21200.066666666666</v>
      </c>
      <c r="E22" s="453">
        <f>+GETPIVOTDATA("Sum of New-HS % of Total",'Pivot-HS Student % of Undergrad'!$A$3,"State","NC","Category",2,"Category2","Four-Year")</f>
        <v>4.2012446501740559E-3</v>
      </c>
      <c r="F22" s="441">
        <f>+GETPIVOTDATA("Sum of New-Total Undg SCH FTE",'FTE Pivot for regular counts'!$A$2,"State","NC","Category",3,"Category2","Four-Year")</f>
        <v>53681.73333333333</v>
      </c>
      <c r="G22" s="453">
        <f>+GETPIVOTDATA("Sum of New-HS % of Total",'Pivot-HS Student % of Undergrad'!$A$3,"State","NC","Category",3,"Category2","Four-Year")</f>
        <v>1.733053825882423E-3</v>
      </c>
      <c r="H22" s="441">
        <f>+GETPIVOTDATA("Sum of New-Total Undg SCH FTE",'FTE Pivot for regular counts'!$A$2,"State","NC","Category",4,"Category2","Four-Year")</f>
        <v>4932.2666666666664</v>
      </c>
      <c r="I22" s="453">
        <f>+GETPIVOTDATA("Sum of New-HS % of Total",'Pivot-HS Student % of Undergrad'!$A$3,"State","NC","Category",4,"Category2","Four-Year")</f>
        <v>4.9936472750865053E-2</v>
      </c>
      <c r="J22" s="441">
        <f>+GETPIVOTDATA("Sum of New-Total Undg SCH FTE",'FTE Pivot for regular counts'!$A$2,"State","NC","Category",5,"Category2","Four-Year")</f>
        <v>9524.7000000000007</v>
      </c>
      <c r="K22" s="453">
        <f>+GETPIVOTDATA("Sum of New-HS % of Total",'Pivot-HS Student % of Undergrad'!$A$3,"State","NC","Category",5,"Category2","Four-Year")</f>
        <v>0</v>
      </c>
      <c r="L22" s="441">
        <f>+GETPIVOTDATA("Sum of New-Total Undg SCH FTE",'FTE Pivot for regular counts'!$A$2,"State","NC","Category",6,"Category2","Four-Year")</f>
        <v>4889.2666666666664</v>
      </c>
      <c r="M22" s="453">
        <f>+GETPIVOTDATA("Sum of New-HS % of Total",'Pivot-HS Student % of Undergrad'!$A$3,"State","NC","Category",6,"Category2","Four-Year")</f>
        <v>0</v>
      </c>
      <c r="N22" s="441">
        <f>+GETPIVOTDATA("Sum of New-Total Undg SCH FTE",'FTE Pivot for regular counts'!$A$2,"State","NC","Category2","Four-Year")</f>
        <v>170736.7</v>
      </c>
      <c r="O22" s="453">
        <f>+GETPIVOTDATA("Sum of New-HS % of Total",'Pivot-HS Student % of Undergrad'!$A$3,"State","NC","Category2","Group1")</f>
        <v>3.4567846280266633E-3</v>
      </c>
      <c r="Q22" s="345" t="s">
        <v>870</v>
      </c>
      <c r="R22" s="454">
        <f>+GETPIVOTDATA("Sum of Old-HS % of Total",'Pivot-HS Student % of Undergrad'!$A$3,"State","NC","Category",1,"Category2","Four-Year")</f>
        <v>2.3484003079606765E-3</v>
      </c>
      <c r="S22" s="455">
        <f>(C22-R22)*100</f>
        <v>-2.3360721262507191E-2</v>
      </c>
      <c r="T22" s="444">
        <f>+GETPIVOTDATA("Sum of Old-HS % of Total",'Pivot-HS Student % of Undergrad'!$A$3,"State","NC","Category",2,"Category2","Four-Year")</f>
        <v>9.8076816818183296E-3</v>
      </c>
      <c r="U22" s="455">
        <f t="shared" si="0"/>
        <v>-0.56064370316442735</v>
      </c>
      <c r="V22" s="444">
        <f>+GETPIVOTDATA("Sum of Old-HS % of Total",'Pivot-HS Student % of Undergrad'!$A$3,"State","NC","Category",3,"Category2","Four-Year")</f>
        <v>3.9341940012057753E-3</v>
      </c>
      <c r="W22" s="455">
        <f t="shared" si="1"/>
        <v>-0.2201140175323352</v>
      </c>
      <c r="X22" s="444">
        <f>+GETPIVOTDATA("Sum of Old-HS % of Total",'Pivot-HS Student % of Undergrad'!$A$3,"State","NC","Category",4,"Category2","Four-Year")</f>
        <v>1.778931584127676E-2</v>
      </c>
      <c r="Y22" s="455">
        <f t="shared" si="2"/>
        <v>3.2147156909588288</v>
      </c>
      <c r="Z22" s="444">
        <f>+GETPIVOTDATA("Sum of Old-HS % of Total",'Pivot-HS Student % of Undergrad'!$A$3,"State","NC","Category",5,"Category2","Four-Year")</f>
        <v>0</v>
      </c>
      <c r="AA22" s="455">
        <f t="shared" si="3"/>
        <v>0</v>
      </c>
      <c r="AB22" s="444">
        <f>+GETPIVOTDATA("Sum of Old-HS % of Total",'Pivot-HS Student % of Undergrad'!$A$3,"State","NC","Category",6,"Category2","Four-Year")</f>
        <v>0</v>
      </c>
      <c r="AC22" s="455">
        <f t="shared" si="4"/>
        <v>0</v>
      </c>
      <c r="AD22" s="444">
        <f>+GETPIVOTDATA("Sum of Old-HS % of Total",'Pivot-HS Student % of Undergrad'!$A$3,"State","NC","Category2","Four-Year")</f>
        <v>4.022466983857176E-3</v>
      </c>
      <c r="AE22" s="455">
        <f t="shared" si="5"/>
        <v>-5.6568235583051268E-2</v>
      </c>
      <c r="AF22" s="345" t="s">
        <v>870</v>
      </c>
      <c r="AH22" s="445" t="s">
        <v>870</v>
      </c>
      <c r="AI22" s="456">
        <f t="shared" si="6"/>
        <v>0.21147930953356048</v>
      </c>
      <c r="AJ22" s="456">
        <f t="shared" si="7"/>
        <v>0.42012446501740558</v>
      </c>
      <c r="AK22" s="456">
        <f t="shared" si="8"/>
        <v>0.1733053825882423</v>
      </c>
      <c r="AL22" s="456">
        <f t="shared" si="9"/>
        <v>4.9936472750865057</v>
      </c>
      <c r="AM22" s="456">
        <f t="shared" si="10"/>
        <v>0</v>
      </c>
      <c r="AN22" s="456">
        <f t="shared" si="11"/>
        <v>0</v>
      </c>
      <c r="AO22" s="456">
        <f t="shared" si="12"/>
        <v>0.34567846280266634</v>
      </c>
      <c r="AQ22" s="445" t="s">
        <v>870</v>
      </c>
      <c r="AR22" s="456">
        <f t="shared" si="13"/>
        <v>0.23484003079606766</v>
      </c>
      <c r="AS22" s="456">
        <f t="shared" si="14"/>
        <v>0.98076816818183299</v>
      </c>
      <c r="AT22" s="456">
        <f t="shared" si="15"/>
        <v>0.39341940012057752</v>
      </c>
      <c r="AU22" s="456">
        <f t="shared" si="16"/>
        <v>1.778931584127676</v>
      </c>
      <c r="AV22" s="456">
        <f t="shared" si="17"/>
        <v>0</v>
      </c>
      <c r="AW22" s="456">
        <f t="shared" si="18"/>
        <v>0</v>
      </c>
      <c r="AX22" s="456">
        <f t="shared" si="19"/>
        <v>0.40224669838571758</v>
      </c>
    </row>
    <row r="23" spans="1:50" ht="15" customHeight="1">
      <c r="A23" s="345" t="s">
        <v>871</v>
      </c>
      <c r="B23" s="452">
        <f>+GETPIVOTDATA("Sum of New-Total Undg SCH FTE",'FTE Pivot for regular counts'!$A$2,"State","OK","Category",1,"Category2","Four-Year")</f>
        <v>39975.266666666663</v>
      </c>
      <c r="C23" s="453">
        <f>+GETPIVOTDATA("Sum of New-HS % of Total",'Pivot-HS Student % of Undergrad'!$A$3,"State","OK","Category",1,"Category2","Four-Year")</f>
        <v>2.3239369676916893E-3</v>
      </c>
      <c r="D23" s="441">
        <f>+GETPIVOTDATA("Sum of New-Total Undg SCH FTE",'FTE Pivot for regular counts'!$A$2,"State","OK","Category",2,"Category2","Four-Year")</f>
        <v>0</v>
      </c>
      <c r="E23" s="453">
        <f>+GETPIVOTDATA("Sum of New-HS % of Total",'Pivot-HS Student % of Undergrad'!$A$3,"State","OK","Category",2,"Category2","Four-Year")</f>
        <v>0</v>
      </c>
      <c r="F23" s="441">
        <f>+GETPIVOTDATA("Sum of New-Total Undg SCH FTE",'FTE Pivot for regular counts'!$A$2,"State","OK","Category",3,"Category2","Four-Year")</f>
        <v>17654.633333333335</v>
      </c>
      <c r="G23" s="453">
        <f>+GETPIVOTDATA("Sum of New-HS % of Total",'Pivot-HS Student % of Undergrad'!$A$3,"State","OK","Category",3,"Category2","Four-Year")</f>
        <v>1.3809406029389829E-2</v>
      </c>
      <c r="H23" s="441">
        <f>+GETPIVOTDATA("Sum of New-Total Undg SCH FTE",'FTE Pivot for regular counts'!$A$2,"State","OK","Category",4,"Category2","Four-Year")</f>
        <v>2705.3666666666668</v>
      </c>
      <c r="I23" s="453">
        <f>+GETPIVOTDATA("Sum of New-HS % of Total",'Pivot-HS Student % of Undergrad'!$A$3,"State","OK","Category",4,"Category2","Four-Year")</f>
        <v>2.2634023730609531E-2</v>
      </c>
      <c r="J23" s="441">
        <f>+GETPIVOTDATA("Sum of New-Total Undg SCH FTE",'FTE Pivot for regular counts'!$A$2,"State","OK","Category",5,"Category2","Four-Year")</f>
        <v>14984.3</v>
      </c>
      <c r="K23" s="453">
        <f>+GETPIVOTDATA("Sum of New-HS % of Total",'Pivot-HS Student % of Undergrad'!$A$3,"State","OK","Category",5,"Category2","Four-Year")</f>
        <v>1.7347045463140309E-2</v>
      </c>
      <c r="L23" s="441">
        <f>+GETPIVOTDATA("Sum of New-Total Undg SCH FTE",'FTE Pivot for regular counts'!$A$2,"State","OK","Category",6,"Category2","Four-Year")</f>
        <v>4784.0333333333338</v>
      </c>
      <c r="M23" s="453">
        <f>+GETPIVOTDATA("Sum of New-HS % of Total",'Pivot-HS Student % of Undergrad'!$A$3,"State","OK","Category",6,"Category2","Four-Year")</f>
        <v>3.148668139157336E-2</v>
      </c>
      <c r="N23" s="441">
        <f>+GETPIVOTDATA("Sum of New-Total Undg SCH FTE",'FTE Pivot for regular counts'!$A$2,"State","OK","Category2","Four-Year")</f>
        <v>80103.600000000006</v>
      </c>
      <c r="O23" s="453">
        <f>+GETPIVOTDATA("Sum of New-HS % of Total",'Pivot-HS Student % of Undergrad'!$A$3,"State","OK","Category2","Group1")</f>
        <v>1.0093179332764071E-2</v>
      </c>
      <c r="Q23" s="345" t="s">
        <v>871</v>
      </c>
      <c r="R23" s="454">
        <f>+GETPIVOTDATA("Sum of Old-HS % of Total",'Pivot-HS Student % of Undergrad'!$A$3,"State","OK","Category",1,"Category2","Four-Year")</f>
        <v>1.5981238908279014E-3</v>
      </c>
      <c r="S23" s="455">
        <f>(C23-R23)*100</f>
        <v>7.2581307686378799E-2</v>
      </c>
      <c r="T23" s="444">
        <f>+GETPIVOTDATA("Sum of Old-HS % of Total",'Pivot-HS Student % of Undergrad'!$A$3,"State","OK","Category",2,"Category2","Four-Year")</f>
        <v>0</v>
      </c>
      <c r="U23" s="455">
        <f t="shared" si="0"/>
        <v>0</v>
      </c>
      <c r="V23" s="444">
        <f>+GETPIVOTDATA("Sum of Old-HS % of Total",'Pivot-HS Student % of Undergrad'!$A$3,"State","OK","Category",3,"Category2","Four-Year")</f>
        <v>1.1235307460333396E-2</v>
      </c>
      <c r="W23" s="455">
        <f t="shared" si="1"/>
        <v>0.25740985690564328</v>
      </c>
      <c r="X23" s="444">
        <f>+GETPIVOTDATA("Sum of Old-HS % of Total",'Pivot-HS Student % of Undergrad'!$A$3,"State","OK","Category",4,"Category2","Four-Year")</f>
        <v>1.8461647912541353E-2</v>
      </c>
      <c r="Y23" s="455">
        <f t="shared" si="2"/>
        <v>0.4172375818068178</v>
      </c>
      <c r="Z23" s="444">
        <f>+GETPIVOTDATA("Sum of Old-HS % of Total",'Pivot-HS Student % of Undergrad'!$A$3,"State","OK","Category",5,"Category2","Four-Year")</f>
        <v>1.5561323224734193E-2</v>
      </c>
      <c r="AA23" s="455">
        <f t="shared" si="3"/>
        <v>0.17857222384061161</v>
      </c>
      <c r="AB23" s="444">
        <f>+GETPIVOTDATA("Sum of Old-HS % of Total",'Pivot-HS Student % of Undergrad'!$A$3,"State","OK","Category",6,"Category2","Four-Year")</f>
        <v>3.0247416609029715E-2</v>
      </c>
      <c r="AC23" s="455">
        <f t="shared" si="4"/>
        <v>0.12392647825436448</v>
      </c>
      <c r="AD23" s="444">
        <f>+GETPIVOTDATA("Sum of Old-HS % of Total",'Pivot-HS Student % of Undergrad'!$A$3,"State","OK","Category2","Four-Year")</f>
        <v>8.6249816774677905E-3</v>
      </c>
      <c r="AE23" s="455">
        <f t="shared" si="5"/>
        <v>0.146819765529628</v>
      </c>
      <c r="AF23" s="345" t="s">
        <v>871</v>
      </c>
      <c r="AH23" s="445" t="s">
        <v>871</v>
      </c>
      <c r="AI23" s="456">
        <f t="shared" si="6"/>
        <v>0.23239369676916893</v>
      </c>
      <c r="AJ23" s="456">
        <f t="shared" si="7"/>
        <v>0</v>
      </c>
      <c r="AK23" s="456">
        <f t="shared" si="8"/>
        <v>1.3809406029389828</v>
      </c>
      <c r="AL23" s="456">
        <f t="shared" si="9"/>
        <v>2.2634023730609529</v>
      </c>
      <c r="AM23" s="456">
        <f t="shared" si="10"/>
        <v>1.7347045463140309</v>
      </c>
      <c r="AN23" s="456">
        <f t="shared" si="11"/>
        <v>3.1486681391573361</v>
      </c>
      <c r="AO23" s="456">
        <f t="shared" si="12"/>
        <v>1.0093179332764071</v>
      </c>
      <c r="AQ23" s="445" t="s">
        <v>871</v>
      </c>
      <c r="AR23" s="456">
        <f t="shared" si="13"/>
        <v>0.15981238908279013</v>
      </c>
      <c r="AS23" s="456">
        <f t="shared" si="14"/>
        <v>0</v>
      </c>
      <c r="AT23" s="456">
        <f t="shared" si="15"/>
        <v>1.1235307460333397</v>
      </c>
      <c r="AU23" s="456">
        <f t="shared" si="16"/>
        <v>1.8461647912541352</v>
      </c>
      <c r="AV23" s="456">
        <f t="shared" si="17"/>
        <v>1.5561323224734194</v>
      </c>
      <c r="AW23" s="456">
        <f t="shared" si="18"/>
        <v>3.0247416609029716</v>
      </c>
      <c r="AX23" s="456">
        <f t="shared" si="19"/>
        <v>0.86249816774677901</v>
      </c>
    </row>
    <row r="24" spans="1:50" ht="15" customHeight="1">
      <c r="A24" s="345" t="s">
        <v>872</v>
      </c>
      <c r="B24" s="452">
        <f>+GETPIVOTDATA("Sum of New-Total Undg SCH FTE",'FTE Pivot for regular counts'!$A$2,"State","SC","Category",1,"Category2","Four-Year")</f>
        <v>44660</v>
      </c>
      <c r="C24" s="459">
        <f>+GETPIVOTDATA("Sum of New-HS % of Total",'Pivot-HS Student % of Undergrad'!$A$3,"State","SC","Category",1,"Category2","Four-Year")</f>
        <v>1.5104304381112362E-3</v>
      </c>
      <c r="D24" s="441">
        <f>+GETPIVOTDATA("Sum of New-Total Undg SCH FTE",'FTE Pivot for regular counts'!$A$2,"State","SC","Category",2,"Category2","Four-Year")</f>
        <v>0</v>
      </c>
      <c r="E24" s="453">
        <f>+GETPIVOTDATA("Sum of New-HS % of Total",'Pivot-HS Student % of Undergrad'!$A$3,"State","SC","Category",2,"Category2","Four-Year")</f>
        <v>0</v>
      </c>
      <c r="F24" s="441">
        <f>+GETPIVOTDATA("Sum of New-Total Undg SCH FTE",'FTE Pivot for regular counts'!$A$2,"State","SC","Category",3,"Category2","Four-Year")</f>
        <v>18120.400000000001</v>
      </c>
      <c r="G24" s="453">
        <f>+GETPIVOTDATA("Sum of New-HS % of Total",'Pivot-HS Student % of Undergrad'!$A$3,"State","SC","Category",3,"Category2","Four-Year")</f>
        <v>4.6374988042942392E-3</v>
      </c>
      <c r="H24" s="441">
        <f>+GETPIVOTDATA("Sum of New-Total Undg SCH FTE",'FTE Pivot for regular counts'!$A$2,"State","SC","Category",4,"Category2","Four-Year")</f>
        <v>0</v>
      </c>
      <c r="I24" s="453">
        <f>+GETPIVOTDATA("Sum of New-HS % of Total",'Pivot-HS Student % of Undergrad'!$A$3,"State","SC","Category",4,"Category2","Four-Year")</f>
        <v>0</v>
      </c>
      <c r="J24" s="441">
        <f>+GETPIVOTDATA("Sum of New-Total Undg SCH FTE",'FTE Pivot for regular counts'!$A$2,"State","SC","Category",5,"Category2","Four-Year")</f>
        <v>15080.633333333333</v>
      </c>
      <c r="K24" s="453">
        <f>+GETPIVOTDATA("Sum of New-HS % of Total",'Pivot-HS Student % of Undergrad'!$A$3,"State","SC","Category",5,"Category2","Four-Year")</f>
        <v>9.9763965381589308E-3</v>
      </c>
      <c r="L24" s="441">
        <f>+GETPIVOTDATA("Sum of New-Total Undg SCH FTE",'FTE Pivot for regular counts'!$A$2,"State","SC","Category",6,"Category2","Four-Year")</f>
        <v>12334.916666666668</v>
      </c>
      <c r="M24" s="453">
        <f>+GETPIVOTDATA("Sum of New-HS % of Total",'Pivot-HS Student % of Undergrad'!$A$3,"State","SC","Category",6,"Category2","Four-Year")</f>
        <v>2.1110379921683098E-3</v>
      </c>
      <c r="N24" s="441">
        <f>+GETPIVOTDATA("Sum of New-Total Undg SCH FTE",'FTE Pivot for regular counts'!$A$2,"State","SC","Category2","Four-Year")</f>
        <v>90195.950000000012</v>
      </c>
      <c r="O24" s="453">
        <f>+GETPIVOTDATA("Sum of New-HS % of Total",'Pivot-HS Student % of Undergrad'!$A$3,"State","SC","Category2","Group1")</f>
        <v>3.4829112904503101E-3</v>
      </c>
      <c r="Q24" s="345" t="s">
        <v>872</v>
      </c>
      <c r="R24" s="454">
        <f>+GETPIVOTDATA("Sum of Old-HS % of Total",'Pivot-HS Student % of Undergrad'!$A$3,"State","SC","Category",1,"Category2","Four-Year")</f>
        <v>1.2761849099457343E-3</v>
      </c>
      <c r="S24" s="457">
        <f>(C24-R24)*100</f>
        <v>2.342455281655019E-2</v>
      </c>
      <c r="T24" s="444">
        <f>+GETPIVOTDATA("Sum of Old-HS % of Total",'Pivot-HS Student % of Undergrad'!$A$3,"State","SC","Category",2,"Category2","Four-Year")</f>
        <v>0</v>
      </c>
      <c r="U24" s="455">
        <f t="shared" si="0"/>
        <v>0</v>
      </c>
      <c r="V24" s="444">
        <f>+GETPIVOTDATA("Sum of Old-HS % of Total",'Pivot-HS Student % of Undergrad'!$A$3,"State","SC","Category",3,"Category2","Four-Year")</f>
        <v>3.9561226691889858E-3</v>
      </c>
      <c r="W24" s="455">
        <f t="shared" si="1"/>
        <v>6.8137613510525344E-2</v>
      </c>
      <c r="X24" s="444">
        <f>+GETPIVOTDATA("Sum of Old-HS % of Total",'Pivot-HS Student % of Undergrad'!$A$3,"State","SC","Category",4,"Category2","Four-Year")</f>
        <v>0</v>
      </c>
      <c r="Y24" s="455">
        <f t="shared" si="2"/>
        <v>0</v>
      </c>
      <c r="Z24" s="444">
        <f>+GETPIVOTDATA("Sum of Old-HS % of Total",'Pivot-HS Student % of Undergrad'!$A$3,"State","SC","Category",5,"Category2","Four-Year")</f>
        <v>1.7279782828107056E-2</v>
      </c>
      <c r="AA24" s="455">
        <f t="shared" si="3"/>
        <v>-0.7303386289948125</v>
      </c>
      <c r="AB24" s="444">
        <f>+GETPIVOTDATA("Sum of Old-HS % of Total",'Pivot-HS Student % of Undergrad'!$A$3,"State","SC","Category",6,"Category2","Four-Year")</f>
        <v>2.2699688371330164E-3</v>
      </c>
      <c r="AC24" s="455">
        <f t="shared" si="4"/>
        <v>-1.5893084496470655E-2</v>
      </c>
      <c r="AD24" s="444">
        <f>+GETPIVOTDATA("Sum of Old-HS % of Total",'Pivot-HS Student % of Undergrad'!$A$3,"State","SC","Category2","Four-Year")</f>
        <v>4.4955715321456603E-3</v>
      </c>
      <c r="AE24" s="455">
        <f t="shared" si="5"/>
        <v>-0.10126602416953502</v>
      </c>
      <c r="AF24" s="345" t="s">
        <v>872</v>
      </c>
      <c r="AH24" s="445" t="s">
        <v>872</v>
      </c>
      <c r="AI24" s="456">
        <f t="shared" si="6"/>
        <v>0.15104304381112363</v>
      </c>
      <c r="AJ24" s="456">
        <f t="shared" si="7"/>
        <v>0</v>
      </c>
      <c r="AK24" s="456">
        <f t="shared" si="8"/>
        <v>0.46374988042942389</v>
      </c>
      <c r="AL24" s="456">
        <f t="shared" si="9"/>
        <v>0</v>
      </c>
      <c r="AM24" s="456">
        <f t="shared" si="10"/>
        <v>0.99763965381589303</v>
      </c>
      <c r="AN24" s="456">
        <f t="shared" si="11"/>
        <v>0.21110379921683098</v>
      </c>
      <c r="AO24" s="456">
        <f t="shared" si="12"/>
        <v>0.34829112904503101</v>
      </c>
      <c r="AQ24" s="445" t="s">
        <v>872</v>
      </c>
      <c r="AR24" s="456">
        <f t="shared" si="13"/>
        <v>0.12761849099457342</v>
      </c>
      <c r="AS24" s="456">
        <f t="shared" si="14"/>
        <v>0</v>
      </c>
      <c r="AT24" s="456">
        <f t="shared" si="15"/>
        <v>0.39561226691889856</v>
      </c>
      <c r="AU24" s="456">
        <f t="shared" si="16"/>
        <v>0</v>
      </c>
      <c r="AV24" s="456">
        <f t="shared" si="17"/>
        <v>1.7279782828107055</v>
      </c>
      <c r="AW24" s="456">
        <f t="shared" si="18"/>
        <v>0.22699688371330162</v>
      </c>
      <c r="AX24" s="456">
        <f t="shared" si="19"/>
        <v>0.44955715321456602</v>
      </c>
    </row>
    <row r="25" spans="1:50" ht="15" customHeight="1">
      <c r="B25" s="452"/>
      <c r="C25" s="459"/>
      <c r="D25" s="441"/>
      <c r="E25" s="453"/>
      <c r="F25" s="441"/>
      <c r="G25" s="453"/>
      <c r="H25" s="441"/>
      <c r="I25" s="453"/>
      <c r="J25" s="441"/>
      <c r="K25" s="453"/>
      <c r="L25" s="441"/>
      <c r="M25" s="453"/>
      <c r="N25" s="441"/>
      <c r="O25" s="453"/>
      <c r="R25" s="454"/>
      <c r="S25" s="455"/>
      <c r="T25" s="444"/>
      <c r="U25" s="455"/>
      <c r="V25" s="444"/>
      <c r="W25" s="455"/>
      <c r="X25" s="444"/>
      <c r="Y25" s="455"/>
      <c r="Z25" s="444"/>
      <c r="AA25" s="455"/>
      <c r="AB25" s="444"/>
      <c r="AC25" s="455"/>
      <c r="AD25" s="444"/>
      <c r="AE25" s="455"/>
      <c r="AH25" s="445"/>
      <c r="AI25" s="456">
        <f t="shared" si="6"/>
        <v>0</v>
      </c>
      <c r="AJ25" s="456">
        <f t="shared" si="7"/>
        <v>0</v>
      </c>
      <c r="AK25" s="456">
        <f t="shared" si="8"/>
        <v>0</v>
      </c>
      <c r="AL25" s="456">
        <f t="shared" si="9"/>
        <v>0</v>
      </c>
      <c r="AM25" s="456">
        <f t="shared" si="10"/>
        <v>0</v>
      </c>
      <c r="AN25" s="456">
        <f t="shared" si="11"/>
        <v>0</v>
      </c>
      <c r="AO25" s="456">
        <f t="shared" si="12"/>
        <v>0</v>
      </c>
      <c r="AQ25" s="445"/>
      <c r="AR25" s="456">
        <f t="shared" si="13"/>
        <v>0</v>
      </c>
      <c r="AS25" s="456">
        <f t="shared" si="14"/>
        <v>0</v>
      </c>
      <c r="AT25" s="456">
        <f t="shared" si="15"/>
        <v>0</v>
      </c>
      <c r="AU25" s="456">
        <f t="shared" si="16"/>
        <v>0</v>
      </c>
      <c r="AV25" s="456">
        <f t="shared" si="17"/>
        <v>0</v>
      </c>
      <c r="AW25" s="456">
        <f t="shared" si="18"/>
        <v>0</v>
      </c>
      <c r="AX25" s="456">
        <f t="shared" si="19"/>
        <v>0</v>
      </c>
    </row>
    <row r="26" spans="1:50" ht="15" customHeight="1">
      <c r="A26" s="345" t="s">
        <v>873</v>
      </c>
      <c r="B26" s="452">
        <f>+GETPIVOTDATA("Sum of New-Total Undg SCH FTE",'FTE Pivot for regular counts'!$A$2,"State","TN","Category",1,"Category2","Four-Year")</f>
        <v>34699.866666666669</v>
      </c>
      <c r="C26" s="453">
        <f>+GETPIVOTDATA("Sum of New-HS % of Total",'Pivot-HS Student % of Undergrad'!$A$3,"State","TN","Category",1,"Category2","Four-Year")</f>
        <v>6.9856176200484921E-3</v>
      </c>
      <c r="D26" s="441">
        <f>+GETPIVOTDATA("Sum of New-Total Undg SCH FTE",'FTE Pivot for regular counts'!$A$2,"State","TN","Category",2,"Category2","Four-Year")</f>
        <v>16752.300000000003</v>
      </c>
      <c r="E26" s="453">
        <f>+GETPIVOTDATA("Sum of New-HS % of Total",'Pivot-HS Student % of Undergrad'!$A$3,"State","TN","Category",2,"Category2","Four-Year")</f>
        <v>6.4085464426782198E-3</v>
      </c>
      <c r="F26" s="441">
        <f>+GETPIVOTDATA("Sum of New-Total Undg SCH FTE",'FTE Pivot for regular counts'!$A$2,"State","TN","Category",3,"Category2","Four-Year")</f>
        <v>43636.9</v>
      </c>
      <c r="G26" s="453">
        <f>+GETPIVOTDATA("Sum of New-HS % of Total",'Pivot-HS Student % of Undergrad'!$A$3,"State","TN","Category",3,"Category2","Four-Year")</f>
        <v>6.9551228432817181E-3</v>
      </c>
      <c r="H26" s="441">
        <f>+GETPIVOTDATA("Sum of New-Total Undg SCH FTE",'FTE Pivot for regular counts'!$A$2,"State","TN","Category",4,"Category2","Four-Year")</f>
        <v>0</v>
      </c>
      <c r="I26" s="453">
        <f>+GETPIVOTDATA("Sum of New-HS % of Total",'Pivot-HS Student % of Undergrad'!$A$3,"State","TN","Category",4,"Category2","Four-Year")</f>
        <v>0</v>
      </c>
      <c r="J26" s="441">
        <f>+GETPIVOTDATA("Sum of New-Total Undg SCH FTE",'FTE Pivot for regular counts'!$A$2,"State","TN","Category",5,"Category2","Four-Year")</f>
        <v>5746.1333333333332</v>
      </c>
      <c r="K26" s="453">
        <f>+GETPIVOTDATA("Sum of New-HS % of Total",'Pivot-HS Student % of Undergrad'!$A$3,"State","TN","Category",5,"Category2","Four-Year")</f>
        <v>2.2409272322257288E-2</v>
      </c>
      <c r="L26" s="441">
        <f>+GETPIVOTDATA("Sum of New-Total Undg SCH FTE",'FTE Pivot for regular counts'!$A$2,"State","TN","Category",6,"Category2","Four-Year")</f>
        <v>0</v>
      </c>
      <c r="M26" s="453">
        <f>+GETPIVOTDATA("Sum of New-HS % of Total",'Pivot-HS Student % of Undergrad'!$A$3,"State","TN","Category",6,"Category2","Four-Year")</f>
        <v>0</v>
      </c>
      <c r="N26" s="441">
        <f>+GETPIVOTDATA("Sum of New-Total Undg SCH FTE",'FTE Pivot for regular counts'!$A$2,"State","TN","Category2","Four-Year")</f>
        <v>100835.20000000001</v>
      </c>
      <c r="O26" s="453">
        <f>+GETPIVOTDATA("Sum of New-HS % of Total",'Pivot-HS Student % of Undergrad'!$A$3,"State","TN","Category2","Group1")</f>
        <v>7.8464614696181646E-3</v>
      </c>
      <c r="Q26" s="345" t="s">
        <v>873</v>
      </c>
      <c r="R26" s="454">
        <f>+GETPIVOTDATA("Sum of Old-HS % of Total",'Pivot-HS Student % of Undergrad'!$A$3,"State","TN","Category",1,"Category2","Four-Year")</f>
        <v>7.0544811456414985E-3</v>
      </c>
      <c r="S26" s="455">
        <f>(C26-R26)*100</f>
        <v>-6.8863525593006354E-3</v>
      </c>
      <c r="T26" s="444">
        <f>+GETPIVOTDATA("Sum of Old-HS % of Total",'Pivot-HS Student % of Undergrad'!$A$3,"State","TN","Category",2,"Category2","Four-Year")</f>
        <v>6.3878059691953731E-3</v>
      </c>
      <c r="U26" s="455">
        <f t="shared" si="0"/>
        <v>2.0740473482846675E-3</v>
      </c>
      <c r="V26" s="444">
        <f>+GETPIVOTDATA("Sum of Old-HS % of Total",'Pivot-HS Student % of Undergrad'!$A$3,"State","TN","Category",3,"Category2","Four-Year")</f>
        <v>4.3394450715221649E-3</v>
      </c>
      <c r="W26" s="457">
        <f t="shared" si="1"/>
        <v>0.26156777717595531</v>
      </c>
      <c r="X26" s="444">
        <f>+GETPIVOTDATA("Sum of Old-HS % of Total",'Pivot-HS Student % of Undergrad'!$A$3,"State","TN","Category",4,"Category2","Four-Year")</f>
        <v>0</v>
      </c>
      <c r="Y26" s="455">
        <f t="shared" si="2"/>
        <v>0</v>
      </c>
      <c r="Z26" s="444">
        <f>+GETPIVOTDATA("Sum of Old-HS % of Total",'Pivot-HS Student % of Undergrad'!$A$3,"State","TN","Category",5,"Category2","Four-Year")</f>
        <v>1.2651508449084314E-2</v>
      </c>
      <c r="AA26" s="455">
        <f t="shared" si="3"/>
        <v>0.97577638731729743</v>
      </c>
      <c r="AB26" s="444">
        <f>+GETPIVOTDATA("Sum of Old-HS % of Total",'Pivot-HS Student % of Undergrad'!$A$3,"State","TN","Category",6,"Category2","Four-Year")</f>
        <v>0</v>
      </c>
      <c r="AC26" s="455">
        <f t="shared" si="4"/>
        <v>0</v>
      </c>
      <c r="AD26" s="444">
        <f>+GETPIVOTDATA("Sum of Old-HS % of Total",'Pivot-HS Student % of Undergrad'!$A$3,"State","TN","Category2","Four-Year")</f>
        <v>6.074231693629817E-3</v>
      </c>
      <c r="AE26" s="455">
        <f t="shared" si="5"/>
        <v>0.17722297759883476</v>
      </c>
      <c r="AF26" s="345" t="s">
        <v>873</v>
      </c>
      <c r="AH26" s="445" t="s">
        <v>873</v>
      </c>
      <c r="AI26" s="456">
        <f t="shared" si="6"/>
        <v>0.69856176200484921</v>
      </c>
      <c r="AJ26" s="456">
        <f t="shared" si="7"/>
        <v>0.64085464426782202</v>
      </c>
      <c r="AK26" s="456">
        <f t="shared" si="8"/>
        <v>0.6955122843281718</v>
      </c>
      <c r="AL26" s="456">
        <f t="shared" si="9"/>
        <v>0</v>
      </c>
      <c r="AM26" s="456">
        <f t="shared" si="10"/>
        <v>2.240927232225729</v>
      </c>
      <c r="AN26" s="456">
        <f t="shared" si="11"/>
        <v>0</v>
      </c>
      <c r="AO26" s="456">
        <f t="shared" si="12"/>
        <v>0.78464614696181645</v>
      </c>
      <c r="AQ26" s="445" t="s">
        <v>873</v>
      </c>
      <c r="AR26" s="456">
        <f t="shared" si="13"/>
        <v>0.7054481145641498</v>
      </c>
      <c r="AS26" s="456">
        <f t="shared" si="14"/>
        <v>0.63878059691953726</v>
      </c>
      <c r="AT26" s="456">
        <f t="shared" si="15"/>
        <v>0.4339445071522165</v>
      </c>
      <c r="AU26" s="456">
        <f t="shared" si="16"/>
        <v>0</v>
      </c>
      <c r="AV26" s="456">
        <f t="shared" si="17"/>
        <v>1.2651508449084314</v>
      </c>
      <c r="AW26" s="456">
        <f t="shared" si="18"/>
        <v>0</v>
      </c>
      <c r="AX26" s="456">
        <f t="shared" si="19"/>
        <v>0.60742316936298169</v>
      </c>
    </row>
    <row r="27" spans="1:50" ht="15" customHeight="1">
      <c r="A27" s="345" t="s">
        <v>874</v>
      </c>
      <c r="B27" s="452">
        <f>+GETPIVOTDATA("Sum of New-Total Undg SCH FTE",'FTE Pivot for regular counts'!$A$2,"State","TX","Category",1,"Category2","Four-Year")</f>
        <v>218593.66666666666</v>
      </c>
      <c r="C27" s="459">
        <f>+GETPIVOTDATA("Sum of New-HS % of Total",'Pivot-HS Student % of Undergrad'!$A$3,"State","TX","Category",1,"Category2","Four-Year")</f>
        <v>1.1741724752623209E-4</v>
      </c>
      <c r="D27" s="441">
        <f>+GETPIVOTDATA("Sum of New-Total Undg SCH FTE",'FTE Pivot for regular counts'!$A$2,"State","TX","Category",2,"Category2","Four-Year")</f>
        <v>53420.96666666666</v>
      </c>
      <c r="E27" s="453">
        <f>+GETPIVOTDATA("Sum of New-HS % of Total",'Pivot-HS Student % of Undergrad'!$A$3,"State","TX","Category",2,"Category2","Four-Year")</f>
        <v>4.1725190296693741E-3</v>
      </c>
      <c r="F27" s="441">
        <f>+GETPIVOTDATA("Sum of New-Total Undg SCH FTE",'FTE Pivot for regular counts'!$A$2,"State","TX","Category",3,"Category2","Four-Year")</f>
        <v>131243.40000000002</v>
      </c>
      <c r="G27" s="453">
        <f>+GETPIVOTDATA("Sum of New-HS % of Total",'Pivot-HS Student % of Undergrad'!$A$3,"State","TX","Category",3,"Category2","Four-Year")</f>
        <v>2.18878308039363E-2</v>
      </c>
      <c r="H27" s="441">
        <f>+GETPIVOTDATA("Sum of New-Total Undg SCH FTE",'FTE Pivot for regular counts'!$A$2,"State","TX","Category",4,"Category2","Four-Year")</f>
        <v>4836.6000000000004</v>
      </c>
      <c r="I27" s="453">
        <f>+GETPIVOTDATA("Sum of New-HS % of Total",'Pivot-HS Student % of Undergrad'!$A$3,"State","TX","Category",4,"Category2","Four-Year")</f>
        <v>2.6878385642806928E-4</v>
      </c>
      <c r="J27" s="441">
        <f>+GETPIVOTDATA("Sum of New-Total Undg SCH FTE",'FTE Pivot for regular counts'!$A$2,"State","TX","Category",5,"Category2","Four-Year")</f>
        <v>14183.933333333334</v>
      </c>
      <c r="K27" s="453">
        <f>+GETPIVOTDATA("Sum of New-HS % of Total",'Pivot-HS Student % of Undergrad'!$A$3,"State","TX","Category",5,"Category2","Four-Year")</f>
        <v>1.2666914208094605E-3</v>
      </c>
      <c r="L27" s="441">
        <f>+GETPIVOTDATA("Sum of New-Total Undg SCH FTE",'FTE Pivot for regular counts'!$A$2,"State","TX","Category",6,"Category2","Four-Year")</f>
        <v>0</v>
      </c>
      <c r="M27" s="453">
        <f>+GETPIVOTDATA("Sum of New-HS % of Total",'Pivot-HS Student % of Undergrad'!$A$3,"State","TX","Category",6,"Category2","Four-Year")</f>
        <v>0</v>
      </c>
      <c r="N27" s="441">
        <f>+GETPIVOTDATA("Sum of New-Total Undg SCH FTE",'FTE Pivot for regular counts'!$A$2,"State","TX","Category2","Four-Year")</f>
        <v>422278.56666666665</v>
      </c>
      <c r="O27" s="453">
        <f>+GETPIVOTDATA("Sum of New-HS % of Total",'Pivot-HS Student % of Undergrad'!$A$3,"State","TX","Category2","Group1")</f>
        <v>7.4369549263570639E-3</v>
      </c>
      <c r="Q27" s="345" t="s">
        <v>874</v>
      </c>
      <c r="R27" s="454">
        <f>+GETPIVOTDATA("Sum of Old-HS % of Total",'Pivot-HS Student % of Undergrad'!$A$3,"State","TX","Category",1,"Category2","Four-Year")</f>
        <v>1.6484472639255825E-4</v>
      </c>
      <c r="S27" s="457">
        <f>(C27-R27)*100</f>
        <v>-4.7427478866326166E-3</v>
      </c>
      <c r="T27" s="444">
        <f>+GETPIVOTDATA("Sum of Old-HS % of Total",'Pivot-HS Student % of Undergrad'!$A$3,"State","TX","Category",2,"Category2","Four-Year")</f>
        <v>2.9004874153890788E-3</v>
      </c>
      <c r="U27" s="455">
        <f t="shared" si="0"/>
        <v>0.12720316142802954</v>
      </c>
      <c r="V27" s="444">
        <f>+GETPIVOTDATA("Sum of Old-HS % of Total",'Pivot-HS Student % of Undergrad'!$A$3,"State","TX","Category",3,"Category2","Four-Year")</f>
        <v>1.6564597551592342E-2</v>
      </c>
      <c r="W27" s="455">
        <f t="shared" si="1"/>
        <v>0.53232332523439585</v>
      </c>
      <c r="X27" s="444">
        <f>+GETPIVOTDATA("Sum of Old-HS % of Total",'Pivot-HS Student % of Undergrad'!$A$3,"State","TX","Category",4,"Category2","Four-Year")</f>
        <v>0</v>
      </c>
      <c r="Y27" s="455">
        <f t="shared" si="2"/>
        <v>2.6878385642806927E-2</v>
      </c>
      <c r="Z27" s="444">
        <f>+GETPIVOTDATA("Sum of Old-HS % of Total",'Pivot-HS Student % of Undergrad'!$A$3,"State","TX","Category",5,"Category2","Four-Year")</f>
        <v>1.99396830515065E-3</v>
      </c>
      <c r="AA27" s="455">
        <f t="shared" si="3"/>
        <v>-7.2727688434118948E-2</v>
      </c>
      <c r="AB27" s="444">
        <f>+GETPIVOTDATA("Sum of Old-HS % of Total",'Pivot-HS Student % of Undergrad'!$A$3,"State","TX","Category",6,"Category2","Four-Year")</f>
        <v>0</v>
      </c>
      <c r="AC27" s="455">
        <f t="shared" si="4"/>
        <v>0</v>
      </c>
      <c r="AD27" s="444">
        <f>+GETPIVOTDATA("Sum of Old-HS % of Total",'Pivot-HS Student % of Undergrad'!$A$3,"State","TX","Category2","Four-Year")</f>
        <v>5.6972525257461184E-3</v>
      </c>
      <c r="AE27" s="455">
        <f t="shared" si="5"/>
        <v>0.17397024006109454</v>
      </c>
      <c r="AF27" s="345" t="s">
        <v>874</v>
      </c>
      <c r="AH27" s="445" t="s">
        <v>874</v>
      </c>
      <c r="AI27" s="456">
        <f t="shared" si="6"/>
        <v>1.1741724752623209E-2</v>
      </c>
      <c r="AJ27" s="456">
        <f t="shared" si="7"/>
        <v>0.41725190296693743</v>
      </c>
      <c r="AK27" s="456">
        <f t="shared" si="8"/>
        <v>2.1887830803936299</v>
      </c>
      <c r="AL27" s="456">
        <f t="shared" si="9"/>
        <v>2.6878385642806927E-2</v>
      </c>
      <c r="AM27" s="456">
        <f t="shared" si="10"/>
        <v>0.12666914208094604</v>
      </c>
      <c r="AN27" s="456">
        <f t="shared" si="11"/>
        <v>0</v>
      </c>
      <c r="AO27" s="456">
        <f t="shared" si="12"/>
        <v>0.74369549263570645</v>
      </c>
      <c r="AQ27" s="445" t="s">
        <v>874</v>
      </c>
      <c r="AR27" s="456">
        <f t="shared" si="13"/>
        <v>1.6484472639255825E-2</v>
      </c>
      <c r="AS27" s="456">
        <f t="shared" si="14"/>
        <v>0.29004874153890786</v>
      </c>
      <c r="AT27" s="456">
        <f t="shared" si="15"/>
        <v>1.6564597551592342</v>
      </c>
      <c r="AU27" s="456">
        <f t="shared" si="16"/>
        <v>0</v>
      </c>
      <c r="AV27" s="456">
        <f t="shared" si="17"/>
        <v>0.19939683051506502</v>
      </c>
      <c r="AW27" s="456">
        <f t="shared" si="18"/>
        <v>0</v>
      </c>
      <c r="AX27" s="456">
        <f t="shared" si="19"/>
        <v>0.56972525257461182</v>
      </c>
    </row>
    <row r="28" spans="1:50" ht="15" customHeight="1">
      <c r="A28" s="345" t="s">
        <v>875</v>
      </c>
      <c r="B28" s="452">
        <f>+GETPIVOTDATA("Sum of New-Total Undg SCH FTE",'FTE Pivot for regular counts'!$A$2,"State","VA","Category",1,"Category2","Four-Year")</f>
        <v>104504.88333333333</v>
      </c>
      <c r="C28" s="453">
        <f>+GETPIVOTDATA("Sum of New-HS % of Total",'Pivot-HS Student % of Undergrad'!$A$3,"State","VA","Category",1,"Category2","Four-Year")</f>
        <v>7.5320244205494069E-3</v>
      </c>
      <c r="D28" s="441">
        <f>+GETPIVOTDATA("Sum of New-Total Undg SCH FTE",'FTE Pivot for regular counts'!$A$2,"State","VA","Category",2,"Category2","Four-Year")</f>
        <v>6212.12</v>
      </c>
      <c r="E28" s="453">
        <f>+GETPIVOTDATA("Sum of New-HS % of Total",'Pivot-HS Student % of Undergrad'!$A$3,"State","VA","Category",2,"Category2","Four-Year")</f>
        <v>0</v>
      </c>
      <c r="F28" s="441">
        <f>+GETPIVOTDATA("Sum of New-Total Undg SCH FTE",'FTE Pivot for regular counts'!$A$2,"State","VA","Category",3,"Category2","Four-Year")</f>
        <v>44778.38</v>
      </c>
      <c r="G28" s="453">
        <f>+GETPIVOTDATA("Sum of New-HS % of Total",'Pivot-HS Student % of Undergrad'!$A$3,"State","VA","Category",3,"Category2","Four-Year")</f>
        <v>5.3485633022007503E-3</v>
      </c>
      <c r="H28" s="441">
        <f>+GETPIVOTDATA("Sum of New-Total Undg SCH FTE",'FTE Pivot for regular counts'!$A$2,"State","VA","Category",4,"Category2","Four-Year")</f>
        <v>0</v>
      </c>
      <c r="I28" s="459">
        <f>+GETPIVOTDATA("Sum of New-HS % of Total",'Pivot-HS Student % of Undergrad'!$A$3,"State","VA","Category",4,"Category2","Four-Year")</f>
        <v>0</v>
      </c>
      <c r="J28" s="441">
        <f>+GETPIVOTDATA("Sum of New-Total Undg SCH FTE",'FTE Pivot for regular counts'!$A$2,"State","VA","Category",5,"Category2","Four-Year")</f>
        <v>4866.333333333333</v>
      </c>
      <c r="K28" s="459">
        <f>+GETPIVOTDATA("Sum of New-HS % of Total",'Pivot-HS Student % of Undergrad'!$A$3,"State","VA","Category",5,"Category2","Four-Year")</f>
        <v>6.9867799164326325E-4</v>
      </c>
      <c r="L28" s="441">
        <f>+GETPIVOTDATA("Sum of New-Total Undg SCH FTE",'FTE Pivot for regular counts'!$A$2,"State","VA","Category",6,"Category2","Four-Year")</f>
        <v>1661.0333333333333</v>
      </c>
      <c r="M28" s="453">
        <f>+GETPIVOTDATA("Sum of New-HS % of Total",'Pivot-HS Student % of Undergrad'!$A$3,"State","VA","Category",6,"Category2","Four-Year")</f>
        <v>8.6693022415765281E-3</v>
      </c>
      <c r="N28" s="441">
        <f>+GETPIVOTDATA("Sum of New-Total Undg SCH FTE",'FTE Pivot for regular counts'!$A$2,"State","VA","Category2","Four-Year")</f>
        <v>162022.75</v>
      </c>
      <c r="O28" s="453">
        <f>+GETPIVOTDATA("Sum of New-HS % of Total",'Pivot-HS Student % of Undergrad'!$A$3,"State","VA","Category2","Group1")</f>
        <v>6.4462140861905708E-3</v>
      </c>
      <c r="Q28" s="460" t="s">
        <v>875</v>
      </c>
      <c r="R28" s="454">
        <f>+GETPIVOTDATA("Sum of Old-HS % of Total",'Pivot-HS Student % of Undergrad'!$A$3,"State","VA","Category",1,"Category2","Four-Year")</f>
        <v>7.7076564657490212E-3</v>
      </c>
      <c r="S28" s="455">
        <f>(C28-R28)*100</f>
        <v>-1.7563204519961424E-2</v>
      </c>
      <c r="T28" s="444">
        <f>+GETPIVOTDATA("Sum of Old-HS % of Total",'Pivot-HS Student % of Undergrad'!$A$3,"State","VA","Category",2,"Category2","Four-Year")</f>
        <v>0</v>
      </c>
      <c r="U28" s="455">
        <f t="shared" si="0"/>
        <v>0</v>
      </c>
      <c r="V28" s="444">
        <f>+GETPIVOTDATA("Sum of Old-HS % of Total",'Pivot-HS Student % of Undergrad'!$A$3,"State","VA","Category",3,"Category2","Four-Year")</f>
        <v>5.8512341929427359E-3</v>
      </c>
      <c r="W28" s="455">
        <f t="shared" si="1"/>
        <v>-5.0267089074198558E-2</v>
      </c>
      <c r="X28" s="444">
        <f>+GETPIVOTDATA("Sum of Old-HS % of Total",'Pivot-HS Student % of Undergrad'!$A$3,"State","VA","Category",4,"Category2","Four-Year")</f>
        <v>0</v>
      </c>
      <c r="Y28" s="455">
        <f t="shared" si="2"/>
        <v>0</v>
      </c>
      <c r="Z28" s="444">
        <f>+GETPIVOTDATA("Sum of Old-HS % of Total",'Pivot-HS Student % of Undergrad'!$A$3,"State","VA","Category",5,"Category2","Four-Year")</f>
        <v>3.8567977752366518E-4</v>
      </c>
      <c r="AA28" s="457">
        <f t="shared" si="3"/>
        <v>3.1299821411959805E-2</v>
      </c>
      <c r="AB28" s="444">
        <f>+GETPIVOTDATA("Sum of Old-HS % of Total",'Pivot-HS Student % of Undergrad'!$A$3,"State","VA","Category",6,"Category2","Four-Year")</f>
        <v>8.6336191977848704E-3</v>
      </c>
      <c r="AC28" s="455">
        <f t="shared" si="4"/>
        <v>3.5683043791657695E-3</v>
      </c>
      <c r="AD28" s="444">
        <f>+GETPIVOTDATA("Sum of Old-HS % of Total",'Pivot-HS Student % of Undergrad'!$A$3,"State","VA","Category2","Four-Year")</f>
        <v>6.6768956385703229E-3</v>
      </c>
      <c r="AE28" s="455">
        <f t="shared" si="5"/>
        <v>-2.3068155237975212E-2</v>
      </c>
      <c r="AF28" s="460" t="s">
        <v>875</v>
      </c>
      <c r="AH28" s="445" t="s">
        <v>875</v>
      </c>
      <c r="AI28" s="456">
        <f t="shared" si="6"/>
        <v>0.75320244205494069</v>
      </c>
      <c r="AJ28" s="456">
        <f t="shared" si="7"/>
        <v>0</v>
      </c>
      <c r="AK28" s="456">
        <f t="shared" si="8"/>
        <v>0.53485633022007506</v>
      </c>
      <c r="AL28" s="456">
        <f t="shared" si="9"/>
        <v>0</v>
      </c>
      <c r="AM28" s="456">
        <f t="shared" si="10"/>
        <v>6.9867799164326325E-2</v>
      </c>
      <c r="AN28" s="456">
        <f t="shared" si="11"/>
        <v>0.86693022415765286</v>
      </c>
      <c r="AO28" s="456">
        <f t="shared" si="12"/>
        <v>0.64462140861905703</v>
      </c>
      <c r="AQ28" s="445" t="s">
        <v>875</v>
      </c>
      <c r="AR28" s="456">
        <f t="shared" si="13"/>
        <v>0.7707656465749021</v>
      </c>
      <c r="AS28" s="456">
        <f t="shared" si="14"/>
        <v>0</v>
      </c>
      <c r="AT28" s="456">
        <f t="shared" si="15"/>
        <v>0.58512341929427358</v>
      </c>
      <c r="AU28" s="456">
        <f t="shared" si="16"/>
        <v>0</v>
      </c>
      <c r="AV28" s="456">
        <f t="shared" si="17"/>
        <v>3.856797775236652E-2</v>
      </c>
      <c r="AW28" s="456">
        <f t="shared" si="18"/>
        <v>0.86336191977848709</v>
      </c>
      <c r="AX28" s="456">
        <f t="shared" si="19"/>
        <v>0.66768956385703226</v>
      </c>
    </row>
    <row r="29" spans="1:50" s="460" customFormat="1" ht="15" customHeight="1">
      <c r="A29" s="461" t="s">
        <v>876</v>
      </c>
      <c r="B29" s="462">
        <f>+GETPIVOTDATA("Sum of New-Total Undg SCH FTE",'FTE Pivot for regular counts'!$A$2,"State","WV","Category",1,"Category2","Four-Year")</f>
        <v>21516.9</v>
      </c>
      <c r="C29" s="463">
        <f>+GETPIVOTDATA("Sum of New-HS % of Total",'Pivot-HS Student % of Undergrad'!$A$3,"State","WV","Category",1,"Category2","Four-Year")</f>
        <v>9.4685262901874033E-3</v>
      </c>
      <c r="D29" s="464">
        <f>+GETPIVOTDATA("Sum of New-Total Undg SCH FTE",'FTE Pivot for regular counts'!$A$2,"State","WV","Category",2,"Category2","Four-Year")</f>
        <v>0</v>
      </c>
      <c r="E29" s="463">
        <f>+GETPIVOTDATA("Sum of New-HS % of Total",'Pivot-HS Student % of Undergrad'!$A$3,"State","WV","Category",2,"Category2","Four-Year")</f>
        <v>0</v>
      </c>
      <c r="F29" s="464">
        <f>+GETPIVOTDATA("Sum of New-Total Undg SCH FTE",'FTE Pivot for regular counts'!$A$2,"State","WV","Category",3,"Category2","Four-Year")</f>
        <v>8669.2999999999993</v>
      </c>
      <c r="G29" s="463">
        <f>+GETPIVOTDATA("Sum of New-HS % of Total",'Pivot-HS Student % of Undergrad'!$A$3,"State","WV","Category",3,"Category2","Four-Year")</f>
        <v>3.0506115449536488E-2</v>
      </c>
      <c r="H29" s="464">
        <f>+GETPIVOTDATA("Sum of New-Total Undg SCH FTE",'FTE Pivot for regular counts'!$A$2,"State","WV","Category",4,"Category2","Four-Year")</f>
        <v>0</v>
      </c>
      <c r="I29" s="463">
        <f>+GETPIVOTDATA("Sum of Old-HS % of Total",'Pivot-HS Student % of Undergrad'!$A$3,"State","WV","Category",4,"Category2","Four-Year")</f>
        <v>0</v>
      </c>
      <c r="J29" s="464">
        <f>+GETPIVOTDATA("Sum of New-Total Undg SCH FTE",'FTE Pivot for regular counts'!$A$2,"State","WV","Category",5,"Category2","Four-Year")</f>
        <v>10572.9</v>
      </c>
      <c r="K29" s="465">
        <f>+GETPIVOTDATA("Sum of New-HS % of Total",'Pivot-HS Student % of Undergrad'!$A$3,"State","WV","Category",5,"Category2","Four-Year")</f>
        <v>6.4977442328973132E-3</v>
      </c>
      <c r="L29" s="464">
        <f>+GETPIVOTDATA("Sum of New-Total Undg SCH FTE",'FTE Pivot for regular counts'!$A$2,"State","WV","Category",6,"Category2","Four-Year")</f>
        <v>7657.7166666666672</v>
      </c>
      <c r="M29" s="463">
        <f>GETPIVOTDATA("Sum of New-HS % of Total",'Pivot-HS Student % of Undergrad'!$A$3,"State","WV","Category",6,"Category2","Four-Year")</f>
        <v>6.5102086566274101E-2</v>
      </c>
      <c r="N29" s="464">
        <f>+GETPIVOTDATA("Sum of New-Total Undg SCH FTE",'FTE Pivot for regular counts'!$A$2,"State","WV","Category2","Four-Year")</f>
        <v>48416.816666666666</v>
      </c>
      <c r="O29" s="463">
        <f>+GETPIVOTDATA("Sum of New-HS % of Total",'Pivot-HS Student % of Undergrad'!$A$3,"State","WV","Category2","Group1")</f>
        <v>2.1385820147200921E-2</v>
      </c>
      <c r="Q29" s="461" t="s">
        <v>876</v>
      </c>
      <c r="R29" s="466">
        <f>+GETPIVOTDATA("Sum of Old-HS % of Total",'Pivot-HS Student % of Undergrad'!$A$3,"State","WV","Category",1,"Category2","Four-Year")</f>
        <v>7.2639447958596894E-3</v>
      </c>
      <c r="S29" s="467">
        <f>(C29-R29)*100</f>
        <v>0.22045814943277139</v>
      </c>
      <c r="T29" s="468">
        <f>+GETPIVOTDATA("Sum of Old-HS % of Total",'Pivot-HS Student % of Undergrad'!$A$3,"State","WV","Category",2,"Category2","Four-Year")</f>
        <v>0</v>
      </c>
      <c r="U29" s="467">
        <f t="shared" si="0"/>
        <v>0</v>
      </c>
      <c r="V29" s="468">
        <f>+GETPIVOTDATA("Sum of Old-HS % of Total",'Pivot-HS Student % of Undergrad'!$A$3,"State","WV","Category",3,"Category2","Four-Year")</f>
        <v>2.1425187585005424E-2</v>
      </c>
      <c r="W29" s="467">
        <f t="shared" si="1"/>
        <v>0.90809278645310643</v>
      </c>
      <c r="X29" s="468">
        <f>+GETPIVOTDATA("Sum of Old-HS % of Total",'Pivot-HS Student % of Undergrad'!$A$3,"State","WV","Category",4,"Category2","Four-Year")</f>
        <v>0</v>
      </c>
      <c r="Y29" s="467">
        <f t="shared" si="2"/>
        <v>0</v>
      </c>
      <c r="Z29" s="468">
        <f>GETPIVOTDATA("Sum of Old-HS % of Total",'Pivot-HS Student % of Undergrad'!$A$3,"State","WV","Category",5,"Category2","Four-Year")</f>
        <v>6.7283148643484903E-3</v>
      </c>
      <c r="AA29" s="467">
        <f t="shared" si="3"/>
        <v>-2.3057063145117719E-2</v>
      </c>
      <c r="AB29" s="468">
        <f>GETPIVOTDATA("Sum of Old-HS % of Total",'Pivot-HS Student % of Undergrad'!$A$3,"State","WV","Category",6,"Category2","Four-Year")</f>
        <v>5.2982768712604142E-2</v>
      </c>
      <c r="AC29" s="467">
        <f t="shared" si="4"/>
        <v>1.2119317853669958</v>
      </c>
      <c r="AD29" s="468">
        <f>+GETPIVOTDATA("Sum of Old-HS % of Total",'Pivot-HS Student % of Undergrad'!$A$3,"State","WV","Category2","Four-Year")</f>
        <v>1.7000066209431591E-2</v>
      </c>
      <c r="AE29" s="467">
        <f t="shared" si="5"/>
        <v>0.438575393776933</v>
      </c>
      <c r="AF29" s="461" t="s">
        <v>876</v>
      </c>
      <c r="AH29" s="469" t="s">
        <v>876</v>
      </c>
      <c r="AI29" s="470">
        <f t="shared" si="6"/>
        <v>0.94685262901874034</v>
      </c>
      <c r="AJ29" s="470">
        <f t="shared" si="7"/>
        <v>0</v>
      </c>
      <c r="AK29" s="470">
        <f t="shared" si="8"/>
        <v>3.0506115449536488</v>
      </c>
      <c r="AL29" s="470">
        <f t="shared" si="9"/>
        <v>0</v>
      </c>
      <c r="AM29" s="470">
        <f t="shared" si="10"/>
        <v>0.64977442328973134</v>
      </c>
      <c r="AN29" s="470">
        <f t="shared" si="11"/>
        <v>6.5102086566274098</v>
      </c>
      <c r="AO29" s="470">
        <f t="shared" si="12"/>
        <v>2.1385820147200922</v>
      </c>
      <c r="AQ29" s="469" t="s">
        <v>876</v>
      </c>
      <c r="AR29" s="471">
        <f t="shared" si="13"/>
        <v>0.72639447958596892</v>
      </c>
      <c r="AS29" s="470">
        <f t="shared" si="14"/>
        <v>0</v>
      </c>
      <c r="AT29" s="470">
        <f t="shared" si="15"/>
        <v>2.1425187585005423</v>
      </c>
      <c r="AU29" s="470">
        <f t="shared" si="16"/>
        <v>0</v>
      </c>
      <c r="AV29" s="470">
        <f t="shared" si="17"/>
        <v>0.67283148643484902</v>
      </c>
      <c r="AW29" s="470">
        <f t="shared" si="18"/>
        <v>5.2982768712604145</v>
      </c>
      <c r="AX29" s="470">
        <f t="shared" si="19"/>
        <v>1.7000066209431592</v>
      </c>
    </row>
    <row r="30" spans="1:50" ht="23.25" customHeight="1">
      <c r="A30" s="761" t="s">
        <v>877</v>
      </c>
      <c r="B30" s="762"/>
      <c r="C30" s="762"/>
      <c r="D30" s="762"/>
      <c r="E30" s="762"/>
      <c r="F30" s="762"/>
      <c r="G30" s="762"/>
      <c r="H30" s="762"/>
      <c r="I30" s="763"/>
      <c r="J30" s="763"/>
      <c r="K30" s="763"/>
      <c r="L30" s="763"/>
      <c r="M30" s="763"/>
      <c r="N30" s="763"/>
      <c r="O30" s="763"/>
    </row>
    <row r="31" spans="1:50">
      <c r="A31" s="472"/>
      <c r="B31" s="473"/>
      <c r="C31" s="473"/>
      <c r="D31" s="473"/>
      <c r="E31" s="473"/>
      <c r="F31" s="473"/>
      <c r="G31" s="473"/>
      <c r="H31" s="345"/>
      <c r="J31" s="474"/>
      <c r="K31" s="474"/>
      <c r="L31" s="474"/>
      <c r="M31" s="475"/>
      <c r="N31" s="476"/>
      <c r="O31" s="477" t="s">
        <v>956</v>
      </c>
    </row>
    <row r="32" spans="1:50" ht="18">
      <c r="A32" s="395" t="s">
        <v>878</v>
      </c>
      <c r="B32" s="478"/>
      <c r="C32" s="478"/>
      <c r="D32" s="478"/>
      <c r="E32" s="478"/>
      <c r="F32" s="479"/>
      <c r="G32" s="478"/>
      <c r="H32" s="405"/>
      <c r="I32" s="473"/>
      <c r="J32" s="474"/>
      <c r="K32" s="474"/>
      <c r="L32" s="474"/>
      <c r="M32" s="475"/>
      <c r="N32" s="476"/>
    </row>
    <row r="33" spans="1:14" ht="15.75">
      <c r="A33" s="478"/>
      <c r="B33" s="478"/>
      <c r="C33" s="478"/>
      <c r="D33" s="478"/>
      <c r="E33" s="478"/>
      <c r="F33" s="478"/>
      <c r="G33" s="478"/>
      <c r="H33" s="405"/>
      <c r="I33" s="473"/>
      <c r="J33" s="474"/>
      <c r="K33" s="474"/>
      <c r="L33" s="474"/>
      <c r="M33" s="475"/>
      <c r="N33" s="476"/>
    </row>
    <row r="34" spans="1:14" ht="15.75">
      <c r="A34" s="478" t="s">
        <v>879</v>
      </c>
      <c r="B34" s="478"/>
      <c r="C34" s="478"/>
      <c r="D34" s="478"/>
      <c r="E34" s="478"/>
      <c r="F34" s="478"/>
      <c r="G34" s="478"/>
      <c r="H34" s="405"/>
      <c r="I34" s="473"/>
      <c r="J34" s="474"/>
      <c r="K34" s="474"/>
      <c r="L34" s="474"/>
      <c r="M34" s="475"/>
      <c r="N34" s="476"/>
    </row>
    <row r="35" spans="1:14" ht="15.75">
      <c r="A35" s="405" t="s">
        <v>957</v>
      </c>
      <c r="B35" s="478"/>
      <c r="C35" s="478"/>
      <c r="D35" s="478"/>
      <c r="E35" s="478"/>
      <c r="F35" s="478"/>
      <c r="G35" s="478"/>
      <c r="H35" s="405"/>
    </row>
    <row r="37" spans="1:14" ht="15" customHeight="1">
      <c r="A37" s="414"/>
      <c r="B37" s="414" t="s">
        <v>833</v>
      </c>
      <c r="C37" s="414"/>
      <c r="D37" s="414"/>
      <c r="E37" s="414"/>
      <c r="F37" s="414"/>
      <c r="G37" s="414"/>
      <c r="H37" s="480"/>
    </row>
    <row r="38" spans="1:14" ht="15" customHeight="1">
      <c r="A38" s="481"/>
      <c r="B38" s="482">
        <v>1</v>
      </c>
      <c r="C38" s="482">
        <v>2</v>
      </c>
      <c r="D38" s="482">
        <v>3</v>
      </c>
      <c r="E38" s="482">
        <v>4</v>
      </c>
      <c r="F38" s="482">
        <v>5</v>
      </c>
      <c r="G38" s="483">
        <v>6</v>
      </c>
      <c r="H38" s="484" t="s">
        <v>845</v>
      </c>
    </row>
    <row r="39" spans="1:14" ht="15" customHeight="1">
      <c r="A39" s="345" t="s">
        <v>853</v>
      </c>
      <c r="B39" s="485">
        <f>+GETPIVOTDATA("Sum of New-Total Grad FTE",'FTE Pivot for regular counts'!$A$2,"Category",1,"Category2","Four-Year")</f>
        <v>238663.79583333331</v>
      </c>
      <c r="C39" s="485">
        <f>+GETPIVOTDATA("Sum of New-Total Grad FTE",'FTE Pivot for regular counts'!$A$2,"Category",2,"Category2","Four-Year")</f>
        <v>44562.729166666672</v>
      </c>
      <c r="D39" s="485">
        <f>+GETPIVOTDATA("Sum of New-Total Grad FTE",'FTE Pivot for regular counts'!$A$2,"Category",3,"Category2","Four-Year")</f>
        <v>88436.458333333314</v>
      </c>
      <c r="E39" s="485">
        <f>+GETPIVOTDATA("Sum of New-Total Grad FTE",'FTE Pivot for regular counts'!$A$2,"Category",4,"Category2","Four-Year")</f>
        <v>19560.791666666664</v>
      </c>
      <c r="F39" s="485">
        <f>+GETPIVOTDATA("Sum of New-Total Grad FTE",'FTE Pivot for regular counts'!$A$2,"Category",5,"Category2","Four-Year")</f>
        <v>10171.375</v>
      </c>
      <c r="G39" s="486">
        <f>+GETPIVOTDATA("Sum of New-Total Grad FTE",'FTE Pivot for regular counts'!$A$2,"Category",6,"Category2","Four-Year")</f>
        <v>614.99999999999989</v>
      </c>
      <c r="H39" s="487">
        <f>+GETPIVOTDATA("Sum of New-Total Grad FTE",'FTE Pivot for regular counts'!$A$2,"Category2","Four-Year")</f>
        <v>402010.14999999991</v>
      </c>
    </row>
    <row r="40" spans="1:14" ht="15" customHeight="1">
      <c r="B40" s="485"/>
      <c r="C40" s="485"/>
      <c r="D40" s="485"/>
      <c r="E40" s="485"/>
      <c r="F40" s="485"/>
      <c r="G40" s="486"/>
      <c r="H40" s="487"/>
    </row>
    <row r="41" spans="1:14" ht="15" customHeight="1">
      <c r="A41" s="345" t="s">
        <v>861</v>
      </c>
      <c r="B41" s="488">
        <f>+GETPIVOTDATA("Sum of New-Total Grad FTE",'FTE Pivot for regular counts'!$A$2,"State","AL","Category",1,"Category2","Four-Year")</f>
        <v>8348</v>
      </c>
      <c r="C41" s="488">
        <f>+GETPIVOTDATA("Sum of New-Total Grad FTE",'FTE Pivot for regular counts'!$A$2,"State","AL","Category",2,"Category2","Four-Year")</f>
        <v>3034.8333333333335</v>
      </c>
      <c r="D41" s="488">
        <f>+GETPIVOTDATA("Sum of New-Total Grad FTE",'FTE Pivot for regular counts'!$A$2,"State","AL","Category",3,"Category2","Four-Year")</f>
        <v>4441.166666666667</v>
      </c>
      <c r="E41" s="488">
        <f>+GETPIVOTDATA("Sum of New-Total Grad FTE",'FTE Pivot for regular counts'!$A$2,"State","AL","Category",4,"Category2","Four-Year")</f>
        <v>1005.75</v>
      </c>
      <c r="F41" s="488">
        <f>+GETPIVOTDATA("Sum of New-Total Grad FTE",'FTE Pivot for regular counts'!$A$2,"State","AL","Category",5,"Category2","Four-Year")</f>
        <v>1817.4166666666667</v>
      </c>
      <c r="G41" s="486">
        <f>+GETPIVOTDATA("Sum of New-Total Grad FTE",'FTE Pivot for regular counts'!$A$2,"State","AL","Category",6,"Category2","Four-Year")</f>
        <v>12.875</v>
      </c>
      <c r="H41" s="489">
        <f>+GETPIVOTDATA("Sum of New-Total Grad FTE",'FTE Pivot for regular counts'!$A$2,"State","AL","Category2","Four-Year")</f>
        <v>18660.041666666668</v>
      </c>
    </row>
    <row r="42" spans="1:14" ht="15" customHeight="1">
      <c r="A42" s="270" t="s">
        <v>862</v>
      </c>
      <c r="B42" s="488">
        <f>+GETPIVOTDATA("Sum of New-Total Grad FTE",'FTE Pivot for regular counts'!$A$2,"State","AR","Category",1,"Category2","Four-Year")</f>
        <v>3383.0833333333335</v>
      </c>
      <c r="C42" s="488">
        <f>+GETPIVOTDATA("Sum of New-Total Grad FTE",'FTE Pivot for regular counts'!$A$2,"State","AR","Category",2,"Category2","Four-Year")</f>
        <v>1780</v>
      </c>
      <c r="D42" s="488">
        <f>+GETPIVOTDATA("Sum of New-Total Grad FTE",'FTE Pivot for regular counts'!$A$2,"State","AR","Category",3,"Category2","Four-Year")</f>
        <v>6042.9166666666661</v>
      </c>
      <c r="E42" s="488">
        <f>+GETPIVOTDATA("Sum of New-Total Grad FTE",'FTE Pivot for regular counts'!$A$2,"State","AR","Category",4,"Category2","Four-Year")</f>
        <v>1532.9583333333333</v>
      </c>
      <c r="F42" s="488">
        <f>+GETPIVOTDATA("Sum of New-Total Grad FTE",'FTE Pivot for regular counts'!$A$2,"State","AR","Category",5,"Category2","Four-Year")</f>
        <v>189.04166666666666</v>
      </c>
      <c r="G42" s="486">
        <f>+GETPIVOTDATA("Sum of New-Total Grad FTE",'FTE Pivot for regular counts'!$A$2,"State","AR","Category",6,"Category2","Four-Year")</f>
        <v>72.375</v>
      </c>
      <c r="H42" s="489">
        <f>+GETPIVOTDATA("Sum of New-Total Grad FTE",'FTE Pivot for regular counts'!$A$2,"State","AR","Category2","Four-Year")</f>
        <v>13000.375</v>
      </c>
    </row>
    <row r="43" spans="1:14" ht="15" customHeight="1">
      <c r="A43" s="345" t="s">
        <v>863</v>
      </c>
      <c r="B43" s="488">
        <f>+GETPIVOTDATA("Sum of New-Total Grad FTE",'FTE Pivot for regular counts'!$A$2,"State","DE","Category",1,"Category2","Four-Year")</f>
        <v>2412.875</v>
      </c>
      <c r="C43" s="488">
        <f>+GETPIVOTDATA("Sum of New-Total Grad FTE",'FTE Pivot for regular counts'!$A$2,"State","DE","Category",2,"Category2","Four-Year")</f>
        <v>0</v>
      </c>
      <c r="D43" s="488">
        <f>+GETPIVOTDATA("Sum of New-Total Grad FTE",'FTE Pivot for regular counts'!$A$2,"State","DE","Category",3,"Category2","Four-Year")</f>
        <v>256.33333333333331</v>
      </c>
      <c r="E43" s="488">
        <f>+GETPIVOTDATA("Sum of New-Total Grad FTE",'FTE Pivot for regular counts'!$A$2,"State","DE","Category",4,"Category2","Four-Year")</f>
        <v>0</v>
      </c>
      <c r="F43" s="488">
        <f>+GETPIVOTDATA("Sum of New-Total Grad FTE",'FTE Pivot for regular counts'!$A$2,"State","DE","Category",5,"Category2","Four-Year")</f>
        <v>0</v>
      </c>
      <c r="G43" s="486">
        <f>+GETPIVOTDATA("Sum of New-Total Grad FTE",'FTE Pivot for regular counts'!$A$2,"State","DE","Category",6,"Category2","Four-Year")</f>
        <v>0</v>
      </c>
      <c r="H43" s="489">
        <f>+GETPIVOTDATA("Sum of New-Total Grad FTE",'FTE Pivot for regular counts'!$A$2,"State","DE","Category2","Four-Year")</f>
        <v>2669.2083333333335</v>
      </c>
      <c r="N43" s="490"/>
    </row>
    <row r="44" spans="1:14" ht="15" customHeight="1">
      <c r="A44" s="345" t="s">
        <v>864</v>
      </c>
      <c r="B44" s="488">
        <f>+GETPIVOTDATA("Sum of New-Total Grad FTE",'FTE Pivot for regular counts'!$A$2,"State","FL","Category",1,"Category2","Four-Year")</f>
        <v>48145.958333333336</v>
      </c>
      <c r="C44" s="488">
        <f>+GETPIVOTDATA("Sum of New-Total Grad FTE",'FTE Pivot for regular counts'!$A$2,"State","FL","Category",2,"Category2","Four-Year")</f>
        <v>0</v>
      </c>
      <c r="D44" s="488">
        <f>+GETPIVOTDATA("Sum of New-Total Grad FTE",'FTE Pivot for regular counts'!$A$2,"State","FL","Category",3,"Category2","Four-Year")</f>
        <v>5217.375</v>
      </c>
      <c r="E44" s="488">
        <f>+GETPIVOTDATA("Sum of New-Total Grad FTE",'FTE Pivot for regular counts'!$A$2,"State","FL","Category",4,"Category2","Four-Year")</f>
        <v>829.125</v>
      </c>
      <c r="F44" s="488">
        <f>+GETPIVOTDATA("Sum of New-Total Grad FTE",'FTE Pivot for regular counts'!$A$2,"State","FL","Category",5,"Category2","Four-Year")</f>
        <v>0</v>
      </c>
      <c r="G44" s="486">
        <f>+GETPIVOTDATA("Sum of New-Total Grad FTE",'FTE Pivot for regular counts'!$A$2,"State","FL","Category",6,"Category2","Four-Year")</f>
        <v>10.458333333333334</v>
      </c>
      <c r="H44" s="489">
        <f>+GETPIVOTDATA("Sum of New-Total Grad FTE",'FTE Pivot for regular counts'!$A$2,"State","FL","Category2","Four-Year")</f>
        <v>54202.916666666672</v>
      </c>
    </row>
    <row r="45" spans="1:14" ht="15" customHeight="1">
      <c r="B45" s="488"/>
      <c r="C45" s="488"/>
      <c r="D45" s="488"/>
      <c r="E45" s="488"/>
      <c r="F45" s="488"/>
      <c r="G45" s="486"/>
      <c r="H45" s="489"/>
    </row>
    <row r="46" spans="1:14" ht="15" customHeight="1">
      <c r="A46" s="345" t="s">
        <v>865</v>
      </c>
      <c r="B46" s="488">
        <f>+GETPIVOTDATA("Sum of New-Total Grad FTE",'FTE Pivot for regular counts'!$A$2,"State","GA","Category",1,"Category2","Four-Year")</f>
        <v>20319.45</v>
      </c>
      <c r="C46" s="488">
        <f>+GETPIVOTDATA("Sum of New-Total Grad FTE",'FTE Pivot for regular counts'!$A$2,"State","GA","Category",2,"Category2","Four-Year")</f>
        <v>11607.729166666666</v>
      </c>
      <c r="D46" s="488">
        <f>+GETPIVOTDATA("Sum of New-Total Grad FTE",'FTE Pivot for regular counts'!$A$2,"State","GA","Category",3,"Category2","Four-Year")</f>
        <v>7467.708333333333</v>
      </c>
      <c r="E46" s="488">
        <f>+GETPIVOTDATA("Sum of New-Total Grad FTE",'FTE Pivot for regular counts'!$A$2,"State","GA","Category",4,"Category2","Four-Year")</f>
        <v>5766</v>
      </c>
      <c r="F46" s="488">
        <f>+GETPIVOTDATA("Sum of New-Total Grad FTE",'FTE Pivot for regular counts'!$A$2,"State","GA","Category",5,"Category2","Four-Year")</f>
        <v>522.54166666666674</v>
      </c>
      <c r="G46" s="486">
        <f>+GETPIVOTDATA("Sum of New-Total Grad FTE",'FTE Pivot for regular counts'!$A$2,"State","GA","Category",6,"Category2","Four-Year")</f>
        <v>50.125</v>
      </c>
      <c r="H46" s="489">
        <f>+GETPIVOTDATA("Sum of New-Total Grad FTE",'FTE Pivot for regular counts'!$A$2,"State","GA","Category2","Four-Year")</f>
        <v>45733.554166666669</v>
      </c>
    </row>
    <row r="47" spans="1:14" ht="15" customHeight="1">
      <c r="A47" s="345" t="s">
        <v>866</v>
      </c>
      <c r="B47" s="488">
        <f>+GETPIVOTDATA("Sum of New-Total Grad FTE",'FTE Pivot for regular counts'!$A$2,"State","KY","Category",1,"Category2","Four-Year")</f>
        <v>6492.2083333333339</v>
      </c>
      <c r="C47" s="488">
        <f>+GETPIVOTDATA("Sum of New-Total Grad FTE",'FTE Pivot for regular counts'!$A$2,"State","KY","Category",2,"Category2","Four-Year")</f>
        <v>0</v>
      </c>
      <c r="D47" s="488">
        <f>+GETPIVOTDATA("Sum of New-Total Grad FTE",'FTE Pivot for regular counts'!$A$2,"State","KY","Category",3,"Category2","Four-Year")</f>
        <v>6771.708333333333</v>
      </c>
      <c r="E47" s="488">
        <f>+GETPIVOTDATA("Sum of New-Total Grad FTE",'FTE Pivot for regular counts'!$A$2,"State","KY","Category",4,"Category2","Four-Year")</f>
        <v>96.375</v>
      </c>
      <c r="F47" s="488">
        <f>+GETPIVOTDATA("Sum of New-Total Grad FTE",'FTE Pivot for regular counts'!$A$2,"State","KY","Category",5,"Category2","Four-Year")</f>
        <v>0</v>
      </c>
      <c r="G47" s="486">
        <f>+GETPIVOTDATA("Sum of New-Total Grad FTE",'FTE Pivot for regular counts'!$A$2,"State","KY","Category",6,"Category2","Four-Year")</f>
        <v>0</v>
      </c>
      <c r="H47" s="489">
        <f>+GETPIVOTDATA("Sum of New-Total Grad FTE",'FTE Pivot for regular counts'!$A$2,"State","KY","Category2","Four-Year")</f>
        <v>13360.291666666668</v>
      </c>
    </row>
    <row r="48" spans="1:14" ht="15" customHeight="1">
      <c r="A48" s="345" t="s">
        <v>867</v>
      </c>
      <c r="B48" s="488">
        <f>+GETPIVOTDATA("Sum of New-Total Grad FTE",'FTE Pivot for regular counts'!$A$2,"State","LA","Category",1,"Category2","Four-Year")</f>
        <v>5385.541666666667</v>
      </c>
      <c r="C48" s="488">
        <f>+GETPIVOTDATA("Sum of New-Total Grad FTE",'FTE Pivot for regular counts'!$A$2,"State","LA","Category",2,"Category2","Four-Year")</f>
        <v>3135.9166666666665</v>
      </c>
      <c r="D48" s="488">
        <f>+GETPIVOTDATA("Sum of New-Total Grad FTE",'FTE Pivot for regular counts'!$A$2,"State","LA","Category",3,"Category2","Four-Year")</f>
        <v>3463.291666666667</v>
      </c>
      <c r="E48" s="488">
        <f>+GETPIVOTDATA("Sum of New-Total Grad FTE",'FTE Pivot for regular counts'!$A$2,"State","LA","Category",4,"Category2","Four-Year")</f>
        <v>3822.916666666667</v>
      </c>
      <c r="F48" s="488">
        <f>+GETPIVOTDATA("Sum of New-Total Grad FTE",'FTE Pivot for regular counts'!$A$2,"State","LA","Category",5,"Category2","Four-Year")</f>
        <v>415.58333333333331</v>
      </c>
      <c r="G48" s="486">
        <f>+GETPIVOTDATA("Sum of New-Total Grad FTE",'FTE Pivot for regular counts'!$A$2,"State","LA","Category",6,"Category2","Four-Year")</f>
        <v>0</v>
      </c>
      <c r="H48" s="489">
        <f>+GETPIVOTDATA("Sum of New-Total Grad FTE",'FTE Pivot for regular counts'!$A$2,"State","LA","Category2","Four-Year")</f>
        <v>16223.250000000002</v>
      </c>
    </row>
    <row r="49" spans="1:13" ht="15" customHeight="1">
      <c r="A49" s="345" t="s">
        <v>868</v>
      </c>
      <c r="B49" s="488">
        <f>+GETPIVOTDATA("Sum of New-Total Grad FTE",'FTE Pivot for regular counts'!$A$2,"State","MD","Category",1,"Category2","Four-Year")</f>
        <v>6564.875</v>
      </c>
      <c r="C49" s="488">
        <f>+GETPIVOTDATA("Sum of New-Total Grad FTE",'FTE Pivot for regular counts'!$A$2,"State","MD","Category",2,"Category2","Four-Year")</f>
        <v>2494.625</v>
      </c>
      <c r="D49" s="488">
        <f>+GETPIVOTDATA("Sum of New-Total Grad FTE",'FTE Pivot for regular counts'!$A$2,"State","MD","Category",3,"Category2","Four-Year")</f>
        <v>3849.791666666667</v>
      </c>
      <c r="E49" s="488">
        <f>+GETPIVOTDATA("Sum of New-Total Grad FTE",'FTE Pivot for regular counts'!$A$2,"State","MD","Category",4,"Category2","Four-Year")</f>
        <v>2494.875</v>
      </c>
      <c r="F49" s="488">
        <f>+GETPIVOTDATA("Sum of New-Total Grad FTE",'FTE Pivot for regular counts'!$A$2,"State","MD","Category",5,"Category2","Four-Year")</f>
        <v>245.08333333333334</v>
      </c>
      <c r="G49" s="486">
        <f>+GETPIVOTDATA("Sum of New-Total Grad FTE",'FTE Pivot for regular counts'!$A$2,"State","MD","Category",6,"Category2","Four-Year")</f>
        <v>56.5</v>
      </c>
      <c r="H49" s="489">
        <f>+GETPIVOTDATA("Sum of New-Total Grad FTE",'FTE Pivot for regular counts'!$A$2,"State","MD","Category2","Four-Year")</f>
        <v>15705.750000000002</v>
      </c>
    </row>
    <row r="50" spans="1:13" ht="15" customHeight="1">
      <c r="B50" s="488"/>
      <c r="C50" s="488"/>
      <c r="D50" s="488"/>
      <c r="E50" s="488"/>
      <c r="F50" s="488"/>
      <c r="G50" s="486"/>
      <c r="H50" s="489"/>
    </row>
    <row r="51" spans="1:13" ht="15" customHeight="1">
      <c r="A51" s="345" t="s">
        <v>869</v>
      </c>
      <c r="B51" s="488">
        <f>+GETPIVOTDATA("Sum of New-Total Grad FTE",'FTE Pivot for regular counts'!$A$2,"State","MS","Category",1,"Category2","Four-Year")</f>
        <v>4504.4583333333339</v>
      </c>
      <c r="C51" s="488">
        <f>+GETPIVOTDATA("Sum of New-Total Grad FTE",'FTE Pivot for regular counts'!$A$2,"State","MS","Category",2,"Category2","Four-Year")</f>
        <v>4156.0833333333339</v>
      </c>
      <c r="D51" s="488">
        <f>+GETPIVOTDATA("Sum of New-Total Grad FTE",'FTE Pivot for regular counts'!$A$2,"State","MS","Category",3,"Category2","Four-Year")</f>
        <v>0</v>
      </c>
      <c r="E51" s="488">
        <f>+GETPIVOTDATA("Sum of New-Total Grad FTE",'FTE Pivot for regular counts'!$A$2,"State","MS","Category",4,"Category2","Four-Year")</f>
        <v>1700.7916666666667</v>
      </c>
      <c r="F51" s="488">
        <f>+GETPIVOTDATA("Sum of New-Total Grad FTE",'FTE Pivot for regular counts'!$A$2,"State","MS","Category",5,"Category2","Four-Year")</f>
        <v>201.625</v>
      </c>
      <c r="G51" s="486">
        <f>+GETPIVOTDATA("Sum of New-Total Grad FTE",'FTE Pivot for regular counts'!$A$2,"State","MS","Category",6,"Category2","Four-Year")</f>
        <v>0</v>
      </c>
      <c r="H51" s="489">
        <f>+GETPIVOTDATA("Sum of New-Total Grad FTE",'FTE Pivot for regular counts'!$A$2,"State","MS","Category2","Four-Year")</f>
        <v>10562.958333333334</v>
      </c>
    </row>
    <row r="52" spans="1:13" ht="15" customHeight="1">
      <c r="A52" s="345" t="s">
        <v>870</v>
      </c>
      <c r="B52" s="488">
        <f>+GETPIVOTDATA("Sum of New-Total Grad FTE",'FTE Pivot for regular counts'!$A$2,"State","NC","Category",1,"Category2","Four-Year")</f>
        <v>19741.541666666668</v>
      </c>
      <c r="C52" s="488">
        <f>+GETPIVOTDATA("Sum of New-Total Grad FTE",'FTE Pivot for regular counts'!$A$2,"State","NC","Category",2,"Category2","Four-Year")</f>
        <v>3362.5416666666665</v>
      </c>
      <c r="D52" s="488">
        <f>+GETPIVOTDATA("Sum of New-Total Grad FTE",'FTE Pivot for regular counts'!$A$2,"State","NC","Category",3,"Category2","Four-Year")</f>
        <v>6605.75</v>
      </c>
      <c r="E52" s="488">
        <f>+GETPIVOTDATA("Sum of New-Total Grad FTE",'FTE Pivot for regular counts'!$A$2,"State","NC","Category",4,"Category2","Four-Year")</f>
        <v>521.95833333333337</v>
      </c>
      <c r="F52" s="488">
        <f>+GETPIVOTDATA("Sum of New-Total Grad FTE",'FTE Pivot for regular counts'!$A$2,"State","NC","Category",5,"Category2","Four-Year")</f>
        <v>949</v>
      </c>
      <c r="G52" s="486">
        <f>+GETPIVOTDATA("Sum of New-Total Grad FTE",'FTE Pivot for regular counts'!$A$2,"State","NC","Category",6,"Category2","Four-Year")</f>
        <v>38.458333333333336</v>
      </c>
      <c r="H52" s="489">
        <f>+GETPIVOTDATA("Sum of New-Total Grad FTE",'FTE Pivot for regular counts'!$A$2,"State","NC","Category2","Four-Year")</f>
        <v>31219.25</v>
      </c>
    </row>
    <row r="53" spans="1:13" ht="15" customHeight="1">
      <c r="A53" s="345" t="s">
        <v>871</v>
      </c>
      <c r="B53" s="488">
        <f>+GETPIVOTDATA("Sum of New-Total Grad FTE",'FTE Pivot for regular counts'!$A$2,"State","OK","Category",1,"Category2","Four-Year")</f>
        <v>9817</v>
      </c>
      <c r="C53" s="488">
        <f>+GETPIVOTDATA("Sum of New-Total Grad FTE",'FTE Pivot for regular counts'!$A$2,"State","OK","Category",2,"Category2","Four-Year")</f>
        <v>0</v>
      </c>
      <c r="D53" s="488">
        <f>+GETPIVOTDATA("Sum of New-Total Grad FTE",'FTE Pivot for regular counts'!$A$2,"State","OK","Category",3,"Category2","Four-Year")</f>
        <v>1968.9166666666665</v>
      </c>
      <c r="E53" s="488">
        <f>+GETPIVOTDATA("Sum of New-Total Grad FTE",'FTE Pivot for regular counts'!$A$2,"State","OK","Category",4,"Category2","Four-Year")</f>
        <v>357.83333333333331</v>
      </c>
      <c r="F53" s="488">
        <f>+GETPIVOTDATA("Sum of New-Total Grad FTE",'FTE Pivot for regular counts'!$A$2,"State","OK","Category",5,"Category2","Four-Year")</f>
        <v>1805.9166666666665</v>
      </c>
      <c r="G53" s="486">
        <f>+GETPIVOTDATA("Sum of New-Total Grad FTE",'FTE Pivot for regular counts'!$A$2,"State","OK","Category",6,"Category2","Four-Year")</f>
        <v>19.75</v>
      </c>
      <c r="H53" s="489">
        <f>+GETPIVOTDATA("Sum of New-Total Grad FTE",'FTE Pivot for regular counts'!$A$2,"State","OK","Category2","Four-Year")</f>
        <v>13969.416666666666</v>
      </c>
    </row>
    <row r="54" spans="1:13" ht="15" customHeight="1">
      <c r="A54" s="345" t="s">
        <v>872</v>
      </c>
      <c r="B54" s="488">
        <f>+GETPIVOTDATA("Sum of New-Total Grad FTE",'FTE Pivot for regular counts'!$A$2,"State","SC","Category",1,"Category2","Four-Year")</f>
        <v>8821.375</v>
      </c>
      <c r="C54" s="488">
        <f>+GETPIVOTDATA("Sum of New-Total Grad FTE",'FTE Pivot for regular counts'!$A$2,"State","SC","Category",2,"Category2","Four-Year")</f>
        <v>0</v>
      </c>
      <c r="D54" s="488">
        <f>+GETPIVOTDATA("Sum of New-Total Grad FTE",'FTE Pivot for regular counts'!$A$2,"State","SC","Category",3,"Category2","Four-Year")</f>
        <v>1814.6666666666665</v>
      </c>
      <c r="E54" s="488">
        <f>+GETPIVOTDATA("Sum of New-Total Grad FTE",'FTE Pivot for regular counts'!$A$2,"State","SC","Category",4,"Category2","Four-Year")</f>
        <v>0</v>
      </c>
      <c r="F54" s="488">
        <f>+GETPIVOTDATA("Sum of New-Total Grad FTE",'FTE Pivot for regular counts'!$A$2,"State","SC","Category",5,"Category2","Four-Year")</f>
        <v>1105.9583333333333</v>
      </c>
      <c r="G54" s="486">
        <f>+GETPIVOTDATA("Sum of New-Total Grad FTE",'FTE Pivot for regular counts'!$A$2,"State","SC","Category",6,"Category2","Four-Year")</f>
        <v>300.79166666666663</v>
      </c>
      <c r="H54" s="489">
        <f>+GETPIVOTDATA("Sum of New-Total Grad FTE",'FTE Pivot for regular counts'!$A$2,"State","SC","Category2","Four-Year")</f>
        <v>12042.791666666666</v>
      </c>
    </row>
    <row r="55" spans="1:13" ht="15" customHeight="1">
      <c r="B55" s="488"/>
      <c r="C55" s="488"/>
      <c r="D55" s="488"/>
      <c r="E55" s="488"/>
      <c r="F55" s="488"/>
      <c r="G55" s="486"/>
      <c r="H55" s="489"/>
    </row>
    <row r="56" spans="1:13" ht="15" customHeight="1">
      <c r="A56" s="345" t="s">
        <v>873</v>
      </c>
      <c r="B56" s="488">
        <f>+GETPIVOTDATA("Sum of New-Total Grad FTE",'FTE Pivot for regular counts'!$A$2,"State","TN","Category",1,"Category2","Four-Year")</f>
        <v>7611.541666666667</v>
      </c>
      <c r="C56" s="488">
        <f>+GETPIVOTDATA("Sum of New-Total Grad FTE",'FTE Pivot for regular counts'!$A$2,"State","TN","Category",2,"Category2","Four-Year")</f>
        <v>3263.208333333333</v>
      </c>
      <c r="D56" s="488">
        <f>+GETPIVOTDATA("Sum of New-Total Grad FTE",'FTE Pivot for regular counts'!$A$2,"State","TN","Category",3,"Category2","Four-Year")</f>
        <v>4098.625</v>
      </c>
      <c r="E56" s="488">
        <f>+GETPIVOTDATA("Sum of New-Total Grad FTE",'FTE Pivot for regular counts'!$A$2,"State","TN","Category",4,"Category2","Four-Year")</f>
        <v>0</v>
      </c>
      <c r="F56" s="488">
        <f>+GETPIVOTDATA("Sum of New-Total Grad FTE",'FTE Pivot for regular counts'!$A$2,"State","TN","Category",5,"Category2","Four-Year")</f>
        <v>259.29166666666669</v>
      </c>
      <c r="G56" s="486">
        <f>+GETPIVOTDATA("Sum of New-Total Grad FTE",'FTE Pivot for regular counts'!$A$2,"State","TN","Category",6,"Category2","Four-Year")</f>
        <v>0</v>
      </c>
      <c r="H56" s="489">
        <f>+GETPIVOTDATA("Sum of New-Total Grad FTE",'FTE Pivot for regular counts'!$A$2,"State","TN","Category2","Four-Year")</f>
        <v>15232.666666666666</v>
      </c>
    </row>
    <row r="57" spans="1:13" ht="15" customHeight="1">
      <c r="A57" s="345" t="s">
        <v>874</v>
      </c>
      <c r="B57" s="488">
        <f>+GETPIVOTDATA("Sum of New-Total Grad FTE",'FTE Pivot for regular counts'!$A$2,"State","TX","Category",1,"Category2","Four-Year")</f>
        <v>54176.083333333328</v>
      </c>
      <c r="C57" s="488">
        <f>+GETPIVOTDATA("Sum of New-Total Grad FTE",'FTE Pivot for regular counts'!$A$2,"State","TX","Category",2,"Category2","Four-Year")</f>
        <v>9315.5833333333339</v>
      </c>
      <c r="D57" s="488">
        <f>+GETPIVOTDATA("Sum of New-Total Grad FTE",'FTE Pivot for regular counts'!$A$2,"State","TX","Category",3,"Category2","Four-Year")</f>
        <v>29717.749999999993</v>
      </c>
      <c r="E57" s="488">
        <f>+GETPIVOTDATA("Sum of New-Total Grad FTE",'FTE Pivot for regular counts'!$A$2,"State","TX","Category",4,"Category2","Four-Year")</f>
        <v>1432.2083333333335</v>
      </c>
      <c r="F57" s="488">
        <f>+GETPIVOTDATA("Sum of New-Total Grad FTE",'FTE Pivot for regular counts'!$A$2,"State","TX","Category",5,"Category2","Four-Year")</f>
        <v>1686.0416666666667</v>
      </c>
      <c r="G57" s="486">
        <f>+GETPIVOTDATA("Sum of New-Total Grad FTE",'FTE Pivot for regular counts'!$A$2,"State","TX","Category",6,"Category2","Four-Year")</f>
        <v>0</v>
      </c>
      <c r="H57" s="489">
        <f>+GETPIVOTDATA("Sum of New-Total Grad FTE",'FTE Pivot for regular counts'!$A$2,"State","TX","Category2","Four-Year")</f>
        <v>96327.666666666657</v>
      </c>
    </row>
    <row r="58" spans="1:13" ht="15" customHeight="1">
      <c r="A58" s="345" t="s">
        <v>875</v>
      </c>
      <c r="B58" s="488">
        <f>+GETPIVOTDATA("Sum of New-Total Grad FTE",'FTE Pivot for regular counts'!$A$2,"State","VA","Category",1,"Category2","Four-Year")</f>
        <v>28774.220833333329</v>
      </c>
      <c r="C58" s="488">
        <f>+GETPIVOTDATA("Sum of New-Total Grad FTE",'FTE Pivot for regular counts'!$A$2,"State","VA","Category",2,"Category2","Four-Year")</f>
        <v>2412.2083333333335</v>
      </c>
      <c r="D58" s="488">
        <f>+GETPIVOTDATA("Sum of New-Total Grad FTE",'FTE Pivot for regular counts'!$A$2,"State","VA","Category",3,"Category2","Four-Year")</f>
        <v>3615.8333333333335</v>
      </c>
      <c r="E58" s="488">
        <f>+GETPIVOTDATA("Sum of New-Total Grad FTE",'FTE Pivot for regular counts'!$A$2,"State","VA","Category",4,"Category2","Four-Year")</f>
        <v>0</v>
      </c>
      <c r="F58" s="488">
        <f>+GETPIVOTDATA("Sum of New-Total Grad FTE",'FTE Pivot for regular counts'!$A$2,"State","VA","Category",5,"Category2","Four-Year")</f>
        <v>136.66666666666666</v>
      </c>
      <c r="G58" s="486">
        <f>+GETPIVOTDATA("Sum of New-Total Grad FTE",'FTE Pivot for regular counts'!$A$2,"State","VA","Category",6,"Category2","Four-Year")</f>
        <v>0</v>
      </c>
      <c r="H58" s="489">
        <f>+GETPIVOTDATA("Sum of New-Total Grad FTE",'FTE Pivot for regular counts'!$A$2,"State","VA","Category2","Four-Year")</f>
        <v>34938.929166666661</v>
      </c>
    </row>
    <row r="59" spans="1:13" ht="15" customHeight="1">
      <c r="A59" s="461" t="s">
        <v>876</v>
      </c>
      <c r="B59" s="491">
        <f>+GETPIVOTDATA("Sum of New-Total Grad FTE",'FTE Pivot for regular counts'!$A$2,"State","WV","Category",1,"Category2","Four-Year")</f>
        <v>4165.583333333333</v>
      </c>
      <c r="C59" s="491">
        <f>+GETPIVOTDATA("Sum of New-Total Grad FTE",'FTE Pivot for regular counts'!$A$2,"State","WV","Category",2,"Category2","Four-Year")</f>
        <v>0</v>
      </c>
      <c r="D59" s="491">
        <f>+GETPIVOTDATA("Sum of New-Total Grad FTE",'FTE Pivot for regular counts'!$A$2,"State","WV","Category",3,"Category2","Four-Year")</f>
        <v>3104.625</v>
      </c>
      <c r="E59" s="491">
        <f>+GETPIVOTDATA("Sum of New-Total Grad FTE",'FTE Pivot for regular counts'!$A$2,"State","WV","Category",4,"Category2","Four-Year")</f>
        <v>0</v>
      </c>
      <c r="F59" s="491">
        <f>+GETPIVOTDATA("Sum of New-Total Grad FTE",'FTE Pivot for regular counts'!$A$2,"State","WV","Category",5,"Category2","Four-Year")</f>
        <v>837.20833333333326</v>
      </c>
      <c r="G59" s="492">
        <f>+GETPIVOTDATA("Sum of New-Total Grad FTE",'FTE Pivot for regular counts'!$A$2,"State","WV","Category",6,"Category2","Four-Year")</f>
        <v>53.666666666666664</v>
      </c>
      <c r="H59" s="493">
        <f>+GETPIVOTDATA("Sum of New-Total Grad FTE",'FTE Pivot for regular counts'!$A$2,"State","WV","Category2","Four-Year")</f>
        <v>8161.083333333333</v>
      </c>
    </row>
    <row r="60" spans="1:13" s="460" customFormat="1" ht="35.25" customHeight="1">
      <c r="A60" s="757" t="s">
        <v>880</v>
      </c>
      <c r="B60" s="757"/>
      <c r="C60" s="757"/>
      <c r="D60" s="757"/>
      <c r="E60" s="757"/>
      <c r="F60" s="757"/>
      <c r="G60" s="757"/>
      <c r="H60" s="757"/>
      <c r="I60" s="494"/>
      <c r="J60" s="495"/>
      <c r="K60" s="495"/>
      <c r="L60" s="495"/>
      <c r="M60" s="495"/>
    </row>
    <row r="61" spans="1:13" ht="10.5" customHeight="1">
      <c r="A61" s="496"/>
      <c r="B61" s="496"/>
      <c r="C61" s="496"/>
      <c r="D61" s="496"/>
      <c r="E61" s="496"/>
      <c r="F61" s="496"/>
      <c r="G61" s="496"/>
      <c r="H61" s="477" t="s">
        <v>956</v>
      </c>
    </row>
    <row r="62" spans="1:13">
      <c r="A62" s="497"/>
      <c r="B62" s="473"/>
      <c r="C62" s="473"/>
      <c r="D62" s="473"/>
      <c r="E62" s="473"/>
      <c r="F62" s="473"/>
      <c r="G62" s="473"/>
      <c r="H62" s="498"/>
    </row>
    <row r="63" spans="1:13" ht="18">
      <c r="A63" s="395" t="s">
        <v>881</v>
      </c>
      <c r="B63" s="395"/>
      <c r="C63" s="395"/>
      <c r="D63" s="395"/>
      <c r="E63" s="395"/>
      <c r="F63" s="395"/>
      <c r="G63" s="395"/>
      <c r="H63" s="499"/>
    </row>
    <row r="64" spans="1:13" ht="15.75">
      <c r="A64" s="500"/>
      <c r="B64" s="478"/>
      <c r="C64" s="478"/>
      <c r="D64" s="478"/>
      <c r="E64" s="478"/>
      <c r="F64" s="478"/>
      <c r="G64" s="478"/>
      <c r="H64" s="405"/>
    </row>
    <row r="65" spans="1:24" ht="15.75">
      <c r="A65" s="478" t="s">
        <v>882</v>
      </c>
      <c r="B65" s="478"/>
      <c r="C65" s="478"/>
      <c r="D65" s="478"/>
      <c r="E65" s="478"/>
      <c r="F65" s="478"/>
      <c r="G65" s="478"/>
      <c r="H65" s="405"/>
    </row>
    <row r="66" spans="1:24" ht="15.75">
      <c r="A66" s="405" t="s">
        <v>957</v>
      </c>
      <c r="B66" s="478"/>
      <c r="C66" s="478"/>
      <c r="D66" s="478"/>
      <c r="E66" s="478"/>
      <c r="F66" s="478"/>
      <c r="G66" s="478"/>
      <c r="H66" s="405"/>
    </row>
    <row r="67" spans="1:24" ht="15.75">
      <c r="A67" s="478"/>
      <c r="B67" s="478"/>
      <c r="C67" s="478"/>
      <c r="D67" s="478"/>
      <c r="E67" s="478"/>
      <c r="F67" s="478"/>
      <c r="G67" s="478"/>
      <c r="H67" s="405"/>
      <c r="Q67" s="411" t="s">
        <v>841</v>
      </c>
      <c r="R67" s="412" t="s">
        <v>883</v>
      </c>
      <c r="S67" s="411"/>
      <c r="T67" s="411"/>
      <c r="U67" s="411"/>
      <c r="V67" s="411"/>
      <c r="W67" s="411"/>
    </row>
    <row r="68" spans="1:24" ht="15" customHeight="1">
      <c r="A68" s="414"/>
      <c r="B68" s="414" t="s">
        <v>833</v>
      </c>
      <c r="C68" s="414"/>
      <c r="D68" s="414"/>
      <c r="E68" s="414"/>
      <c r="F68" s="414"/>
      <c r="G68" s="414"/>
      <c r="H68" s="480"/>
      <c r="Q68" s="501" t="s">
        <v>833</v>
      </c>
      <c r="R68" s="502"/>
      <c r="S68" s="502"/>
      <c r="T68" s="502"/>
      <c r="U68" s="502"/>
      <c r="V68" s="502"/>
      <c r="W68" s="503"/>
    </row>
    <row r="69" spans="1:24" ht="15" customHeight="1">
      <c r="A69" s="481"/>
      <c r="B69" s="482">
        <v>1</v>
      </c>
      <c r="C69" s="482">
        <v>2</v>
      </c>
      <c r="D69" s="482">
        <v>3</v>
      </c>
      <c r="E69" s="482">
        <v>4</v>
      </c>
      <c r="F69" s="482">
        <v>5</v>
      </c>
      <c r="G69" s="483">
        <v>6</v>
      </c>
      <c r="H69" s="484" t="s">
        <v>845</v>
      </c>
      <c r="Q69" s="504">
        <v>1</v>
      </c>
      <c r="R69" s="504">
        <v>2</v>
      </c>
      <c r="S69" s="504">
        <v>3</v>
      </c>
      <c r="T69" s="504">
        <v>4</v>
      </c>
      <c r="U69" s="504">
        <v>5</v>
      </c>
      <c r="V69" s="505">
        <v>6</v>
      </c>
      <c r="W69" s="506" t="s">
        <v>845</v>
      </c>
    </row>
    <row r="70" spans="1:24" ht="15" customHeight="1">
      <c r="A70" s="345" t="s">
        <v>853</v>
      </c>
      <c r="B70" s="485">
        <f>+'NEW-Tables 80-86'!B9+'NEW-Tables 80-86'!B39</f>
        <v>1247228.2758333334</v>
      </c>
      <c r="C70" s="485">
        <f>+'NEW-Tables 80-86'!D9+'NEW-Tables 80-86'!C39</f>
        <v>247800.18250000005</v>
      </c>
      <c r="D70" s="485">
        <f>+'NEW-Tables 80-86'!F9+'NEW-Tables 80-86'!D39</f>
        <v>655604.84966666671</v>
      </c>
      <c r="E70" s="485">
        <f>+'NEW-Tables 80-86'!H9+'NEW-Tables 80-86'!E39</f>
        <v>156346.66499999998</v>
      </c>
      <c r="F70" s="485">
        <f>+'NEW-Tables 80-86'!J9+'NEW-Tables 80-86'!F39</f>
        <v>104132.14433333332</v>
      </c>
      <c r="G70" s="486">
        <f>+'NEW-Tables 80-86'!L9+'NEW-Tables 80-86'!G39</f>
        <v>69578.072</v>
      </c>
      <c r="H70" s="487">
        <f>+'NEW-Tables 80-86'!N9+'NEW-Tables 80-86'!H39</f>
        <v>2480690.1893333332</v>
      </c>
      <c r="Q70" s="411">
        <f>+GETPIVOTDATA("Sum of Old Grand Total FTE",'FTE Pivot for regular counts'!$A$2,"Category",1,"Category2","Four-Year")</f>
        <v>1218107.37375</v>
      </c>
      <c r="R70" s="411">
        <f>+GETPIVOTDATA("Sum of Old Grand Total FTE",'FTE Pivot for regular counts'!$A$2,"Category",2,"Category2","Four-Year")</f>
        <v>243263.24799999999</v>
      </c>
      <c r="S70" s="411">
        <f>+GETPIVOTDATA("Sum of Old Grand Total FTE",'FTE Pivot for regular counts'!$A$2,"Category",3,"Category2","Four-Year")</f>
        <v>648402.02083333337</v>
      </c>
      <c r="T70" s="411">
        <f>+GETPIVOTDATA("Sum of Old Grand Total FTE",'FTE Pivot for regular counts'!$A$2,"Category",4,"Category2","Four-Year")</f>
        <v>154323.10833333334</v>
      </c>
      <c r="U70" s="411">
        <f>+GETPIVOTDATA("Sum of Old Grand Total FTE",'FTE Pivot for regular counts'!$A$2,"Category",5,"Category2","Four-Year")</f>
        <v>103609.29166666669</v>
      </c>
      <c r="V70" s="411">
        <f>+GETPIVOTDATA("Sum of Old Grand Total FTE",'FTE Pivot for regular counts'!$A$2,"Category",6,"Category2","Four-Year")</f>
        <v>69154.901666666658</v>
      </c>
      <c r="W70" s="411">
        <f>+GETPIVOTDATA("Sum of Old Grand Total FTE",'FTE Pivot for regular counts'!$A$2,"Category2","Four-Year")</f>
        <v>2436859.9442499997</v>
      </c>
      <c r="X70" s="345" t="s">
        <v>853</v>
      </c>
    </row>
    <row r="71" spans="1:24" ht="15" customHeight="1">
      <c r="B71" s="485"/>
      <c r="C71" s="485"/>
      <c r="D71" s="485"/>
      <c r="E71" s="485"/>
      <c r="F71" s="485"/>
      <c r="G71" s="486"/>
      <c r="H71" s="487"/>
      <c r="Q71" s="411"/>
      <c r="R71" s="411"/>
      <c r="S71" s="411"/>
      <c r="T71" s="411"/>
      <c r="U71" s="411"/>
      <c r="V71" s="411"/>
      <c r="W71" s="411"/>
    </row>
    <row r="72" spans="1:24" ht="15" customHeight="1">
      <c r="A72" s="345" t="s">
        <v>861</v>
      </c>
      <c r="B72" s="488">
        <f>+'NEW-Tables 80-86'!B11+'NEW-Tables 80-86'!B41</f>
        <v>60398.3</v>
      </c>
      <c r="C72" s="488">
        <f>+'NEW-Tables 80-86'!D11+'NEW-Tables 80-86'!C41</f>
        <v>17696.766666666666</v>
      </c>
      <c r="D72" s="488">
        <f>+'NEW-Tables 80-86'!F11+'NEW-Tables 80-86'!D41</f>
        <v>39198.466666666667</v>
      </c>
      <c r="E72" s="488">
        <f>+'NEW-Tables 80-86'!H11+'NEW-Tables 80-86'!E41</f>
        <v>9406.1166666666668</v>
      </c>
      <c r="F72" s="488">
        <f>+'NEW-Tables 80-86'!J11+'NEW-Tables 80-86'!F41</f>
        <v>5912.3833333333332</v>
      </c>
      <c r="G72" s="486">
        <f>+'NEW-Tables 80-86'!L11+'NEW-Tables 80-86'!G41</f>
        <v>2330.1416666666669</v>
      </c>
      <c r="H72" s="489">
        <f>+'NEW-Tables 80-86'!N11+'NEW-Tables 80-86'!H41</f>
        <v>134942.17499999999</v>
      </c>
      <c r="Q72" s="411">
        <f>+GETPIVOTDATA("Sum of Old Grand Total FTE",'FTE Pivot for regular counts'!$A$2,"State","AL","Category",1,"Category2","Four-Year")</f>
        <v>58512.358333333337</v>
      </c>
      <c r="R72" s="411">
        <f>+GETPIVOTDATA("Sum of Old Grand Total FTE",'FTE Pivot for regular counts'!$A$2,"State","AL","Category",2,"Category2","Four-Year")</f>
        <v>16841.033333333333</v>
      </c>
      <c r="S72" s="411">
        <f>+GETPIVOTDATA("Sum of Old Grand Total FTE",'FTE Pivot for regular counts'!$A$2,"State","AL","Category",3,"Category2","Four-Year")</f>
        <v>37846.5</v>
      </c>
      <c r="T72" s="411">
        <f>+GETPIVOTDATA("Sum of Old Grand Total FTE",'FTE Pivot for regular counts'!$A$2,"State","AL","Category",4,"Category2","Four-Year")</f>
        <v>9623.7833333333328</v>
      </c>
      <c r="U72" s="411">
        <f>+GETPIVOTDATA("Sum of Old Grand Total FTE",'FTE Pivot for regular counts'!$A$2,"State","AL","Category",5,"Category2","Four-Year")</f>
        <v>5844.7333333333336</v>
      </c>
      <c r="V72" s="411">
        <f>+GETPIVOTDATA("Sum of Old Grand Total FTE",'FTE Pivot for regular counts'!$A$2,"State","AL","Category",6,"Category2","Four-Year")</f>
        <v>2347.1999999999998</v>
      </c>
      <c r="W72" s="411">
        <f>+GETPIVOTDATA("Sum of Old Grand Total FTE",'FTE Pivot for regular counts'!$A$2,"State","AL","Category2","Four-Year")</f>
        <v>131015.60833333332</v>
      </c>
      <c r="X72" s="345" t="s">
        <v>861</v>
      </c>
    </row>
    <row r="73" spans="1:24" ht="15" customHeight="1">
      <c r="A73" s="270" t="s">
        <v>862</v>
      </c>
      <c r="B73" s="488">
        <f>+'NEW-Tables 80-86'!B12+'NEW-Tables 80-86'!B42</f>
        <v>24674.149999999998</v>
      </c>
      <c r="C73" s="488">
        <f>+'NEW-Tables 80-86'!D12+'NEW-Tables 80-86'!C42</f>
        <v>8744.6666666666679</v>
      </c>
      <c r="D73" s="488">
        <f>+'NEW-Tables 80-86'!F12+'NEW-Tables 80-86'!D42</f>
        <v>31465.116666666661</v>
      </c>
      <c r="E73" s="488">
        <f>+'NEW-Tables 80-86'!H12+'NEW-Tables 80-86'!E42</f>
        <v>7549.6916666666666</v>
      </c>
      <c r="F73" s="488">
        <f>+'NEW-Tables 80-86'!J12+'NEW-Tables 80-86'!F42</f>
        <v>2444.9749999999999</v>
      </c>
      <c r="G73" s="486">
        <f>+'NEW-Tables 80-86'!L12+'NEW-Tables 80-86'!G42</f>
        <v>7864.7416666666668</v>
      </c>
      <c r="H73" s="489">
        <f>+'NEW-Tables 80-86'!N12+'NEW-Tables 80-86'!H42</f>
        <v>82743.341666666674</v>
      </c>
      <c r="Q73" s="411">
        <f>+GETPIVOTDATA("Sum of Old Grand Total FTE",'FTE Pivot for regular counts'!$A$2,"State","AR","Category",1,"Category2","Four-Year")</f>
        <v>24313.158333333333</v>
      </c>
      <c r="R73" s="411">
        <f>+GETPIVOTDATA("Sum of Old Grand Total FTE",'FTE Pivot for regular counts'!$A$2,"State","AR","Category",2,"Category2","Four-Year")</f>
        <v>8888.4500000000007</v>
      </c>
      <c r="S73" s="411">
        <f>+GETPIVOTDATA("Sum of Old Grand Total FTE",'FTE Pivot for regular counts'!$A$2,"State","AR","Category",3,"Category2","Four-Year")</f>
        <v>31208.35</v>
      </c>
      <c r="T73" s="411">
        <f>+GETPIVOTDATA("Sum of Old Grand Total FTE",'FTE Pivot for regular counts'!$A$2,"State","AR","Category",4,"Category2","Four-Year")</f>
        <v>6692.0499999999993</v>
      </c>
      <c r="U73" s="411">
        <f>+GETPIVOTDATA("Sum of Old Grand Total FTE",'FTE Pivot for regular counts'!$A$2,"State","AR","Category",5,"Category2","Four-Year")</f>
        <v>2418.0833333333335</v>
      </c>
      <c r="V73" s="411">
        <f>+GETPIVOTDATA("Sum of Old Grand Total FTE",'FTE Pivot for regular counts'!$A$2,"State","AR","Category",6,"Category2","Four-Year")</f>
        <v>7980.583333333333</v>
      </c>
      <c r="W73" s="411">
        <f>+GETPIVOTDATA("Sum of Old Grand Total FTE",'FTE Pivot for regular counts'!$A$2,"State","AR","Category2","Four-Year")</f>
        <v>81500.674999999988</v>
      </c>
      <c r="X73" s="270" t="s">
        <v>862</v>
      </c>
    </row>
    <row r="74" spans="1:24" ht="15" customHeight="1">
      <c r="A74" s="345" t="s">
        <v>863</v>
      </c>
      <c r="B74" s="488">
        <f>+'NEW-Tables 80-86'!B13+'NEW-Tables 80-86'!B43</f>
        <v>21674.474999999999</v>
      </c>
      <c r="C74" s="488">
        <f>+'NEW-Tables 80-86'!D13+'NEW-Tables 80-86'!C43</f>
        <v>0</v>
      </c>
      <c r="D74" s="488">
        <f>+'NEW-Tables 80-86'!F13+'NEW-Tables 80-86'!D43</f>
        <v>4664.8999999999996</v>
      </c>
      <c r="E74" s="345">
        <f>+'NEW-Tables 80-86'!H13+'NEW-Tables 80-86'!E43</f>
        <v>0</v>
      </c>
      <c r="F74" s="488">
        <f>+'NEW-Tables 80-86'!J13+'NEW-Tables 80-86'!F43</f>
        <v>0</v>
      </c>
      <c r="G74" s="486">
        <f>+'NEW-Tables 80-86'!L13+'NEW-Tables 80-86'!G43</f>
        <v>0</v>
      </c>
      <c r="H74" s="345">
        <f>+'NEW-Tables 80-86'!N13+'NEW-Tables 80-86'!H43</f>
        <v>26339.374999999996</v>
      </c>
      <c r="Q74" s="411">
        <f>+GETPIVOTDATA("Sum of Old Grand Total FTE",'FTE Pivot for regular counts'!$A$2,"State","DE","Category",1,"Category2","Four-Year")</f>
        <v>21165.558333333331</v>
      </c>
      <c r="R74" s="411">
        <f>+GETPIVOTDATA("Sum of Old Grand Total FTE",'FTE Pivot for regular counts'!$A$2,"State","DE","Category",2,"Category2","Four-Year")</f>
        <v>0</v>
      </c>
      <c r="S74" s="411">
        <f>+GETPIVOTDATA("Sum of Old Grand Total FTE",'FTE Pivot for regular counts'!$A$2,"State","DE","Category",3,"Category2","Four-Year")</f>
        <v>4293.2749999999996</v>
      </c>
      <c r="T74" s="411">
        <f>+GETPIVOTDATA("Sum of Old Grand Total FTE",'FTE Pivot for regular counts'!$A$2,"State","DE","Category",4,"Category2","Four-Year")</f>
        <v>0</v>
      </c>
      <c r="U74" s="411">
        <f>+GETPIVOTDATA("Sum of Old Grand Total FTE",'FTE Pivot for regular counts'!$A$2,"State","DE","Category",5,"Category2","Four-Year")</f>
        <v>0</v>
      </c>
      <c r="V74" s="411">
        <f>+GETPIVOTDATA("Sum of Old Grand Total FTE",'FTE Pivot for regular counts'!$A$2,"State","DE","Category",6,"Category2","Four-Year")</f>
        <v>0</v>
      </c>
      <c r="W74" s="411">
        <f>+GETPIVOTDATA("Sum of Old Grand Total FTE",'FTE Pivot for regular counts'!$A$2,"State","DE","Category2","Four-Year")</f>
        <v>25458.833333333328</v>
      </c>
      <c r="X74" s="345" t="s">
        <v>863</v>
      </c>
    </row>
    <row r="75" spans="1:24" ht="15" customHeight="1">
      <c r="A75" s="345" t="s">
        <v>864</v>
      </c>
      <c r="B75" s="488">
        <f>+'NEW-Tables 80-86'!B14+'NEW-Tables 80-86'!B44</f>
        <v>255280.72500000001</v>
      </c>
      <c r="C75" s="488">
        <f>+'NEW-Tables 80-86'!D14+'NEW-Tables 80-86'!C44</f>
        <v>0</v>
      </c>
      <c r="D75" s="488">
        <f>+'NEW-Tables 80-86'!F14+'NEW-Tables 80-86'!D44</f>
        <v>33543.174999999996</v>
      </c>
      <c r="E75" s="488">
        <f>+'NEW-Tables 80-86'!H14+'NEW-Tables 80-86'!E44</f>
        <v>12644.758333333333</v>
      </c>
      <c r="F75" s="488">
        <f>+'NEW-Tables 80-86'!J14+'NEW-Tables 80-86'!F44</f>
        <v>0</v>
      </c>
      <c r="G75" s="486">
        <f>+'NEW-Tables 80-86'!L14+'NEW-Tables 80-86'!G44</f>
        <v>964.05833333333339</v>
      </c>
      <c r="H75" s="489">
        <f>+'NEW-Tables 80-86'!N14+'NEW-Tables 80-86'!H44</f>
        <v>302432.71666666667</v>
      </c>
      <c r="Q75" s="411">
        <f>+GETPIVOTDATA("Sum of Old Grand Total FTE",'FTE Pivot for regular counts'!$A$2,"State","FL","Category",1,"Category2","Four-Year")</f>
        <v>250021.36666666664</v>
      </c>
      <c r="R75" s="411">
        <f>+GETPIVOTDATA("Sum of Old Grand Total FTE",'FTE Pivot for regular counts'!$A$2,"State","FL","Category",2,"Category2","Four-Year")</f>
        <v>0</v>
      </c>
      <c r="S75" s="411">
        <f>+GETPIVOTDATA("Sum of Old Grand Total FTE",'FTE Pivot for regular counts'!$A$2,"State","FL","Category",3,"Category2","Four-Year")</f>
        <v>33367.133333333331</v>
      </c>
      <c r="T75" s="411">
        <f>+GETPIVOTDATA("Sum of Old Grand Total FTE",'FTE Pivot for regular counts'!$A$2,"State","FL","Category",4,"Category2","Four-Year")</f>
        <v>12456.9</v>
      </c>
      <c r="U75" s="411">
        <f>+GETPIVOTDATA("Sum of Old Grand Total FTE",'FTE Pivot for regular counts'!$A$2,"State","FL","Category",5,"Category2","Four-Year")</f>
        <v>0</v>
      </c>
      <c r="V75" s="411">
        <f>+GETPIVOTDATA("Sum of Old Grand Total FTE",'FTE Pivot for regular counts'!$A$2,"State","FL","Category",6,"Category2","Four-Year")</f>
        <v>974.93333333333328</v>
      </c>
      <c r="W75" s="411">
        <f>+GETPIVOTDATA("Sum of Old Grand Total FTE",'FTE Pivot for regular counts'!$A$2,"State","FL","Category2","Four-Year")</f>
        <v>296820.33333333337</v>
      </c>
      <c r="X75" s="345" t="s">
        <v>864</v>
      </c>
    </row>
    <row r="76" spans="1:24" ht="15" customHeight="1">
      <c r="B76" s="488"/>
      <c r="C76" s="488"/>
      <c r="D76" s="488"/>
      <c r="E76" s="488"/>
      <c r="F76" s="488"/>
      <c r="G76" s="486"/>
      <c r="H76" s="489"/>
      <c r="Q76" s="411"/>
      <c r="R76" s="411"/>
      <c r="S76" s="411"/>
      <c r="T76" s="411"/>
      <c r="U76" s="411"/>
      <c r="V76" s="411"/>
      <c r="W76" s="411"/>
    </row>
    <row r="77" spans="1:24" ht="15" customHeight="1">
      <c r="A77" s="345" t="s">
        <v>865</v>
      </c>
      <c r="B77" s="488">
        <f>+'NEW-Tables 80-86'!B16+'NEW-Tables 80-86'!B46</f>
        <v>75271.246666666659</v>
      </c>
      <c r="C77" s="488">
        <f>+'NEW-Tables 80-86'!D16+'NEW-Tables 80-86'!C46</f>
        <v>26195.895833333332</v>
      </c>
      <c r="D77" s="488">
        <f>+'NEW-Tables 80-86'!F16+'NEW-Tables 80-86'!D46</f>
        <v>70280.386333333328</v>
      </c>
      <c r="E77" s="488">
        <f>+'NEW-Tables 80-86'!H16+'NEW-Tables 80-86'!E46</f>
        <v>51959.040000000001</v>
      </c>
      <c r="F77" s="488">
        <f>+'NEW-Tables 80-86'!J16+'NEW-Tables 80-86'!F46</f>
        <v>7001.4776666666676</v>
      </c>
      <c r="G77" s="486">
        <f>+'NEW-Tables 80-86'!L16+'NEW-Tables 80-86'!G46</f>
        <v>22611.463666666667</v>
      </c>
      <c r="H77" s="489">
        <f>+'NEW-Tables 80-86'!N16+'NEW-Tables 80-86'!H46</f>
        <v>253319.51016666667</v>
      </c>
      <c r="Q77" s="411">
        <f>+GETPIVOTDATA("Sum of Old Grand Total FTE",'FTE Pivot for regular counts'!$A$2,"State","GA","Category",1,"Category2","Four-Year")</f>
        <v>68387.399999999994</v>
      </c>
      <c r="R77" s="411">
        <f>+GETPIVOTDATA("Sum of Old Grand Total FTE",'FTE Pivot for regular counts'!$A$2,"State","GA","Category",2,"Category2","Four-Year")</f>
        <v>25388.472166666666</v>
      </c>
      <c r="S77" s="411">
        <f>+GETPIVOTDATA("Sum of Old Grand Total FTE",'FTE Pivot for regular counts'!$A$2,"State","GA","Category",3,"Category2","Four-Year")</f>
        <v>68420.675000000003</v>
      </c>
      <c r="T77" s="411">
        <f>+GETPIVOTDATA("Sum of Old Grand Total FTE",'FTE Pivot for regular counts'!$A$2,"State","GA","Category",4,"Category2","Four-Year")</f>
        <v>51195.733333333337</v>
      </c>
      <c r="U77" s="411">
        <f>+GETPIVOTDATA("Sum of Old Grand Total FTE",'FTE Pivot for regular counts'!$A$2,"State","GA","Category",5,"Category2","Four-Year")</f>
        <v>6766.0249999999996</v>
      </c>
      <c r="V77" s="411">
        <f>+GETPIVOTDATA("Sum of Old Grand Total FTE",'FTE Pivot for regular counts'!$A$2,"State","GA","Category",6,"Category2","Four-Year")</f>
        <v>21806.066666666666</v>
      </c>
      <c r="W77" s="411">
        <f>+GETPIVOTDATA("Sum of Old Grand Total FTE",'FTE Pivot for regular counts'!$A$2,"State","GA","Category2","Four-Year")</f>
        <v>241964.37216666667</v>
      </c>
      <c r="X77" s="345" t="s">
        <v>865</v>
      </c>
    </row>
    <row r="78" spans="1:24" ht="15" customHeight="1">
      <c r="A78" s="345" t="s">
        <v>866</v>
      </c>
      <c r="B78" s="488">
        <f>+'NEW-Tables 80-86'!B17+'NEW-Tables 80-86'!B47</f>
        <v>40568.741666666669</v>
      </c>
      <c r="C78" s="488">
        <f>+'NEW-Tables 80-86'!D17+'NEW-Tables 80-86'!C47</f>
        <v>0</v>
      </c>
      <c r="D78" s="488">
        <f>+'NEW-Tables 80-86'!F17+'NEW-Tables 80-86'!D47</f>
        <v>58092.974999999999</v>
      </c>
      <c r="E78" s="488">
        <f>+'NEW-Tables 80-86'!H17+'NEW-Tables 80-86'!E47</f>
        <v>1356.8416666666667</v>
      </c>
      <c r="F78" s="488">
        <f>+'NEW-Tables 80-86'!J17+'NEW-Tables 80-86'!F47</f>
        <v>0</v>
      </c>
      <c r="G78" s="486">
        <f>+'NEW-Tables 80-86'!L17+'NEW-Tables 80-86'!G47</f>
        <v>0</v>
      </c>
      <c r="H78" s="489">
        <f>+'NEW-Tables 80-86'!N17+'NEW-Tables 80-86'!H47</f>
        <v>100018.55833333332</v>
      </c>
      <c r="Q78" s="411">
        <f>+GETPIVOTDATA("Sum of Old Grand Total FTE",'FTE Pivot for regular counts'!$A$2,"State","KY","Category",1,"Category2","Four-Year")</f>
        <v>40960.891666666663</v>
      </c>
      <c r="R78" s="411">
        <f>+GETPIVOTDATA("Sum of Old Grand Total FTE",'FTE Pivot for regular counts'!$A$2,"State","KY","Category",2,"Category2","Four-Year")</f>
        <v>0</v>
      </c>
      <c r="S78" s="411">
        <f>+GETPIVOTDATA("Sum of Old Grand Total FTE",'FTE Pivot for regular counts'!$A$2,"State","KY","Category",3,"Category2","Four-Year")</f>
        <v>58667.466666666667</v>
      </c>
      <c r="T78" s="411">
        <f>+GETPIVOTDATA("Sum of Old Grand Total FTE",'FTE Pivot for regular counts'!$A$2,"State","KY","Category",4,"Category2","Four-Year")</f>
        <v>1463.9083333333333</v>
      </c>
      <c r="U78" s="411">
        <f>+GETPIVOTDATA("Sum of Old Grand Total FTE",'FTE Pivot for regular counts'!$A$2,"State","KY","Category",5,"Category2","Four-Year")</f>
        <v>0</v>
      </c>
      <c r="V78" s="411">
        <f>+GETPIVOTDATA("Sum of Old Grand Total FTE",'FTE Pivot for regular counts'!$A$2,"State","KY","Category",6,"Category2","Four-Year")</f>
        <v>0</v>
      </c>
      <c r="W78" s="411">
        <f>+GETPIVOTDATA("Sum of Old Grand Total FTE",'FTE Pivot for regular counts'!$A$2,"State","KY","Category2","Four-Year")</f>
        <v>101092.26666666668</v>
      </c>
      <c r="X78" s="345" t="s">
        <v>866</v>
      </c>
    </row>
    <row r="79" spans="1:24" ht="15" customHeight="1">
      <c r="A79" s="345" t="s">
        <v>867</v>
      </c>
      <c r="B79" s="488">
        <f>+'NEW-Tables 80-86'!B18+'NEW-Tables 80-86'!B48</f>
        <v>29715.141666666666</v>
      </c>
      <c r="C79" s="488">
        <f>+'NEW-Tables 80-86'!D18+'NEW-Tables 80-86'!C48</f>
        <v>31530.816666666666</v>
      </c>
      <c r="D79" s="488">
        <f>+'NEW-Tables 80-86'!F18+'NEW-Tables 80-86'!D48</f>
        <v>25282.458333333332</v>
      </c>
      <c r="E79" s="488">
        <f>+'NEW-Tables 80-86'!H18+'NEW-Tables 80-86'!E48</f>
        <v>27834.649999999998</v>
      </c>
      <c r="F79" s="488">
        <f>+'NEW-Tables 80-86'!J18+'NEW-Tables 80-86'!F48</f>
        <v>1991.85</v>
      </c>
      <c r="G79" s="486">
        <f>+'NEW-Tables 80-86'!L18+'NEW-Tables 80-86'!G48</f>
        <v>2303.4333333333334</v>
      </c>
      <c r="H79" s="489">
        <f>+'NEW-Tables 80-86'!N18+'NEW-Tables 80-86'!H48</f>
        <v>118658.34999999999</v>
      </c>
      <c r="Q79" s="411">
        <f>+GETPIVOTDATA("Sum of Old Grand Total FTE",'FTE Pivot for regular counts'!$A$2,"State","LA","Category",1,"Category2","Four-Year")</f>
        <v>30062.870833333334</v>
      </c>
      <c r="R79" s="411">
        <f>+GETPIVOTDATA("Sum of Old Grand Total FTE",'FTE Pivot for regular counts'!$A$2,"State","LA","Category",2,"Category2","Four-Year")</f>
        <v>31546.491666666669</v>
      </c>
      <c r="S79" s="411">
        <f>+GETPIVOTDATA("Sum of Old Grand Total FTE",'FTE Pivot for regular counts'!$A$2,"State","LA","Category",3,"Category2","Four-Year")</f>
        <v>25278.958333333332</v>
      </c>
      <c r="T79" s="411">
        <f>+GETPIVOTDATA("Sum of Old Grand Total FTE",'FTE Pivot for regular counts'!$A$2,"State","LA","Category",4,"Category2","Four-Year")</f>
        <v>27148.5</v>
      </c>
      <c r="U79" s="411">
        <f>+GETPIVOTDATA("Sum of Old Grand Total FTE",'FTE Pivot for regular counts'!$A$2,"State","LA","Category",5,"Category2","Four-Year")</f>
        <v>2317.4250000000002</v>
      </c>
      <c r="V79" s="411">
        <f>+GETPIVOTDATA("Sum of Old Grand Total FTE",'FTE Pivot for regular counts'!$A$2,"State","LA","Category",6,"Category2","Four-Year")</f>
        <v>2026.6</v>
      </c>
      <c r="W79" s="411">
        <f>+GETPIVOTDATA("Sum of Old Grand Total FTE",'FTE Pivot for regular counts'!$A$2,"State","LA","Category2","Four-Year")</f>
        <v>118380.84583333334</v>
      </c>
      <c r="X79" s="345" t="s">
        <v>867</v>
      </c>
    </row>
    <row r="80" spans="1:24" ht="15" customHeight="1">
      <c r="A80" s="345" t="s">
        <v>868</v>
      </c>
      <c r="B80" s="488">
        <f>+'NEW-Tables 80-86'!B19+'NEW-Tables 80-86'!B49</f>
        <v>34240.775000000001</v>
      </c>
      <c r="C80" s="488">
        <f>+'NEW-Tables 80-86'!D19+'NEW-Tables 80-86'!C49</f>
        <v>19233.525000000001</v>
      </c>
      <c r="D80" s="488">
        <f>+'NEW-Tables 80-86'!F19+'NEW-Tables 80-86'!D49</f>
        <v>24366.458333333336</v>
      </c>
      <c r="E80" s="488">
        <f>+'NEW-Tables 80-86'!H19+'NEW-Tables 80-86'!E49</f>
        <v>22181.608333333334</v>
      </c>
      <c r="F80" s="488">
        <f>+'NEW-Tables 80-86'!J19+'NEW-Tables 80-86'!F49</f>
        <v>2465.416666666667</v>
      </c>
      <c r="G80" s="486">
        <f>+'NEW-Tables 80-86'!L19+'NEW-Tables 80-86'!G49</f>
        <v>1764.6</v>
      </c>
      <c r="H80" s="489">
        <f>+'NEW-Tables 80-86'!N19+'NEW-Tables 80-86'!H49</f>
        <v>104252.38333333335</v>
      </c>
      <c r="Q80" s="411">
        <f>+GETPIVOTDATA("Sum of Old Grand Total FTE",'FTE Pivot for regular counts'!$A$2,"State","MD","Category",1,"Category2","Four-Year")</f>
        <v>33712.807083333333</v>
      </c>
      <c r="R80" s="411">
        <f>+GETPIVOTDATA("Sum of Old Grand Total FTE",'FTE Pivot for regular counts'!$A$2,"State","MD","Category",2,"Category2","Four-Year")</f>
        <v>19306.958333333336</v>
      </c>
      <c r="S80" s="411">
        <f>+GETPIVOTDATA("Sum of Old Grand Total FTE",'FTE Pivot for regular counts'!$A$2,"State","MD","Category",3,"Category2","Four-Year")</f>
        <v>24545.841666666667</v>
      </c>
      <c r="T80" s="411">
        <f>+GETPIVOTDATA("Sum of Old Grand Total FTE",'FTE Pivot for regular counts'!$A$2,"State","MD","Category",4,"Category2","Four-Year")</f>
        <v>22458.15</v>
      </c>
      <c r="U80" s="411">
        <f>+GETPIVOTDATA("Sum of Old Grand Total FTE",'FTE Pivot for regular counts'!$A$2,"State","MD","Category",5,"Category2","Four-Year")</f>
        <v>2584.6666666666665</v>
      </c>
      <c r="V80" s="411">
        <f>+GETPIVOTDATA("Sum of Old Grand Total FTE",'FTE Pivot for regular counts'!$A$2,"State","MD","Category",6,"Category2","Four-Year")</f>
        <v>1841.9833333333333</v>
      </c>
      <c r="W80" s="411">
        <f>+GETPIVOTDATA("Sum of Old Grand Total FTE",'FTE Pivot for regular counts'!$A$2,"State","MD","Category2","Four-Year")</f>
        <v>104450.40708333334</v>
      </c>
      <c r="X80" s="345" t="s">
        <v>868</v>
      </c>
    </row>
    <row r="81" spans="1:26" ht="15" customHeight="1">
      <c r="B81" s="488"/>
      <c r="C81" s="488"/>
      <c r="D81" s="488"/>
      <c r="E81" s="488"/>
      <c r="F81" s="488"/>
      <c r="G81" s="486"/>
      <c r="H81" s="489"/>
      <c r="Q81" s="411"/>
      <c r="R81" s="411"/>
      <c r="S81" s="411"/>
      <c r="T81" s="411"/>
      <c r="U81" s="411"/>
      <c r="V81" s="411"/>
      <c r="W81" s="411"/>
    </row>
    <row r="82" spans="1:26" ht="15" customHeight="1">
      <c r="A82" s="345" t="s">
        <v>869</v>
      </c>
      <c r="B82" s="488">
        <f>+'NEW-Tables 80-86'!B21+'NEW-Tables 80-86'!B51</f>
        <v>31838.125</v>
      </c>
      <c r="C82" s="488">
        <f>+'NEW-Tables 80-86'!D21+'NEW-Tables 80-86'!C51</f>
        <v>28459.51666666667</v>
      </c>
      <c r="D82" s="488">
        <f>+'NEW-Tables 80-86'!F21+'NEW-Tables 80-86'!D51</f>
        <v>0</v>
      </c>
      <c r="E82" s="488">
        <f>+'NEW-Tables 80-86'!H21+'NEW-Tables 80-86'!E51</f>
        <v>8627.7250000000004</v>
      </c>
      <c r="F82" s="488">
        <f>+'NEW-Tables 80-86'!J21+'NEW-Tables 80-86'!F51</f>
        <v>2577.0250000000001</v>
      </c>
      <c r="G82" s="486">
        <f>+'NEW-Tables 80-86'!L21+'NEW-Tables 80-86'!G51</f>
        <v>0</v>
      </c>
      <c r="H82" s="489">
        <f>+'NEW-Tables 80-86'!N21+'NEW-Tables 80-86'!H51</f>
        <v>71502.391666666677</v>
      </c>
      <c r="Q82" s="411">
        <f>+GETPIVOTDATA("Sum of Old Grand Total FTE",'FTE Pivot for regular counts'!$A$2,"State","MS","Category",1,"Category2","Four-Year")</f>
        <v>30868.758333333335</v>
      </c>
      <c r="R82" s="411">
        <f>+GETPIVOTDATA("Sum of Old Grand Total FTE",'FTE Pivot for regular counts'!$A$2,"State","MS","Category",2,"Category2","Four-Year")</f>
        <v>27504.270833333332</v>
      </c>
      <c r="S82" s="411">
        <f>+GETPIVOTDATA("Sum of Old Grand Total FTE",'FTE Pivot for regular counts'!$A$2,"State","MS","Category",3,"Category2","Four-Year")</f>
        <v>0</v>
      </c>
      <c r="T82" s="411">
        <f>+GETPIVOTDATA("Sum of Old Grand Total FTE",'FTE Pivot for regular counts'!$A$2,"State","MS","Category",4,"Category2","Four-Year")</f>
        <v>8497.9</v>
      </c>
      <c r="U82" s="411">
        <f>+GETPIVOTDATA("Sum of Old Grand Total FTE",'FTE Pivot for regular counts'!$A$2,"State","MS","Category",5,"Category2","Four-Year")</f>
        <v>2495.25</v>
      </c>
      <c r="V82" s="411">
        <f>+GETPIVOTDATA("Sum of Old Grand Total FTE",'FTE Pivot for regular counts'!$A$2,"State","MS","Category",6,"Category2","Four-Year")</f>
        <v>0</v>
      </c>
      <c r="W82" s="411">
        <f>+GETPIVOTDATA("Sum of Old Grand Total FTE",'FTE Pivot for regular counts'!$A$2,"State","MS","Category2","Four-Year")</f>
        <v>69366.179166666669</v>
      </c>
      <c r="X82" s="345" t="s">
        <v>869</v>
      </c>
    </row>
    <row r="83" spans="1:26" ht="15" customHeight="1">
      <c r="A83" s="345" t="s">
        <v>870</v>
      </c>
      <c r="B83" s="488">
        <f>+'NEW-Tables 80-86'!B22+'NEW-Tables 80-86'!B52</f>
        <v>96250.208333333343</v>
      </c>
      <c r="C83" s="488">
        <f>+'NEW-Tables 80-86'!D22+'NEW-Tables 80-86'!C52</f>
        <v>24562.608333333334</v>
      </c>
      <c r="D83" s="488">
        <f>+'NEW-Tables 80-86'!F22+'NEW-Tables 80-86'!D52</f>
        <v>60287.48333333333</v>
      </c>
      <c r="E83" s="488">
        <f>+'NEW-Tables 80-86'!H22+'NEW-Tables 80-86'!E52</f>
        <v>5454.2249999999995</v>
      </c>
      <c r="F83" s="488">
        <f>+'NEW-Tables 80-86'!J22+'NEW-Tables 80-86'!F52</f>
        <v>10473.700000000001</v>
      </c>
      <c r="G83" s="486">
        <f>+'NEW-Tables 80-86'!L22+'NEW-Tables 80-86'!G52</f>
        <v>4927.7249999999995</v>
      </c>
      <c r="H83" s="489">
        <f>+'NEW-Tables 80-86'!N22+'NEW-Tables 80-86'!H52</f>
        <v>201955.95</v>
      </c>
      <c r="Q83" s="411">
        <f>+GETPIVOTDATA("Sum of Old Grand Total FTE",'FTE Pivot for regular counts'!$A$2,"State","NC","Category",1,"Category2","Four-Year")</f>
        <v>94903.799999999988</v>
      </c>
      <c r="R83" s="411">
        <f>+GETPIVOTDATA("Sum of Old Grand Total FTE",'FTE Pivot for regular counts'!$A$2,"State","NC","Category",2,"Category2","Four-Year")</f>
        <v>23866.841666666667</v>
      </c>
      <c r="S83" s="411">
        <f>+GETPIVOTDATA("Sum of Old Grand Total FTE",'FTE Pivot for regular counts'!$A$2,"State","NC","Category",3,"Category2","Four-Year")</f>
        <v>58361.158333333326</v>
      </c>
      <c r="T83" s="411">
        <f>+GETPIVOTDATA("Sum of Old Grand Total FTE",'FTE Pivot for regular counts'!$A$2,"State","NC","Category",4,"Category2","Four-Year")</f>
        <v>5466.85</v>
      </c>
      <c r="U83" s="411">
        <f>+GETPIVOTDATA("Sum of Old Grand Total FTE",'FTE Pivot for regular counts'!$A$2,"State","NC","Category",5,"Category2","Four-Year")</f>
        <v>10320.366666666665</v>
      </c>
      <c r="V83" s="411">
        <f>+GETPIVOTDATA("Sum of Old Grand Total FTE",'FTE Pivot for regular counts'!$A$2,"State","NC","Category",6,"Category2","Four-Year")</f>
        <v>5115.875</v>
      </c>
      <c r="W83" s="411">
        <f>+GETPIVOTDATA("Sum of Old Grand Total FTE",'FTE Pivot for regular counts'!$A$2,"State","NC","Category2","Four-Year")</f>
        <v>198034.89166666666</v>
      </c>
      <c r="X83" s="345" t="s">
        <v>870</v>
      </c>
    </row>
    <row r="84" spans="1:26" ht="15" customHeight="1">
      <c r="A84" s="345" t="s">
        <v>871</v>
      </c>
      <c r="B84" s="488">
        <f>+'NEW-Tables 80-86'!B23+'NEW-Tables 80-86'!B53</f>
        <v>49792.266666666663</v>
      </c>
      <c r="C84" s="488">
        <f>+'NEW-Tables 80-86'!D23+'NEW-Tables 80-86'!C53</f>
        <v>0</v>
      </c>
      <c r="D84" s="488">
        <f>+'NEW-Tables 80-86'!F23+'NEW-Tables 80-86'!D53</f>
        <v>19623.550000000003</v>
      </c>
      <c r="E84" s="488">
        <f>+'NEW-Tables 80-86'!H23+'NEW-Tables 80-86'!E53</f>
        <v>3063.2000000000003</v>
      </c>
      <c r="F84" s="488">
        <f>+'NEW-Tables 80-86'!J23+'NEW-Tables 80-86'!F53</f>
        <v>16790.216666666667</v>
      </c>
      <c r="G84" s="486">
        <f>+'NEW-Tables 80-86'!L23+'NEW-Tables 80-86'!G53</f>
        <v>4803.7833333333338</v>
      </c>
      <c r="H84" s="489">
        <f>+'NEW-Tables 80-86'!N23+'NEW-Tables 80-86'!H53</f>
        <v>94073.016666666677</v>
      </c>
      <c r="Q84" s="411">
        <f>+GETPIVOTDATA("Sum of Old Grand Total FTE",'FTE Pivot for regular counts'!$A$2,"State","OK","Category",1,"Category2","Four-Year")</f>
        <v>49915.391666666663</v>
      </c>
      <c r="R84" s="411">
        <f>+GETPIVOTDATA("Sum of Old Grand Total FTE",'FTE Pivot for regular counts'!$A$2,"State","OK","Category",2,"Category2","Four-Year")</f>
        <v>0</v>
      </c>
      <c r="S84" s="411">
        <f>+GETPIVOTDATA("Sum of Old Grand Total FTE",'FTE Pivot for regular counts'!$A$2,"State","OK","Category",3,"Category2","Four-Year")</f>
        <v>19977.641666666666</v>
      </c>
      <c r="T84" s="411">
        <f>+GETPIVOTDATA("Sum of Old Grand Total FTE",'FTE Pivot for regular counts'!$A$2,"State","OK","Category",4,"Category2","Four-Year")</f>
        <v>3138.6499999999996</v>
      </c>
      <c r="U84" s="411">
        <f>+GETPIVOTDATA("Sum of Old Grand Total FTE",'FTE Pivot for regular counts'!$A$2,"State","OK","Category",5,"Category2","Four-Year")</f>
        <v>16365.000000000002</v>
      </c>
      <c r="V84" s="411">
        <f>+GETPIVOTDATA("Sum of Old Grand Total FTE",'FTE Pivot for regular counts'!$A$2,"State","OK","Category",6,"Category2","Four-Year")</f>
        <v>4878.5083333333332</v>
      </c>
      <c r="W84" s="411">
        <f>+GETPIVOTDATA("Sum of Old Grand Total FTE",'FTE Pivot for regular counts'!$A$2,"State","OK","Category2","Four-Year")</f>
        <v>94275.191666666651</v>
      </c>
      <c r="X84" s="345" t="s">
        <v>871</v>
      </c>
    </row>
    <row r="85" spans="1:26" ht="15" customHeight="1">
      <c r="A85" s="345" t="s">
        <v>872</v>
      </c>
      <c r="B85" s="488">
        <f>+'NEW-Tables 80-86'!B24+'NEW-Tables 80-86'!B54</f>
        <v>53481.375</v>
      </c>
      <c r="C85" s="488">
        <f>+'NEW-Tables 80-86'!D24+'NEW-Tables 80-86'!C54</f>
        <v>0</v>
      </c>
      <c r="D85" s="488">
        <f>+'NEW-Tables 80-86'!F24+'NEW-Tables 80-86'!D54</f>
        <v>19935.066666666669</v>
      </c>
      <c r="E85" s="488">
        <f>+'NEW-Tables 80-86'!H24+'NEW-Tables 80-86'!E54</f>
        <v>0</v>
      </c>
      <c r="F85" s="488">
        <f>+'NEW-Tables 80-86'!J24+'NEW-Tables 80-86'!F54</f>
        <v>16186.591666666667</v>
      </c>
      <c r="G85" s="486">
        <f>+'NEW-Tables 80-86'!L24+'NEW-Tables 80-86'!G54</f>
        <v>12635.708333333334</v>
      </c>
      <c r="H85" s="489">
        <f>+'NEW-Tables 80-86'!N24+'NEW-Tables 80-86'!H54</f>
        <v>102238.74166666668</v>
      </c>
      <c r="Q85" s="411">
        <f>+GETPIVOTDATA("Sum of Old Grand Total FTE",'FTE Pivot for regular counts'!$A$2,"State","SC","Category",1,"Category2","Four-Year")</f>
        <v>51893.983333333337</v>
      </c>
      <c r="R85" s="411">
        <f>+GETPIVOTDATA("Sum of Old Grand Total FTE",'FTE Pivot for regular counts'!$A$2,"State","SC","Category",2,"Category2","Four-Year")</f>
        <v>0</v>
      </c>
      <c r="S85" s="411">
        <f>+GETPIVOTDATA("Sum of Old Grand Total FTE",'FTE Pivot for regular counts'!$A$2,"State","SC","Category",3,"Category2","Four-Year")</f>
        <v>20010.395833333336</v>
      </c>
      <c r="T85" s="411">
        <f>+GETPIVOTDATA("Sum of Old Grand Total FTE",'FTE Pivot for regular counts'!$A$2,"State","SC","Category",4,"Category2","Four-Year")</f>
        <v>0</v>
      </c>
      <c r="U85" s="411">
        <f>+GETPIVOTDATA("Sum of Old Grand Total FTE",'FTE Pivot for regular counts'!$A$2,"State","SC","Category",5,"Category2","Four-Year")</f>
        <v>16061.833333333336</v>
      </c>
      <c r="V85" s="411">
        <f>+GETPIVOTDATA("Sum of Old Grand Total FTE",'FTE Pivot for regular counts'!$A$2,"State","SC","Category",6,"Category2","Four-Year")</f>
        <v>12491.383333333333</v>
      </c>
      <c r="W85" s="411">
        <f>+GETPIVOTDATA("Sum of Old Grand Total FTE",'FTE Pivot for regular counts'!$A$2,"State","SC","Category2","Four-Year")</f>
        <v>100457.59583333335</v>
      </c>
      <c r="X85" s="345" t="s">
        <v>872</v>
      </c>
    </row>
    <row r="86" spans="1:26" ht="15" customHeight="1">
      <c r="B86" s="488"/>
      <c r="C86" s="488"/>
      <c r="D86" s="488"/>
      <c r="E86" s="488"/>
      <c r="F86" s="488"/>
      <c r="G86" s="486"/>
      <c r="H86" s="489"/>
      <c r="Q86" s="411"/>
      <c r="R86" s="411"/>
      <c r="S86" s="411"/>
      <c r="T86" s="411"/>
      <c r="U86" s="411"/>
      <c r="V86" s="411"/>
      <c r="W86" s="411"/>
    </row>
    <row r="87" spans="1:26" ht="15" customHeight="1">
      <c r="A87" s="345" t="s">
        <v>873</v>
      </c>
      <c r="B87" s="488">
        <f>+'NEW-Tables 80-86'!B26+'NEW-Tables 80-86'!B56</f>
        <v>42311.408333333333</v>
      </c>
      <c r="C87" s="488">
        <f>+'NEW-Tables 80-86'!D26+'NEW-Tables 80-86'!C56</f>
        <v>20015.508333333335</v>
      </c>
      <c r="D87" s="488">
        <f>+'NEW-Tables 80-86'!F26+'NEW-Tables 80-86'!D56</f>
        <v>47735.525000000001</v>
      </c>
      <c r="E87" s="488">
        <f>+'NEW-Tables 80-86'!H26+'NEW-Tables 80-86'!E56</f>
        <v>0</v>
      </c>
      <c r="F87" s="488">
        <f>+'NEW-Tables 80-86'!J26+'NEW-Tables 80-86'!F56</f>
        <v>6005.4250000000002</v>
      </c>
      <c r="G87" s="486">
        <f>+'NEW-Tables 80-86'!L26+'NEW-Tables 80-86'!G56</f>
        <v>0</v>
      </c>
      <c r="H87" s="489">
        <f>+'NEW-Tables 80-86'!N26+'NEW-Tables 80-86'!H56</f>
        <v>116067.86666666668</v>
      </c>
      <c r="Q87" s="411">
        <f>+GETPIVOTDATA("Sum of Old Grand Total FTE",'FTE Pivot for regular counts'!$A$2,"State","TN","Category",1,"Category2","Four-Year")</f>
        <v>41771.074999999997</v>
      </c>
      <c r="R87" s="411">
        <f>+GETPIVOTDATA("Sum of Old Grand Total FTE",'FTE Pivot for regular counts'!$A$2,"State","TN","Category",2,"Category2","Four-Year")</f>
        <v>20272.141666666666</v>
      </c>
      <c r="S87" s="411">
        <f>+GETPIVOTDATA("Sum of Old Grand Total FTE",'FTE Pivot for regular counts'!$A$2,"State","TN","Category",3,"Category2","Four-Year")</f>
        <v>48164.224999999999</v>
      </c>
      <c r="T87" s="411">
        <f>+GETPIVOTDATA("Sum of Old Grand Total FTE",'FTE Pivot for regular counts'!$A$2,"State","TN","Category",4,"Category2","Four-Year")</f>
        <v>0</v>
      </c>
      <c r="U87" s="411">
        <f>+GETPIVOTDATA("Sum of Old Grand Total FTE",'FTE Pivot for regular counts'!$A$2,"State","TN","Category",5,"Category2","Four-Year")</f>
        <v>6274.6416666666664</v>
      </c>
      <c r="V87" s="411">
        <f>+GETPIVOTDATA("Sum of Old Grand Total FTE",'FTE Pivot for regular counts'!$A$2,"State","TN","Category",6,"Category2","Four-Year")</f>
        <v>0</v>
      </c>
      <c r="W87" s="411">
        <f>+GETPIVOTDATA("Sum of Old Grand Total FTE",'FTE Pivot for regular counts'!$A$2,"State","TN","Category2","Four-Year")</f>
        <v>116482.08333333331</v>
      </c>
      <c r="X87" s="345" t="s">
        <v>873</v>
      </c>
    </row>
    <row r="88" spans="1:26" ht="15" customHeight="1">
      <c r="A88" s="345" t="s">
        <v>874</v>
      </c>
      <c r="B88" s="488">
        <f>+'NEW-Tables 80-86'!B27+'NEW-Tables 80-86'!B57</f>
        <v>272769.75</v>
      </c>
      <c r="C88" s="488">
        <f>+'NEW-Tables 80-86'!D27+'NEW-Tables 80-86'!C57</f>
        <v>62736.549999999996</v>
      </c>
      <c r="D88" s="488">
        <f>+'NEW-Tables 80-86'!F27+'NEW-Tables 80-86'!D57</f>
        <v>160961.15000000002</v>
      </c>
      <c r="E88" s="488">
        <f>+'NEW-Tables 80-86'!H27+'NEW-Tables 80-86'!E57</f>
        <v>6268.8083333333343</v>
      </c>
      <c r="F88" s="488">
        <f>+'NEW-Tables 80-86'!J27+'NEW-Tables 80-86'!F57</f>
        <v>15869.975</v>
      </c>
      <c r="G88" s="486">
        <f>+'NEW-Tables 80-86'!L27+'NEW-Tables 80-86'!G57</f>
        <v>0</v>
      </c>
      <c r="H88" s="489">
        <f>+'NEW-Tables 80-86'!N27+'NEW-Tables 80-86'!H57</f>
        <v>518606.23333333328</v>
      </c>
      <c r="Q88" s="411">
        <f>+GETPIVOTDATA("Sum of Old Grand Total FTE",'FTE Pivot for regular counts'!$A$2,"State","TX","Category",1,"Category2","Four-Year")</f>
        <v>263622.95833333337</v>
      </c>
      <c r="R88" s="411">
        <f>+GETPIVOTDATA("Sum of Old Grand Total FTE",'FTE Pivot for regular counts'!$A$2,"State","TX","Category",2,"Category2","Four-Year")</f>
        <v>61157.716666666667</v>
      </c>
      <c r="S88" s="411">
        <f>+GETPIVOTDATA("Sum of Old Grand Total FTE",'FTE Pivot for regular counts'!$A$2,"State","TX","Category",3,"Category2","Four-Year")</f>
        <v>157713.40833333335</v>
      </c>
      <c r="T88" s="411">
        <f>+GETPIVOTDATA("Sum of Old Grand Total FTE",'FTE Pivot for regular counts'!$A$2,"State","TX","Category",4,"Category2","Four-Year")</f>
        <v>6180.6833333333334</v>
      </c>
      <c r="U88" s="411">
        <f>+GETPIVOTDATA("Sum of Old Grand Total FTE",'FTE Pivot for regular counts'!$A$2,"State","TX","Category",5,"Category2","Four-Year")</f>
        <v>15409.733333333332</v>
      </c>
      <c r="V88" s="411">
        <f>+GETPIVOTDATA("Sum of Old Grand Total FTE",'FTE Pivot for regular counts'!$A$2,"State","TX","Category",6,"Category2","Four-Year")</f>
        <v>0</v>
      </c>
      <c r="W88" s="411">
        <f>+GETPIVOTDATA("Sum of Old Grand Total FTE",'FTE Pivot for regular counts'!$A$2,"State","TX","Category2","Four-Year")</f>
        <v>504084.50000000006</v>
      </c>
      <c r="X88" s="345" t="s">
        <v>874</v>
      </c>
    </row>
    <row r="89" spans="1:26" ht="15" customHeight="1">
      <c r="A89" s="345" t="s">
        <v>875</v>
      </c>
      <c r="B89" s="488">
        <f>+'NEW-Tables 80-86'!B28+'NEW-Tables 80-86'!B58</f>
        <v>133279.10416666666</v>
      </c>
      <c r="C89" s="488">
        <f>+'NEW-Tables 80-86'!D28+'NEW-Tables 80-86'!C58</f>
        <v>8624.3283333333329</v>
      </c>
      <c r="D89" s="488">
        <f>+'NEW-Tables 80-86'!F28+'NEW-Tables 80-86'!D58</f>
        <v>48394.213333333333</v>
      </c>
      <c r="E89" s="488">
        <f>+'NEW-Tables 80-86'!H28+'NEW-Tables 80-86'!E58</f>
        <v>0</v>
      </c>
      <c r="F89" s="488">
        <f>+'NEW-Tables 80-86'!J28+'NEW-Tables 80-86'!F58</f>
        <v>5003</v>
      </c>
      <c r="G89" s="486">
        <f>+'NEW-Tables 80-86'!L28+'NEW-Tables 80-86'!G58</f>
        <v>1661.0333333333333</v>
      </c>
      <c r="H89" s="489">
        <f>+'NEW-Tables 80-86'!N28+'NEW-Tables 80-86'!H58</f>
        <v>196961.67916666667</v>
      </c>
      <c r="Q89" s="411">
        <f>+GETPIVOTDATA("Sum of Old Grand Total FTE",'FTE Pivot for regular counts'!$A$2,"State","VA","Category",1,"Category2","Four-Year")</f>
        <v>131923.99583333335</v>
      </c>
      <c r="R89" s="411">
        <f>+GETPIVOTDATA("Sum of Old Grand Total FTE",'FTE Pivot for regular counts'!$A$2,"State","VA","Category",2,"Category2","Four-Year")</f>
        <v>8490.8716666666678</v>
      </c>
      <c r="S89" s="411">
        <f>+GETPIVOTDATA("Sum of Old Grand Total FTE",'FTE Pivot for regular counts'!$A$2,"State","VA","Category",3,"Category2","Four-Year")</f>
        <v>48910.891666666677</v>
      </c>
      <c r="T89" s="411">
        <f>+GETPIVOTDATA("Sum of Old Grand Total FTE",'FTE Pivot for regular counts'!$A$2,"State","VA","Category",4,"Category2","Four-Year")</f>
        <v>0</v>
      </c>
      <c r="U89" s="411">
        <f>+GETPIVOTDATA("Sum of Old Grand Total FTE",'FTE Pivot for regular counts'!$A$2,"State","VA","Category",5,"Category2","Four-Year")</f>
        <v>5063.1166666666668</v>
      </c>
      <c r="V89" s="411">
        <f>+GETPIVOTDATA("Sum of Old Grand Total FTE",'FTE Pivot for regular counts'!$A$2,"State","VA","Category",6,"Category2","Four-Year")</f>
        <v>1733.5333333333333</v>
      </c>
      <c r="W89" s="411">
        <f>+GETPIVOTDATA("Sum of Old Grand Total FTE",'FTE Pivot for regular counts'!$A$2,"State","VA","Category2","Four-Year")</f>
        <v>196122.40916666671</v>
      </c>
      <c r="X89" s="345" t="s">
        <v>875</v>
      </c>
    </row>
    <row r="90" spans="1:26" ht="15" customHeight="1">
      <c r="A90" s="461" t="s">
        <v>876</v>
      </c>
      <c r="B90" s="491">
        <f>+'NEW-Tables 80-86'!B29+'NEW-Tables 80-86'!B59</f>
        <v>25682.483333333334</v>
      </c>
      <c r="C90" s="491">
        <f>+'NEW-Tables 80-86'!D29+'NEW-Tables 80-86'!C59</f>
        <v>0</v>
      </c>
      <c r="D90" s="491">
        <f>+'NEW-Tables 80-86'!F29+'NEW-Tables 80-86'!D59</f>
        <v>11773.924999999999</v>
      </c>
      <c r="E90" s="491">
        <f>+'NEW-Tables 80-86'!H29+'NEW-Tables 80-86'!E59</f>
        <v>0</v>
      </c>
      <c r="F90" s="491">
        <f>+'NEW-Tables 80-86'!J29+'NEW-Tables 80-86'!F59</f>
        <v>11410.108333333334</v>
      </c>
      <c r="G90" s="492">
        <f>+'NEW-Tables 80-86'!L29+'NEW-Tables 80-86'!G59</f>
        <v>7711.3833333333341</v>
      </c>
      <c r="H90" s="493">
        <f>+'NEW-Tables 80-86'!N29+'NEW-Tables 80-86'!H59</f>
        <v>56577.9</v>
      </c>
      <c r="Q90" s="411">
        <f>+GETPIVOTDATA("Sum of Old Grand Total FTE",'FTE Pivot for regular counts'!$A$2,"State","WV","Category",1,"Category2","Four-Year")</f>
        <v>26071</v>
      </c>
      <c r="R90" s="411">
        <f>+GETPIVOTDATA("Sum of Old Grand Total FTE",'FTE Pivot for regular counts'!$A$2,"State","WV","Category",2,"Category2","Four-Year")</f>
        <v>0</v>
      </c>
      <c r="S90" s="411">
        <f>+GETPIVOTDATA("Sum of Old Grand Total FTE",'FTE Pivot for regular counts'!$A$2,"State","WV","Category",3,"Category2","Four-Year")</f>
        <v>11636.099999999999</v>
      </c>
      <c r="T90" s="411">
        <f>+GETPIVOTDATA("Sum of Old Grand Total FTE",'FTE Pivot for regular counts'!$A$2,"State","WV","Category",4,"Category2","Four-Year")</f>
        <v>0</v>
      </c>
      <c r="U90" s="411">
        <f>+GETPIVOTDATA("Sum of Old Grand Total FTE",'FTE Pivot for regular counts'!$A$2,"State","WV","Category",5,"Category2","Four-Year")</f>
        <v>11688.416666666666</v>
      </c>
      <c r="V90" s="411">
        <f>+GETPIVOTDATA("Sum of Old Grand Total FTE",'FTE Pivot for regular counts'!$A$2,"State","WV","Category",6,"Category2","Four-Year")</f>
        <v>7958.2349999999988</v>
      </c>
      <c r="W90" s="411">
        <f>+GETPIVOTDATA("Sum of Old Grand Total FTE",'FTE Pivot for regular counts'!$A$2,"State","WV","Category2","Four-Year")</f>
        <v>57353.751666666663</v>
      </c>
      <c r="X90" s="460" t="s">
        <v>876</v>
      </c>
    </row>
    <row r="91" spans="1:26" s="460" customFormat="1" ht="42" customHeight="1">
      <c r="A91" s="757" t="s">
        <v>884</v>
      </c>
      <c r="B91" s="757"/>
      <c r="C91" s="757"/>
      <c r="D91" s="757"/>
      <c r="E91" s="757"/>
      <c r="F91" s="757"/>
      <c r="G91" s="757"/>
      <c r="H91" s="757"/>
      <c r="I91" s="494"/>
      <c r="J91" s="495"/>
      <c r="K91" s="495"/>
      <c r="L91" s="495"/>
      <c r="M91" s="495"/>
    </row>
    <row r="92" spans="1:26" ht="10.5" customHeight="1">
      <c r="A92" s="496"/>
      <c r="B92" s="496"/>
      <c r="C92" s="496"/>
      <c r="D92" s="496"/>
      <c r="E92" s="496"/>
      <c r="F92" s="496"/>
      <c r="G92" s="496"/>
      <c r="H92" s="477" t="s">
        <v>956</v>
      </c>
    </row>
    <row r="93" spans="1:26">
      <c r="A93" s="497"/>
      <c r="B93" s="473"/>
      <c r="C93" s="473"/>
      <c r="D93" s="473"/>
      <c r="E93" s="473"/>
      <c r="F93" s="473"/>
      <c r="G93" s="473"/>
      <c r="H93" s="498"/>
    </row>
    <row r="94" spans="1:26" ht="18">
      <c r="A94" s="758" t="s">
        <v>885</v>
      </c>
      <c r="B94" s="758"/>
      <c r="C94" s="758"/>
      <c r="D94" s="758"/>
      <c r="E94" s="758"/>
      <c r="F94" s="758"/>
      <c r="G94" s="758"/>
      <c r="H94" s="758"/>
      <c r="I94" s="758"/>
      <c r="J94" s="758"/>
      <c r="K94" s="507"/>
      <c r="L94" s="507"/>
      <c r="M94" s="508"/>
    </row>
    <row r="95" spans="1:26" ht="15.75">
      <c r="A95" s="401"/>
      <c r="B95" s="401"/>
      <c r="C95" s="401"/>
      <c r="D95" s="401"/>
      <c r="E95" s="401"/>
      <c r="F95" s="401"/>
      <c r="G95" s="401"/>
      <c r="H95" s="402"/>
      <c r="I95" s="401"/>
      <c r="J95" s="402"/>
      <c r="K95" s="402"/>
      <c r="L95" s="402"/>
      <c r="M95" s="403"/>
      <c r="Q95" s="345" t="s">
        <v>841</v>
      </c>
    </row>
    <row r="96" spans="1:26" ht="15.75">
      <c r="A96" s="759" t="s">
        <v>886</v>
      </c>
      <c r="B96" s="759"/>
      <c r="C96" s="759"/>
      <c r="D96" s="759"/>
      <c r="E96" s="759"/>
      <c r="F96" s="759"/>
      <c r="G96" s="759"/>
      <c r="H96" s="759"/>
      <c r="I96" s="759"/>
      <c r="J96" s="759"/>
      <c r="K96" s="509"/>
      <c r="L96" s="509"/>
      <c r="M96" s="510"/>
      <c r="Q96" s="511" t="s">
        <v>886</v>
      </c>
      <c r="R96" s="509"/>
      <c r="S96" s="509"/>
      <c r="T96" s="509"/>
      <c r="U96" s="509"/>
      <c r="V96" s="509"/>
      <c r="W96" s="509"/>
      <c r="X96" s="509"/>
      <c r="Y96" s="509"/>
      <c r="Z96" s="509"/>
    </row>
    <row r="97" spans="1:26" ht="15.75">
      <c r="A97" s="760" t="s">
        <v>958</v>
      </c>
      <c r="B97" s="760"/>
      <c r="C97" s="760"/>
      <c r="D97" s="760"/>
      <c r="E97" s="760"/>
      <c r="F97" s="760"/>
      <c r="G97" s="760"/>
      <c r="H97" s="760"/>
      <c r="I97" s="760"/>
      <c r="J97" s="760"/>
      <c r="K97" s="509"/>
      <c r="L97" s="509"/>
      <c r="M97" s="510"/>
      <c r="Q97" s="511" t="s">
        <v>888</v>
      </c>
      <c r="R97" s="509"/>
      <c r="S97" s="509"/>
      <c r="T97" s="509"/>
      <c r="U97" s="509"/>
      <c r="V97" s="509"/>
      <c r="W97" s="509"/>
      <c r="X97" s="509"/>
      <c r="Y97" s="509"/>
      <c r="Z97" s="509"/>
    </row>
    <row r="98" spans="1:26">
      <c r="B98" s="409"/>
      <c r="C98" s="409"/>
      <c r="D98" s="409"/>
      <c r="E98" s="409"/>
      <c r="F98" s="409"/>
      <c r="G98" s="409"/>
      <c r="H98" s="372"/>
      <c r="I98" s="409"/>
      <c r="J98" s="372"/>
      <c r="K98" s="372"/>
      <c r="L98" s="372"/>
      <c r="M98" s="410"/>
      <c r="Q98" s="512"/>
      <c r="R98" s="409"/>
      <c r="S98" s="409"/>
      <c r="T98" s="409"/>
      <c r="U98" s="409"/>
      <c r="V98" s="409"/>
      <c r="W98" s="409"/>
      <c r="X98" s="409"/>
      <c r="Y98" s="409"/>
      <c r="Z98" s="409"/>
    </row>
    <row r="99" spans="1:26" ht="15" customHeight="1">
      <c r="A99" s="513"/>
      <c r="B99" s="514" t="s">
        <v>889</v>
      </c>
      <c r="C99" s="514"/>
      <c r="D99" s="415"/>
      <c r="E99" s="415"/>
      <c r="F99" s="515"/>
      <c r="G99" s="516" t="s">
        <v>890</v>
      </c>
      <c r="H99" s="416"/>
      <c r="I99" s="517"/>
      <c r="K99" s="407" t="s">
        <v>891</v>
      </c>
      <c r="L99" s="407"/>
      <c r="M99" s="407"/>
      <c r="Q99" s="513"/>
      <c r="R99" s="514" t="s">
        <v>889</v>
      </c>
      <c r="S99" s="514"/>
      <c r="T99" s="415"/>
      <c r="U99" s="415"/>
      <c r="V99" s="515"/>
      <c r="W99" s="518" t="s">
        <v>890</v>
      </c>
      <c r="X99" s="519"/>
      <c r="Y99" s="520"/>
      <c r="Z99" s="521" t="s">
        <v>891</v>
      </c>
    </row>
    <row r="100" spans="1:26" ht="24">
      <c r="A100" s="419"/>
      <c r="B100" s="522" t="s">
        <v>892</v>
      </c>
      <c r="C100" s="482">
        <v>1</v>
      </c>
      <c r="D100" s="482">
        <v>2</v>
      </c>
      <c r="E100" s="482">
        <v>3</v>
      </c>
      <c r="F100" s="523" t="s">
        <v>845</v>
      </c>
      <c r="G100" s="524">
        <v>1</v>
      </c>
      <c r="H100" s="525">
        <v>2</v>
      </c>
      <c r="I100" s="484" t="s">
        <v>845</v>
      </c>
      <c r="K100" s="526"/>
      <c r="L100" s="526"/>
      <c r="M100" s="526"/>
      <c r="Q100" s="419"/>
      <c r="R100" s="522" t="s">
        <v>892</v>
      </c>
      <c r="S100" s="482">
        <v>1</v>
      </c>
      <c r="T100" s="482">
        <v>2</v>
      </c>
      <c r="U100" s="482">
        <v>3</v>
      </c>
      <c r="V100" s="523" t="s">
        <v>845</v>
      </c>
      <c r="W100" s="524">
        <v>1</v>
      </c>
      <c r="X100" s="527">
        <v>2</v>
      </c>
      <c r="Y100" s="482" t="s">
        <v>845</v>
      </c>
      <c r="Z100" s="528"/>
    </row>
    <row r="101" spans="1:26" ht="15" customHeight="1">
      <c r="A101" s="345" t="s">
        <v>853</v>
      </c>
      <c r="B101" s="452">
        <f>+GETPIVOTDATA("Sum of New-Total Undg SCH FTE",'FTE Pivot for regular counts'!$A$2,"Category","7","Category2","Two-Year")</f>
        <v>306385.37333333329</v>
      </c>
      <c r="C101" s="494">
        <f>+GETPIVOTDATA("Sum of New-Total Undg SCH FTE",'FTE Pivot for regular counts'!$A$2,"Category","8","Category2","Two-Year")</f>
        <v>766222.70499999984</v>
      </c>
      <c r="D101" s="452">
        <f>+GETPIVOTDATA("Sum of New-Total Undg SCH FTE",'FTE Pivot for regular counts'!$A$2,"Category","9","Category2","Two-Year")</f>
        <v>358884.78466666664</v>
      </c>
      <c r="E101" s="452">
        <f>+GETPIVOTDATA("Sum of New-Total Undg SCH FTE",'FTE Pivot for regular counts'!$A$2,"Category","10","Category2","Two-Year")</f>
        <v>129189.22466666665</v>
      </c>
      <c r="F101" s="529">
        <f>+GETPIVOTDATA("Sum of New-Total Undg SCH FTE",'FTE Pivot for regular counts'!$A$2,"Category2","Two-Year")</f>
        <v>1560682.0876666666</v>
      </c>
      <c r="G101" s="530">
        <f>+GETPIVOTDATA("Sum of New-Total Undg SCH FTE",'FTE Pivot for regular counts'!$A$2,"Category","12","Category2","Technical")</f>
        <v>80218.709999999992</v>
      </c>
      <c r="H101" s="495">
        <f>+GETPIVOTDATA("Sum of New-Total Undg SCH FTE",'FTE Pivot for regular counts'!$A$2,"Category","13","Category2","Technical")</f>
        <v>1678.6999999999998</v>
      </c>
      <c r="I101" s="270">
        <f>+GETPIVOTDATA("Sum of New-Total Undg SCH FTE",'FTE Pivot for regular counts'!$A$2,"Category2","Technical")</f>
        <v>81897.409999999989</v>
      </c>
      <c r="Q101" s="345" t="s">
        <v>853</v>
      </c>
      <c r="R101" s="452">
        <f>+GETPIVOTDATA("Sum of Old-Total Undg SCH FTE",'FTE Pivot for regular counts'!$A$2,"Category","7","Category2","Two-Year")</f>
        <v>310936.44999999995</v>
      </c>
      <c r="S101" s="494">
        <f>+GETPIVOTDATA("Sum of Old-Total Undg SCH FTE",'FTE Pivot for regular counts'!$A$2,"Category","8","Category2","Two-Year")</f>
        <v>794781.05300000007</v>
      </c>
      <c r="T101" s="452">
        <f>+GETPIVOTDATA("Sum of Old-Total Undg SCH FTE",'FTE Pivot for regular counts'!$A$2,"Category","9","Category2","Two-Year")</f>
        <v>363601.95600000001</v>
      </c>
      <c r="U101" s="452">
        <f>+GETPIVOTDATA("Sum of Old-Total Undg SCH FTE",'FTE Pivot for regular counts'!$A$2,"Category","10","Category2","Two-Year")</f>
        <v>131223.43700000001</v>
      </c>
      <c r="V101" s="529">
        <f>+GETPIVOTDATA("Sum of Old-Total Undg SCH FTE",'FTE Pivot for regular counts'!$A$2,"Category2","Two-Year")</f>
        <v>1600542.8959999999</v>
      </c>
      <c r="W101" s="530">
        <f>+GETPIVOTDATA("Sum of Old-Total Undg SCH FTE",'FTE Pivot for regular counts'!$A$2,"Category","12","Category2","Technical")</f>
        <v>83365.833333333314</v>
      </c>
      <c r="X101" s="494">
        <f>+GETPIVOTDATA("Sum of Old-Total Undg SCH FTE",'FTE Pivot for regular counts'!$A$2,"Category","13","Category2","Technical")</f>
        <v>1774.5</v>
      </c>
      <c r="Y101" s="345">
        <f>+GETPIVOTDATA("Sum of Old-Total Undg SCH FTE",'FTE Pivot for regular counts'!$A$2,"Category2","Technical")</f>
        <v>85140.333333333314</v>
      </c>
      <c r="Z101" s="460"/>
    </row>
    <row r="102" spans="1:26" ht="15" customHeight="1">
      <c r="B102" s="452"/>
      <c r="C102" s="494"/>
      <c r="D102" s="452"/>
      <c r="E102" s="452"/>
      <c r="F102" s="529"/>
      <c r="G102" s="530"/>
      <c r="H102" s="495"/>
      <c r="I102" s="270"/>
      <c r="R102" s="452"/>
      <c r="S102" s="494"/>
      <c r="T102" s="452"/>
      <c r="U102" s="452"/>
      <c r="V102" s="529"/>
      <c r="W102" s="530"/>
      <c r="X102" s="494"/>
      <c r="Z102" s="460"/>
    </row>
    <row r="103" spans="1:26" ht="15" customHeight="1">
      <c r="A103" s="345" t="s">
        <v>861</v>
      </c>
      <c r="B103" s="452">
        <f>+GETPIVOTDATA("Sum of New-Total Undg SCH FTE",'FTE Pivot for regular counts'!$A$2,"State","AL","Category","7","Category2","Two-Year")</f>
        <v>0</v>
      </c>
      <c r="C103" s="494">
        <f>+GETPIVOTDATA("Sum of New-Total Undg SCH FTE",'FTE Pivot for regular counts'!$A$2,"State","AL","Category","8","Category2","Two-Year")</f>
        <v>12526.7</v>
      </c>
      <c r="D103" s="452">
        <f>+GETPIVOTDATA("Sum of New-Total Undg SCH FTE",'FTE Pivot for regular counts'!$A$2,"State","AL","Category","9","Category2","Two-Year")</f>
        <v>34915.133333333331</v>
      </c>
      <c r="E103" s="452">
        <f>+GETPIVOTDATA("Sum of New-Total Undg SCH FTE",'FTE Pivot for regular counts'!$A$2,"State","AL","Category","10","Category2","Two-Year")</f>
        <v>10938.733333333334</v>
      </c>
      <c r="F103" s="529">
        <f>+GETPIVOTDATA("Sum of New-Total Undg SCH FTE",'FTE Pivot for regular counts'!$A$2,"State","AL","Category2","Two-Year")</f>
        <v>58380.566666666666</v>
      </c>
      <c r="G103" s="530">
        <f>+GETPIVOTDATA("Sum of New-Total Undg SCH FTE",'FTE Pivot for regular counts'!$A$2,"State","AL","Category","12","Category2","Technical")</f>
        <v>1285.2</v>
      </c>
      <c r="H103" s="495">
        <f>+GETPIVOTDATA("Sum of New-Total Undg SCH FTE",'FTE Pivot for regular counts'!$A$2,"State","AL","Category","13","Category2","Technical")</f>
        <v>1678.6999999999998</v>
      </c>
      <c r="I103" s="270">
        <f>+GETPIVOTDATA("Sum of New-Total Undg SCH FTE",'FTE Pivot for regular counts'!$A$2,"State","AL","Category2","Technical")</f>
        <v>2963.8999999999996</v>
      </c>
      <c r="Q103" s="345" t="s">
        <v>861</v>
      </c>
      <c r="R103" s="452">
        <f>+GETPIVOTDATA("Sum of Old-Total Undg SCH FTE",'FTE Pivot for regular counts'!$A$2,"State","AL","Category","7","Category2","Two-Year")</f>
        <v>0</v>
      </c>
      <c r="S103" s="494">
        <f>+GETPIVOTDATA("Sum of Old-Total Undg SCH FTE",'FTE Pivot for regular counts'!$A$2,"State","AL","Category","8","Category2","Two-Year")</f>
        <v>12914.266666666666</v>
      </c>
      <c r="T103" s="452">
        <f>+GETPIVOTDATA("Sum of Old-Total Undg SCH FTE",'FTE Pivot for regular counts'!$A$2,"State","AL","Category","9","Category2","Two-Year")</f>
        <v>35549.866666666669</v>
      </c>
      <c r="U103" s="452">
        <f>+GETPIVOTDATA("Sum of Old-Total Undg SCH FTE",'FTE Pivot for regular counts'!$A$2,"State","AL","Category","10","Category2","Two-Year")</f>
        <v>11250.233333333334</v>
      </c>
      <c r="V103" s="529">
        <f>+GETPIVOTDATA("Sum of Old-Total Undg SCH FTE",'FTE Pivot for regular counts'!$A$2,"State","AL","Category2","Two-Year")</f>
        <v>59714.366666666669</v>
      </c>
      <c r="W103" s="530">
        <f>+GETPIVOTDATA("Sum of Old-Total Undg SCH FTE",'FTE Pivot for regular counts'!$A$2,"State","AL","Category","12","Category2","Technical")</f>
        <v>1202.9000000000001</v>
      </c>
      <c r="X103" s="494">
        <f>+GETPIVOTDATA("Sum of Old-Total Undg SCH FTE",'FTE Pivot for regular counts'!$A$2,"State","AL","Category","13","Category2","Technical")</f>
        <v>1774.5</v>
      </c>
      <c r="Y103" s="345">
        <f>+GETPIVOTDATA("Sum of Old-Total Undg SCH FTE",'FTE Pivot for regular counts'!$A$2,"State","AL","Category2","Technical")</f>
        <v>2977.4</v>
      </c>
      <c r="Z103" s="460"/>
    </row>
    <row r="104" spans="1:26" ht="15" customHeight="1">
      <c r="A104" s="270" t="s">
        <v>862</v>
      </c>
      <c r="B104" s="494">
        <f>+GETPIVOTDATA("Sum of New-Total Undg SCH FTE",'FTE Pivot for regular counts'!$A$2,"State","AR","Category","7","Category2","Two-Year")</f>
        <v>0</v>
      </c>
      <c r="C104" s="494">
        <f>+GETPIVOTDATA("Sum of New-Total Undg SCH FTE",'FTE Pivot for regular counts'!$A$2,"State","AR","Category","8","Category2","Two-Year")</f>
        <v>9710.2999999999993</v>
      </c>
      <c r="D104" s="494">
        <f>+GETPIVOTDATA("Sum of New-Total Undg SCH FTE",'FTE Pivot for regular counts'!$A$2,"State","AR","Category","9","Category2","Two-Year")</f>
        <v>4742.6333333333332</v>
      </c>
      <c r="E104" s="494">
        <f>+GETPIVOTDATA("Sum of New-Total Undg SCH FTE",'FTE Pivot for regular counts'!$A$2,"State","AR","Category","10","Category2","Two-Year")</f>
        <v>18856.633333333335</v>
      </c>
      <c r="F104" s="529">
        <f>+GETPIVOTDATA("Sum of New-Total Undg SCH FTE",'FTE Pivot for regular counts'!$A$2,"State","AR","Category2","Two-Year")</f>
        <v>33309.566666666666</v>
      </c>
      <c r="G104" s="530">
        <f>+GETPIVOTDATA("Sum of New-Total Undg SCH FTE",'FTE Pivot for regular counts'!$A$2,"State","AR","Category","12","Category2","Technical")</f>
        <v>0</v>
      </c>
      <c r="H104" s="495">
        <f>+GETPIVOTDATA("Sum of New-Total Undg SCH FTE",'FTE Pivot for regular counts'!$A$2,"State","AR","Category","13","Category2","Technical")</f>
        <v>0</v>
      </c>
      <c r="I104" s="269">
        <f>+GETPIVOTDATA("Sum of New-Total Undg SCH FTE",'FTE Pivot for regular counts'!$A$2,"State","AR","Category2","Technical")</f>
        <v>0</v>
      </c>
      <c r="K104" s="269"/>
      <c r="L104" s="269"/>
      <c r="Q104" s="270" t="s">
        <v>862</v>
      </c>
      <c r="R104" s="494">
        <f>+GETPIVOTDATA("Sum of Old-Total Undg SCH FTE",'FTE Pivot for regular counts'!$A$2,"State","AR","Category","7","Category2","Two-Year")</f>
        <v>0</v>
      </c>
      <c r="S104" s="494">
        <f>+GETPIVOTDATA("Sum of Old-Total Undg SCH FTE",'FTE Pivot for regular counts'!$A$2,"State","AR","Category","8","Category2","Two-Year")</f>
        <v>10656.633333333333</v>
      </c>
      <c r="T104" s="494">
        <f>+GETPIVOTDATA("Sum of Old-Total Undg SCH FTE",'FTE Pivot for regular counts'!$A$2,"State","AR","Category","9","Category2","Two-Year")</f>
        <v>4918.666666666667</v>
      </c>
      <c r="U104" s="494">
        <f>+GETPIVOTDATA("Sum of Old-Total Undg SCH FTE",'FTE Pivot for regular counts'!$A$2,"State","AR","Category","10","Category2","Two-Year")</f>
        <v>19247.333333333336</v>
      </c>
      <c r="V104" s="529">
        <f>+GETPIVOTDATA("Sum of Old-Total Undg SCH FTE",'FTE Pivot for regular counts'!$A$2,"State","AR","Category2","Two-Year")</f>
        <v>34822.633333333331</v>
      </c>
      <c r="W104" s="530">
        <f>+GETPIVOTDATA("Sum of Old-Total Undg SCH FTE",'FTE Pivot for regular counts'!$A$2,"State","AR","Category","12","Category2","Technical")</f>
        <v>0</v>
      </c>
      <c r="X104" s="494">
        <f>+GETPIVOTDATA("Sum of Old-Total Undg SCH FTE",'FTE Pivot for regular counts'!$A$2,"State","AR","Category","13","Category2","Technical")</f>
        <v>0</v>
      </c>
      <c r="Y104" s="460">
        <f>+GETPIVOTDATA("Sum of Old-Total Undg SCH FTE",'FTE Pivot for regular counts'!$A$2,"State","AR","Category2","Technical")</f>
        <v>0</v>
      </c>
      <c r="Z104" s="460"/>
    </row>
    <row r="105" spans="1:26" ht="15" customHeight="1">
      <c r="A105" s="345" t="s">
        <v>863</v>
      </c>
      <c r="B105" s="494">
        <f>+GETPIVOTDATA("Sum of New-Total Undg SCH FTE",'FTE Pivot for regular counts'!$A$2,"State","DE","Category","7","Category2","Two-Year")</f>
        <v>0</v>
      </c>
      <c r="C105" s="494">
        <f>+GETPIVOTDATA("Sum of New-Total Undg SCH FTE",'FTE Pivot for regular counts'!$A$2,"State","DE","Category","8","Category2","Two-Year")</f>
        <v>0</v>
      </c>
      <c r="D105" s="494">
        <f>+GETPIVOTDATA("Sum of New-Total Undg SCH FTE",'FTE Pivot for regular counts'!$A$2,"State","DE","Category","9","Category2","Two-Year")</f>
        <v>9201.9</v>
      </c>
      <c r="E105" s="494">
        <f>+GETPIVOTDATA("Sum of New-Total Undg SCH FTE",'FTE Pivot for regular counts'!$A$2,"State","DE","Category","10","Category2","Two-Year")</f>
        <v>0</v>
      </c>
      <c r="F105" s="529">
        <f>+GETPIVOTDATA("Sum of New-Total Undg SCH FTE",'FTE Pivot for regular counts'!$A$2,"State","DE","Category2","Two-Year")</f>
        <v>9201.9</v>
      </c>
      <c r="G105" s="530">
        <f>+GETPIVOTDATA("Sum of New-Total Undg SCH FTE",'FTE Pivot for regular counts'!$A$2,"State","DE","Category","12","Category2","Technical")</f>
        <v>0</v>
      </c>
      <c r="H105" s="495">
        <f>+GETPIVOTDATA("Sum of New-Total Undg SCH FTE",'FTE Pivot for regular counts'!$A$2,"State","DE","Category","13","Category2","Technical")</f>
        <v>0</v>
      </c>
      <c r="I105" s="269">
        <f>+GETPIVOTDATA("Sum of New-Total Undg SCH FTE",'FTE Pivot for regular counts'!$A$2,"State","DE","Category2","Technical")</f>
        <v>0</v>
      </c>
      <c r="K105" s="269"/>
      <c r="L105" s="269"/>
      <c r="Q105" s="345" t="s">
        <v>863</v>
      </c>
      <c r="R105" s="494">
        <f>+GETPIVOTDATA("Sum of Old-Total Undg SCH FTE",'FTE Pivot for regular counts'!$A$2,"State","DE","Category","7","Category2","Two-Year")</f>
        <v>0</v>
      </c>
      <c r="S105" s="494">
        <f>+GETPIVOTDATA("Sum of Old-Total Undg SCH FTE",'FTE Pivot for regular counts'!$A$2,"State","DE","Category","8","Category2","Two-Year")</f>
        <v>0</v>
      </c>
      <c r="T105" s="494">
        <f>+GETPIVOTDATA("Sum of Old-Total Undg SCH FTE",'FTE Pivot for regular counts'!$A$2,"State","DE","Category","9","Category2","Two-Year")</f>
        <v>9102</v>
      </c>
      <c r="U105" s="494">
        <f>+GETPIVOTDATA("Sum of Old-Total Undg SCH FTE",'FTE Pivot for regular counts'!$A$2,"State","DE","Category","10","Category2","Two-Year")</f>
        <v>0</v>
      </c>
      <c r="V105" s="529">
        <f>+GETPIVOTDATA("Sum of Old-Total Undg SCH FTE",'FTE Pivot for regular counts'!$A$2,"State","DE","Category2","Two-Year")</f>
        <v>9102</v>
      </c>
      <c r="W105" s="530">
        <f>+GETPIVOTDATA("Sum of Old-Total Undg SCH FTE",'FTE Pivot for regular counts'!$A$2,"State","DE","Category","12","Category2","Technical")</f>
        <v>0</v>
      </c>
      <c r="X105" s="494">
        <f>+GETPIVOTDATA("Sum of Old-Total Undg SCH FTE",'FTE Pivot for regular counts'!$A$2,"State","DE","Category","13","Category2","Technical")</f>
        <v>0</v>
      </c>
      <c r="Y105" s="460">
        <f>+GETPIVOTDATA("Sum of Old-Total Undg SCH FTE",'FTE Pivot for regular counts'!$A$2,"State","DE","Category2","Technical")</f>
        <v>0</v>
      </c>
      <c r="Z105" s="460"/>
    </row>
    <row r="106" spans="1:26" ht="15" customHeight="1">
      <c r="A106" s="345" t="s">
        <v>864</v>
      </c>
      <c r="B106" s="494">
        <f>+GETPIVOTDATA("Sum of New-Total Undg SCH FTE",'FTE Pivot for regular counts'!$A$2,"State","FL","Category","7","Category2","Two-Year")</f>
        <v>255157.13333333336</v>
      </c>
      <c r="C106" s="494">
        <f>+GETPIVOTDATA("Sum of New-Total Undg SCH FTE",'FTE Pivot for regular counts'!$A$2,"State","FL","Category","8","Category2","Two-Year")</f>
        <v>45127.366666666669</v>
      </c>
      <c r="D106" s="494">
        <f>+GETPIVOTDATA("Sum of New-Total Undg SCH FTE",'FTE Pivot for regular counts'!$A$2,"State","FL","Category","9","Category2","Two-Year")</f>
        <v>4463.0666666666666</v>
      </c>
      <c r="E106" s="494">
        <f>+GETPIVOTDATA("Sum of New-Total Undg SCH FTE",'FTE Pivot for regular counts'!$A$2,"State","FL","Category","10","Category2","Two-Year")</f>
        <v>1388.8333333333335</v>
      </c>
      <c r="F106" s="529">
        <f>+GETPIVOTDATA("Sum of New-Total Undg SCH FTE",'FTE Pivot for regular counts'!$A$2,"State","FL","Category2","Two-Year")</f>
        <v>306136.39999999997</v>
      </c>
      <c r="G106" s="530">
        <f>+GETPIVOTDATA("Sum of New-Total Undg SCH FTE",'FTE Pivot for regular counts'!$A$2,"State","FL","Category","12","Category2","Technical")</f>
        <v>0</v>
      </c>
      <c r="H106" s="495">
        <f>+GETPIVOTDATA("Sum of New-Total Undg SCH FTE",'FTE Pivot for regular counts'!$A$2,"State","FL","Category","13","Category2","Technical")</f>
        <v>0</v>
      </c>
      <c r="I106" s="269">
        <f>+GETPIVOTDATA("Sum of New-Total Undg SCH FTE",'FTE Pivot for regular counts'!$A$2,"State","FL","Category2","Technical")</f>
        <v>0</v>
      </c>
      <c r="K106" s="269"/>
      <c r="L106" s="269"/>
      <c r="Q106" s="345" t="s">
        <v>864</v>
      </c>
      <c r="R106" s="494">
        <f>GETPIVOTDATA("Sum of Old-Total Undg SCH FTE",'FTE Pivot for regular counts'!$A$2,"State","FL","Category","7","Category2","Two-Year")</f>
        <v>259778.89999999997</v>
      </c>
      <c r="S106" s="494">
        <f>GETPIVOTDATA("Sum of Old-Total Undg SCH FTE",'FTE Pivot for regular counts'!$A$2,"State","FL","Category","8","Category2","Two-Year")</f>
        <v>44959.166666666672</v>
      </c>
      <c r="T106" s="494">
        <f>GETPIVOTDATA("Sum of Old-Total Undg SCH FTE",'FTE Pivot for regular counts'!$A$2,"State","FL","Category","9","Category2","Two-Year")</f>
        <v>4395.3666666666668</v>
      </c>
      <c r="U106" s="494">
        <f>GETPIVOTDATA("Sum of Old-Total Undg SCH FTE",'FTE Pivot for regular counts'!$A$2,"State","FL","Category","10","Category2","Two-Year")</f>
        <v>1375</v>
      </c>
      <c r="V106" s="529">
        <f>GETPIVOTDATA("Sum of Old-Total Undg SCH FTE",'FTE Pivot for regular counts'!$A$2,"State","FL","Category2","Two-Year")</f>
        <v>310508.43333333329</v>
      </c>
      <c r="W106" s="530">
        <f>GETPIVOTDATA("Sum of Old-Total Undg SCH FTE",'FTE Pivot for regular counts'!$A$2,"State","FL","Category","12","Category2","Technical")</f>
        <v>0</v>
      </c>
      <c r="X106" s="494">
        <f>GETPIVOTDATA("Sum of Old-Total Undg SCH FTE",'FTE Pivot for regular counts'!$A$2,"State","FL","Category","13","Category2","Technical")</f>
        <v>0</v>
      </c>
      <c r="Y106" s="460">
        <f>GETPIVOTDATA("Sum of Old-Total Undg SCH FTE",'FTE Pivot for regular counts'!$A$2,"State","FL","Category2","Technical")</f>
        <v>0</v>
      </c>
      <c r="Z106" s="460"/>
    </row>
    <row r="107" spans="1:26" ht="15" customHeight="1">
      <c r="B107" s="494"/>
      <c r="C107" s="494"/>
      <c r="D107" s="494"/>
      <c r="E107" s="494"/>
      <c r="F107" s="529"/>
      <c r="G107" s="530"/>
      <c r="H107" s="495"/>
      <c r="I107" s="269"/>
      <c r="K107" s="269"/>
      <c r="L107" s="269"/>
      <c r="R107" s="494"/>
      <c r="S107" s="494"/>
      <c r="T107" s="494"/>
      <c r="U107" s="494"/>
      <c r="V107" s="529"/>
      <c r="W107" s="530"/>
      <c r="X107" s="494"/>
      <c r="Y107" s="460"/>
      <c r="Z107" s="460"/>
    </row>
    <row r="108" spans="1:26" ht="15" customHeight="1">
      <c r="A108" s="345" t="s">
        <v>865</v>
      </c>
      <c r="B108" s="494">
        <f>+GETPIVOTDATA("Sum of New-Total Undg SCH FTE",'FTE Pivot for regular counts'!$A$2,"State","GA","Category","7","Category2","Two-Year")</f>
        <v>16079.240000000002</v>
      </c>
      <c r="C108" s="494">
        <f>+GETPIVOTDATA("Sum of New-Total Undg SCH FTE",'FTE Pivot for regular counts'!$A$2,"State","GA","Category","8","Category2","Two-Year")</f>
        <v>8258.9216666666671</v>
      </c>
      <c r="D108" s="494">
        <f>+GETPIVOTDATA("Sum of New-Total Undg SCH FTE",'FTE Pivot for regular counts'!$A$2,"State","GA","Category","9","Category2","Two-Year")</f>
        <v>4284.1679999999997</v>
      </c>
      <c r="E108" s="494">
        <f>+GETPIVOTDATA("Sum of New-Total Undg SCH FTE",'FTE Pivot for regular counts'!$A$2,"State","GA","Category","10","Category2","Two-Year")</f>
        <v>1716.0013333333334</v>
      </c>
      <c r="F108" s="529">
        <f>+GETPIVOTDATA("Sum of New-Total Undg SCH FTE",'FTE Pivot for regular counts'!$A$2,"State","GA","Category2","Two-Year")</f>
        <v>30338.330999999998</v>
      </c>
      <c r="G108" s="530">
        <f>+GETPIVOTDATA("Sum of New-Total Undg SCH FTE",'FTE Pivot for regular counts'!$A$2,"State","GA","Category","12","Category2","Technical")</f>
        <v>65049.509999999995</v>
      </c>
      <c r="H108" s="495">
        <f>+GETPIVOTDATA("Sum of New-Total Undg SCH FTE",'FTE Pivot for regular counts'!$A$2,"State","GA","Category","13","Category2","Technical")</f>
        <v>0</v>
      </c>
      <c r="I108" s="269">
        <f>+GETPIVOTDATA("Sum of New-Total Undg SCH FTE",'FTE Pivot for regular counts'!$A$2,"State","GA","Category2","Technical")</f>
        <v>65049.509999999995</v>
      </c>
      <c r="K108" s="269"/>
      <c r="L108" s="269"/>
      <c r="Q108" s="345" t="s">
        <v>865</v>
      </c>
      <c r="R108" s="494">
        <f>+GETPIVOTDATA("Sum of Old-Total Undg SCH FTE",'FTE Pivot for regular counts'!$A$2,"State","GA","Category","7","Category2","Two-Year")</f>
        <v>17067.55</v>
      </c>
      <c r="S108" s="494">
        <f>+GETPIVOTDATA("Sum of Old-Total Undg SCH FTE",'FTE Pivot for regular counts'!$A$2,"State","GA","Category","8","Category2","Two-Year")</f>
        <v>15173.966666666667</v>
      </c>
      <c r="T108" s="494">
        <f>+GETPIVOTDATA("Sum of Old-Total Undg SCH FTE",'FTE Pivot for regular counts'!$A$2,"State","GA","Category","9","Category2","Two-Year")</f>
        <v>4031.6666666666665</v>
      </c>
      <c r="U108" s="494">
        <f>+GETPIVOTDATA("Sum of Old-Total Undg SCH FTE",'FTE Pivot for regular counts'!$A$2,"State","GA","Category","10","Category2","Two-Year")</f>
        <v>1668.6333333333334</v>
      </c>
      <c r="V108" s="529">
        <f>+GETPIVOTDATA("Sum of Old-Total Undg SCH FTE",'FTE Pivot for regular counts'!$A$2,"State","GA","Category2","Two-Year")</f>
        <v>37941.816666666666</v>
      </c>
      <c r="W108" s="530">
        <f>+GETPIVOTDATA("Sum of Old-Total Undg SCH FTE",'FTE Pivot for regular counts'!$A$2,"State","GA","Category","12","Category2","Technical")</f>
        <v>67506.233333333323</v>
      </c>
      <c r="X108" s="494">
        <f>+GETPIVOTDATA("Sum of Old-Total Undg SCH FTE",'FTE Pivot for regular counts'!$A$2,"State","GA","Category","13","Category2","Technical")</f>
        <v>0</v>
      </c>
      <c r="Y108" s="460">
        <f>+GETPIVOTDATA("Sum of Old-Total Undg SCH FTE",'FTE Pivot for regular counts'!$A$2,"State","GA","Category2","Technical")</f>
        <v>67506.233333333323</v>
      </c>
      <c r="Z108" s="460"/>
    </row>
    <row r="109" spans="1:26" ht="15" customHeight="1">
      <c r="A109" s="345" t="s">
        <v>866</v>
      </c>
      <c r="B109" s="494">
        <f>+GETPIVOTDATA("Sum of New-Total Undg SCH FTE",'FTE Pivot for regular counts'!$A$2,"State","KY","Category","7","Category2","Two-Year")</f>
        <v>0</v>
      </c>
      <c r="C109" s="494">
        <f>+GETPIVOTDATA("Sum of New-Total Undg SCH FTE",'FTE Pivot for regular counts'!$A$2,"State","KY","Category","8","Category2","Two-Year")</f>
        <v>13015.433333333332</v>
      </c>
      <c r="D109" s="494">
        <f>+GETPIVOTDATA("Sum of New-Total Undg SCH FTE",'FTE Pivot for regular counts'!$A$2,"State","KY","Category","9","Category2","Two-Year")</f>
        <v>25291.333333333332</v>
      </c>
      <c r="E109" s="494">
        <f>+GETPIVOTDATA("Sum of New-Total Undg SCH FTE",'FTE Pivot for regular counts'!$A$2,"State","KY","Category","10","Category2","Two-Year")</f>
        <v>2770.666666666667</v>
      </c>
      <c r="F109" s="529">
        <f>+GETPIVOTDATA("Sum of New-Total Undg SCH FTE",'FTE Pivot for regular counts'!$A$2,"State","KY","Category2","Two-Year")</f>
        <v>41077.433333333327</v>
      </c>
      <c r="G109" s="530">
        <f>+GETPIVOTDATA("Sum of New-Total Undg SCH FTE",'FTE Pivot for regular counts'!$A$2,"State","KY","Category","12","Category2","Technical")</f>
        <v>4880.8666666666668</v>
      </c>
      <c r="H109" s="495">
        <f>+GETPIVOTDATA("Sum of New-Total Undg SCH FTE",'FTE Pivot for regular counts'!$A$2,"State","KY","Category","13","Category2","Technical")</f>
        <v>0</v>
      </c>
      <c r="I109" s="269">
        <f>+GETPIVOTDATA("Sum of New-Total Undg SCH FTE",'FTE Pivot for regular counts'!$A$2,"State","KY","Category2","Technical")</f>
        <v>4880.8666666666668</v>
      </c>
      <c r="K109" s="269"/>
      <c r="L109" s="269"/>
      <c r="Q109" s="345" t="s">
        <v>866</v>
      </c>
      <c r="R109" s="494">
        <f>+GETPIVOTDATA("Sum of Old-Total Undg SCH FTE",'FTE Pivot for regular counts'!$A$2,"State","KY","Category","7","Category2","Two-Year")</f>
        <v>0</v>
      </c>
      <c r="S109" s="494">
        <f>+GETPIVOTDATA("Sum of Old-Total Undg SCH FTE",'FTE Pivot for regular counts'!$A$2,"State","KY","Category","8","Category2","Two-Year")</f>
        <v>13931.1</v>
      </c>
      <c r="T109" s="494">
        <f>+GETPIVOTDATA("Sum of Old-Total Undg SCH FTE",'FTE Pivot for regular counts'!$A$2,"State","KY","Category","9","Category2","Two-Year")</f>
        <v>25999.066666666666</v>
      </c>
      <c r="U109" s="494">
        <f>+GETPIVOTDATA("Sum of Old-Total Undg SCH FTE",'FTE Pivot for regular counts'!$A$2,"State","KY","Category","10","Category2","Two-Year")</f>
        <v>2858.3333333333335</v>
      </c>
      <c r="V109" s="529">
        <f>+GETPIVOTDATA("Sum of Old-Total Undg SCH FTE",'FTE Pivot for regular counts'!$A$2,"State","KY","Category2","Two-Year")</f>
        <v>42788.5</v>
      </c>
      <c r="W109" s="530">
        <f>+GETPIVOTDATA("Sum of Old-Total Undg SCH FTE",'FTE Pivot for regular counts'!$A$2,"State","KY","Category","12","Category2","Technical")</f>
        <v>4898.7</v>
      </c>
      <c r="X109" s="494">
        <f>+GETPIVOTDATA("Sum of Old-Total Undg SCH FTE",'FTE Pivot for regular counts'!$A$2,"State","KY","Category","13","Category2","Technical")</f>
        <v>0</v>
      </c>
      <c r="Y109" s="460">
        <f>+GETPIVOTDATA("Sum of Old-Total Undg SCH FTE",'FTE Pivot for regular counts'!$A$2,"State","KY","Category2","Technical")</f>
        <v>4898.7</v>
      </c>
      <c r="Z109" s="460"/>
    </row>
    <row r="110" spans="1:26" ht="15" customHeight="1">
      <c r="A110" s="345" t="s">
        <v>867</v>
      </c>
      <c r="B110" s="494">
        <f>+GETPIVOTDATA("Sum of New-Total Undg SCH FTE",'FTE Pivot for regular counts'!$A$2,"State","LA","Category","7","Category2","Two-Year")</f>
        <v>0</v>
      </c>
      <c r="C110" s="494">
        <f>+GETPIVOTDATA("Sum of New-Total Undg SCH FTE",'FTE Pivot for regular counts'!$A$2,"State","LA","Category","8","Category2","Two-Year")</f>
        <v>19628.5</v>
      </c>
      <c r="D110" s="494">
        <f>+GETPIVOTDATA("Sum of New-Total Undg SCH FTE",'FTE Pivot for regular counts'!$A$2,"State","LA","Category","9","Category2","Two-Year")</f>
        <v>9008.8333333333321</v>
      </c>
      <c r="E110" s="494">
        <f>+GETPIVOTDATA("Sum of New-Total Undg SCH FTE",'FTE Pivot for regular counts'!$A$2,"State","LA","Category","10","Category2","Two-Year")</f>
        <v>4525.583333333333</v>
      </c>
      <c r="F110" s="529">
        <f>+GETPIVOTDATA("Sum of New-Total Undg SCH FTE",'FTE Pivot for regular counts'!$A$2,"State","LA","Category2","Two-Year")</f>
        <v>33162.916666666664</v>
      </c>
      <c r="G110" s="530">
        <f>+GETPIVOTDATA("Sum of New-Total Undg SCH FTE",'FTE Pivot for regular counts'!$A$2,"State","LA","Category","12","Category2","Technical")</f>
        <v>9003.1333333333332</v>
      </c>
      <c r="H110" s="495">
        <f>+GETPIVOTDATA("Sum of New-Total Undg SCH FTE",'FTE Pivot for regular counts'!$A$2,"State","LA","Category","13","Category2","Technical")</f>
        <v>0</v>
      </c>
      <c r="I110" s="269">
        <f>+GETPIVOTDATA("Sum of New-Total Undg SCH FTE",'FTE Pivot for regular counts'!$A$2,"State","LA","Category2","Technical")</f>
        <v>9003.1333333333332</v>
      </c>
      <c r="K110" s="269"/>
      <c r="L110" s="269"/>
      <c r="Q110" s="345" t="s">
        <v>867</v>
      </c>
      <c r="R110" s="494">
        <f>+GETPIVOTDATA("Sum of Old-Total Undg SCH FTE",'FTE Pivot for regular counts'!$A$2,"State","LA","Category","7","Category2","Two-Year")</f>
        <v>0</v>
      </c>
      <c r="S110" s="494">
        <f>+GETPIVOTDATA("Sum of Old-Total Undg SCH FTE",'FTE Pivot for regular counts'!$A$2,"State","LA","Category","8","Category2","Two-Year")</f>
        <v>22957.266666666666</v>
      </c>
      <c r="T110" s="494">
        <f>+GETPIVOTDATA("Sum of Old-Total Undg SCH FTE",'FTE Pivot for regular counts'!$A$2,"State","LA","Category","9","Category2","Two-Year")</f>
        <v>9229.7333333333336</v>
      </c>
      <c r="U110" s="494">
        <f>+GETPIVOTDATA("Sum of Old-Total Undg SCH FTE",'FTE Pivot for regular counts'!$A$2,"State","LA","Category","10","Category2","Two-Year")</f>
        <v>4471.8666666666668</v>
      </c>
      <c r="V110" s="529">
        <f>+GETPIVOTDATA("Sum of Old-Total Undg SCH FTE",'FTE Pivot for regular counts'!$A$2,"State","LA","Category2","Two-Year")</f>
        <v>36658.866666666669</v>
      </c>
      <c r="W110" s="530">
        <f>+GETPIVOTDATA("Sum of Old-Total Undg SCH FTE",'FTE Pivot for regular counts'!$A$2,"State","LA","Category","12","Category2","Technical")</f>
        <v>9758</v>
      </c>
      <c r="X110" s="494">
        <f>+GETPIVOTDATA("Sum of Old-Total Undg SCH FTE",'FTE Pivot for regular counts'!$A$2,"State","LA","Category","13","Category2","Technical")</f>
        <v>0</v>
      </c>
      <c r="Y110" s="460">
        <f>+GETPIVOTDATA("Sum of Old-Total Undg SCH FTE",'FTE Pivot for regular counts'!$A$2,"State","LA","Category2","Technical")</f>
        <v>9758</v>
      </c>
      <c r="Z110" s="460"/>
    </row>
    <row r="111" spans="1:26" ht="15" customHeight="1">
      <c r="A111" s="345" t="s">
        <v>868</v>
      </c>
      <c r="B111" s="494">
        <f>+GETPIVOTDATA("Sum of New-Total Undg SCH FTE",'FTE Pivot for regular counts'!$A$2,"State","MD","Category","7","Category2","Two-Year")</f>
        <v>0</v>
      </c>
      <c r="C111" s="494">
        <f>+GETPIVOTDATA("Sum of New-Total Undg SCH FTE",'FTE Pivot for regular counts'!$A$2,"State","MD","Category","8","Category2","Two-Year")</f>
        <v>64854.499999999993</v>
      </c>
      <c r="D111" s="494">
        <f>+GETPIVOTDATA("Sum of New-Total Undg SCH FTE",'FTE Pivot for regular counts'!$A$2,"State","MD","Category","9","Category2","Two-Year")</f>
        <v>17050.633333333331</v>
      </c>
      <c r="E111" s="494">
        <f>+GETPIVOTDATA("Sum of New-Total Undg SCH FTE",'FTE Pivot for regular counts'!$A$2,"State","MD","Category","10","Category2","Two-Year")</f>
        <v>5252.6</v>
      </c>
      <c r="F111" s="529">
        <f>+GETPIVOTDATA("Sum of New-Total Undg SCH FTE",'FTE Pivot for regular counts'!$A$2,"State","MD","Category2","Two-Year")</f>
        <v>87157.733333333337</v>
      </c>
      <c r="G111" s="530">
        <f>+GETPIVOTDATA("Sum of New-Total Undg SCH FTE",'FTE Pivot for regular counts'!$A$2,"State","MD","Category","12","Category2","Technical")</f>
        <v>0</v>
      </c>
      <c r="H111" s="495">
        <f>+GETPIVOTDATA("Sum of New-Total Undg SCH FTE",'FTE Pivot for regular counts'!$A$2,"State","MD","Category","13","Category2","Technical")</f>
        <v>0</v>
      </c>
      <c r="I111" s="269">
        <f>+GETPIVOTDATA("Sum of New-Total Undg SCH FTE",'FTE Pivot for regular counts'!$A$2,"State","MD","Category2","Technical")</f>
        <v>0</v>
      </c>
      <c r="K111" s="269"/>
      <c r="L111" s="269"/>
      <c r="Q111" s="345" t="s">
        <v>868</v>
      </c>
      <c r="R111" s="494">
        <f>+GETPIVOTDATA("Sum of Old-Total Undg SCH FTE",'FTE Pivot for regular counts'!$A$2,"State","MD","Category","7","Category2","Two-Year")</f>
        <v>0</v>
      </c>
      <c r="S111" s="494">
        <f>+GETPIVOTDATA("Sum of Old-Total Undg SCH FTE",'FTE Pivot for regular counts'!$A$2,"State","MD","Category","8","Category2","Two-Year")</f>
        <v>67112.533333333326</v>
      </c>
      <c r="T111" s="494">
        <f>+GETPIVOTDATA("Sum of Old-Total Undg SCH FTE",'FTE Pivot for regular counts'!$A$2,"State","MD","Category","9","Category2","Two-Year")</f>
        <v>16717.633333333331</v>
      </c>
      <c r="U111" s="494">
        <f>+GETPIVOTDATA("Sum of Old-Total Undg SCH FTE",'FTE Pivot for regular counts'!$A$2,"State","MD","Category","10","Category2","Two-Year")</f>
        <v>5415.4916666666668</v>
      </c>
      <c r="V111" s="529">
        <f>+GETPIVOTDATA("Sum of Old-Total Undg SCH FTE",'FTE Pivot for regular counts'!$A$2,"State","MD","Category2","Two-Year")</f>
        <v>89245.658333333326</v>
      </c>
      <c r="W111" s="530">
        <f>+GETPIVOTDATA("Sum of Old-Total Undg SCH FTE",'FTE Pivot for regular counts'!$A$2,"State","MD","Category","12","Category2","Technical")</f>
        <v>0</v>
      </c>
      <c r="X111" s="494">
        <f>+GETPIVOTDATA("Sum of Old-Total Undg SCH FTE",'FTE Pivot for regular counts'!$A$2,"State","MD","Category","13","Category2","Technical")</f>
        <v>0</v>
      </c>
      <c r="Y111" s="460">
        <f>+GETPIVOTDATA("Sum of Old-Total Undg SCH FTE",'FTE Pivot for regular counts'!$A$2,"State","MD","Category2","Technical")</f>
        <v>0</v>
      </c>
      <c r="Z111" s="460"/>
    </row>
    <row r="112" spans="1:26" ht="15" customHeight="1">
      <c r="B112" s="494"/>
      <c r="C112" s="494"/>
      <c r="D112" s="494"/>
      <c r="E112" s="494"/>
      <c r="F112" s="529"/>
      <c r="G112" s="530"/>
      <c r="H112" s="495"/>
      <c r="I112" s="269"/>
      <c r="K112" s="269"/>
      <c r="L112" s="269"/>
      <c r="R112" s="494"/>
      <c r="S112" s="494"/>
      <c r="T112" s="494"/>
      <c r="U112" s="494"/>
      <c r="V112" s="529"/>
      <c r="W112" s="530"/>
      <c r="X112" s="494"/>
      <c r="Y112" s="460"/>
      <c r="Z112" s="460"/>
    </row>
    <row r="113" spans="1:26" ht="15" customHeight="1">
      <c r="A113" s="345" t="s">
        <v>869</v>
      </c>
      <c r="B113" s="494">
        <f>+GETPIVOTDATA("Sum of New-Total Undg SCH FTE",'FTE Pivot for regular counts'!$A$2,"State","MS","Category","7","Category2","Two-Year")</f>
        <v>0</v>
      </c>
      <c r="C113" s="494">
        <f>+GETPIVOTDATA("Sum of New-Total Undg SCH FTE",'FTE Pivot for regular counts'!$A$2,"State","MS","Category","8","Category2","Two-Year")</f>
        <v>29288.433333333334</v>
      </c>
      <c r="D113" s="494">
        <f>+GETPIVOTDATA("Sum of New-Total Undg SCH FTE",'FTE Pivot for regular counts'!$A$2,"State","MS","Category","9","Category2","Two-Year")</f>
        <v>30885.450000000004</v>
      </c>
      <c r="E113" s="494">
        <f>+GETPIVOTDATA("Sum of New-Total Undg SCH FTE",'FTE Pivot for regular counts'!$A$2,"State","MS","Category","10","Category2","Two-Year")</f>
        <v>3466.8666666666668</v>
      </c>
      <c r="F113" s="529">
        <f>+GETPIVOTDATA("Sum of New-Total Undg SCH FTE",'FTE Pivot for regular counts'!$A$2,"State","MS","Category2","Two-Year")</f>
        <v>63640.750000000007</v>
      </c>
      <c r="G113" s="530">
        <f>+GETPIVOTDATA("Sum of New-Total Undg SCH FTE",'FTE Pivot for regular counts'!$A$2,"State","MS","Category","12","Category2","Technical")</f>
        <v>0</v>
      </c>
      <c r="H113" s="495">
        <f>+GETPIVOTDATA("Sum of New-Total Undg SCH FTE",'FTE Pivot for regular counts'!$A$2,"State","MS","Category","13","Category2","Technical")</f>
        <v>0</v>
      </c>
      <c r="I113" s="269">
        <f>+GETPIVOTDATA("Sum of New-Total Undg SCH FTE",'FTE Pivot for regular counts'!$A$2,"State","MS","Category2","Technical")</f>
        <v>0</v>
      </c>
      <c r="K113" s="269"/>
      <c r="L113" s="269"/>
      <c r="Q113" s="345" t="s">
        <v>869</v>
      </c>
      <c r="R113" s="494">
        <f>+GETPIVOTDATA("Sum of Old-Total Undg SCH FTE",'FTE Pivot for regular counts'!$A$2,"State","MS","Category","7","Category2","Two-Year")</f>
        <v>0</v>
      </c>
      <c r="S113" s="494">
        <f>+GETPIVOTDATA("Sum of Old-Total Undg SCH FTE",'FTE Pivot for regular counts'!$A$2,"State","MS","Category","8","Category2","Two-Year")</f>
        <v>29990.933333333331</v>
      </c>
      <c r="T113" s="494">
        <f>+GETPIVOTDATA("Sum of Old-Total Undg SCH FTE",'FTE Pivot for regular counts'!$A$2,"State","MS","Category","9","Category2","Two-Year")</f>
        <v>31231.966666666667</v>
      </c>
      <c r="U113" s="494">
        <f>+GETPIVOTDATA("Sum of Old-Total Undg SCH FTE",'FTE Pivot for regular counts'!$A$2,"State","MS","Category","10","Category2","Two-Year")</f>
        <v>3591.666666666667</v>
      </c>
      <c r="V113" s="529">
        <f>+GETPIVOTDATA("Sum of Old-Total Undg SCH FTE",'FTE Pivot for regular counts'!$A$2,"State","MS","Category2","Two-Year")</f>
        <v>64814.566666666658</v>
      </c>
      <c r="W113" s="530">
        <f>+GETPIVOTDATA("Sum of Old-Total Undg SCH FTE",'FTE Pivot for regular counts'!$A$2,"State","MS","Category","12","Category2","Technical")</f>
        <v>0</v>
      </c>
      <c r="X113" s="494">
        <f>+GETPIVOTDATA("Sum of Old-Total Undg SCH FTE",'FTE Pivot for regular counts'!$A$2,"State","MS","Category","13","Category2","Technical")</f>
        <v>0</v>
      </c>
      <c r="Y113" s="460">
        <f>+GETPIVOTDATA("Sum of Old-Total Undg SCH FTE",'FTE Pivot for regular counts'!$A$2,"State","MS","Category2","Technical")</f>
        <v>0</v>
      </c>
      <c r="Z113" s="460"/>
    </row>
    <row r="114" spans="1:26" ht="15" customHeight="1">
      <c r="A114" s="345" t="s">
        <v>870</v>
      </c>
      <c r="B114" s="494">
        <f>+GETPIVOTDATA("Sum of New-Total Undg SCH FTE",'FTE Pivot for regular counts'!$A$2,"State","NC","Category","7","Category2","Two-Year")</f>
        <v>0</v>
      </c>
      <c r="C114" s="494">
        <f>+GETPIVOTDATA("Sum of New-Total Undg SCH FTE",'FTE Pivot for regular counts'!$A$2,"State","NC","Category","8","Category2","Two-Year")</f>
        <v>71433.8</v>
      </c>
      <c r="D114" s="494">
        <f>+GETPIVOTDATA("Sum of New-Total Undg SCH FTE",'FTE Pivot for regular counts'!$A$2,"State","NC","Category","9","Category2","Two-Year")</f>
        <v>57880.1</v>
      </c>
      <c r="E114" s="494">
        <f>+GETPIVOTDATA("Sum of New-Total Undg SCH FTE",'FTE Pivot for regular counts'!$A$2,"State","NC","Category","10","Category2","Two-Year")</f>
        <v>23662.416666666668</v>
      </c>
      <c r="F114" s="529">
        <f>+GETPIVOTDATA("Sum of New-Total Undg SCH FTE",'FTE Pivot for regular counts'!$A$2,"State","NC","Category2","Two-Year")</f>
        <v>152976.31666666665</v>
      </c>
      <c r="G114" s="530">
        <f>+GETPIVOTDATA("Sum of New-Total Undg SCH FTE",'FTE Pivot for regular counts'!$A$2,"State","NC","Category","12","Category2","Technical")</f>
        <v>0</v>
      </c>
      <c r="H114" s="495">
        <f>+GETPIVOTDATA("Sum of New-Total Undg SCH FTE",'FTE Pivot for regular counts'!$A$2,"State","NC","Category","13","Category2","Technical")</f>
        <v>0</v>
      </c>
      <c r="I114" s="269">
        <f>+GETPIVOTDATA("Sum of New-Total Undg SCH FTE",'FTE Pivot for regular counts'!$A$2,"State","NC","Category2","Technical")</f>
        <v>0</v>
      </c>
      <c r="K114" s="269"/>
      <c r="L114" s="269"/>
      <c r="Q114" s="345" t="s">
        <v>870</v>
      </c>
      <c r="R114" s="494">
        <f>+GETPIVOTDATA("Sum of Old-Total Undg SCH FTE",'FTE Pivot for regular counts'!$A$2,"State","NC","Category","7","Category2","Two-Year")</f>
        <v>0</v>
      </c>
      <c r="S114" s="494">
        <f>+GETPIVOTDATA("Sum of Old-Total Undg SCH FTE",'FTE Pivot for regular counts'!$A$2,"State","NC","Category","8","Category2","Two-Year")</f>
        <v>72745.736666666664</v>
      </c>
      <c r="T114" s="494">
        <f>+GETPIVOTDATA("Sum of Old-Total Undg SCH FTE",'FTE Pivot for regular counts'!$A$2,"State","NC","Category","9","Category2","Two-Year")</f>
        <v>59930.216666666667</v>
      </c>
      <c r="U114" s="494">
        <f>+GETPIVOTDATA("Sum of Old-Total Undg SCH FTE",'FTE Pivot for regular counts'!$A$2,"State","NC","Category","10","Category2","Two-Year")</f>
        <v>24192.333333333336</v>
      </c>
      <c r="V114" s="529">
        <f>+GETPIVOTDATA("Sum of Old-Total Undg SCH FTE",'FTE Pivot for regular counts'!$A$2,"State","NC","Category2","Two-Year")</f>
        <v>156868.28666666668</v>
      </c>
      <c r="W114" s="530">
        <f>+GETPIVOTDATA("Sum of Old-Total Undg SCH FTE",'FTE Pivot for regular counts'!$A$2,"State","NC","Category","12","Category2","Technical")</f>
        <v>0</v>
      </c>
      <c r="X114" s="494">
        <f>+GETPIVOTDATA("Sum of Old-Total Undg SCH FTE",'FTE Pivot for regular counts'!$A$2,"State","NC","Category","13","Category2","Technical")</f>
        <v>0</v>
      </c>
      <c r="Y114" s="460">
        <f>+GETPIVOTDATA("Sum of Old-Total Undg SCH FTE",'FTE Pivot for regular counts'!$A$2,"State","NC","Category2","Technical")</f>
        <v>0</v>
      </c>
      <c r="Z114" s="460"/>
    </row>
    <row r="115" spans="1:26" ht="15" customHeight="1">
      <c r="A115" s="345" t="s">
        <v>871</v>
      </c>
      <c r="B115" s="494">
        <f>+GETPIVOTDATA("Sum of New-Total Undg SCH FTE",'FTE Pivot for regular counts'!$A$2,"State","OK","Category","7","Category2","Two-Year")</f>
        <v>6697.3666666666668</v>
      </c>
      <c r="C115" s="494">
        <f>+GETPIVOTDATA("Sum of New-Total Undg SCH FTE",'FTE Pivot for regular counts'!$A$2,"State","OK","Category","8","Category2","Two-Year")</f>
        <v>18789.366666666669</v>
      </c>
      <c r="D115" s="494">
        <f>+GETPIVOTDATA("Sum of New-Total Undg SCH FTE",'FTE Pivot for regular counts'!$A$2,"State","OK","Category","9","Category2","Two-Year")</f>
        <v>7397.6333333333332</v>
      </c>
      <c r="E115" s="494">
        <f>+GETPIVOTDATA("Sum of New-Total Undg SCH FTE",'FTE Pivot for regular counts'!$A$2,"State","OK","Category","10","Category2","Two-Year")</f>
        <v>11457.999999999998</v>
      </c>
      <c r="F115" s="529">
        <f>+GETPIVOTDATA("Sum of New-Total Undg SCH FTE",'FTE Pivot for regular counts'!$A$2,"State","OK","Category2","Two-Year")</f>
        <v>44342.366666666669</v>
      </c>
      <c r="G115" s="530">
        <f>+GETPIVOTDATA("Sum of New-Total Undg SCH FTE",'FTE Pivot for regular counts'!$A$2,"State","OK","Category","12","Category2","Technical")</f>
        <v>0</v>
      </c>
      <c r="H115" s="495">
        <f>+GETPIVOTDATA("Sum of New-Total Undg SCH FTE",'FTE Pivot for regular counts'!$A$2,"State","OK","Category","13","Category2","Technical")</f>
        <v>0</v>
      </c>
      <c r="I115" s="269">
        <f>+GETPIVOTDATA("Sum of New-Total Undg SCH FTE",'FTE Pivot for regular counts'!$A$2,"State","OK","Category2","Technical")</f>
        <v>0</v>
      </c>
      <c r="K115" s="269"/>
      <c r="L115" s="269"/>
      <c r="Q115" s="345" t="s">
        <v>871</v>
      </c>
      <c r="R115" s="494">
        <f>+GETPIVOTDATA("Sum of Old-Total Undg SCH FTE",'FTE Pivot for regular counts'!$A$2,"State","OK","Category","7","Category2","Two-Year")</f>
        <v>6647.7</v>
      </c>
      <c r="S115" s="494">
        <f>+GETPIVOTDATA("Sum of Old-Total Undg SCH FTE",'FTE Pivot for regular counts'!$A$2,"State","OK","Category","8","Category2","Two-Year")</f>
        <v>19343.533333333333</v>
      </c>
      <c r="T115" s="494">
        <f>+GETPIVOTDATA("Sum of Old-Total Undg SCH FTE",'FTE Pivot for regular counts'!$A$2,"State","OK","Category","9","Category2","Two-Year")</f>
        <v>7302.6666666666661</v>
      </c>
      <c r="U115" s="494">
        <f>+GETPIVOTDATA("Sum of Old-Total Undg SCH FTE",'FTE Pivot for regular counts'!$A$2,"State","OK","Category","10","Category2","Two-Year")</f>
        <v>11579.599999999999</v>
      </c>
      <c r="V115" s="529">
        <f>+GETPIVOTDATA("Sum of Old-Total Undg SCH FTE",'FTE Pivot for regular counts'!$A$2,"State","OK","Category2","Two-Year")</f>
        <v>44873.5</v>
      </c>
      <c r="W115" s="530">
        <f>+GETPIVOTDATA("Sum of Old-Total Undg SCH FTE",'FTE Pivot for regular counts'!$A$2,"State","OK","Category","12","Category2","Technical")</f>
        <v>0</v>
      </c>
      <c r="X115" s="494">
        <f>+GETPIVOTDATA("Sum of Old-Total Undg SCH FTE",'FTE Pivot for regular counts'!$A$2,"State","OK","Category","13","Category2","Technical")</f>
        <v>0</v>
      </c>
      <c r="Y115" s="460">
        <f>+GETPIVOTDATA("Sum of Old-Total Undg SCH FTE",'FTE Pivot for regular counts'!$A$2,"State","OK","Category2","Technical")</f>
        <v>0</v>
      </c>
      <c r="Z115" s="460"/>
    </row>
    <row r="116" spans="1:26" ht="15" customHeight="1">
      <c r="A116" s="345" t="s">
        <v>872</v>
      </c>
      <c r="B116" s="494">
        <f>+GETPIVOTDATA("Sum of New-Total Undg SCH FTE",'FTE Pivot for regular counts'!$A$2,"State","SC","Category","7","Category2","Two-Year")</f>
        <v>0</v>
      </c>
      <c r="C116" s="494">
        <f>+GETPIVOTDATA("Sum of New-Total Undg SCH FTE",'FTE Pivot for regular counts'!$A$2,"State","SC","Category","8","Category2","Two-Year")</f>
        <v>40292.76666666667</v>
      </c>
      <c r="D116" s="494">
        <f>+GETPIVOTDATA("Sum of New-Total Undg SCH FTE",'FTE Pivot for regular counts'!$A$2,"State","SC","Category","9","Category2","Two-Year")</f>
        <v>14807.933333333334</v>
      </c>
      <c r="E116" s="494">
        <f>+GETPIVOTDATA("Sum of New-Total Undg SCH FTE",'FTE Pivot for regular counts'!$A$2,"State","SC","Category","10","Category2","Two-Year")</f>
        <v>8147.9</v>
      </c>
      <c r="F116" s="529">
        <f>+GETPIVOTDATA("Sum of New-Total Undg SCH FTE",'FTE Pivot for regular counts'!$A$2,"State","SC","Category2","Two-Year")</f>
        <v>63248.600000000006</v>
      </c>
      <c r="G116" s="530">
        <f>+GETPIVOTDATA("Sum of New-Total Undg SCH FTE",'FTE Pivot for regular counts'!$A$2,"State","SC","Category","12","Category2","Technical")</f>
        <v>0</v>
      </c>
      <c r="H116" s="495">
        <f>+GETPIVOTDATA("Sum of New-Total Undg SCH FTE",'FTE Pivot for regular counts'!$A$2,"State","SC","Category","13","Category2","Technical")</f>
        <v>0</v>
      </c>
      <c r="I116" s="269">
        <f>+GETPIVOTDATA("Sum of New-Total Undg SCH FTE",'FTE Pivot for regular counts'!$A$2,"State","SC","Category2","Technical")</f>
        <v>0</v>
      </c>
      <c r="K116" s="269"/>
      <c r="L116" s="269"/>
      <c r="Q116" s="345" t="s">
        <v>872</v>
      </c>
      <c r="R116" s="494">
        <f>+GETPIVOTDATA("Sum of Old-Total Undg SCH FTE",'FTE Pivot for regular counts'!$A$2,"State","SC","Category","7","Category2","Two-Year")</f>
        <v>0</v>
      </c>
      <c r="S116" s="494">
        <f>+GETPIVOTDATA("Sum of Old-Total Undg SCH FTE",'FTE Pivot for regular counts'!$A$2,"State","SC","Category","8","Category2","Two-Year")</f>
        <v>45941.332999999999</v>
      </c>
      <c r="T116" s="494">
        <f>+GETPIVOTDATA("Sum of Old-Total Undg SCH FTE",'FTE Pivot for regular counts'!$A$2,"State","SC","Category","9","Category2","Two-Year")</f>
        <v>16721.939333333336</v>
      </c>
      <c r="U116" s="494">
        <f>+GETPIVOTDATA("Sum of Old-Total Undg SCH FTE",'FTE Pivot for regular counts'!$A$2,"State","SC","Category","10","Category2","Two-Year")</f>
        <v>9016.9219999999987</v>
      </c>
      <c r="V116" s="529">
        <f>+GETPIVOTDATA("Sum of Old-Total Undg SCH FTE",'FTE Pivot for regular counts'!$A$2,"State","SC","Category2","Two-Year")</f>
        <v>71680.194333333333</v>
      </c>
      <c r="W116" s="530">
        <f>+GETPIVOTDATA("Sum of Old-Total Undg SCH FTE",'FTE Pivot for regular counts'!$A$2,"State","SC","Category","12","Category2","Technical")</f>
        <v>0</v>
      </c>
      <c r="X116" s="494">
        <f>+GETPIVOTDATA("Sum of Old-Total Undg SCH FTE",'FTE Pivot for regular counts'!$A$2,"State","SC","Category","13","Category2","Technical")</f>
        <v>0</v>
      </c>
      <c r="Y116" s="460">
        <f>+GETPIVOTDATA("Sum of Old-Total Undg SCH FTE",'FTE Pivot for regular counts'!$A$2,"State","SC","Category2","Technical")</f>
        <v>0</v>
      </c>
      <c r="Z116" s="460"/>
    </row>
    <row r="117" spans="1:26" ht="15" customHeight="1">
      <c r="B117" s="494"/>
      <c r="C117" s="494"/>
      <c r="D117" s="494"/>
      <c r="E117" s="494"/>
      <c r="F117" s="529"/>
      <c r="G117" s="530"/>
      <c r="H117" s="495"/>
      <c r="I117" s="269"/>
      <c r="K117" s="269"/>
      <c r="L117" s="269"/>
      <c r="R117" s="494"/>
      <c r="S117" s="494"/>
      <c r="T117" s="494"/>
      <c r="U117" s="494"/>
      <c r="V117" s="529"/>
      <c r="W117" s="530"/>
      <c r="X117" s="494"/>
      <c r="Y117" s="460"/>
      <c r="Z117" s="460"/>
    </row>
    <row r="118" spans="1:26" ht="15" customHeight="1">
      <c r="A118" s="345" t="s">
        <v>873</v>
      </c>
      <c r="B118" s="494">
        <f>+GETPIVOTDATA("Sum of New-Total Undg SCH FTE",'FTE Pivot for regular counts'!$A$2,"State","TN","Category","7","Category2","Two-Year")</f>
        <v>0</v>
      </c>
      <c r="C118" s="494">
        <f>+GETPIVOTDATA("Sum of New-Total Undg SCH FTE",'FTE Pivot for regular counts'!$A$2,"State","TN","Category","8","Category2","Two-Year")</f>
        <v>30362.833333333328</v>
      </c>
      <c r="D118" s="494">
        <f>+GETPIVOTDATA("Sum of New-Total Undg SCH FTE",'FTE Pivot for regular counts'!$A$2,"State","TN","Category","9","Category2","Two-Year")</f>
        <v>24831.800000000003</v>
      </c>
      <c r="E118" s="494">
        <f>+GETPIVOTDATA("Sum of New-Total Undg SCH FTE",'FTE Pivot for regular counts'!$A$2,"State","TN","Category","10","Category2","Two-Year")</f>
        <v>1679.4</v>
      </c>
      <c r="F118" s="529">
        <f>+GETPIVOTDATA("Sum of New-Total Undg SCH FTE",'FTE Pivot for regular counts'!$A$2,"State","TN","Category2","Two-Year")</f>
        <v>56874.033333333333</v>
      </c>
      <c r="G118" s="530">
        <f>+GETPIVOTDATA("Sum of New-Total Undg SCH FTE",'FTE Pivot for regular counts'!$A$2,"State","TN","Category","12","Category2","Technical")</f>
        <v>0</v>
      </c>
      <c r="H118" s="495">
        <f>+GETPIVOTDATA("Sum of New-Total Undg SCH FTE",'FTE Pivot for regular counts'!$A$2,"State","TN","Category","13","Category2","Technical")</f>
        <v>0</v>
      </c>
      <c r="I118" s="269">
        <f>+GETPIVOTDATA("Sum of New-Total Undg SCH FTE",'FTE Pivot for regular counts'!$A$2,"State","TN","Category2","Technical")</f>
        <v>0</v>
      </c>
      <c r="K118" s="269"/>
      <c r="L118" s="269"/>
      <c r="Q118" s="345" t="s">
        <v>873</v>
      </c>
      <c r="R118" s="494">
        <f>+GETPIVOTDATA("Sum of Old-Total Undg SCH FTE",'FTE Pivot for regular counts'!$A$2,"State","TN","Category","7","Category2","Two-Year")</f>
        <v>0</v>
      </c>
      <c r="S118" s="494">
        <f>+GETPIVOTDATA("Sum of Old-Total Undg SCH FTE",'FTE Pivot for regular counts'!$A$2,"State","TN","Category","8","Category2","Two-Year")</f>
        <v>31691.966666666667</v>
      </c>
      <c r="T118" s="494">
        <f>+GETPIVOTDATA("Sum of Old-Total Undg SCH FTE",'FTE Pivot for regular counts'!$A$2,"State","TN","Category","9","Category2","Two-Year")</f>
        <v>24065.633333333335</v>
      </c>
      <c r="U118" s="494">
        <f>+GETPIVOTDATA("Sum of Old-Total Undg SCH FTE",'FTE Pivot for regular counts'!$A$2,"State","TN","Category","10","Category2","Two-Year")</f>
        <v>1657.6333333333334</v>
      </c>
      <c r="V118" s="529">
        <f>+GETPIVOTDATA("Sum of Old-Total Undg SCH FTE",'FTE Pivot for regular counts'!$A$2,"State","TN","Category2","Two-Year")</f>
        <v>57415.233333333337</v>
      </c>
      <c r="W118" s="530">
        <f>+GETPIVOTDATA("Sum of Old-Total Undg SCH FTE",'FTE Pivot for regular counts'!$A$2,"State","TN","Category","12","Category2","Technical")</f>
        <v>0</v>
      </c>
      <c r="X118" s="494">
        <f>+GETPIVOTDATA("Sum of Old-Total Undg SCH FTE",'FTE Pivot for regular counts'!$A$2,"State","TN","Category","13","Category2","Technical")</f>
        <v>0</v>
      </c>
      <c r="Y118" s="460">
        <f>+GETPIVOTDATA("Sum of Old-Total Undg SCH FTE",'FTE Pivot for regular counts'!$A$2,"State","TN","Category2","Technical")</f>
        <v>0</v>
      </c>
      <c r="Z118" s="460"/>
    </row>
    <row r="119" spans="1:26" ht="15" customHeight="1">
      <c r="A119" s="345" t="s">
        <v>874</v>
      </c>
      <c r="B119" s="494">
        <f>+GETPIVOTDATA("Sum of New-Total Undg SCH FTE",'FTE Pivot for regular counts'!$A$2,"State","TX","Category","7","Category2","Two-Year")</f>
        <v>27291.566666666666</v>
      </c>
      <c r="C119" s="494">
        <f>+GETPIVOTDATA("Sum of New-Total Undg SCH FTE",'FTE Pivot for regular counts'!$A$2,"State","TX","Category","8","Category2","Two-Year")</f>
        <v>334873.83333333331</v>
      </c>
      <c r="D119" s="494">
        <f>+GETPIVOTDATA("Sum of New-Total Undg SCH FTE",'FTE Pivot for regular counts'!$A$2,"State","TX","Category","9","Category2","Two-Year")</f>
        <v>82261.533333333326</v>
      </c>
      <c r="E119" s="494">
        <f>+GETPIVOTDATA("Sum of New-Total Undg SCH FTE",'FTE Pivot for regular counts'!$A$2,"State","TX","Category","10","Category2","Two-Year")</f>
        <v>14700.333333333334</v>
      </c>
      <c r="F119" s="529">
        <f>+GETPIVOTDATA("Sum of New-Total Undg SCH FTE",'FTE Pivot for regular counts'!$A$2,"State","TX","Category2","Two-Year")</f>
        <v>459127.2666666666</v>
      </c>
      <c r="G119" s="530">
        <f>+GETPIVOTDATA("Sum of New-Total Undg SCH FTE",'FTE Pivot for regular counts'!$A$2,"State","TX","Category","12","Category2","Technical")</f>
        <v>0</v>
      </c>
      <c r="H119" s="495">
        <f>+GETPIVOTDATA("Sum of New-Total Undg SCH FTE",'FTE Pivot for regular counts'!$A$2,"State","TX","Category","13","Category2","Technical")</f>
        <v>0</v>
      </c>
      <c r="I119" s="269">
        <f>+GETPIVOTDATA("Sum of New-Total Undg SCH FTE",'FTE Pivot for regular counts'!$A$2,"State","TX","Category2","Technical")</f>
        <v>0</v>
      </c>
      <c r="K119" s="269"/>
      <c r="L119" s="269"/>
      <c r="Q119" s="345" t="s">
        <v>874</v>
      </c>
      <c r="R119" s="494">
        <f>+GETPIVOTDATA("Sum of Old-Total Undg SCH FTE",'FTE Pivot for regular counts'!$A$2,"State","TX","Category","7","Category2","Two-Year")</f>
        <v>26190.566666666666</v>
      </c>
      <c r="S119" s="494">
        <f>+GETPIVOTDATA("Sum of Old-Total Undg SCH FTE",'FTE Pivot for regular counts'!$A$2,"State","TX","Category","8","Category2","Two-Year")</f>
        <v>335776.06666666665</v>
      </c>
      <c r="T119" s="494">
        <f>+GETPIVOTDATA("Sum of Old-Total Undg SCH FTE",'FTE Pivot for regular counts'!$A$2,"State","TX","Category","9","Category2","Two-Year")</f>
        <v>80876.533333333326</v>
      </c>
      <c r="U119" s="494">
        <f>+GETPIVOTDATA("Sum of Old-Total Undg SCH FTE",'FTE Pivot for regular counts'!$A$2,"State","TX","Category","10","Category2","Two-Year")</f>
        <v>13871.066666666668</v>
      </c>
      <c r="V119" s="529">
        <f>+GETPIVOTDATA("Sum of Old-Total Undg SCH FTE",'FTE Pivot for regular counts'!$A$2,"State","TX","Category2","Two-Year")</f>
        <v>456714.23333333328</v>
      </c>
      <c r="W119" s="530">
        <f>+GETPIVOTDATA("Sum of Old-Total Undg SCH FTE",'FTE Pivot for regular counts'!$A$2,"State","TX","Category","12","Category2","Technical")</f>
        <v>0</v>
      </c>
      <c r="X119" s="494">
        <f>+GETPIVOTDATA("Sum of Old-Total Undg SCH FTE",'FTE Pivot for regular counts'!$A$2,"State","TX","Category","13","Category2","Technical")</f>
        <v>0</v>
      </c>
      <c r="Y119" s="460">
        <f>+GETPIVOTDATA("Sum of Old-Total Undg SCH FTE",'FTE Pivot for regular counts'!$A$2,"State","TX","Category2","Technical")</f>
        <v>0</v>
      </c>
      <c r="Z119" s="460"/>
    </row>
    <row r="120" spans="1:26" ht="15" customHeight="1">
      <c r="A120" s="345" t="s">
        <v>875</v>
      </c>
      <c r="B120" s="494">
        <f>+GETPIVOTDATA("Sum of New-Total Undg SCH FTE",'FTE Pivot for regular counts'!$A$2,"State","VA","Category","7","Category2","Two-Year")</f>
        <v>0</v>
      </c>
      <c r="C120" s="494">
        <f>+GETPIVOTDATA("Sum of New-Total Undg SCH FTE",'FTE Pivot for regular counts'!$A$2,"State","VA","Category","8","Category2","Two-Year")</f>
        <v>68059.95</v>
      </c>
      <c r="D120" s="494">
        <f>+GETPIVOTDATA("Sum of New-Total Undg SCH FTE",'FTE Pivot for regular counts'!$A$2,"State","VA","Category","9","Category2","Two-Year")</f>
        <v>31862.633333333335</v>
      </c>
      <c r="E120" s="494">
        <f>+GETPIVOTDATA("Sum of New-Total Undg SCH FTE",'FTE Pivot for regular counts'!$A$2,"State","VA","Category","10","Category2","Two-Year")</f>
        <v>10240.1</v>
      </c>
      <c r="F120" s="529">
        <f>+GETPIVOTDATA("Sum of New-Total Undg SCH FTE",'FTE Pivot for regular counts'!$A$2,"State","VA","Category2","Two-Year")</f>
        <v>110162.68333333333</v>
      </c>
      <c r="G120" s="530">
        <f>+GETPIVOTDATA("Sum of New-Total Undg SCH FTE",'FTE Pivot for regular counts'!$A$2,"State","VA","Category","12","Category2","Technical")</f>
        <v>0</v>
      </c>
      <c r="H120" s="495">
        <f>+GETPIVOTDATA("Sum of New-Total Undg SCH FTE",'FTE Pivot for regular counts'!$A$2,"State","VA","Category","13","Category2","Technical")</f>
        <v>0</v>
      </c>
      <c r="I120" s="269">
        <f>+GETPIVOTDATA("Sum of New-Total Undg SCH FTE",'FTE Pivot for regular counts'!$A$2,"State","VA","Category2","Technical")</f>
        <v>0</v>
      </c>
      <c r="K120" s="269"/>
      <c r="L120" s="269"/>
      <c r="Q120" s="345" t="s">
        <v>875</v>
      </c>
      <c r="R120" s="494">
        <f>+GETPIVOTDATA("Sum of Old-Total Undg SCH FTE",'FTE Pivot for regular counts'!$A$2,"State","VA","Category","7","Category2","Two-Year")</f>
        <v>0</v>
      </c>
      <c r="S120" s="494">
        <f>+GETPIVOTDATA("Sum of Old-Total Undg SCH FTE",'FTE Pivot for regular counts'!$A$2,"State","VA","Category","8","Category2","Two-Year")</f>
        <v>71586.55</v>
      </c>
      <c r="T120" s="494">
        <f>+GETPIVOTDATA("Sum of Old-Total Undg SCH FTE",'FTE Pivot for regular counts'!$A$2,"State","VA","Category","9","Category2","Two-Year")</f>
        <v>33529</v>
      </c>
      <c r="U120" s="494">
        <f>+GETPIVOTDATA("Sum of Old-Total Undg SCH FTE",'FTE Pivot for regular counts'!$A$2,"State","VA","Category","10","Category2","Two-Year")</f>
        <v>10137.866666666667</v>
      </c>
      <c r="V120" s="529">
        <f>+GETPIVOTDATA("Sum of Old-Total Undg SCH FTE",'FTE Pivot for regular counts'!$A$2,"State","VA","Category2","Two-Year")</f>
        <v>115253.41666666667</v>
      </c>
      <c r="W120" s="530">
        <f>+GETPIVOTDATA("Sum of Old-Total Undg SCH FTE",'FTE Pivot for regular counts'!$A$2,"State","VA","Category","12","Category2","Technical")</f>
        <v>0</v>
      </c>
      <c r="X120" s="494">
        <f>+GETPIVOTDATA("Sum of Old-Total Undg SCH FTE",'FTE Pivot for regular counts'!$A$2,"State","VA","Category","13","Category2","Technical")</f>
        <v>0</v>
      </c>
      <c r="Y120" s="460">
        <f>+GETPIVOTDATA("Sum of Old-Total Undg SCH FTE",'FTE Pivot for regular counts'!$A$2,"State","VA","Category2","Technical")</f>
        <v>0</v>
      </c>
      <c r="Z120" s="460"/>
    </row>
    <row r="121" spans="1:26" ht="15" customHeight="1">
      <c r="A121" s="461" t="s">
        <v>876</v>
      </c>
      <c r="B121" s="462">
        <f>+GETPIVOTDATA("Sum of New-Total Undg SCH FTE",'FTE Pivot for regular counts'!$A$2,"State","WV","Category","7","Category2","Two-Year")</f>
        <v>1160.0666666666666</v>
      </c>
      <c r="C121" s="462">
        <f>+GETPIVOTDATA("Sum of New-Total Undg SCH FTE",'FTE Pivot for regular counts'!$A$2,"State","WV","Category","8","Category2","Two-Year")</f>
        <v>0</v>
      </c>
      <c r="D121" s="462">
        <f>+GETPIVOTDATA("Sum of New-Total Undg SCH FTE",'FTE Pivot for regular counts'!$A$2,"State","WV","Category","9","Category2","Two-Year")</f>
        <v>0</v>
      </c>
      <c r="E121" s="462">
        <f>+GETPIVOTDATA("Sum of New-Total Undg SCH FTE",'FTE Pivot for regular counts'!$A$2,"State","WV","Category","10","Category2","Two-Year")</f>
        <v>10385.156666666668</v>
      </c>
      <c r="F121" s="531">
        <f>+GETPIVOTDATA("Sum of New-Total Undg SCH FTE",'FTE Pivot for regular counts'!$A$2,"State","WV","Category2","Two-Year")</f>
        <v>11545.223333333335</v>
      </c>
      <c r="G121" s="532">
        <f>+GETPIVOTDATA("Sum of New-Total Undg SCH FTE",'FTE Pivot for regular counts'!$A$2,"State","WV","Category","12","Category2","Technical")</f>
        <v>0</v>
      </c>
      <c r="H121" s="533">
        <f>+GETPIVOTDATA("Sum of New-Total Undg SCH FTE",'FTE Pivot for regular counts'!$A$2,"State","WV","Category","13","Category2","Technical")</f>
        <v>0</v>
      </c>
      <c r="I121" s="534">
        <f>+GETPIVOTDATA("Sum of New-Total Undg SCH FTE",'FTE Pivot for regular counts'!$A$2,"State","WV","Category2","Technical")</f>
        <v>0</v>
      </c>
      <c r="K121" s="269"/>
      <c r="L121" s="269"/>
      <c r="Q121" s="461" t="s">
        <v>876</v>
      </c>
      <c r="R121" s="462">
        <f>+GETPIVOTDATA("Sum of Old-Total Undg SCH FTE",'FTE Pivot for regular counts'!$A$2,"State","WV","Category","7","Category2","Two-Year")</f>
        <v>1251.7333333333333</v>
      </c>
      <c r="S121" s="462">
        <f>+GETPIVOTDATA("Sum of Old-Total Undg SCH FTE",'FTE Pivot for regular counts'!$A$2,"State","WV","Category","8","Category2","Two-Year")</f>
        <v>0</v>
      </c>
      <c r="T121" s="462">
        <f>+GETPIVOTDATA("Sum of Old-Total Undg SCH FTE",'FTE Pivot for regular counts'!$A$2,"State","WV","Category","9","Category2","Two-Year")</f>
        <v>0</v>
      </c>
      <c r="U121" s="462">
        <f>+GETPIVOTDATA("Sum of Old-Total Undg SCH FTE",'FTE Pivot for regular counts'!$A$2,"State","WV","Category","10","Category2","Two-Year")</f>
        <v>10889.456666666667</v>
      </c>
      <c r="V121" s="531">
        <f>+GETPIVOTDATA("Sum of Old-Total Undg SCH FTE",'FTE Pivot for regular counts'!$A$2,"State","WV","Category2","Two-Year")</f>
        <v>12141.19</v>
      </c>
      <c r="W121" s="532">
        <f>+GETPIVOTDATA("Sum of Old-Total Undg SCH FTE",'FTE Pivot for regular counts'!$A$2,"State","WV","Category","12","Category2","Technical")</f>
        <v>0</v>
      </c>
      <c r="X121" s="462">
        <f>+GETPIVOTDATA("Sum of Old-Total Undg SCH FTE",'FTE Pivot for regular counts'!$A$2,"State","WV","Category","13","Category2","Technical")</f>
        <v>0</v>
      </c>
      <c r="Y121" s="461">
        <f>+GETPIVOTDATA("Sum of Old-Total Undg SCH FTE",'FTE Pivot for regular counts'!$A$2,"State","WV","Category2","Technical")</f>
        <v>0</v>
      </c>
      <c r="Z121" s="460"/>
    </row>
    <row r="122" spans="1:26" ht="36.75" customHeight="1">
      <c r="A122" s="757" t="s">
        <v>877</v>
      </c>
      <c r="B122" s="757"/>
      <c r="C122" s="757"/>
      <c r="D122" s="757"/>
      <c r="E122" s="757"/>
      <c r="F122" s="757"/>
      <c r="G122" s="757"/>
      <c r="H122" s="757"/>
      <c r="I122" s="757"/>
      <c r="J122" s="535"/>
      <c r="K122" s="535"/>
      <c r="L122" s="535"/>
      <c r="M122" s="536"/>
    </row>
    <row r="123" spans="1:26" ht="10.5" customHeight="1">
      <c r="I123" s="477" t="s">
        <v>956</v>
      </c>
      <c r="J123" s="498"/>
      <c r="K123" s="498"/>
      <c r="L123" s="498"/>
      <c r="M123" s="537"/>
    </row>
    <row r="124" spans="1:26" ht="18">
      <c r="A124" s="758" t="s">
        <v>893</v>
      </c>
      <c r="B124" s="758"/>
      <c r="C124" s="758"/>
      <c r="D124" s="758"/>
      <c r="E124" s="758"/>
      <c r="F124" s="758"/>
      <c r="G124" s="758"/>
      <c r="H124" s="758"/>
      <c r="I124" s="758"/>
      <c r="J124" s="758"/>
      <c r="K124" s="507"/>
      <c r="L124" s="507"/>
      <c r="M124" s="508"/>
    </row>
    <row r="125" spans="1:26" ht="15.75">
      <c r="A125" s="538"/>
      <c r="B125" s="399"/>
      <c r="C125" s="478"/>
      <c r="D125" s="500"/>
      <c r="E125" s="399"/>
      <c r="F125" s="399"/>
      <c r="G125" s="399"/>
      <c r="H125" s="539"/>
      <c r="I125" s="399"/>
      <c r="J125" s="539"/>
      <c r="K125" s="539"/>
      <c r="L125" s="539"/>
      <c r="Q125" s="345" t="s">
        <v>841</v>
      </c>
    </row>
    <row r="126" spans="1:26" ht="15.75">
      <c r="A126" s="759" t="s">
        <v>894</v>
      </c>
      <c r="B126" s="759"/>
      <c r="C126" s="759"/>
      <c r="D126" s="759"/>
      <c r="E126" s="759"/>
      <c r="F126" s="759"/>
      <c r="G126" s="759"/>
      <c r="H126" s="759"/>
      <c r="I126" s="759"/>
      <c r="J126" s="759"/>
      <c r="K126" s="509"/>
      <c r="L126" s="509"/>
      <c r="Q126" s="511" t="s">
        <v>894</v>
      </c>
      <c r="R126" s="509"/>
      <c r="S126" s="509"/>
      <c r="T126" s="509"/>
      <c r="U126" s="509"/>
      <c r="V126" s="509"/>
      <c r="W126" s="509"/>
      <c r="X126" s="509"/>
      <c r="Y126" s="509"/>
      <c r="Z126" s="509"/>
    </row>
    <row r="127" spans="1:26" ht="15.75">
      <c r="A127" s="760" t="s">
        <v>887</v>
      </c>
      <c r="B127" s="760"/>
      <c r="C127" s="760"/>
      <c r="D127" s="760"/>
      <c r="E127" s="760"/>
      <c r="F127" s="760"/>
      <c r="G127" s="760"/>
      <c r="H127" s="760"/>
      <c r="I127" s="760"/>
      <c r="J127" s="760"/>
      <c r="K127" s="509"/>
      <c r="L127" s="509"/>
      <c r="Q127" s="511" t="s">
        <v>888</v>
      </c>
      <c r="R127" s="509"/>
      <c r="S127" s="509"/>
      <c r="T127" s="509"/>
      <c r="U127" s="509"/>
      <c r="V127" s="509"/>
      <c r="W127" s="509"/>
      <c r="X127" s="509"/>
      <c r="Y127" s="509"/>
      <c r="Z127" s="509"/>
    </row>
    <row r="128" spans="1:26">
      <c r="A128" s="400"/>
      <c r="B128" s="400"/>
      <c r="C128" s="400"/>
      <c r="D128" s="400"/>
      <c r="E128" s="400"/>
      <c r="F128" s="400"/>
      <c r="G128" s="400"/>
      <c r="H128" s="406"/>
      <c r="I128" s="400"/>
      <c r="J128" s="406"/>
      <c r="K128" s="406"/>
      <c r="L128" s="406"/>
      <c r="Q128" s="400"/>
      <c r="R128" s="400"/>
      <c r="S128" s="400"/>
      <c r="T128" s="400"/>
      <c r="U128" s="400"/>
      <c r="V128" s="400"/>
      <c r="W128" s="400"/>
      <c r="X128" s="400"/>
      <c r="Y128" s="400"/>
      <c r="Z128" s="400"/>
    </row>
    <row r="129" spans="1:25">
      <c r="A129" s="540"/>
      <c r="B129" s="541" t="s">
        <v>889</v>
      </c>
      <c r="C129" s="541"/>
      <c r="D129" s="542"/>
      <c r="E129" s="542"/>
      <c r="F129" s="542"/>
      <c r="G129" s="543" t="s">
        <v>890</v>
      </c>
      <c r="H129" s="544"/>
      <c r="I129" s="545"/>
      <c r="J129" s="407" t="s">
        <v>891</v>
      </c>
      <c r="K129" s="407"/>
      <c r="L129" s="269"/>
      <c r="M129" s="345"/>
      <c r="P129" s="413"/>
      <c r="Q129" s="514" t="s">
        <v>889</v>
      </c>
      <c r="R129" s="514"/>
      <c r="S129" s="415"/>
      <c r="T129" s="415"/>
      <c r="U129" s="415"/>
      <c r="V129" s="516" t="s">
        <v>890</v>
      </c>
      <c r="W129" s="546"/>
      <c r="X129" s="547"/>
      <c r="Y129" s="521" t="s">
        <v>891</v>
      </c>
    </row>
    <row r="130" spans="1:25" ht="24">
      <c r="A130" s="419"/>
      <c r="B130" s="522" t="s">
        <v>892</v>
      </c>
      <c r="C130" s="482">
        <v>1</v>
      </c>
      <c r="D130" s="482">
        <v>2</v>
      </c>
      <c r="E130" s="482">
        <v>3</v>
      </c>
      <c r="F130" s="482" t="s">
        <v>845</v>
      </c>
      <c r="G130" s="524">
        <v>1</v>
      </c>
      <c r="H130" s="525">
        <v>2</v>
      </c>
      <c r="I130" s="484" t="s">
        <v>845</v>
      </c>
      <c r="J130" s="526"/>
      <c r="K130" s="526"/>
      <c r="L130" s="269"/>
      <c r="M130" s="345"/>
      <c r="P130" s="419"/>
      <c r="Q130" s="522" t="s">
        <v>892</v>
      </c>
      <c r="R130" s="482">
        <v>1</v>
      </c>
      <c r="S130" s="482">
        <v>2</v>
      </c>
      <c r="T130" s="482">
        <v>3</v>
      </c>
      <c r="U130" s="482" t="s">
        <v>845</v>
      </c>
      <c r="V130" s="524">
        <v>1</v>
      </c>
      <c r="W130" s="527">
        <v>2</v>
      </c>
      <c r="X130" s="482" t="s">
        <v>845</v>
      </c>
      <c r="Y130" s="528"/>
    </row>
    <row r="131" spans="1:25" ht="15" customHeight="1">
      <c r="A131" s="345" t="s">
        <v>853</v>
      </c>
      <c r="B131" s="548">
        <f>+GETPIVOTDATA("Sum of New-Total Undg CH FTE",'FTE Pivot for regular counts'!$A$2,"Category","7","Category2","Two-Year")</f>
        <v>16041.277777777779</v>
      </c>
      <c r="C131" s="548">
        <f>+GETPIVOTDATA("Sum of New-Total Undg CH FTE",'FTE Pivot for regular counts'!$A$2,"Category","8","Category2","Two-Year")</f>
        <v>27162.385555555556</v>
      </c>
      <c r="D131" s="548">
        <f>+GETPIVOTDATA("Sum of New-Total Undg CH FTE",'FTE Pivot for regular counts'!$A$2,"Category","9","Category2","Two-Year")</f>
        <v>18311.076666666664</v>
      </c>
      <c r="E131" s="548">
        <f>+GETPIVOTDATA("Sum of New-Total Undg CH FTE",'FTE Pivot for regular counts'!$A$2,"Category","10","Category2","Two-Year")</f>
        <v>8373.6277777777759</v>
      </c>
      <c r="F131" s="549">
        <f>+GETPIVOTDATA("Sum of New-Total Undg CH FTE",'FTE Pivot for regular counts'!$A$2,"Category2","Two-Year")</f>
        <v>69888.367777777778</v>
      </c>
      <c r="G131" s="548">
        <f>+GETPIVOTDATA("Sum of New-Total Undg CH FTE",'FTE Pivot for regular counts'!$A$2,"Category","12","Category2","Technical")</f>
        <v>5845.4284444444438</v>
      </c>
      <c r="H131" s="550">
        <f>+GETPIVOTDATA("Sum of New-Total Undg CH FTE",'FTE Pivot for regular counts'!$A$2,"Category","13","Category2","Technical")</f>
        <v>26425.044577777782</v>
      </c>
      <c r="I131" s="550">
        <f>+GETPIVOTDATA("Sum of New-Total Undg CH FTE",'FTE Pivot for regular counts'!$A$2,"Category2","Technical")</f>
        <v>32270.473022222228</v>
      </c>
      <c r="J131" s="550"/>
      <c r="K131" s="550"/>
      <c r="L131" s="269"/>
      <c r="M131" s="345"/>
      <c r="P131" s="345" t="s">
        <v>853</v>
      </c>
      <c r="Q131" s="548">
        <f>+GETPIVOTDATA("Sum of Old-Total Undg CH FTE",'FTE Pivot for regular counts'!$A$2,"Category","7","Category2","Two-Year")</f>
        <v>17954.125555555554</v>
      </c>
      <c r="R131" s="548">
        <f>+GETPIVOTDATA("Sum of Old-Total Undg CH FTE",'FTE Pivot for regular counts'!$A$2,"Category","8","Category2","Two-Year")</f>
        <v>28319.707777777781</v>
      </c>
      <c r="S131" s="548">
        <f>+GETPIVOTDATA("Sum of Old-Total Undg CH FTE",'FTE Pivot for regular counts'!$A$2,"Category","9","Category2","Two-Year")</f>
        <v>19584.324444444443</v>
      </c>
      <c r="T131" s="548">
        <f>+GETPIVOTDATA("Sum of Old-Total Undg CH FTE",'FTE Pivot for regular counts'!$A$2,"Category","10","Category2","Two-Year")</f>
        <v>8755.0799999999981</v>
      </c>
      <c r="U131" s="549">
        <f>+GETPIVOTDATA("Sum of Old-Total Undg CH FTE",'FTE Pivot for regular counts'!$A$2,"Category2","Two-Year")</f>
        <v>74613.237777777787</v>
      </c>
      <c r="V131" s="548">
        <f>+GETPIVOTDATA("Sum of Old-Total Undg CH FTE",'FTE Pivot for regular counts'!$A$2,"Category","12","Category2","Technical")</f>
        <v>5860.0292111111103</v>
      </c>
      <c r="W131" s="548">
        <f>+GETPIVOTDATA("Sum of Old-Total Undg CH FTE",'FTE Pivot for regular counts'!$A$2,"Category","13","Category2","Technical")</f>
        <v>25295.632422222225</v>
      </c>
      <c r="X131" s="548">
        <f>+GETPIVOTDATA("Sum of Old-Total Undg CH FTE",'FTE Pivot for regular counts'!$A$2,"Category2","Technical")</f>
        <v>31155.661633333337</v>
      </c>
      <c r="Y131" s="551"/>
    </row>
    <row r="132" spans="1:25" ht="15" customHeight="1">
      <c r="B132" s="548"/>
      <c r="C132" s="551"/>
      <c r="D132" s="551"/>
      <c r="G132" s="552"/>
      <c r="I132" s="270"/>
      <c r="L132" s="269"/>
      <c r="M132" s="345"/>
      <c r="Q132" s="548"/>
      <c r="R132" s="551"/>
      <c r="S132" s="551"/>
      <c r="V132" s="552"/>
      <c r="Y132" s="460"/>
    </row>
    <row r="133" spans="1:25" ht="15" customHeight="1">
      <c r="A133" s="345" t="s">
        <v>861</v>
      </c>
      <c r="B133" s="548">
        <f>+GETPIVOTDATA("Sum of New-Total Undg CH FTE",'FTE Pivot for regular counts'!$A$2,"State","AL","Category","7","Category2","Two-Year")</f>
        <v>0</v>
      </c>
      <c r="C133" s="548">
        <f>+GETPIVOTDATA("Sum of New-Total Undg CH FTE",'FTE Pivot for regular counts'!$A$2,"State","AL","Category","8","Category2","Two-Year")</f>
        <v>0</v>
      </c>
      <c r="D133" s="548">
        <f>+GETPIVOTDATA("Sum of New-Total Undg CH FTE",'FTE Pivot for regular counts'!$A$2,"State","AL","Category","9","Category2","Two-Year")</f>
        <v>0</v>
      </c>
      <c r="E133" s="548">
        <f>+GETPIVOTDATA("Sum of New-Total Undg CH FTE",'FTE Pivot for regular counts'!$A$2,"State","AL","Category","10","Category2","Two-Year")</f>
        <v>0</v>
      </c>
      <c r="F133" s="549">
        <f>+GETPIVOTDATA("Sum of New-Total Undg CH FTE",'FTE Pivot for regular counts'!$A$2,"State","AL","Category2","Two-Year")</f>
        <v>0</v>
      </c>
      <c r="G133" s="548">
        <f>+GETPIVOTDATA("Sum of New-Total Undg CH FTE",'FTE Pivot for regular counts'!$A$2,"State","AL","Category","12","Category2","Technical")</f>
        <v>0</v>
      </c>
      <c r="H133" s="550">
        <f>+GETPIVOTDATA("Sum of New-Total Undg CH FTE",'FTE Pivot for regular counts'!$A$2,"State","AL","Category","13","Category2","Technical")</f>
        <v>0</v>
      </c>
      <c r="I133" s="550">
        <f>+GETPIVOTDATA("Sum of New-Total Undg CH FTE",'FTE Pivot for regular counts'!$A$2,"State","AL","Category2","Technical")</f>
        <v>0</v>
      </c>
      <c r="J133" s="550"/>
      <c r="K133" s="550"/>
      <c r="L133" s="269"/>
      <c r="M133" s="345"/>
      <c r="P133" s="345" t="s">
        <v>861</v>
      </c>
      <c r="Q133" s="548">
        <f>+GETPIVOTDATA("Sum of Old-Total Undg CH FTE",'FTE Pivot for regular counts'!$A$2,"State","AL","Category","7","Category2","Two-Year")</f>
        <v>0</v>
      </c>
      <c r="R133" s="548">
        <f>+GETPIVOTDATA("Sum of Old-Total Undg CH FTE",'FTE Pivot for regular counts'!$A$2,"State","AL","Category","8","Category2","Two-Year")</f>
        <v>0</v>
      </c>
      <c r="S133" s="548">
        <f>+GETPIVOTDATA("Sum of Old-Total Undg CH FTE",'FTE Pivot for regular counts'!$A$2,"State","AL","Category","9","Category2","Two-Year")</f>
        <v>0</v>
      </c>
      <c r="T133" s="548">
        <f>+GETPIVOTDATA("Sum of Old-Total Undg CH FTE",'FTE Pivot for regular counts'!$A$2,"State","AL","Category","10","Category2","Two-Year")</f>
        <v>0</v>
      </c>
      <c r="U133" s="549">
        <f>+GETPIVOTDATA("Sum of Old-Total Undg CH FTE",'FTE Pivot for regular counts'!$A$2,"State","AL","Category2","Two-Year")</f>
        <v>0</v>
      </c>
      <c r="V133" s="548">
        <f>+GETPIVOTDATA("Sum of Old-Total Undg CH FTE",'FTE Pivot for regular counts'!$A$2,"State","AL","Category","12","Category2","Technical")</f>
        <v>0</v>
      </c>
      <c r="W133" s="548">
        <f>+GETPIVOTDATA("Sum of Old-Total Undg CH FTE",'FTE Pivot for regular counts'!$A$2,"State","AL","Category","13","Category2","Technical")</f>
        <v>0</v>
      </c>
      <c r="X133" s="548">
        <f>+GETPIVOTDATA("Sum of Old-Total Undg CH FTE",'FTE Pivot for regular counts'!$A$2,"State","AL","Category2","Technical")</f>
        <v>0</v>
      </c>
      <c r="Y133" s="551"/>
    </row>
    <row r="134" spans="1:25" ht="15" customHeight="1">
      <c r="A134" s="345" t="s">
        <v>862</v>
      </c>
      <c r="B134" s="551">
        <f>+GETPIVOTDATA("Sum of New-Total Undg CH FTE",'FTE Pivot for regular counts'!$A$2,"State","AR","Category","7","Category2","Two-Year")</f>
        <v>0</v>
      </c>
      <c r="C134" s="551">
        <f>+GETPIVOTDATA("Sum of New-Total Undg CH FTE",'FTE Pivot for regular counts'!$A$2,"State","AR","Category","8","Category2","Two-Year")</f>
        <v>0</v>
      </c>
      <c r="D134" s="551">
        <f>+GETPIVOTDATA("Sum of New-Total Undg CH FTE",'FTE Pivot for regular counts'!$A$2,"State","AR","Category","9","Category2","Two-Year")</f>
        <v>0</v>
      </c>
      <c r="E134" s="551">
        <f>+GETPIVOTDATA("Sum of New-Total Undg CH FTE",'FTE Pivot for regular counts'!$A$2,"State","AR","Category","10","Category2","Two-Year")</f>
        <v>0</v>
      </c>
      <c r="F134" s="549">
        <f>+GETPIVOTDATA("Sum of New-Total Undg CH FTE",'FTE Pivot for regular counts'!$A$2,"State","AR","Category2","Two-Year")</f>
        <v>0</v>
      </c>
      <c r="G134" s="551">
        <f>+GETPIVOTDATA("Sum of New-Total Undg CH FTE",'FTE Pivot for regular counts'!$A$2,"State","AR","Category","12","Category2","Technical")</f>
        <v>0</v>
      </c>
      <c r="H134" s="553">
        <f>+GETPIVOTDATA("Sum of New-Total Undg CH FTE",'FTE Pivot for regular counts'!$A$2,"State","AR","Category","13","Category2","Technical")</f>
        <v>0</v>
      </c>
      <c r="I134" s="553">
        <f>+GETPIVOTDATA("Sum of New-Total Undg CH FTE",'FTE Pivot for regular counts'!$A$2,"State","AR","Category2","Technical")</f>
        <v>0</v>
      </c>
      <c r="J134" s="553"/>
      <c r="K134" s="553"/>
      <c r="L134" s="269"/>
      <c r="M134" s="345"/>
      <c r="P134" s="345" t="s">
        <v>862</v>
      </c>
      <c r="Q134" s="551">
        <f>+GETPIVOTDATA("Sum of Old-Total Undg CH FTE",'FTE Pivot for regular counts'!$A$2,"State","AR","Category","7","Category2","Two-Year")</f>
        <v>0</v>
      </c>
      <c r="R134" s="551">
        <f>+GETPIVOTDATA("Sum of Old-Total Undg CH FTE",'FTE Pivot for regular counts'!$A$2,"State","AR","Category","8","Category2","Two-Year")</f>
        <v>0</v>
      </c>
      <c r="S134" s="551">
        <f>+GETPIVOTDATA("Sum of Old-Total Undg CH FTE",'FTE Pivot for regular counts'!$A$2,"State","AR","Category","9","Category2","Two-Year")</f>
        <v>0</v>
      </c>
      <c r="T134" s="551">
        <f>+GETPIVOTDATA("Sum of Old-Total Undg CH FTE",'FTE Pivot for regular counts'!$A$2,"State","AR","Category","10","Category2","Two-Year")</f>
        <v>0</v>
      </c>
      <c r="U134" s="549">
        <f>+GETPIVOTDATA("Sum of Old-Total Undg CH FTE",'FTE Pivot for regular counts'!$A$2,"State","AR","Category2","Two-Year")</f>
        <v>0</v>
      </c>
      <c r="V134" s="551">
        <f>+GETPIVOTDATA("Sum of Old-Total Undg CH FTE",'FTE Pivot for regular counts'!$A$2,"State","AR","Category","12","Category2","Technical")</f>
        <v>0</v>
      </c>
      <c r="W134" s="551">
        <f>+GETPIVOTDATA("Sum of Old-Total Undg CH FTE",'FTE Pivot for regular counts'!$A$2,"State","AR","Category","13","Category2","Technical")</f>
        <v>0</v>
      </c>
      <c r="X134" s="551">
        <f>+GETPIVOTDATA("Sum of Old-Total Undg CH FTE",'FTE Pivot for regular counts'!$A$2,"State","AR","Category2","Technical")</f>
        <v>0</v>
      </c>
      <c r="Y134" s="551"/>
    </row>
    <row r="135" spans="1:25" ht="15" customHeight="1">
      <c r="A135" s="345" t="s">
        <v>863</v>
      </c>
      <c r="B135" s="551">
        <f>+GETPIVOTDATA("Sum of New-Total Undg CH FTE",'FTE Pivot for regular counts'!$A$2,"State","DE","Category","7","Category2","Two-Year")</f>
        <v>0</v>
      </c>
      <c r="C135" s="551">
        <f>+GETPIVOTDATA("Sum of New-Total Undg CH FTE",'FTE Pivot for regular counts'!$A$2,"State","DE","Category","8","Category2","Two-Year")</f>
        <v>0</v>
      </c>
      <c r="D135" s="551">
        <f>+GETPIVOTDATA("Sum of New-Total Undg CH FTE",'FTE Pivot for regular counts'!$A$2,"State","DE","Category","9","Category2","Two-Year")</f>
        <v>0</v>
      </c>
      <c r="E135" s="551">
        <f>+GETPIVOTDATA("Sum of New-Total Undg CH FTE",'FTE Pivot for regular counts'!$A$2,"State","DE","Category","10","Category2","Two-Year")</f>
        <v>0</v>
      </c>
      <c r="F135" s="549">
        <f>+GETPIVOTDATA("Sum of New-Total Undg CH FTE",'FTE Pivot for regular counts'!$A$2,"State","DE","Category2","Two-Year")</f>
        <v>0</v>
      </c>
      <c r="G135" s="551">
        <f>+GETPIVOTDATA("Sum of New-Total Undg CH FTE",'FTE Pivot for regular counts'!$A$2,"State","DE","Category","12","Category2","Technical")</f>
        <v>0</v>
      </c>
      <c r="H135" s="553">
        <f>+GETPIVOTDATA("Sum of New-Total Undg CH FTE",'FTE Pivot for regular counts'!$A$2,"State","DE","Category","13","Category2","Technical")</f>
        <v>0</v>
      </c>
      <c r="I135" s="553">
        <f>+GETPIVOTDATA("Sum of New-Total Undg CH FTE",'FTE Pivot for regular counts'!$A$2,"State","DE","Category2","Technical")</f>
        <v>0</v>
      </c>
      <c r="J135" s="553"/>
      <c r="K135" s="553"/>
      <c r="L135" s="269"/>
      <c r="M135" s="345"/>
      <c r="P135" s="345" t="s">
        <v>863</v>
      </c>
      <c r="Q135" s="551">
        <f>+GETPIVOTDATA("Sum of Old-Total Undg CH FTE",'FTE Pivot for regular counts'!$A$2,"State","DE","Category","7","Category2","Two-Year")</f>
        <v>0</v>
      </c>
      <c r="R135" s="551">
        <f>+GETPIVOTDATA("Sum of Old-Total Undg CH FTE",'FTE Pivot for regular counts'!$A$2,"State","DE","Category","8","Category2","Two-Year")</f>
        <v>0</v>
      </c>
      <c r="S135" s="551">
        <f>+GETPIVOTDATA("Sum of Old-Total Undg CH FTE",'FTE Pivot for regular counts'!$A$2,"State","DE","Category","9","Category2","Two-Year")</f>
        <v>0</v>
      </c>
      <c r="T135" s="551">
        <f>+GETPIVOTDATA("Sum of Old-Total Undg CH FTE",'FTE Pivot for regular counts'!$A$2,"State","DE","Category","10","Category2","Two-Year")</f>
        <v>0</v>
      </c>
      <c r="U135" s="549">
        <f>+GETPIVOTDATA("Sum of Old-Total Undg CH FTE",'FTE Pivot for regular counts'!$A$2,"State","DE","Category2","Two-Year")</f>
        <v>0</v>
      </c>
      <c r="V135" s="551">
        <f>+GETPIVOTDATA("Sum of Old-Total Undg CH FTE",'FTE Pivot for regular counts'!$A$2,"State","DE","Category","12","Category2","Technical")</f>
        <v>0</v>
      </c>
      <c r="W135" s="551">
        <f>+GETPIVOTDATA("Sum of Old-Total Undg CH FTE",'FTE Pivot for regular counts'!$A$2,"State","DE","Category","13","Category2","Technical")</f>
        <v>0</v>
      </c>
      <c r="X135" s="551">
        <f>+GETPIVOTDATA("Sum of Old-Total Undg CH FTE",'FTE Pivot for regular counts'!$A$2,"State","DE","Category2","Technical")</f>
        <v>0</v>
      </c>
      <c r="Y135" s="551"/>
    </row>
    <row r="136" spans="1:25" ht="15" customHeight="1">
      <c r="A136" s="345" t="s">
        <v>864</v>
      </c>
      <c r="B136" s="551">
        <f>+GETPIVOTDATA("Sum of New-Total Undg CH FTE",'FTE Pivot for regular counts'!$A$2,"State","FL","Category","7","Category2","Two-Year")</f>
        <v>15602.833333333334</v>
      </c>
      <c r="C136" s="551">
        <f>+GETPIVOTDATA("Sum of New-Total Undg CH FTE",'FTE Pivot for regular counts'!$A$2,"State","FL","Category","8","Category2","Two-Year")</f>
        <v>3173.8288888888892</v>
      </c>
      <c r="D136" s="551">
        <f>+GETPIVOTDATA("Sum of New-Total Undg CH FTE",'FTE Pivot for regular counts'!$A$2,"State","FL","Category","9","Category2","Two-Year")</f>
        <v>662.53222222222223</v>
      </c>
      <c r="E136" s="551">
        <f>+GETPIVOTDATA("Sum of New-Total Undg CH FTE",'FTE Pivot for regular counts'!$A$2,"State","FL","Category","10","Category2","Two-Year")</f>
        <v>159.88</v>
      </c>
      <c r="F136" s="549">
        <f>+GETPIVOTDATA("Sum of New-Total Undg CH FTE",'FTE Pivot for regular counts'!$A$2,"State","FL","Category2","Two-Year")</f>
        <v>19599.074444444446</v>
      </c>
      <c r="G136" s="551">
        <f>+GETPIVOTDATA("Sum of New-Total Undg CH FTE",'FTE Pivot for regular counts'!$A$2,"State","FL","Category","12","Category2","Technical")</f>
        <v>0</v>
      </c>
      <c r="H136" s="553">
        <f>+GETPIVOTDATA("Sum of New-Total Undg CH FTE",'FTE Pivot for regular counts'!$A$2,"State","FL","Category","13","Category2","Technical")</f>
        <v>0</v>
      </c>
      <c r="I136" s="553">
        <f>+GETPIVOTDATA("Sum of New-Total Undg CH FTE",'FTE Pivot for regular counts'!$A$2,"State","FL","Category2","Technical")</f>
        <v>0</v>
      </c>
      <c r="J136" s="553"/>
      <c r="K136" s="553"/>
      <c r="L136" s="269"/>
      <c r="M136" s="345"/>
      <c r="P136" s="345" t="s">
        <v>864</v>
      </c>
      <c r="Q136" s="551">
        <f>+GETPIVOTDATA("Sum of Old-Total Undg CH FTE",'FTE Pivot for regular counts'!$A$2,"State","FL","Category","7","Category2","Two-Year")</f>
        <v>16847.675555555554</v>
      </c>
      <c r="R136" s="551">
        <f>+GETPIVOTDATA("Sum of Old-Total Undg CH FTE",'FTE Pivot for regular counts'!$A$2,"State","FL","Category","8","Category2","Two-Year")</f>
        <v>3179.7666666666669</v>
      </c>
      <c r="S136" s="551">
        <f>+GETPIVOTDATA("Sum of Old-Total Undg CH FTE",'FTE Pivot for regular counts'!$A$2,"State","FL","Category","9","Category2","Two-Year")</f>
        <v>677.80444444444436</v>
      </c>
      <c r="T136" s="551">
        <f>+GETPIVOTDATA("Sum of Old-Total Undg CH FTE",'FTE Pivot for regular counts'!$A$2,"State","FL","Category","10","Category2","Two-Year")</f>
        <v>156.45333333333332</v>
      </c>
      <c r="U136" s="549">
        <f>+GETPIVOTDATA("Sum of Old-Total Undg CH FTE",'FTE Pivot for regular counts'!$A$2,"State","FL","Category2","Two-Year")</f>
        <v>20861.7</v>
      </c>
      <c r="V136" s="551">
        <f>+GETPIVOTDATA("Sum of Old-Total Undg CH FTE",'FTE Pivot for regular counts'!$A$2,"State","FL","Category","12","Category2","Technical")</f>
        <v>0</v>
      </c>
      <c r="W136" s="551">
        <f>+GETPIVOTDATA("Sum of Old-Total Undg CH FTE",'FTE Pivot for regular counts'!$A$2,"State","FL","Category","13","Category2","Technical")</f>
        <v>0</v>
      </c>
      <c r="X136" s="551">
        <f>+GETPIVOTDATA("Sum of Old-Total Undg CH FTE",'FTE Pivot for regular counts'!$A$2,"State","FL","Category2","Technical")</f>
        <v>0</v>
      </c>
      <c r="Y136" s="551"/>
    </row>
    <row r="137" spans="1:25" ht="15" customHeight="1">
      <c r="B137" s="551"/>
      <c r="C137" s="551"/>
      <c r="D137" s="551"/>
      <c r="E137" s="551"/>
      <c r="F137" s="549"/>
      <c r="G137" s="551"/>
      <c r="H137" s="553"/>
      <c r="I137" s="553"/>
      <c r="J137" s="553"/>
      <c r="K137" s="553"/>
      <c r="L137" s="269"/>
      <c r="M137" s="345"/>
      <c r="Q137" s="551"/>
      <c r="R137" s="551"/>
      <c r="S137" s="551"/>
      <c r="T137" s="551"/>
      <c r="U137" s="549"/>
      <c r="V137" s="551"/>
      <c r="W137" s="551"/>
      <c r="X137" s="551"/>
      <c r="Y137" s="551"/>
    </row>
    <row r="138" spans="1:25" ht="15" customHeight="1">
      <c r="A138" s="345" t="s">
        <v>865</v>
      </c>
      <c r="B138" s="551">
        <f>+GETPIVOTDATA("Sum of New-Total Undg CH FTE",'FTE Pivot for regular counts'!$A$2,"State","GA","Category","7","Category2","Two-Year")</f>
        <v>0</v>
      </c>
      <c r="C138" s="551">
        <f>+GETPIVOTDATA("Sum of New-Total Undg CH FTE",'FTE Pivot for regular counts'!$A$2,"State","GA","Category","8","Category2","Two-Year")</f>
        <v>0</v>
      </c>
      <c r="D138" s="551">
        <f>+GETPIVOTDATA("Sum of New-Total Undg CH FTE",'FTE Pivot for regular counts'!$A$2,"State","GA","Category","9","Category2","Two-Year")</f>
        <v>0</v>
      </c>
      <c r="E138" s="551">
        <f>+GETPIVOTDATA("Sum of New-Total Undg CH FTE",'FTE Pivot for regular counts'!$A$2,"State","GA","Category","10","Category2","Two-Year")</f>
        <v>0</v>
      </c>
      <c r="F138" s="549">
        <f>+GETPIVOTDATA("Sum of New-Total Undg CH FTE",'FTE Pivot for regular counts'!$A$2,"State","GA","Category2","Two-Year")</f>
        <v>0</v>
      </c>
      <c r="G138" s="551">
        <f>+GETPIVOTDATA("Sum of New-Total Undg CH FTE",'FTE Pivot for regular counts'!$A$2,"State","GA","Category","12","Category2","Technical")</f>
        <v>0</v>
      </c>
      <c r="H138" s="553">
        <f>+GETPIVOTDATA("Sum of New-Total Undg CH FTE",'FTE Pivot for regular counts'!$A$2,"State","GA","Category","13","Category2","Technical")</f>
        <v>0</v>
      </c>
      <c r="I138" s="553">
        <f>+GETPIVOTDATA("Sum of New-Total Undg CH FTE",'FTE Pivot for regular counts'!$A$2,"State","GA","Category2","Technical")</f>
        <v>0</v>
      </c>
      <c r="J138" s="553"/>
      <c r="K138" s="553"/>
      <c r="L138" s="269"/>
      <c r="M138" s="345"/>
      <c r="P138" s="345" t="s">
        <v>865</v>
      </c>
      <c r="Q138" s="551">
        <f>+GETPIVOTDATA("Sum of Old-Total Undg CH FTE",'FTE Pivot for regular counts'!$A$2,"State","GA","Category","7","Category2","Two-Year")</f>
        <v>0</v>
      </c>
      <c r="R138" s="551">
        <f>+GETPIVOTDATA("Sum of Old-Total Undg CH FTE",'FTE Pivot for regular counts'!$A$2,"State","GA","Category","8","Category2","Two-Year")</f>
        <v>0</v>
      </c>
      <c r="S138" s="551">
        <f>+GETPIVOTDATA("Sum of Old-Total Undg CH FTE",'FTE Pivot for regular counts'!$A$2,"State","GA","Category","9","Category2","Two-Year")</f>
        <v>0</v>
      </c>
      <c r="T138" s="551">
        <f>+GETPIVOTDATA("Sum of Old-Total Undg CH FTE",'FTE Pivot for regular counts'!$A$2,"State","GA","Category","10","Category2","Two-Year")</f>
        <v>0</v>
      </c>
      <c r="U138" s="549">
        <f>+GETPIVOTDATA("Sum of Old-Total Undg CH FTE",'FTE Pivot for regular counts'!$A$2,"State","GA","Category2","Two-Year")</f>
        <v>0</v>
      </c>
      <c r="V138" s="551">
        <f>+GETPIVOTDATA("Sum of Old-Total Undg CH FTE",'FTE Pivot for regular counts'!$A$2,"State","GA","Category","12","Category2","Technical")</f>
        <v>0</v>
      </c>
      <c r="W138" s="551">
        <f>+GETPIVOTDATA("Sum of Old-Total Undg CH FTE",'FTE Pivot for regular counts'!$A$2,"State","GA","Category","13","Category2","Technical")</f>
        <v>0</v>
      </c>
      <c r="X138" s="551">
        <f>+GETPIVOTDATA("Sum of Old-Total Undg CH FTE",'FTE Pivot for regular counts'!$A$2,"State","GA","Category2","Technical")</f>
        <v>0</v>
      </c>
      <c r="Y138" s="551"/>
    </row>
    <row r="139" spans="1:25" ht="15" customHeight="1">
      <c r="A139" s="345" t="s">
        <v>866</v>
      </c>
      <c r="B139" s="551">
        <f>+GETPIVOTDATA("Sum of New-Total Undg CH FTE",'FTE Pivot for regular counts'!$A$2,"State","KY","Category","7","Category2","Two-Year")</f>
        <v>0</v>
      </c>
      <c r="C139" s="551">
        <f>+GETPIVOTDATA("Sum of New-Total Undg CH FTE",'FTE Pivot for regular counts'!$A$2,"State","KY","Category","8","Category2","Two-Year")</f>
        <v>0</v>
      </c>
      <c r="D139" s="551">
        <f>+GETPIVOTDATA("Sum of New-Total Undg CH FTE",'FTE Pivot for regular counts'!$A$2,"State","KY","Category","9","Category2","Two-Year")</f>
        <v>0</v>
      </c>
      <c r="E139" s="551">
        <f>+GETPIVOTDATA("Sum of New-Total Undg CH FTE",'FTE Pivot for regular counts'!$A$2,"State","KY","Category","10","Category2","Two-Year")</f>
        <v>0</v>
      </c>
      <c r="F139" s="549">
        <f>+GETPIVOTDATA("Sum of New-Total Undg CH FTE",'FTE Pivot for regular counts'!$A$2,"State","KY","Category2","Two-Year")</f>
        <v>0</v>
      </c>
      <c r="G139" s="551">
        <f>+GETPIVOTDATA("Sum of New-Total Undg CH FTE",'FTE Pivot for regular counts'!$A$2,"State","KY","Category","12","Category2","Technical")</f>
        <v>0</v>
      </c>
      <c r="H139" s="553">
        <f>+GETPIVOTDATA("Sum of New-Total Undg CH FTE",'FTE Pivot for regular counts'!$A$2,"State","KY","Category","13","Category2","Technical")</f>
        <v>0</v>
      </c>
      <c r="I139" s="553">
        <f>+GETPIVOTDATA("Sum of New-Total Undg CH FTE",'FTE Pivot for regular counts'!$A$2,"State","KY","Category2","Technical")</f>
        <v>0</v>
      </c>
      <c r="J139" s="553"/>
      <c r="K139" s="553"/>
      <c r="L139" s="269"/>
      <c r="M139" s="345"/>
      <c r="P139" s="345" t="s">
        <v>866</v>
      </c>
      <c r="Q139" s="551">
        <f>+GETPIVOTDATA("Sum of Old-Total Undg CH FTE",'FTE Pivot for regular counts'!$A$2,"State","KY","Category","7","Category2","Two-Year")</f>
        <v>0</v>
      </c>
      <c r="R139" s="551">
        <f>+GETPIVOTDATA("Sum of Old-Total Undg CH FTE",'FTE Pivot for regular counts'!$A$2,"State","KY","Category","8","Category2","Two-Year")</f>
        <v>0</v>
      </c>
      <c r="S139" s="551">
        <f>+GETPIVOTDATA("Sum of Old-Total Undg CH FTE",'FTE Pivot for regular counts'!$A$2,"State","KY","Category","9","Category2","Two-Year")</f>
        <v>0</v>
      </c>
      <c r="T139" s="551">
        <f>+GETPIVOTDATA("Sum of Old-Total Undg CH FTE",'FTE Pivot for regular counts'!$A$2,"State","KY","Category","10","Category2","Two-Year")</f>
        <v>0</v>
      </c>
      <c r="U139" s="549">
        <f>+GETPIVOTDATA("Sum of Old-Total Undg CH FTE",'FTE Pivot for regular counts'!$A$2,"State","KY","Category2","Two-Year")</f>
        <v>0</v>
      </c>
      <c r="V139" s="551">
        <f>+GETPIVOTDATA("Sum of Old-Total Undg CH FTE",'FTE Pivot for regular counts'!$A$2,"State","KY","Category","12","Category2","Technical")</f>
        <v>0</v>
      </c>
      <c r="W139" s="551">
        <f>+GETPIVOTDATA("Sum of Old-Total Undg CH FTE",'FTE Pivot for regular counts'!$A$2,"State","KY","Category","13","Category2","Technical")</f>
        <v>0</v>
      </c>
      <c r="X139" s="551">
        <f>+GETPIVOTDATA("Sum of Old-Total Undg CH FTE",'FTE Pivot for regular counts'!$A$2,"State","KY","Category2","Technical")</f>
        <v>0</v>
      </c>
      <c r="Y139" s="551"/>
    </row>
    <row r="140" spans="1:25" ht="15" customHeight="1">
      <c r="A140" s="345" t="s">
        <v>867</v>
      </c>
      <c r="B140" s="551">
        <f>+GETPIVOTDATA("Sum of New-Total Undg CH FTE",'FTE Pivot for regular counts'!$A$2,"State","LA","Category","7","Category2","Two-Year")</f>
        <v>0</v>
      </c>
      <c r="C140" s="551">
        <f>+GETPIVOTDATA("Sum of New-Total Undg CH FTE",'FTE Pivot for regular counts'!$A$2,"State","LA","Category","8","Category2","Two-Year")</f>
        <v>0</v>
      </c>
      <c r="D140" s="551">
        <f>+GETPIVOTDATA("Sum of New-Total Undg CH FTE",'FTE Pivot for regular counts'!$A$2,"State","LA","Category","9","Category2","Two-Year")</f>
        <v>0</v>
      </c>
      <c r="E140" s="551">
        <f>+GETPIVOTDATA("Sum of New-Total Undg CH FTE",'FTE Pivot for regular counts'!$A$2,"State","LA","Category","10","Category2","Two-Year")</f>
        <v>0</v>
      </c>
      <c r="F140" s="549">
        <f>+GETPIVOTDATA("Sum of New-Total Undg CH FTE",'FTE Pivot for regular counts'!$A$2,"State","LA","Category2","Two-Year")</f>
        <v>0</v>
      </c>
      <c r="G140" s="551">
        <f>+GETPIVOTDATA("Sum of New-Total Undg CH FTE",'FTE Pivot for regular counts'!$A$2,"State","LA","Category","12","Category2","Technical")</f>
        <v>31.704444444444444</v>
      </c>
      <c r="H140" s="553">
        <f>+GETPIVOTDATA("Sum of New-Total Undg CH FTE",'FTE Pivot for regular counts'!$A$2,"State","LA","Category","13","Category2","Technical")</f>
        <v>0</v>
      </c>
      <c r="I140" s="553">
        <f>+GETPIVOTDATA("Sum of New-Total Undg CH FTE",'FTE Pivot for regular counts'!$A$2,"State","LA","Category2","Technical")</f>
        <v>31.704444444444444</v>
      </c>
      <c r="J140" s="553"/>
      <c r="K140" s="553"/>
      <c r="L140" s="269"/>
      <c r="M140" s="345"/>
      <c r="P140" s="345" t="s">
        <v>867</v>
      </c>
      <c r="Q140" s="551">
        <f>+GETPIVOTDATA("Sum of Old-Total Undg CH FTE",'FTE Pivot for regular counts'!$A$2,"State","LA","Category","7","Category2","Two-Year")</f>
        <v>0</v>
      </c>
      <c r="R140" s="551">
        <f>+GETPIVOTDATA("Sum of Old-Total Undg CH FTE",'FTE Pivot for regular counts'!$A$2,"State","LA","Category","8","Category2","Two-Year")</f>
        <v>0</v>
      </c>
      <c r="S140" s="554">
        <f>+GETPIVOTDATA("Sum of Old-Total Undg CH FTE",'FTE Pivot for regular counts'!$A$2,"State","LA","Category","9","Category2","Two-Year")</f>
        <v>0</v>
      </c>
      <c r="T140" s="551">
        <f>+GETPIVOTDATA("Sum of Old-Total Undg CH FTE",'FTE Pivot for regular counts'!$A$2,"State","LA","Category","10","Category2","Two-Year")</f>
        <v>0</v>
      </c>
      <c r="U140" s="555">
        <f>+GETPIVOTDATA("Sum of Old-Total Undg CH FTE",'FTE Pivot for regular counts'!$A$2,"State","LA","Category2","Two-Year")</f>
        <v>0</v>
      </c>
      <c r="V140" s="551">
        <f>+GETPIVOTDATA("Sum of Old-Total Undg CH FTE",'FTE Pivot for regular counts'!$A$2,"State","LA","Category","12","Category2","Technical")</f>
        <v>66.081111111111113</v>
      </c>
      <c r="W140" s="551">
        <f>+GETPIVOTDATA("Sum of Old-Total Undg CH FTE",'FTE Pivot for regular counts'!$A$2,"State","LA","Category","13","Category2","Technical")</f>
        <v>0</v>
      </c>
      <c r="X140" s="551">
        <f>+GETPIVOTDATA("Sum of Old-Total Undg CH FTE",'FTE Pivot for regular counts'!$A$2,"State","LA","Category2","Technical")</f>
        <v>66.081111111111113</v>
      </c>
      <c r="Y140" s="551"/>
    </row>
    <row r="141" spans="1:25" ht="15" customHeight="1">
      <c r="A141" s="345" t="s">
        <v>868</v>
      </c>
      <c r="B141" s="551">
        <f>+GETPIVOTDATA("Sum of New-Total Undg CH FTE",'FTE Pivot for regular counts'!$A$2,"State","MD","Category","7","Category2","Two-Year")</f>
        <v>0</v>
      </c>
      <c r="C141" s="551">
        <f>+GETPIVOTDATA("Sum of New-Total Undg CH FTE",'FTE Pivot for regular counts'!$A$2,"State","MD","Category","8","Category2","Two-Year")</f>
        <v>0</v>
      </c>
      <c r="D141" s="551">
        <f>+GETPIVOTDATA("Sum of New-Total Undg CH FTE",'FTE Pivot for regular counts'!$A$2,"State","MD","Category","9","Category2","Two-Year")</f>
        <v>0</v>
      </c>
      <c r="E141" s="551">
        <f>+GETPIVOTDATA("Sum of New-Total Undg CH FTE",'FTE Pivot for regular counts'!$A$2,"State","MD","Category","10","Category2","Two-Year")</f>
        <v>0</v>
      </c>
      <c r="F141" s="549">
        <f>+GETPIVOTDATA("Sum of New-Total Undg CH FTE",'FTE Pivot for regular counts'!$A$2,"State","MD","Category2","Two-Year")</f>
        <v>0</v>
      </c>
      <c r="G141" s="551">
        <f>+GETPIVOTDATA("Sum of New-Total Undg CH FTE",'FTE Pivot for regular counts'!$A$2,"State","MD","Category","12","Category2","Technical")</f>
        <v>0</v>
      </c>
      <c r="H141" s="553">
        <f>+GETPIVOTDATA("Sum of New-Total Undg CH FTE",'FTE Pivot for regular counts'!$A$2,"State","MD","Category","13","Category2","Technical")</f>
        <v>0</v>
      </c>
      <c r="I141" s="553">
        <f>+GETPIVOTDATA("Sum of New-Total Undg CH FTE",'FTE Pivot for regular counts'!$A$2,"State","MD","Category2","Technical")</f>
        <v>0</v>
      </c>
      <c r="J141" s="553"/>
      <c r="K141" s="553"/>
      <c r="L141" s="269"/>
      <c r="M141" s="345"/>
      <c r="P141" s="345" t="s">
        <v>868</v>
      </c>
      <c r="Q141" s="551">
        <f>+GETPIVOTDATA("Sum of Old-Total Undg CH FTE",'FTE Pivot for regular counts'!$A$2,"State","MD","Category","7","Category2","Two-Year")</f>
        <v>0</v>
      </c>
      <c r="R141" s="551">
        <f>+GETPIVOTDATA("Sum of Old-Total Undg CH FTE",'FTE Pivot for regular counts'!$A$2,"State","MD","Category","8","Category2","Two-Year")</f>
        <v>0</v>
      </c>
      <c r="S141" s="551">
        <f>+GETPIVOTDATA("Sum of Old-Total Undg CH FTE",'FTE Pivot for regular counts'!$A$2,"State","MD","Category","9","Category2","Two-Year")</f>
        <v>0</v>
      </c>
      <c r="T141" s="551">
        <f>+GETPIVOTDATA("Sum of Old-Total Undg CH FTE",'FTE Pivot for regular counts'!$A$2,"State","MD","Category","10","Category2","Two-Year")</f>
        <v>0</v>
      </c>
      <c r="U141" s="549">
        <f>+GETPIVOTDATA("Sum of Old-Total Undg CH FTE",'FTE Pivot for regular counts'!$A$2,"State","MD","Category2","Two-Year")</f>
        <v>0</v>
      </c>
      <c r="V141" s="551">
        <f>+GETPIVOTDATA("Sum of Old-Total Undg CH FTE",'FTE Pivot for regular counts'!$A$2,"State","MD","Category","12","Category2","Technical")</f>
        <v>0</v>
      </c>
      <c r="W141" s="551">
        <f>+GETPIVOTDATA("Sum of Old-Total Undg CH FTE",'FTE Pivot for regular counts'!$A$2,"State","MD","Category","13","Category2","Technical")</f>
        <v>0</v>
      </c>
      <c r="X141" s="551">
        <f>+GETPIVOTDATA("Sum of Old-Total Undg CH FTE",'FTE Pivot for regular counts'!$A$2,"State","MD","Category2","Technical")</f>
        <v>0</v>
      </c>
      <c r="Y141" s="551"/>
    </row>
    <row r="142" spans="1:25" ht="15" customHeight="1">
      <c r="B142" s="551"/>
      <c r="C142" s="551"/>
      <c r="D142" s="551"/>
      <c r="E142" s="551"/>
      <c r="F142" s="549"/>
      <c r="G142" s="551"/>
      <c r="H142" s="553"/>
      <c r="I142" s="553"/>
      <c r="J142" s="553"/>
      <c r="K142" s="553"/>
      <c r="L142" s="269"/>
      <c r="M142" s="345"/>
      <c r="Q142" s="551"/>
      <c r="R142" s="551"/>
      <c r="S142" s="551"/>
      <c r="T142" s="551"/>
      <c r="U142" s="549"/>
      <c r="V142" s="551"/>
      <c r="W142" s="551"/>
      <c r="X142" s="551"/>
      <c r="Y142" s="551"/>
    </row>
    <row r="143" spans="1:25" ht="15" customHeight="1">
      <c r="A143" s="345" t="s">
        <v>869</v>
      </c>
      <c r="B143" s="551">
        <f>+GETPIVOTDATA("Sum of New-Total Undg CH FTE",'FTE Pivot for regular counts'!$A$2,"State","MS","Category","7","Category2","Two-Year")</f>
        <v>0</v>
      </c>
      <c r="C143" s="551">
        <f>+GETPIVOTDATA("Sum of New-Total Undg CH FTE",'FTE Pivot for regular counts'!$A$2,"State","MS","Category","8","Category2","Two-Year")</f>
        <v>0</v>
      </c>
      <c r="D143" s="551">
        <f>+GETPIVOTDATA("Sum of New-Total Undg CH FTE",'FTE Pivot for regular counts'!$A$2,"State","MS","Category","9","Category2","Two-Year")</f>
        <v>0</v>
      </c>
      <c r="E143" s="551">
        <f>+GETPIVOTDATA("Sum of New-Total Undg CH FTE",'FTE Pivot for regular counts'!$A$2,"State","MS","Category","10","Category2","Two-Year")</f>
        <v>0</v>
      </c>
      <c r="F143" s="549">
        <f>+GETPIVOTDATA("Sum of New-Total Undg CH FTE",'FTE Pivot for regular counts'!$A$2,"State","MS","Category2","Two-Year")</f>
        <v>0</v>
      </c>
      <c r="G143" s="551">
        <f>+GETPIVOTDATA("Sum of New-Total Undg CH FTE",'FTE Pivot for regular counts'!$A$2,"State","MS","Category","12","Category2","Technical")</f>
        <v>0</v>
      </c>
      <c r="H143" s="553">
        <f>+GETPIVOTDATA("Sum of New-Total Undg CH FTE",'FTE Pivot for regular counts'!$A$2,"State","MS","Category","13","Category2","Technical")</f>
        <v>0</v>
      </c>
      <c r="I143" s="553">
        <f>+GETPIVOTDATA("Sum of New-Total Undg CH FTE",'FTE Pivot for regular counts'!$A$2,"State","MS","Category2","Technical")</f>
        <v>0</v>
      </c>
      <c r="J143" s="553"/>
      <c r="K143" s="553"/>
      <c r="L143" s="269"/>
      <c r="M143" s="345"/>
      <c r="P143" s="345" t="s">
        <v>869</v>
      </c>
      <c r="Q143" s="551">
        <f>+GETPIVOTDATA("Sum of Old-Total Undg CH FTE",'FTE Pivot for regular counts'!$A$2,"State","MS","Category","7","Category2","Two-Year")</f>
        <v>0</v>
      </c>
      <c r="R143" s="551">
        <f>+GETPIVOTDATA("Sum of Old-Total Undg CH FTE",'FTE Pivot for regular counts'!$A$2,"State","MS","Category","8","Category2","Two-Year")</f>
        <v>0</v>
      </c>
      <c r="S143" s="551">
        <f>+GETPIVOTDATA("Sum of Old-Total Undg CH FTE",'FTE Pivot for regular counts'!$A$2,"State","MS","Category","9","Category2","Two-Year")</f>
        <v>0</v>
      </c>
      <c r="T143" s="551">
        <f>+GETPIVOTDATA("Sum of Old-Total Undg CH FTE",'FTE Pivot for regular counts'!$A$2,"State","MS","Category","10","Category2","Two-Year")</f>
        <v>0</v>
      </c>
      <c r="U143" s="549">
        <f>+GETPIVOTDATA("Sum of Old-Total Undg CH FTE",'FTE Pivot for regular counts'!$A$2,"State","MS","Category2","Two-Year")</f>
        <v>0</v>
      </c>
      <c r="V143" s="551">
        <f>+GETPIVOTDATA("Sum of Old-Total Undg CH FTE",'FTE Pivot for regular counts'!$A$2,"State","MS","Category","12","Category2","Technical")</f>
        <v>0</v>
      </c>
      <c r="W143" s="551">
        <f>+GETPIVOTDATA("Sum of Old-Total Undg CH FTE",'FTE Pivot for regular counts'!$A$2,"State","MS","Category","13","Category2","Technical")</f>
        <v>0</v>
      </c>
      <c r="X143" s="551">
        <f>+GETPIVOTDATA("Sum of Old-Total Undg CH FTE",'FTE Pivot for regular counts'!$A$2,"State","MS","Category2","Technical")</f>
        <v>0</v>
      </c>
      <c r="Y143" s="551"/>
    </row>
    <row r="144" spans="1:25" ht="15" customHeight="1">
      <c r="A144" s="345" t="s">
        <v>870</v>
      </c>
      <c r="B144" s="551">
        <f>+GETPIVOTDATA("Sum of New-Total Undg CH FTE",'FTE Pivot for regular counts'!$A$2,"State","NC","Category","7","Category2","Two-Year")</f>
        <v>0</v>
      </c>
      <c r="C144" s="551">
        <f>+GETPIVOTDATA("Sum of New-Total Undg CH FTE",'FTE Pivot for regular counts'!$A$2,"State","NC","Category","8","Category2","Two-Year")</f>
        <v>11996.447777777777</v>
      </c>
      <c r="D144" s="551">
        <f>+GETPIVOTDATA("Sum of New-Total Undg CH FTE",'FTE Pivot for regular counts'!$A$2,"State","NC","Category","9","Category2","Two-Year")</f>
        <v>13545.00333333333</v>
      </c>
      <c r="E144" s="551">
        <f>+GETPIVOTDATA("Sum of New-Total Undg CH FTE",'FTE Pivot for regular counts'!$A$2,"State","NC","Category","10","Category2","Two-Year")</f>
        <v>7406.3066666666655</v>
      </c>
      <c r="F144" s="549">
        <f>+GETPIVOTDATA("Sum of New-Total Undg CH FTE",'FTE Pivot for regular counts'!$A$2,"State","NC","Category2","Two-Year")</f>
        <v>32947.75777777777</v>
      </c>
      <c r="G144" s="551">
        <f>+GETPIVOTDATA("Sum of New-Total Undg CH FTE",'FTE Pivot for regular counts'!$A$2,"State","NC","Category","12","Category2","Technical")</f>
        <v>0</v>
      </c>
      <c r="H144" s="553">
        <f>+GETPIVOTDATA("Sum of New-Total Undg CH FTE",'FTE Pivot for regular counts'!$A$2,"State","NC","Category","13","Category2","Technical")</f>
        <v>0</v>
      </c>
      <c r="I144" s="553">
        <f>+GETPIVOTDATA("Sum of New-Total Undg CH FTE",'FTE Pivot for regular counts'!$A$2,"State","NC","Category2","Technical")</f>
        <v>0</v>
      </c>
      <c r="J144" s="553"/>
      <c r="K144" s="553"/>
      <c r="L144" s="269"/>
      <c r="M144" s="345"/>
      <c r="P144" s="345" t="s">
        <v>870</v>
      </c>
      <c r="Q144" s="551">
        <f>+GETPIVOTDATA("Sum of Old-Total Undg CH FTE",'FTE Pivot for regular counts'!$A$2,"State","NC","Category","7","Category2","Two-Year")</f>
        <v>0</v>
      </c>
      <c r="R144" s="551">
        <f>+GETPIVOTDATA("Sum of Old-Total Undg CH FTE",'FTE Pivot for regular counts'!$A$2,"State","NC","Category","8","Category2","Two-Year")</f>
        <v>11873.295555555556</v>
      </c>
      <c r="S144" s="551">
        <f>+GETPIVOTDATA("Sum of Old-Total Undg CH FTE",'FTE Pivot for regular counts'!$A$2,"State","NC","Category","9","Category2","Two-Year")</f>
        <v>13893.885555555555</v>
      </c>
      <c r="T144" s="551">
        <f>+GETPIVOTDATA("Sum of Old-Total Undg CH FTE",'FTE Pivot for regular counts'!$A$2,"State","NC","Category","10","Category2","Two-Year")</f>
        <v>7821.1166666666659</v>
      </c>
      <c r="U144" s="549">
        <f>+GETPIVOTDATA("Sum of Old-Total Undg CH FTE",'FTE Pivot for regular counts'!$A$2,"State","NC","Category2","Two-Year")</f>
        <v>33588.297777777778</v>
      </c>
      <c r="V144" s="551">
        <f>+GETPIVOTDATA("Sum of Old-Total Undg CH FTE",'FTE Pivot for regular counts'!$A$2,"State","NC","Category","12","Category2","Technical")</f>
        <v>0</v>
      </c>
      <c r="W144" s="551">
        <f>+GETPIVOTDATA("Sum of Old-Total Undg CH FTE",'FTE Pivot for regular counts'!$A$2,"State","NC","Category","13","Category2","Technical")</f>
        <v>0</v>
      </c>
      <c r="X144" s="551">
        <f>+GETPIVOTDATA("Sum of Old-Total Undg CH FTE",'FTE Pivot for regular counts'!$A$2,"State","NC","Category2","Technical")</f>
        <v>0</v>
      </c>
      <c r="Y144" s="551"/>
    </row>
    <row r="145" spans="1:88" ht="15" customHeight="1">
      <c r="A145" s="345" t="s">
        <v>871</v>
      </c>
      <c r="B145" s="551">
        <f>+GETPIVOTDATA("Sum of New-Total Undg CH FTE",'FTE Pivot for regular counts'!$A$2,"State","OK","Category","7","Category2","Two-Year")</f>
        <v>0</v>
      </c>
      <c r="C145" s="551">
        <f>+GETPIVOTDATA("Sum of New-Total Undg CH FTE",'FTE Pivot for regular counts'!$A$2,"State","OK","Category","8","Category2","Two-Year")</f>
        <v>0</v>
      </c>
      <c r="D145" s="551">
        <f>+GETPIVOTDATA("Sum of New-Total Undg CH FTE",'FTE Pivot for regular counts'!$A$2,"State","OK","Category","9","Category2","Two-Year")</f>
        <v>0</v>
      </c>
      <c r="E145" s="551">
        <f>+GETPIVOTDATA("Sum of New-Total Undg CH FTE",'FTE Pivot for regular counts'!$A$2,"State","OK","Category","10","Category2","Two-Year")</f>
        <v>0</v>
      </c>
      <c r="F145" s="549">
        <f>+GETPIVOTDATA("Sum of New-Total Undg CH FTE",'FTE Pivot for regular counts'!$A$2,"State","OK","Category2","Two-Year")</f>
        <v>0</v>
      </c>
      <c r="G145" s="551">
        <f>+GETPIVOTDATA("Sum of New-Total Undg CH FTE",'FTE Pivot for regular counts'!$A$2,"State","OK","Category","12","Category2","Technical")</f>
        <v>4831.0506666666661</v>
      </c>
      <c r="H145" s="553">
        <f>+GETPIVOTDATA("Sum of New-Total Undg CH FTE",'FTE Pivot for regular counts'!$A$2,"State","OK","Category","13","Category2","Technical")</f>
        <v>14836.709022222221</v>
      </c>
      <c r="I145" s="553">
        <f>+GETPIVOTDATA("Sum of New-Total Undg CH FTE",'FTE Pivot for regular counts'!$A$2,"State","OK","Category2","Technical")</f>
        <v>19667.759688888887</v>
      </c>
      <c r="J145" s="553"/>
      <c r="K145" s="553"/>
      <c r="L145" s="269"/>
      <c r="M145" s="345"/>
      <c r="P145" s="345" t="s">
        <v>871</v>
      </c>
      <c r="Q145" s="551">
        <f>+GETPIVOTDATA("Sum of Old-Total Undg CH FTE",'FTE Pivot for regular counts'!$A$2,"State","OK","Category","7","Category2","Two-Year")</f>
        <v>0</v>
      </c>
      <c r="R145" s="551">
        <f>+GETPIVOTDATA("Sum of Old-Total Undg CH FTE",'FTE Pivot for regular counts'!$A$2,"State","OK","Category","8","Category2","Two-Year")</f>
        <v>0</v>
      </c>
      <c r="S145" s="551">
        <f>+GETPIVOTDATA("Sum of Old-Total Undg CH FTE",'FTE Pivot for regular counts'!$A$2,"State","OK","Category","9","Category2","Two-Year")</f>
        <v>0</v>
      </c>
      <c r="T145" s="551">
        <f>+GETPIVOTDATA("Sum of Old-Total Undg CH FTE",'FTE Pivot for regular counts'!$A$2,"State","OK","Category","10","Category2","Two-Year")</f>
        <v>0</v>
      </c>
      <c r="U145" s="549">
        <f>+GETPIVOTDATA("Sum of Old-Total Undg CH FTE",'FTE Pivot for regular counts'!$A$2,"State","OK","Category2","Two-Year")</f>
        <v>0</v>
      </c>
      <c r="V145" s="551">
        <f>+GETPIVOTDATA("Sum of Old-Total Undg CH FTE",'FTE Pivot for regular counts'!$A$2,"State","OK","Category","12","Category2","Technical")</f>
        <v>4789.910322222222</v>
      </c>
      <c r="W145" s="551">
        <f>+GETPIVOTDATA("Sum of Old-Total Undg CH FTE",'FTE Pivot for regular counts'!$A$2,"State","OK","Category","13","Category2","Technical")</f>
        <v>14653.944644444447</v>
      </c>
      <c r="X145" s="551">
        <f>+GETPIVOTDATA("Sum of Old-Total Undg CH FTE",'FTE Pivot for regular counts'!$A$2,"State","OK","Category2","Technical")</f>
        <v>19443.854966666669</v>
      </c>
      <c r="Y145" s="551"/>
    </row>
    <row r="146" spans="1:88" ht="15" customHeight="1">
      <c r="A146" s="345" t="s">
        <v>872</v>
      </c>
      <c r="B146" s="551">
        <f>+GETPIVOTDATA("Sum of New-Total Undg CH FTE",'FTE Pivot for regular counts'!$A$2,"State","SC","Category","7","Category2","Two-Year")</f>
        <v>0</v>
      </c>
      <c r="C146" s="551">
        <f>+GETPIVOTDATA("Sum of New-Total Undg CH FTE",'FTE Pivot for regular counts'!$A$2,"State","SC","Category","8","Category2","Two-Year")</f>
        <v>0</v>
      </c>
      <c r="D146" s="551">
        <f>+GETPIVOTDATA("Sum of New-Total Undg CH FTE",'FTE Pivot for regular counts'!$A$2,"State","SC","Category","9","Category2","Two-Year")</f>
        <v>0</v>
      </c>
      <c r="E146" s="551">
        <f>+GETPIVOTDATA("Sum of New-Total Undg CH FTE",'FTE Pivot for regular counts'!$A$2,"State","SC","Category","10","Category2","Two-Year")</f>
        <v>0</v>
      </c>
      <c r="F146" s="549">
        <f>+GETPIVOTDATA("Sum of New-Total Undg CH FTE",'FTE Pivot for regular counts'!$A$2,"State","SC","Category2","Two-Year")</f>
        <v>0</v>
      </c>
      <c r="G146" s="551">
        <f>+GETPIVOTDATA("Sum of New-Total Undg CH FTE",'FTE Pivot for regular counts'!$A$2,"State","SC","Category","12","Category2","Technical")</f>
        <v>0</v>
      </c>
      <c r="H146" s="553">
        <f>+GETPIVOTDATA("Sum of New-Total Undg CH FTE",'FTE Pivot for regular counts'!$A$2,"State","SC","Category","13","Category2","Technical")</f>
        <v>0</v>
      </c>
      <c r="I146" s="553">
        <f>+GETPIVOTDATA("Sum of New-Total Undg CH FTE",'FTE Pivot for regular counts'!$A$2,"State","SC","Category2","Technical")</f>
        <v>0</v>
      </c>
      <c r="J146" s="553"/>
      <c r="K146" s="553"/>
      <c r="L146" s="269"/>
      <c r="M146" s="345"/>
      <c r="P146" s="345" t="s">
        <v>872</v>
      </c>
      <c r="Q146" s="551">
        <f>+GETPIVOTDATA("Sum of Old-Total Undg CH FTE",'FTE Pivot for regular counts'!$A$2,"State","SC","Category","7","Category2","Two-Year")</f>
        <v>0</v>
      </c>
      <c r="R146" s="551">
        <f>+GETPIVOTDATA("Sum of Old-Total Undg CH FTE",'FTE Pivot for regular counts'!$A$2,"State","SC","Category","8","Category2","Two-Year")</f>
        <v>0</v>
      </c>
      <c r="S146" s="551">
        <f>+GETPIVOTDATA("Sum of Old-Total Undg CH FTE",'FTE Pivot for regular counts'!$A$2,"State","SC","Category","9","Category2","Two-Year")</f>
        <v>0</v>
      </c>
      <c r="T146" s="551">
        <f>+GETPIVOTDATA("Sum of Old-Total Undg CH FTE",'FTE Pivot for regular counts'!$A$2,"State","SC","Category","10","Category2","Two-Year")</f>
        <v>0</v>
      </c>
      <c r="U146" s="549">
        <f>+GETPIVOTDATA("Sum of Old-Total Undg CH FTE",'FTE Pivot for regular counts'!$A$2,"State","SC","Category2","Two-Year")</f>
        <v>0</v>
      </c>
      <c r="V146" s="551">
        <f>+GETPIVOTDATA("Sum of Old-Total Undg CH FTE",'FTE Pivot for regular counts'!$A$2,"State","SC","Category","12","Category2","Technical")</f>
        <v>0</v>
      </c>
      <c r="W146" s="551">
        <f>+GETPIVOTDATA("Sum of Old-Total Undg CH FTE",'FTE Pivot for regular counts'!$A$2,"State","SC","Category","13","Category2","Technical")</f>
        <v>0</v>
      </c>
      <c r="X146" s="551">
        <f>+GETPIVOTDATA("Sum of Old-Total Undg CH FTE",'FTE Pivot for regular counts'!$A$2,"State","SC","Category2","Technical")</f>
        <v>0</v>
      </c>
      <c r="Y146" s="551"/>
    </row>
    <row r="147" spans="1:88" ht="15" customHeight="1">
      <c r="B147" s="551"/>
      <c r="C147" s="551"/>
      <c r="D147" s="551"/>
      <c r="E147" s="551"/>
      <c r="F147" s="549"/>
      <c r="G147" s="551"/>
      <c r="H147" s="553"/>
      <c r="I147" s="553"/>
      <c r="J147" s="553"/>
      <c r="K147" s="553"/>
      <c r="L147" s="269"/>
      <c r="M147" s="345"/>
      <c r="Q147" s="551"/>
      <c r="R147" s="551"/>
      <c r="S147" s="551"/>
      <c r="T147" s="551"/>
      <c r="U147" s="549"/>
      <c r="V147" s="551"/>
      <c r="W147" s="551"/>
      <c r="X147" s="551"/>
      <c r="Y147" s="551"/>
    </row>
    <row r="148" spans="1:88" ht="15" customHeight="1">
      <c r="A148" s="345" t="s">
        <v>873</v>
      </c>
      <c r="B148" s="551">
        <f>+GETPIVOTDATA("Sum of New-Total Undg CH FTE",'FTE Pivot for regular counts'!$A$2,"State","TN","Category","7","Category2","Two-Year")</f>
        <v>0</v>
      </c>
      <c r="C148" s="551">
        <f>+GETPIVOTDATA("Sum of New-Total Undg CH FTE",'FTE Pivot for regular counts'!$A$2,"State","TN","Category","8","Category2","Two-Year")</f>
        <v>0</v>
      </c>
      <c r="D148" s="551">
        <f>+GETPIVOTDATA("Sum of New-Total Undg CH FTE",'FTE Pivot for regular counts'!$A$2,"State","TN","Category","9","Category2","Two-Year")</f>
        <v>0</v>
      </c>
      <c r="E148" s="551">
        <f>+GETPIVOTDATA("Sum of New-Total Undg CH FTE",'FTE Pivot for regular counts'!$A$2,"State","TN","Category","10","Category2","Two-Year")</f>
        <v>0</v>
      </c>
      <c r="F148" s="549">
        <f>+GETPIVOTDATA("Sum of New-Total Undg CH FTE",'FTE Pivot for regular counts'!$A$2,"State","TN","Category2","Two-Year")</f>
        <v>0</v>
      </c>
      <c r="G148" s="551">
        <f>+GETPIVOTDATA("Sum of New-Total Undg CH FTE",'FTE Pivot for regular counts'!$A$2,"State","TN","Category","12","Category2","Technical")</f>
        <v>982.67333333333329</v>
      </c>
      <c r="H148" s="553">
        <f>+GETPIVOTDATA("Sum of New-Total Undg CH FTE",'FTE Pivot for regular counts'!$A$2,"State","TN","Category","13","Category2","Technical")</f>
        <v>11588.335555555561</v>
      </c>
      <c r="I148" s="553">
        <f>+GETPIVOTDATA("Sum of New-Total Undg CH FTE",'FTE Pivot for regular counts'!$A$2,"State","TN","Category2","Technical")</f>
        <v>12571.008888888895</v>
      </c>
      <c r="J148" s="553"/>
      <c r="K148" s="553"/>
      <c r="L148" s="269"/>
      <c r="M148" s="345"/>
      <c r="P148" s="345" t="s">
        <v>873</v>
      </c>
      <c r="Q148" s="551">
        <f>+GETPIVOTDATA("Sum of Old-Total Undg CH FTE",'FTE Pivot for regular counts'!$A$2,"State","TN","Category","7","Category2","Two-Year")</f>
        <v>0</v>
      </c>
      <c r="R148" s="551">
        <f>+GETPIVOTDATA("Sum of Old-Total Undg CH FTE",'FTE Pivot for regular counts'!$A$2,"State","TN","Category","8","Category2","Two-Year")</f>
        <v>0</v>
      </c>
      <c r="S148" s="551">
        <f>+GETPIVOTDATA("Sum of Old-Total Undg CH FTE",'FTE Pivot for regular counts'!$A$2,"State","TN","Category","9","Category2","Two-Year")</f>
        <v>0</v>
      </c>
      <c r="T148" s="551">
        <f>+GETPIVOTDATA("Sum of Old-Total Undg CH FTE",'FTE Pivot for regular counts'!$A$2,"State","TN","Category","10","Category2","Two-Year")</f>
        <v>0</v>
      </c>
      <c r="U148" s="549">
        <f>+GETPIVOTDATA("Sum of Old-Total Undg CH FTE",'FTE Pivot for regular counts'!$A$2,"State","TN","Category2","Two-Year")</f>
        <v>0</v>
      </c>
      <c r="V148" s="551">
        <f>+GETPIVOTDATA("Sum of Old-Total Undg CH FTE",'FTE Pivot for regular counts'!$A$2,"State","TN","Category","12","Category2","Technical")</f>
        <v>1004.0377777777778</v>
      </c>
      <c r="W148" s="551">
        <f>+GETPIVOTDATA("Sum of Old-Total Undg CH FTE",'FTE Pivot for regular counts'!$A$2,"State","TN","Category","13","Category2","Technical")</f>
        <v>10641.687777777777</v>
      </c>
      <c r="X148" s="551">
        <f>+GETPIVOTDATA("Sum of Old-Total Undg CH FTE",'FTE Pivot for regular counts'!$A$2,"State","TN","Category2","Technical")</f>
        <v>11645.725555555555</v>
      </c>
      <c r="Y148" s="551"/>
    </row>
    <row r="149" spans="1:88" ht="15" customHeight="1">
      <c r="A149" s="345" t="s">
        <v>874</v>
      </c>
      <c r="B149" s="551">
        <f>+GETPIVOTDATA("Sum of New-Total Undg CH FTE",'FTE Pivot for regular counts'!$A$2,"State","TX","Category","7","Category2","Two-Year")</f>
        <v>438.44444444444446</v>
      </c>
      <c r="C149" s="551">
        <f>+GETPIVOTDATA("Sum of New-Total Undg CH FTE",'FTE Pivot for regular counts'!$A$2,"State","TX","Category","8","Category2","Two-Year")</f>
        <v>11992.108888888892</v>
      </c>
      <c r="D149" s="551">
        <f>+GETPIVOTDATA("Sum of New-Total Undg CH FTE",'FTE Pivot for regular counts'!$A$2,"State","TX","Category","9","Category2","Two-Year")</f>
        <v>4103.5411111111125</v>
      </c>
      <c r="E149" s="551">
        <f>+GETPIVOTDATA("Sum of New-Total Undg CH FTE",'FTE Pivot for regular counts'!$A$2,"State","TX","Category","10","Category2","Two-Year")</f>
        <v>807.44111111111113</v>
      </c>
      <c r="F149" s="549">
        <f>+GETPIVOTDATA("Sum of New-Total Undg CH FTE",'FTE Pivot for regular counts'!$A$2,"State","TX","Category2","Two-Year")</f>
        <v>17341.535555555562</v>
      </c>
      <c r="G149" s="551">
        <f>+GETPIVOTDATA("Sum of New-Total Undg CH FTE",'FTE Pivot for regular counts'!$A$2,"State","TX","Category","12","Category2","Technical")</f>
        <v>0</v>
      </c>
      <c r="H149" s="553">
        <f>+GETPIVOTDATA("Sum of New-Total Undg CH FTE",'FTE Pivot for regular counts'!$A$2,"State","TX","Category","13","Category2","Technical")</f>
        <v>0</v>
      </c>
      <c r="I149" s="553">
        <f>+GETPIVOTDATA("Sum of New-Total Undg CH FTE",'FTE Pivot for regular counts'!$A$2,"State","TX","Category2","Technical")</f>
        <v>0</v>
      </c>
      <c r="J149" s="553"/>
      <c r="K149" s="553"/>
      <c r="L149" s="269"/>
      <c r="M149" s="345"/>
      <c r="P149" s="345" t="s">
        <v>874</v>
      </c>
      <c r="Q149" s="551">
        <f>+GETPIVOTDATA("Sum of Old-Total Undg CH FTE",'FTE Pivot for regular counts'!$A$2,"State","TX","Category","7","Category2","Two-Year")</f>
        <v>1106.45</v>
      </c>
      <c r="R149" s="551">
        <f>+GETPIVOTDATA("Sum of Old-Total Undg CH FTE",'FTE Pivot for regular counts'!$A$2,"State","TX","Category","8","Category2","Two-Year")</f>
        <v>13266.645555555557</v>
      </c>
      <c r="S149" s="551">
        <f>+GETPIVOTDATA("Sum of Old-Total Undg CH FTE",'FTE Pivot for regular counts'!$A$2,"State","TX","Category","9","Category2","Two-Year")</f>
        <v>5012.6344444444439</v>
      </c>
      <c r="T149" s="551">
        <f>+GETPIVOTDATA("Sum of Old-Total Undg CH FTE",'FTE Pivot for regular counts'!$A$2,"State","TX","Category","10","Category2","Two-Year")</f>
        <v>777.5100000000001</v>
      </c>
      <c r="U149" s="549">
        <f>+GETPIVOTDATA("Sum of Old-Total Undg CH FTE",'FTE Pivot for regular counts'!$A$2,"State","TX","Category2","Two-Year")</f>
        <v>20163.240000000002</v>
      </c>
      <c r="V149" s="551">
        <f>+GETPIVOTDATA("Sum of Old-Total Undg CH FTE",'FTE Pivot for regular counts'!$A$2,"State","TX","Category","12","Category2","Technical")</f>
        <v>0</v>
      </c>
      <c r="W149" s="551">
        <f>+GETPIVOTDATA("Sum of Old-Total Undg CH FTE",'FTE Pivot for regular counts'!$A$2,"State","TX","Category","13","Category2","Technical")</f>
        <v>0</v>
      </c>
      <c r="X149" s="551">
        <f>+GETPIVOTDATA("Sum of Old-Total Undg CH FTE",'FTE Pivot for regular counts'!$A$2,"State","TX","Category2","Technical")</f>
        <v>0</v>
      </c>
      <c r="Y149" s="551"/>
    </row>
    <row r="150" spans="1:88" ht="15" customHeight="1">
      <c r="A150" s="345" t="s">
        <v>875</v>
      </c>
      <c r="B150" s="551">
        <f>+GETPIVOTDATA("Sum of New-Total Undg CH FTE",'FTE Pivot for regular counts'!$A$2,"State","VA","Category","7","Category2","Two-Year")</f>
        <v>0</v>
      </c>
      <c r="C150" s="551">
        <f>+GETPIVOTDATA("Sum of New-Total Undg CH FTE",'FTE Pivot for regular counts'!$A$2,"State","VA","Category","8","Category2","Two-Year")</f>
        <v>0</v>
      </c>
      <c r="D150" s="551">
        <f>+GETPIVOTDATA("Sum of New-Total Undg CH FTE",'FTE Pivot for regular counts'!$A$2,"State","VA","Category","9","Category2","Two-Year")</f>
        <v>0</v>
      </c>
      <c r="E150" s="551">
        <f>+GETPIVOTDATA("Sum of New-Total Undg CH FTE",'FTE Pivot for regular counts'!$A$2,"State","VA","Category","10","Category2","Two-Year")</f>
        <v>0</v>
      </c>
      <c r="F150" s="549">
        <f>+GETPIVOTDATA("Sum of New-Total Undg CH FTE",'FTE Pivot for regular counts'!$A$2,"State","VA","Category2","Two-Year")</f>
        <v>0</v>
      </c>
      <c r="G150" s="551">
        <f>+GETPIVOTDATA("Sum of New-Total Undg CH FTE",'FTE Pivot for regular counts'!$A$2,"State","VA","Category","12","Category2","Technical")</f>
        <v>0</v>
      </c>
      <c r="H150" s="553">
        <f>+GETPIVOTDATA("Sum of New-Total Undg CH FTE",'FTE Pivot for regular counts'!$A$2,"State","VA","Category","13","Category2","Technical")</f>
        <v>0</v>
      </c>
      <c r="I150" s="553">
        <f>+GETPIVOTDATA("Sum of New-Total Undg CH FTE",'FTE Pivot for regular counts'!$A$2,"State","VA","Category2","Technical")</f>
        <v>0</v>
      </c>
      <c r="J150" s="553"/>
      <c r="K150" s="553"/>
      <c r="L150" s="269"/>
      <c r="M150" s="345"/>
      <c r="P150" s="345" t="s">
        <v>875</v>
      </c>
      <c r="Q150" s="551">
        <f>+GETPIVOTDATA("Sum of Old-Total Undg CH FTE",'FTE Pivot for regular counts'!$A$2,"State","VA","Category","7","Category2","Two-Year")</f>
        <v>0</v>
      </c>
      <c r="R150" s="551">
        <f>+GETPIVOTDATA("Sum of Old-Total Undg CH FTE",'FTE Pivot for regular counts'!$A$2,"State","VA","Category","8","Category2","Two-Year")</f>
        <v>0</v>
      </c>
      <c r="S150" s="551">
        <f>+GETPIVOTDATA("Sum of Old-Total Undg CH FTE",'FTE Pivot for regular counts'!$A$2,"State","VA","Category","9","Category2","Two-Year")</f>
        <v>0</v>
      </c>
      <c r="T150" s="551">
        <f>+GETPIVOTDATA("Sum of Old-Total Undg CH FTE",'FTE Pivot for regular counts'!$A$2,"State","VA","Category","10","Category2","Two-Year")</f>
        <v>0</v>
      </c>
      <c r="U150" s="549">
        <f>+GETPIVOTDATA("Sum of Old-Total Undg CH FTE",'FTE Pivot for regular counts'!$A$2,"State","VA","Category2","Two-Year")</f>
        <v>0</v>
      </c>
      <c r="V150" s="551">
        <f>+GETPIVOTDATA("Sum of Old-Total Undg CH FTE",'FTE Pivot for regular counts'!$A$2,"State","VA","Category","12","Category2","Technical")</f>
        <v>0</v>
      </c>
      <c r="W150" s="551">
        <f>+GETPIVOTDATA("Sum of Old-Total Undg CH FTE",'FTE Pivot for regular counts'!$A$2,"State","VA","Category","13","Category2","Technical")</f>
        <v>0</v>
      </c>
      <c r="X150" s="551">
        <f>+GETPIVOTDATA("Sum of Old-Total Undg CH FTE",'FTE Pivot for regular counts'!$A$2,"State","VA","Category2","Technical")</f>
        <v>0</v>
      </c>
      <c r="Y150" s="551"/>
    </row>
    <row r="151" spans="1:88" ht="15" customHeight="1">
      <c r="A151" s="461" t="s">
        <v>876</v>
      </c>
      <c r="B151" s="556">
        <f>+GETPIVOTDATA("Sum of New-Total Undg CH FTE",'FTE Pivot for regular counts'!$A$2,"State","WV","Category","7","Category2","Two-Year")</f>
        <v>0</v>
      </c>
      <c r="C151" s="556">
        <f>+GETPIVOTDATA("Sum of New-Total Undg CH FTE",'FTE Pivot for regular counts'!$A$2,"State","WV","Category","8","Category2","Two-Year")</f>
        <v>0</v>
      </c>
      <c r="D151" s="556">
        <f>+GETPIVOTDATA("Sum of New-Total Undg CH FTE",'FTE Pivot for regular counts'!$A$2,"State","WV","Category","9","Category2","Two-Year")</f>
        <v>0</v>
      </c>
      <c r="E151" s="556">
        <f>+GETPIVOTDATA("Sum of New-Total Undg CH FTE",'FTE Pivot for regular counts'!$A$2,"State","WV","Category","10","Category2","Two-Year")</f>
        <v>0</v>
      </c>
      <c r="F151" s="557">
        <f>+GETPIVOTDATA("Sum of New-Total Undg CH FTE",'FTE Pivot for regular counts'!$A$2,"State","WV","Category2","Two-Year")</f>
        <v>0</v>
      </c>
      <c r="G151" s="556">
        <f>+GETPIVOTDATA("Sum of New-Total Undg CH FTE",'FTE Pivot for regular counts'!$A$2,"State","WV","Category","12","Category2","Technical")</f>
        <v>0</v>
      </c>
      <c r="H151" s="558">
        <f>+GETPIVOTDATA("Sum of New-Total Undg CH FTE",'FTE Pivot for regular counts'!$A$2,"State","WV","Category","13","Category2","Technical")</f>
        <v>0</v>
      </c>
      <c r="I151" s="558">
        <f>+GETPIVOTDATA("Sum of New-Total Undg CH FTE",'FTE Pivot for regular counts'!$A$2,"State","WV","Category2","Technical")</f>
        <v>0</v>
      </c>
      <c r="J151" s="553"/>
      <c r="K151" s="553"/>
      <c r="L151" s="269"/>
      <c r="M151" s="345"/>
      <c r="P151" s="461" t="s">
        <v>876</v>
      </c>
      <c r="Q151" s="556">
        <f>+GETPIVOTDATA("Sum of Old-Total Undg CH FTE",'FTE Pivot for regular counts'!$A$2,"State","WV","Category","7","Category2","Two-Year")</f>
        <v>0</v>
      </c>
      <c r="R151" s="556">
        <f>+GETPIVOTDATA("Sum of Old-Total Undg CH FTE",'FTE Pivot for regular counts'!$A$2,"State","WV","Category","8","Category2","Two-Year")</f>
        <v>0</v>
      </c>
      <c r="S151" s="556">
        <f>+GETPIVOTDATA("Sum of Old-Total Undg CH FTE",'FTE Pivot for regular counts'!$A$2,"State","WV","Category","9","Category2","Two-Year")</f>
        <v>0</v>
      </c>
      <c r="T151" s="556">
        <f>+GETPIVOTDATA("Sum of Old-Total Undg CH FTE",'FTE Pivot for regular counts'!$A$2,"State","WV","Category","10","Category2","Two-Year")</f>
        <v>0</v>
      </c>
      <c r="U151" s="557">
        <f>+GETPIVOTDATA("Sum of Old-Total Undg CH FTE",'FTE Pivot for regular counts'!$A$2,"State","WV","Category2","Two-Year")</f>
        <v>0</v>
      </c>
      <c r="V151" s="556">
        <f>+GETPIVOTDATA("Sum of Old-Total Undg CH FTE",'FTE Pivot for regular counts'!$A$2,"State","WV","Category","12","Category2","Technical")</f>
        <v>0</v>
      </c>
      <c r="W151" s="556">
        <f>+GETPIVOTDATA("Sum of Old-Total Undg CH FTE",'FTE Pivot for regular counts'!$A$2,"State","WV","Category","13","Category2","Technical")</f>
        <v>0</v>
      </c>
      <c r="X151" s="556">
        <f>+GETPIVOTDATA("Sum of Old-Total Undg CH FTE",'FTE Pivot for regular counts'!$A$2,"State","WV","Category2","Technical")</f>
        <v>0</v>
      </c>
      <c r="Y151" s="551"/>
    </row>
    <row r="152" spans="1:88" s="460" customFormat="1" ht="36" customHeight="1">
      <c r="A152" s="757" t="s">
        <v>877</v>
      </c>
      <c r="B152" s="757"/>
      <c r="C152" s="757"/>
      <c r="D152" s="757"/>
      <c r="E152" s="757"/>
      <c r="F152" s="757"/>
      <c r="G152" s="757"/>
      <c r="H152" s="757"/>
      <c r="I152" s="757"/>
      <c r="J152" s="496"/>
      <c r="K152" s="495"/>
      <c r="L152" s="495"/>
    </row>
    <row r="153" spans="1:88" ht="10.5" customHeight="1">
      <c r="I153" s="477" t="s">
        <v>956</v>
      </c>
      <c r="J153" s="498"/>
      <c r="K153" s="535"/>
      <c r="L153" s="535"/>
      <c r="M153" s="345"/>
    </row>
    <row r="154" spans="1:88" ht="18">
      <c r="A154" s="499" t="s">
        <v>895</v>
      </c>
      <c r="B154" s="499"/>
      <c r="C154" s="499"/>
      <c r="D154" s="499"/>
      <c r="E154" s="499"/>
      <c r="F154" s="499"/>
      <c r="G154" s="499"/>
      <c r="H154" s="499"/>
      <c r="I154" s="499"/>
      <c r="J154" s="499"/>
      <c r="K154" s="499"/>
      <c r="L154" s="498"/>
      <c r="M154" s="345"/>
      <c r="P154" s="270"/>
      <c r="Q154" s="270"/>
      <c r="R154" s="270"/>
      <c r="S154" s="270"/>
      <c r="T154" s="270"/>
      <c r="U154" s="270"/>
      <c r="V154" s="270"/>
      <c r="W154" s="270"/>
      <c r="X154" s="270"/>
      <c r="Y154" s="270"/>
      <c r="Z154" s="270"/>
      <c r="AA154" s="270"/>
      <c r="AB154" s="270"/>
      <c r="AC154" s="270"/>
      <c r="AD154" s="412"/>
      <c r="AE154" s="559"/>
      <c r="AF154" s="559"/>
      <c r="AG154" s="559"/>
      <c r="AH154" s="559"/>
      <c r="AI154" s="270"/>
      <c r="AT154" s="270"/>
      <c r="AU154" s="270"/>
      <c r="AV154" s="460"/>
      <c r="AW154" s="460"/>
      <c r="AX154" s="460"/>
      <c r="AY154" s="460"/>
      <c r="AZ154" s="460"/>
      <c r="BA154" s="460"/>
      <c r="BB154" s="460"/>
      <c r="BC154" s="460"/>
      <c r="BD154" s="460"/>
      <c r="BE154" s="460"/>
      <c r="BF154" s="460"/>
      <c r="BG154" s="460"/>
      <c r="BK154" s="270"/>
      <c r="BL154" s="270"/>
      <c r="BM154" s="270"/>
      <c r="BN154" s="270"/>
      <c r="BO154" s="270"/>
      <c r="BP154" s="270"/>
      <c r="BQ154" s="270"/>
      <c r="BR154" s="270"/>
      <c r="BS154" s="270"/>
      <c r="BT154" s="270"/>
      <c r="BU154" s="270"/>
      <c r="BV154" s="270"/>
      <c r="BW154" s="270"/>
      <c r="BX154" s="270"/>
      <c r="BY154" s="270"/>
      <c r="BZ154" s="270"/>
      <c r="CA154" s="270"/>
      <c r="CB154" s="270"/>
      <c r="CC154" s="270"/>
      <c r="CD154" s="270"/>
      <c r="CE154" s="270"/>
      <c r="CF154" s="270"/>
      <c r="CG154" s="270"/>
      <c r="CH154" s="270"/>
      <c r="CI154" s="270"/>
      <c r="CJ154" s="270"/>
    </row>
    <row r="155" spans="1:88" s="270" customFormat="1" ht="15.75" customHeight="1">
      <c r="A155" s="401"/>
      <c r="B155" s="401"/>
      <c r="C155" s="401"/>
      <c r="D155" s="401"/>
      <c r="E155" s="401"/>
      <c r="F155" s="401"/>
      <c r="G155" s="401"/>
      <c r="H155" s="402"/>
      <c r="I155" s="401"/>
      <c r="J155" s="402"/>
      <c r="K155" s="402"/>
      <c r="L155" s="560"/>
      <c r="P155" s="345"/>
      <c r="Q155" s="345"/>
      <c r="R155" s="345"/>
      <c r="S155" s="345"/>
      <c r="T155" s="345"/>
      <c r="U155" s="345"/>
      <c r="V155" s="345"/>
      <c r="W155" s="345"/>
      <c r="X155" s="345"/>
      <c r="Y155" s="345"/>
      <c r="Z155" s="345"/>
      <c r="AA155" s="345"/>
      <c r="AB155" s="345"/>
      <c r="AC155" s="559"/>
      <c r="AD155" s="345"/>
      <c r="AE155" s="345"/>
      <c r="AF155" s="345"/>
      <c r="AG155" s="345"/>
      <c r="AH155" s="345"/>
      <c r="AI155" s="559"/>
      <c r="AJ155" s="345"/>
      <c r="AK155" s="345"/>
      <c r="AL155" s="345"/>
      <c r="AM155" s="345"/>
      <c r="AN155" s="345"/>
      <c r="AO155" s="345"/>
      <c r="AP155" s="345"/>
      <c r="AQ155" s="345"/>
      <c r="AR155" s="345"/>
      <c r="AS155" s="345"/>
      <c r="AT155" s="345"/>
      <c r="AU155" s="345"/>
      <c r="AV155" s="345"/>
      <c r="AW155" s="345"/>
      <c r="AX155" s="345"/>
      <c r="AY155" s="345"/>
      <c r="AZ155" s="345"/>
      <c r="BA155" s="345"/>
      <c r="BB155" s="345"/>
      <c r="BC155" s="345"/>
      <c r="BD155" s="345"/>
      <c r="BE155" s="345"/>
      <c r="BF155" s="345"/>
      <c r="BG155" s="345"/>
      <c r="BH155" s="345"/>
      <c r="BI155" s="345"/>
      <c r="BJ155" s="345"/>
      <c r="BK155" s="345"/>
      <c r="BL155" s="345"/>
      <c r="BM155" s="345"/>
      <c r="BN155" s="345"/>
      <c r="BO155" s="345"/>
      <c r="BP155" s="345"/>
      <c r="BQ155" s="345"/>
      <c r="BR155" s="345"/>
      <c r="BS155" s="345"/>
      <c r="BT155" s="345"/>
      <c r="BU155" s="345"/>
      <c r="BV155" s="345"/>
      <c r="BW155" s="345"/>
      <c r="BX155" s="345"/>
      <c r="BY155" s="345"/>
      <c r="BZ155" s="345"/>
      <c r="CA155" s="345"/>
      <c r="CB155" s="345"/>
      <c r="CC155" s="345"/>
      <c r="CD155" s="345"/>
      <c r="CE155" s="345"/>
      <c r="CF155" s="345"/>
      <c r="CG155" s="345"/>
      <c r="CH155" s="345"/>
      <c r="CI155" s="345"/>
      <c r="CJ155" s="345"/>
    </row>
    <row r="156" spans="1:88" ht="18.75" customHeight="1">
      <c r="A156" s="478" t="s">
        <v>882</v>
      </c>
      <c r="B156" s="478"/>
      <c r="C156" s="478"/>
      <c r="D156" s="478"/>
      <c r="E156" s="478"/>
      <c r="F156" s="478"/>
      <c r="G156" s="478"/>
      <c r="H156" s="478"/>
      <c r="I156" s="478"/>
      <c r="J156" s="478"/>
      <c r="K156" s="478"/>
      <c r="L156" s="402"/>
      <c r="M156" s="345"/>
      <c r="AC156" s="561"/>
      <c r="AD156" s="561"/>
      <c r="AE156" s="561"/>
      <c r="AF156" s="561"/>
      <c r="AG156" s="561"/>
      <c r="AH156" s="561"/>
      <c r="AI156" s="561"/>
      <c r="AN156" s="460"/>
      <c r="AO156" s="460"/>
      <c r="AP156" s="460"/>
      <c r="AQ156" s="460"/>
      <c r="AR156" s="412" t="s">
        <v>842</v>
      </c>
      <c r="AY156" s="412" t="s">
        <v>842</v>
      </c>
      <c r="BE156" s="460"/>
      <c r="BF156" s="460"/>
      <c r="BG156" s="460"/>
    </row>
    <row r="157" spans="1:88" ht="15.75">
      <c r="A157" s="405" t="s">
        <v>959</v>
      </c>
      <c r="B157" s="478"/>
      <c r="C157" s="478"/>
      <c r="D157" s="478"/>
      <c r="E157" s="478"/>
      <c r="F157" s="478"/>
      <c r="G157" s="478"/>
      <c r="H157" s="478"/>
      <c r="I157" s="478"/>
      <c r="J157" s="478"/>
      <c r="K157" s="478"/>
      <c r="L157" s="509"/>
      <c r="M157" s="345"/>
      <c r="Q157" s="411" t="s">
        <v>841</v>
      </c>
      <c r="AC157" s="561"/>
      <c r="AD157" s="561"/>
      <c r="AE157" s="561"/>
      <c r="AF157" s="561"/>
      <c r="AG157" s="561"/>
      <c r="AH157" s="561"/>
      <c r="AI157" s="561"/>
      <c r="AR157" s="418" t="s">
        <v>844</v>
      </c>
      <c r="AY157" s="418" t="s">
        <v>841</v>
      </c>
    </row>
    <row r="158" spans="1:88" ht="15.75">
      <c r="B158" s="409"/>
      <c r="C158" s="409"/>
      <c r="D158" s="409"/>
      <c r="E158" s="562"/>
      <c r="F158" s="409"/>
      <c r="G158" s="562"/>
      <c r="H158" s="563"/>
      <c r="I158" s="562"/>
      <c r="J158" s="563"/>
      <c r="K158" s="563"/>
      <c r="L158" s="509"/>
      <c r="M158" s="510"/>
      <c r="P158" s="461"/>
      <c r="Q158" s="564" t="s">
        <v>843</v>
      </c>
      <c r="R158" s="461"/>
      <c r="S158" s="461"/>
      <c r="T158" s="461"/>
      <c r="U158" s="461"/>
      <c r="V158" s="461"/>
      <c r="W158" s="461"/>
      <c r="X158" s="461"/>
      <c r="Y158" s="461"/>
      <c r="Z158" s="461"/>
      <c r="AA158" s="461"/>
      <c r="AC158" s="561"/>
      <c r="AD158" s="565" t="s">
        <v>896</v>
      </c>
      <c r="AE158" s="561"/>
      <c r="AF158" s="561"/>
      <c r="AG158" s="561"/>
      <c r="AH158" s="561"/>
      <c r="AI158" s="561"/>
      <c r="AJ158" s="566"/>
      <c r="AK158" s="567" t="s">
        <v>896</v>
      </c>
      <c r="AL158" s="568"/>
      <c r="AM158" s="568"/>
      <c r="AN158" s="568"/>
      <c r="AO158" s="568"/>
      <c r="AP158" s="568"/>
      <c r="AQ158" s="460"/>
      <c r="AR158" s="461"/>
      <c r="AS158" s="461" t="s">
        <v>897</v>
      </c>
      <c r="AT158" s="461">
        <v>1</v>
      </c>
      <c r="AU158" s="461">
        <v>2</v>
      </c>
      <c r="AV158" s="461">
        <v>3</v>
      </c>
      <c r="AW158" s="461" t="s">
        <v>845</v>
      </c>
      <c r="AY158" s="461"/>
      <c r="AZ158" s="461" t="s">
        <v>897</v>
      </c>
      <c r="BA158" s="461">
        <v>1</v>
      </c>
      <c r="BB158" s="461">
        <v>2</v>
      </c>
      <c r="BC158" s="461">
        <v>3</v>
      </c>
      <c r="BD158" s="461" t="s">
        <v>845</v>
      </c>
      <c r="BE158" s="460"/>
      <c r="BF158" s="460"/>
      <c r="BG158" s="460"/>
    </row>
    <row r="159" spans="1:88" ht="12.75" customHeight="1" thickBot="1">
      <c r="A159" s="419"/>
      <c r="B159" s="569" t="s">
        <v>892</v>
      </c>
      <c r="C159" s="422"/>
      <c r="D159" s="570">
        <v>1</v>
      </c>
      <c r="F159" s="571">
        <v>2</v>
      </c>
      <c r="H159" s="571">
        <v>3</v>
      </c>
      <c r="J159" s="571" t="s">
        <v>845</v>
      </c>
      <c r="K159" s="572"/>
      <c r="L159" s="410"/>
      <c r="M159" s="410"/>
      <c r="N159" s="460"/>
      <c r="O159" s="460"/>
      <c r="P159" s="425"/>
      <c r="Q159" s="425"/>
      <c r="R159" s="425" t="s">
        <v>898</v>
      </c>
      <c r="S159" s="425"/>
      <c r="T159" s="426" t="s">
        <v>899</v>
      </c>
      <c r="U159" s="425"/>
      <c r="V159" s="426">
        <v>2</v>
      </c>
      <c r="W159" s="425"/>
      <c r="X159" s="426">
        <v>3</v>
      </c>
      <c r="Y159" s="425"/>
      <c r="Z159" s="426" t="s">
        <v>900</v>
      </c>
      <c r="AA159" s="425"/>
      <c r="AC159" s="561"/>
      <c r="AD159" s="573" t="s">
        <v>889</v>
      </c>
      <c r="AE159" s="573"/>
      <c r="AF159" s="574"/>
      <c r="AG159" s="574"/>
      <c r="AH159" s="574"/>
      <c r="AI159" s="574"/>
      <c r="AJ159" s="575"/>
      <c r="AK159" s="576" t="s">
        <v>889</v>
      </c>
      <c r="AL159" s="576"/>
      <c r="AM159" s="577"/>
      <c r="AN159" s="577"/>
      <c r="AO159" s="577"/>
      <c r="AP159" s="577"/>
    </row>
    <row r="160" spans="1:88" ht="78" customHeight="1" thickBot="1">
      <c r="A160" s="578"/>
      <c r="B160" s="572" t="s">
        <v>848</v>
      </c>
      <c r="C160" s="430" t="s">
        <v>849</v>
      </c>
      <c r="D160" s="579" t="s">
        <v>848</v>
      </c>
      <c r="E160" s="430" t="s">
        <v>849</v>
      </c>
      <c r="F160" s="579" t="s">
        <v>848</v>
      </c>
      <c r="G160" s="430" t="s">
        <v>849</v>
      </c>
      <c r="H160" s="579" t="s">
        <v>848</v>
      </c>
      <c r="I160" s="430" t="s">
        <v>849</v>
      </c>
      <c r="J160" s="579" t="s">
        <v>848</v>
      </c>
      <c r="K160" s="430" t="s">
        <v>849</v>
      </c>
      <c r="Q160" s="461"/>
      <c r="R160" s="435" t="s">
        <v>901</v>
      </c>
      <c r="S160" s="435" t="s">
        <v>851</v>
      </c>
      <c r="T160" s="436" t="s">
        <v>901</v>
      </c>
      <c r="U160" s="435" t="s">
        <v>851</v>
      </c>
      <c r="V160" s="436" t="s">
        <v>901</v>
      </c>
      <c r="W160" s="435" t="s">
        <v>851</v>
      </c>
      <c r="X160" s="436" t="s">
        <v>901</v>
      </c>
      <c r="Y160" s="435" t="s">
        <v>851</v>
      </c>
      <c r="Z160" s="436" t="s">
        <v>901</v>
      </c>
      <c r="AA160" s="435" t="s">
        <v>851</v>
      </c>
      <c r="AC160" s="580" t="s">
        <v>844</v>
      </c>
      <c r="AD160" s="581" t="s">
        <v>892</v>
      </c>
      <c r="AE160" s="582">
        <v>1</v>
      </c>
      <c r="AF160" s="583">
        <v>2</v>
      </c>
      <c r="AG160" s="583">
        <v>3</v>
      </c>
      <c r="AH160" s="581" t="s">
        <v>902</v>
      </c>
      <c r="AI160" s="583" t="s">
        <v>845</v>
      </c>
      <c r="AJ160" s="584" t="s">
        <v>841</v>
      </c>
      <c r="AK160" s="585" t="s">
        <v>892</v>
      </c>
      <c r="AL160" s="586">
        <v>1</v>
      </c>
      <c r="AM160" s="586">
        <v>2</v>
      </c>
      <c r="AN160" s="586">
        <v>3</v>
      </c>
      <c r="AO160" s="586" t="s">
        <v>902</v>
      </c>
      <c r="AP160" s="586" t="s">
        <v>845</v>
      </c>
      <c r="AQ160" s="460"/>
      <c r="AR160" s="461"/>
      <c r="AS160" s="437" t="s">
        <v>852</v>
      </c>
      <c r="AT160" s="437" t="s">
        <v>852</v>
      </c>
      <c r="AU160" s="437" t="s">
        <v>852</v>
      </c>
      <c r="AV160" s="437" t="s">
        <v>852</v>
      </c>
      <c r="AW160" s="437" t="s">
        <v>852</v>
      </c>
      <c r="AY160" s="461"/>
      <c r="AZ160" s="437" t="s">
        <v>852</v>
      </c>
      <c r="BA160" s="437" t="s">
        <v>852</v>
      </c>
      <c r="BB160" s="437" t="s">
        <v>852</v>
      </c>
      <c r="BC160" s="437" t="s">
        <v>852</v>
      </c>
      <c r="BD160" s="437" t="s">
        <v>852</v>
      </c>
      <c r="BE160" s="460"/>
      <c r="BF160" s="460"/>
      <c r="BG160" s="460"/>
    </row>
    <row r="161" spans="1:88" ht="12.75" customHeight="1">
      <c r="A161" s="345" t="s">
        <v>853</v>
      </c>
      <c r="B161" s="548">
        <f>+'NEW-Tables 80-86'!B101+'NEW-Tables 80-86'!B131</f>
        <v>322426.65111111104</v>
      </c>
      <c r="D161" s="587">
        <f>+'NEW-Tables 80-86'!C101+'NEW-Tables 80-86'!C131</f>
        <v>793385.09055555542</v>
      </c>
      <c r="F161" s="587">
        <f>+'NEW-Tables 80-86'!D101+'NEW-Tables 80-86'!D131</f>
        <v>377195.86133333331</v>
      </c>
      <c r="H161" s="588">
        <f>+'NEW-Tables 80-86'!E101+'NEW-Tables 80-86'!E131</f>
        <v>137562.85244444443</v>
      </c>
      <c r="J161" s="587">
        <f>+'NEW-Tables 80-86'!F101+'NEW-Tables 80-86'!F131</f>
        <v>1630570.4554444444</v>
      </c>
      <c r="K161" s="345"/>
      <c r="Q161" s="345" t="s">
        <v>853</v>
      </c>
      <c r="R161" s="589"/>
      <c r="S161" s="590">
        <f>C161-R161</f>
        <v>0</v>
      </c>
      <c r="T161" s="444"/>
      <c r="U161" s="590">
        <f>E161-T161</f>
        <v>0</v>
      </c>
      <c r="V161" s="444"/>
      <c r="W161" s="590">
        <f>G161-V161</f>
        <v>0</v>
      </c>
      <c r="X161" s="444"/>
      <c r="Y161" s="590">
        <f>I161-X161</f>
        <v>0</v>
      </c>
      <c r="Z161" s="444"/>
      <c r="AA161" s="590">
        <f>K161-Z161</f>
        <v>0</v>
      </c>
      <c r="AC161" s="561" t="s">
        <v>853</v>
      </c>
      <c r="AD161" s="591">
        <f t="shared" ref="AD161:AI161" si="20">SUM(AD163:AD181)</f>
        <v>322426.65111111104</v>
      </c>
      <c r="AE161" s="591">
        <f t="shared" si="20"/>
        <v>721876.78499999992</v>
      </c>
      <c r="AF161" s="591">
        <f t="shared" si="20"/>
        <v>365535.47133333335</v>
      </c>
      <c r="AG161" s="591">
        <f t="shared" si="20"/>
        <v>135614.51022222222</v>
      </c>
      <c r="AH161" s="591">
        <f t="shared" si="20"/>
        <v>195642.1211111111</v>
      </c>
      <c r="AI161" s="591">
        <f t="shared" si="20"/>
        <v>1630570.4554444442</v>
      </c>
      <c r="AJ161" s="575" t="s">
        <v>853</v>
      </c>
      <c r="AK161" s="592">
        <f t="shared" ref="AK161:AP161" si="21">SUM(AK163:AK181)</f>
        <v>328890.57555555552</v>
      </c>
      <c r="AL161" s="592">
        <f t="shared" si="21"/>
        <v>679033.36188888876</v>
      </c>
      <c r="AM161" s="592">
        <f t="shared" si="21"/>
        <v>338322.9071111111</v>
      </c>
      <c r="AN161" s="592">
        <f t="shared" si="21"/>
        <v>136679.59700000001</v>
      </c>
      <c r="AO161" s="592">
        <f t="shared" si="21"/>
        <v>199453.22555555557</v>
      </c>
      <c r="AP161" s="592">
        <f t="shared" si="21"/>
        <v>1675156.1337777779</v>
      </c>
      <c r="AR161" s="345" t="s">
        <v>853</v>
      </c>
      <c r="AY161" s="345" t="s">
        <v>853</v>
      </c>
      <c r="BH161" s="593"/>
      <c r="BI161" s="593"/>
      <c r="BJ161" s="593"/>
    </row>
    <row r="162" spans="1:88" ht="12.75" customHeight="1">
      <c r="A162" s="594"/>
      <c r="B162" s="595"/>
      <c r="C162" s="596" t="s">
        <v>903</v>
      </c>
      <c r="D162" s="597" t="s">
        <v>891</v>
      </c>
      <c r="E162" s="596" t="s">
        <v>904</v>
      </c>
      <c r="F162" s="597" t="s">
        <v>891</v>
      </c>
      <c r="G162" s="598" t="s">
        <v>905</v>
      </c>
      <c r="H162" s="599" t="s">
        <v>891</v>
      </c>
      <c r="I162" s="598" t="s">
        <v>906</v>
      </c>
      <c r="J162" s="599" t="s">
        <v>891</v>
      </c>
      <c r="K162" s="596" t="s">
        <v>907</v>
      </c>
      <c r="L162" s="270" t="s">
        <v>891</v>
      </c>
      <c r="P162" s="593"/>
      <c r="R162" s="449" t="s">
        <v>908</v>
      </c>
      <c r="S162" s="600"/>
      <c r="T162" s="451" t="s">
        <v>909</v>
      </c>
      <c r="U162" s="600"/>
      <c r="V162" s="451" t="s">
        <v>910</v>
      </c>
      <c r="W162" s="600"/>
      <c r="X162" s="451" t="s">
        <v>911</v>
      </c>
      <c r="Y162" s="600"/>
      <c r="Z162" s="451" t="s">
        <v>912</v>
      </c>
      <c r="AA162" s="600"/>
      <c r="AB162" s="593"/>
      <c r="AC162" s="561"/>
      <c r="AD162" s="591"/>
      <c r="AE162" s="591"/>
      <c r="AF162" s="591"/>
      <c r="AG162" s="591"/>
      <c r="AH162" s="591"/>
      <c r="AI162" s="591"/>
      <c r="AJ162" s="575"/>
      <c r="AK162" s="592"/>
      <c r="AL162" s="601"/>
      <c r="AM162" s="601"/>
      <c r="AN162" s="568"/>
      <c r="AO162" s="568"/>
      <c r="AP162" s="568"/>
      <c r="AQ162" s="460"/>
      <c r="BE162" s="460"/>
      <c r="BF162" s="460"/>
      <c r="BG162" s="460"/>
      <c r="BK162" s="593"/>
      <c r="BL162" s="593"/>
      <c r="BM162" s="593"/>
      <c r="BN162" s="593"/>
      <c r="BO162" s="593"/>
      <c r="BP162" s="593"/>
      <c r="BQ162" s="593"/>
      <c r="BR162" s="593"/>
      <c r="BS162" s="593"/>
      <c r="BT162" s="593"/>
      <c r="BU162" s="593"/>
      <c r="BV162" s="593"/>
      <c r="BW162" s="593"/>
      <c r="BX162" s="593"/>
      <c r="BY162" s="593"/>
      <c r="BZ162" s="593"/>
      <c r="CA162" s="593"/>
      <c r="CB162" s="593"/>
      <c r="CC162" s="593"/>
      <c r="CD162" s="593"/>
      <c r="CE162" s="593"/>
      <c r="CF162" s="593"/>
      <c r="CG162" s="593"/>
      <c r="CH162" s="593"/>
      <c r="CI162" s="593"/>
      <c r="CJ162" s="593"/>
    </row>
    <row r="163" spans="1:88" s="593" customFormat="1" ht="15" customHeight="1">
      <c r="A163" s="345" t="s">
        <v>861</v>
      </c>
      <c r="B163" s="548">
        <f>+'NEW-Tables 80-86'!B103+'NEW-Tables 80-86'!B133</f>
        <v>0</v>
      </c>
      <c r="C163" s="602">
        <f>+GETPIVOTDATA("Sum of New-HS % of Total",'Pivot-HS Student % of Undergrad'!$A$3,"State","AL","Category",7,"Category2","Two-Year")</f>
        <v>0</v>
      </c>
      <c r="D163" s="587">
        <f>+'NEW-Tables 80-86'!C103+'NEW-Tables 80-86'!C133</f>
        <v>12526.7</v>
      </c>
      <c r="E163" s="602">
        <f>+GETPIVOTDATA("Sum of New-HS % of Total",'Pivot-HS Student % of Undergrad'!$A$3,"State","AL","Category",8,"Category2","Two-Year")</f>
        <v>5.1537915013531096E-2</v>
      </c>
      <c r="F163" s="587">
        <f>+'NEW-Tables 80-86'!D103+'NEW-Tables 80-86'!D133</f>
        <v>34915.133333333331</v>
      </c>
      <c r="G163" s="602">
        <f>+GETPIVOTDATA("Sum of New-HS % of Total",'Pivot-HS Student % of Undergrad'!$A$3,"State","AL","Category",9,"Category2","Two-Year")</f>
        <v>4.2396133863635062E-2</v>
      </c>
      <c r="H163" s="587">
        <f>+'NEW-Tables 80-86'!E103+'NEW-Tables 80-86'!E133</f>
        <v>10938.733333333334</v>
      </c>
      <c r="I163" s="602">
        <f>+GETPIVOTDATA("Sum of New-HS % of Total",'Pivot-HS Student % of Undergrad'!$A$3,"State","AL","Category",10,"Category2","Two-Year")</f>
        <v>5.342330921922709E-2</v>
      </c>
      <c r="J163" s="587">
        <f>+'NEW-Tables 80-86'!F103+'NEW-Tables 80-86'!F133</f>
        <v>58380.566666666666</v>
      </c>
      <c r="K163" s="602">
        <f>+GETPIVOTDATA("Sum of New-HS % of Total",'Pivot-HS Student % of Undergrad'!$A$3,"State","AL","Category2","Group2")</f>
        <v>4.6423838526176237E-2</v>
      </c>
      <c r="L163" s="593" t="s">
        <v>891</v>
      </c>
      <c r="P163" s="345"/>
      <c r="Q163" s="345" t="s">
        <v>861</v>
      </c>
      <c r="R163" s="454">
        <f>+GETPIVOTDATA("Sum of Old-HS % of Total",'Pivot-HS Student % of Undergrad'!$A$3,"State","AL","Category",7,"Category2","Two-Year")</f>
        <v>0</v>
      </c>
      <c r="S163" s="603">
        <f>(C163-R163)*100</f>
        <v>0</v>
      </c>
      <c r="T163" s="444">
        <f>+GETPIVOTDATA("Sum of Old-HS % of Total",'Pivot-HS Student % of Undergrad'!$A$3,"State","AL","Category",8,"Category2","Two-Year")</f>
        <v>4.336031469072963E-2</v>
      </c>
      <c r="U163" s="603">
        <f>(E163-T163)*100</f>
        <v>0.8177600322801466</v>
      </c>
      <c r="V163" s="444">
        <f>+GETPIVOTDATA("Sum of Old-HS % of Total",'Pivot-HS Student % of Undergrad'!$A$3,"State","AL","Category",9,"Category2","Two-Year")</f>
        <v>3.9637279464714355E-2</v>
      </c>
      <c r="W163" s="603">
        <f>(G163-V163)*100</f>
        <v>0.27588543989207071</v>
      </c>
      <c r="X163" s="444">
        <f>+GETPIVOTDATA("Sum of Old-HS % of Total",'Pivot-HS Student % of Undergrad'!$A$3,"State","AL","Category",10,"Category2","Two-Year")</f>
        <v>4.8324923631213573E-2</v>
      </c>
      <c r="Y163" s="603">
        <f>(I163-X163)*100</f>
        <v>0.50983855880135165</v>
      </c>
      <c r="Z163" s="444">
        <f>+GETPIVOTDATA("Sum of Old-HS % of Total",'Pivot-HS Student % of Undergrad'!$A$3,"State","AL","Category2","Two-Year")</f>
        <v>4.2079209302507324E-2</v>
      </c>
      <c r="AA163" s="603">
        <f>(K163-Z163)*100</f>
        <v>0.43446292236689121</v>
      </c>
      <c r="AB163" s="345"/>
      <c r="AC163" s="561" t="s">
        <v>861</v>
      </c>
      <c r="AD163" s="591">
        <f>+B163</f>
        <v>0</v>
      </c>
      <c r="AE163" s="591">
        <f>+D163</f>
        <v>12526.7</v>
      </c>
      <c r="AF163" s="591">
        <f>+F163</f>
        <v>34915.133333333331</v>
      </c>
      <c r="AG163" s="591">
        <f>+H163</f>
        <v>10938.733333333334</v>
      </c>
      <c r="AH163" s="591"/>
      <c r="AI163" s="591">
        <f>+J163</f>
        <v>58380.566666666666</v>
      </c>
      <c r="AJ163" s="575" t="s">
        <v>861</v>
      </c>
      <c r="AK163" s="592">
        <f>+'NEW-Tables 80-86'!R103+'NEW-Tables 80-86'!Q133</f>
        <v>0</v>
      </c>
      <c r="AL163" s="592">
        <f>+'NEW-Tables 80-86'!S103+'NEW-Tables 80-86'!R133</f>
        <v>12914.266666666666</v>
      </c>
      <c r="AM163" s="592">
        <f>+'NEW-Tables 80-86'!T103+'NEW-Tables 80-86'!S133</f>
        <v>35549.866666666669</v>
      </c>
      <c r="AN163" s="592">
        <f>+'NEW-Tables 80-86'!U103+'NEW-Tables 80-86'!T133</f>
        <v>11250.233333333334</v>
      </c>
      <c r="AO163" s="592"/>
      <c r="AP163" s="604">
        <f>+'NEW-Tables 80-86'!V103+'NEW-Tables 80-86'!U133</f>
        <v>59714.366666666669</v>
      </c>
      <c r="AQ163" s="345"/>
      <c r="AR163" s="345" t="s">
        <v>861</v>
      </c>
      <c r="AS163" s="605">
        <f>C163*100</f>
        <v>0</v>
      </c>
      <c r="AT163" s="605">
        <f>E163*100</f>
        <v>5.1537915013531093</v>
      </c>
      <c r="AU163" s="605">
        <f>G163*100</f>
        <v>4.2396133863635059</v>
      </c>
      <c r="AV163" s="605">
        <f>I163*100</f>
        <v>5.3423309219227093</v>
      </c>
      <c r="AW163" s="605">
        <f>K163*100</f>
        <v>4.6423838526176233</v>
      </c>
      <c r="AY163" s="345" t="s">
        <v>861</v>
      </c>
      <c r="AZ163" s="605">
        <f>R163*100</f>
        <v>0</v>
      </c>
      <c r="BA163" s="605">
        <f>T163*100</f>
        <v>4.3360314690729629</v>
      </c>
      <c r="BB163" s="605">
        <f>V163*100</f>
        <v>3.9637279464714354</v>
      </c>
      <c r="BC163" s="605">
        <f>X163*100</f>
        <v>4.8324923631213572</v>
      </c>
      <c r="BD163" s="605">
        <f>Z163*100</f>
        <v>4.2079209302507321</v>
      </c>
      <c r="BE163" s="345"/>
      <c r="BF163" s="345"/>
      <c r="BG163" s="345"/>
      <c r="BH163" s="345"/>
      <c r="BI163" s="345"/>
      <c r="BJ163" s="345"/>
      <c r="BK163" s="345"/>
      <c r="BL163" s="345"/>
      <c r="BM163" s="345"/>
      <c r="BN163" s="345"/>
      <c r="BO163" s="345"/>
      <c r="BP163" s="345"/>
      <c r="BQ163" s="345"/>
      <c r="BR163" s="345"/>
      <c r="BS163" s="345"/>
      <c r="BT163" s="345"/>
      <c r="BU163" s="345"/>
      <c r="BV163" s="345"/>
      <c r="BW163" s="345"/>
      <c r="BX163" s="345"/>
      <c r="BY163" s="345"/>
      <c r="BZ163" s="345"/>
      <c r="CA163" s="345"/>
      <c r="CB163" s="345"/>
      <c r="CC163" s="345"/>
      <c r="CD163" s="345"/>
      <c r="CE163" s="345"/>
      <c r="CF163" s="345"/>
      <c r="CG163" s="345"/>
      <c r="CH163" s="345"/>
      <c r="CI163" s="345"/>
      <c r="CJ163" s="345"/>
    </row>
    <row r="164" spans="1:88" ht="15" customHeight="1">
      <c r="A164" s="345" t="s">
        <v>862</v>
      </c>
      <c r="B164" s="551">
        <f>+'NEW-Tables 80-86'!B104+'NEW-Tables 80-86'!B134</f>
        <v>0</v>
      </c>
      <c r="C164" s="602">
        <f>+GETPIVOTDATA("Sum of New-HS % of Total",'Pivot-HS Student % of Undergrad'!$A$3,"State","AR","Category",7,"Category2","Two-Year")</f>
        <v>0</v>
      </c>
      <c r="D164" s="587">
        <f>+'NEW-Tables 80-86'!C104+'NEW-Tables 80-86'!C134</f>
        <v>9710.2999999999993</v>
      </c>
      <c r="E164" s="602">
        <f>+GETPIVOTDATA("Sum of New-HS % of Total",'Pivot-HS Student % of Undergrad'!$A$3,"State","AR","Category",8,"Category2","Two-Year")</f>
        <v>8.1034228259339744E-2</v>
      </c>
      <c r="F164" s="587">
        <f>+'NEW-Tables 80-86'!D104+'NEW-Tables 80-86'!D134</f>
        <v>4742.6333333333332</v>
      </c>
      <c r="G164" s="602">
        <f>+GETPIVOTDATA("Sum of New-HS % of Total",'Pivot-HS Student % of Undergrad'!$A$3,"State","AR","Category",9,"Category2","Two-Year")</f>
        <v>0.10932041973868245</v>
      </c>
      <c r="H164" s="587">
        <f>+'NEW-Tables 80-86'!E104+'NEW-Tables 80-86'!E134</f>
        <v>18856.633333333335</v>
      </c>
      <c r="I164" s="602">
        <f>+GETPIVOTDATA("Sum of New-HS % of Total",'Pivot-HS Student % of Undergrad'!$A$3,"State","AR","Category",10,"Category2","Two-Year")</f>
        <v>0.14733100111543418</v>
      </c>
      <c r="J164" s="587">
        <f>+'NEW-Tables 80-86'!F104+'NEW-Tables 80-86'!F134</f>
        <v>33309.566666666666</v>
      </c>
      <c r="K164" s="602">
        <f>+GETPIVOTDATA("Sum of New-HS % of Total",'Pivot-HS Student % of Undergrad'!$A$3,"State","AR","Category2","Group2")</f>
        <v>0.12259240838718007</v>
      </c>
      <c r="Q164" s="270" t="s">
        <v>862</v>
      </c>
      <c r="R164" s="454">
        <f>+GETPIVOTDATA("Sum of Old-HS % of Total",'Pivot-HS Student % of Undergrad'!$A$3,"State","AR","Category",7,"Category2","Two-Year")</f>
        <v>0</v>
      </c>
      <c r="S164" s="603">
        <f t="shared" ref="S164:S181" si="22">(C164-R164)*100</f>
        <v>0</v>
      </c>
      <c r="T164" s="444">
        <f>+GETPIVOTDATA("Sum of Old-HS % of Total",'Pivot-HS Student % of Undergrad'!$A$3,"State","AR","Category",8,"Category2","Two-Year")</f>
        <v>6.3400260870381198E-2</v>
      </c>
      <c r="U164" s="603">
        <f t="shared" ref="U164:U181" si="23">(E164-T164)*100</f>
        <v>1.7633967388958547</v>
      </c>
      <c r="V164" s="444">
        <f>+GETPIVOTDATA("Sum of Old-HS % of Total",'Pivot-HS Student % of Undergrad'!$A$3,"State","AR","Category",9,"Category2","Two-Year")</f>
        <v>0.10315803740851179</v>
      </c>
      <c r="W164" s="603">
        <f t="shared" ref="W164:W181" si="24">(G164-V164)*100</f>
        <v>0.61623823301706626</v>
      </c>
      <c r="X164" s="444">
        <f>+GETPIVOTDATA("Sum of Old-HS % of Total",'Pivot-HS Student % of Undergrad'!$A$3,"State","AR","Category",10,"Category2","Two-Year")</f>
        <v>0.13559973676007067</v>
      </c>
      <c r="Y164" s="603">
        <f t="shared" ref="Y164:Y181" si="25">(I164-X164)*100</f>
        <v>1.1731264355363509</v>
      </c>
      <c r="Z164" s="444">
        <f>+GETPIVOTDATA("Sum of Old-HS % of Total",'Pivot-HS Student % of Undergrad'!$A$3,"State","AR","Category2","Two-Year")</f>
        <v>0.10892245369151672</v>
      </c>
      <c r="AA164" s="603">
        <f t="shared" ref="AA164:AA181" si="26">(K164-Z164)*100</f>
        <v>1.3669954695663344</v>
      </c>
      <c r="AB164" s="606"/>
      <c r="AC164" s="561" t="s">
        <v>862</v>
      </c>
      <c r="AD164" s="591">
        <f>+B164</f>
        <v>0</v>
      </c>
      <c r="AE164" s="591">
        <f>+D164</f>
        <v>9710.2999999999993</v>
      </c>
      <c r="AF164" s="591">
        <f>+F164</f>
        <v>4742.6333333333332</v>
      </c>
      <c r="AG164" s="591">
        <f>+H164</f>
        <v>18856.633333333335</v>
      </c>
      <c r="AH164" s="591"/>
      <c r="AI164" s="591">
        <f>+J164</f>
        <v>33309.566666666666</v>
      </c>
      <c r="AJ164" s="575" t="s">
        <v>862</v>
      </c>
      <c r="AK164" s="601">
        <f>+'NEW-Tables 80-86'!R104+'NEW-Tables 80-86'!Q134</f>
        <v>0</v>
      </c>
      <c r="AL164" s="601">
        <f>+'NEW-Tables 80-86'!S104+'NEW-Tables 80-86'!R134</f>
        <v>10656.633333333333</v>
      </c>
      <c r="AM164" s="601">
        <f>+'NEW-Tables 80-86'!T104+'NEW-Tables 80-86'!S134</f>
        <v>4918.666666666667</v>
      </c>
      <c r="AN164" s="601">
        <f>+'NEW-Tables 80-86'!U104+'NEW-Tables 80-86'!T134</f>
        <v>19247.333333333336</v>
      </c>
      <c r="AO164" s="601"/>
      <c r="AP164" s="604">
        <f>+'NEW-Tables 80-86'!V104+'NEW-Tables 80-86'!U134</f>
        <v>34822.633333333331</v>
      </c>
      <c r="AQ164" s="460"/>
      <c r="AR164" s="270" t="s">
        <v>862</v>
      </c>
      <c r="AS164" s="605">
        <f t="shared" ref="AS164:AS181" si="27">C164*100</f>
        <v>0</v>
      </c>
      <c r="AT164" s="605">
        <f t="shared" ref="AT164:AT181" si="28">E164*100</f>
        <v>8.1034228259339738</v>
      </c>
      <c r="AU164" s="605">
        <f t="shared" ref="AU164:AU181" si="29">G164*100</f>
        <v>10.932041973868245</v>
      </c>
      <c r="AV164" s="605">
        <f t="shared" ref="AV164:AV181" si="30">I164*100</f>
        <v>14.733100111543418</v>
      </c>
      <c r="AW164" s="605">
        <f t="shared" ref="AW164:AW181" si="31">K164*100</f>
        <v>12.259240838718007</v>
      </c>
      <c r="AY164" s="270" t="s">
        <v>862</v>
      </c>
      <c r="AZ164" s="605">
        <f t="shared" ref="AZ164:AZ181" si="32">R164*100</f>
        <v>0</v>
      </c>
      <c r="BA164" s="605">
        <f t="shared" ref="BA164:BA181" si="33">T164*100</f>
        <v>6.3400260870381198</v>
      </c>
      <c r="BB164" s="605">
        <f t="shared" ref="BB164:BB181" si="34">V164*100</f>
        <v>10.315803740851178</v>
      </c>
      <c r="BC164" s="605">
        <f t="shared" ref="BC164:BC181" si="35">X164*100</f>
        <v>13.559973676007067</v>
      </c>
      <c r="BD164" s="605">
        <f t="shared" ref="BD164:BD181" si="36">Z164*100</f>
        <v>10.892245369151672</v>
      </c>
      <c r="BE164" s="460"/>
      <c r="BF164" s="460"/>
      <c r="BG164" s="460"/>
    </row>
    <row r="165" spans="1:88" ht="15" customHeight="1">
      <c r="A165" s="345" t="s">
        <v>863</v>
      </c>
      <c r="B165" s="551">
        <f>+'NEW-Tables 80-86'!B105+'NEW-Tables 80-86'!B135</f>
        <v>0</v>
      </c>
      <c r="C165" s="602">
        <f>+GETPIVOTDATA("Sum of New-HS % of Total",'Pivot-HS Student % of Undergrad'!$A$3,"State","DE","Category",7,"Category2","Two-Year")</f>
        <v>0</v>
      </c>
      <c r="D165" s="587">
        <f>+'NEW-Tables 80-86'!C105+'NEW-Tables 80-86'!C135</f>
        <v>0</v>
      </c>
      <c r="E165" s="602">
        <f>+GETPIVOTDATA("Sum of New-HS % of Total",'Pivot-HS Student % of Undergrad'!$A$3,"State","DE","Category",8,"Category2","Two-Year")</f>
        <v>0</v>
      </c>
      <c r="F165" s="587">
        <f>+'NEW-Tables 80-86'!D105+'NEW-Tables 80-86'!D135</f>
        <v>9201.9</v>
      </c>
      <c r="G165" s="602">
        <f>+GETPIVOTDATA("Sum of New-HS % of Total",'Pivot-HS Student % of Undergrad'!$A$3,"State","DE","Category",9,"Category2","Two-Year")</f>
        <v>0</v>
      </c>
      <c r="H165" s="587">
        <f>+'NEW-Tables 80-86'!E105+'NEW-Tables 80-86'!E135</f>
        <v>0</v>
      </c>
      <c r="I165" s="602">
        <f>+GETPIVOTDATA("Sum of New-HS % of Total",'Pivot-HS Student % of Undergrad'!$A$3,"State","DE","Category",10,"Category2","Two-Year")</f>
        <v>0</v>
      </c>
      <c r="J165" s="587">
        <f>+'NEW-Tables 80-86'!F105+'NEW-Tables 80-86'!F135</f>
        <v>9201.9</v>
      </c>
      <c r="K165" s="602">
        <f>+GETPIVOTDATA("Sum of New-HS % of Total",'Pivot-HS Student % of Undergrad'!$A$3,"State","DE","Category2","Group2")</f>
        <v>0</v>
      </c>
      <c r="Q165" s="345" t="s">
        <v>863</v>
      </c>
      <c r="R165" s="454">
        <f>+GETPIVOTDATA("Sum of Old-HS % of Total",'Pivot-HS Student % of Undergrad'!$A$3,"State","DE","Category",7,"Category2","Two-Year")</f>
        <v>0</v>
      </c>
      <c r="S165" s="603">
        <f t="shared" si="22"/>
        <v>0</v>
      </c>
      <c r="T165" s="444">
        <f>+GETPIVOTDATA("Sum of Old-HS % of Total",'Pivot-HS Student % of Undergrad'!$A$3,"State","DE","Category",8,"Category2","Two-Year")</f>
        <v>0</v>
      </c>
      <c r="U165" s="603">
        <f t="shared" si="23"/>
        <v>0</v>
      </c>
      <c r="V165" s="444">
        <f>+GETPIVOTDATA("Sum of Old-HS % of Total",'Pivot-HS Student % of Undergrad'!$A$3,"State","DE","Category",9,"Category2","Two-Year")</f>
        <v>0</v>
      </c>
      <c r="W165" s="603">
        <f t="shared" si="24"/>
        <v>0</v>
      </c>
      <c r="X165" s="444">
        <f>+GETPIVOTDATA("Sum of Old-HS % of Total",'Pivot-HS Student % of Undergrad'!$A$3,"State","DE","Category",10,"Category2","Two-Year")</f>
        <v>0</v>
      </c>
      <c r="Y165" s="603">
        <f t="shared" si="25"/>
        <v>0</v>
      </c>
      <c r="Z165" s="444">
        <f>+GETPIVOTDATA("Sum of Old-HS % of Total",'Pivot-HS Student % of Undergrad'!$A$3,"State","DE","Category2","Two-Year")</f>
        <v>0</v>
      </c>
      <c r="AA165" s="603">
        <f t="shared" si="26"/>
        <v>0</v>
      </c>
      <c r="AC165" s="561" t="s">
        <v>863</v>
      </c>
      <c r="AD165" s="591">
        <f>+B165</f>
        <v>0</v>
      </c>
      <c r="AE165" s="591">
        <f>+D165</f>
        <v>0</v>
      </c>
      <c r="AF165" s="591">
        <f>+F165</f>
        <v>9201.9</v>
      </c>
      <c r="AG165" s="591">
        <f>+H165</f>
        <v>0</v>
      </c>
      <c r="AH165" s="591"/>
      <c r="AI165" s="591">
        <f>+J165</f>
        <v>9201.9</v>
      </c>
      <c r="AJ165" s="575" t="s">
        <v>863</v>
      </c>
      <c r="AK165" s="601">
        <f>+'NEW-Tables 80-86'!R105+'NEW-Tables 80-86'!Q135</f>
        <v>0</v>
      </c>
      <c r="AL165" s="601">
        <f>+'NEW-Tables 80-86'!S105+'NEW-Tables 80-86'!R135</f>
        <v>0</v>
      </c>
      <c r="AM165" s="601">
        <f>+'NEW-Tables 80-86'!T105+'NEW-Tables 80-86'!S135</f>
        <v>9102</v>
      </c>
      <c r="AN165" s="601">
        <f>+'NEW-Tables 80-86'!U105+'NEW-Tables 80-86'!T135</f>
        <v>0</v>
      </c>
      <c r="AO165" s="601"/>
      <c r="AP165" s="604">
        <f>+'NEW-Tables 80-86'!V105+'NEW-Tables 80-86'!U135</f>
        <v>9102</v>
      </c>
      <c r="AR165" s="345" t="s">
        <v>863</v>
      </c>
      <c r="AS165" s="605">
        <f t="shared" si="27"/>
        <v>0</v>
      </c>
      <c r="AT165" s="605">
        <f t="shared" si="28"/>
        <v>0</v>
      </c>
      <c r="AU165" s="605">
        <f t="shared" si="29"/>
        <v>0</v>
      </c>
      <c r="AV165" s="605">
        <f t="shared" si="30"/>
        <v>0</v>
      </c>
      <c r="AW165" s="605">
        <f t="shared" si="31"/>
        <v>0</v>
      </c>
      <c r="AY165" s="345" t="s">
        <v>863</v>
      </c>
      <c r="AZ165" s="605">
        <f t="shared" si="32"/>
        <v>0</v>
      </c>
      <c r="BA165" s="605">
        <f t="shared" si="33"/>
        <v>0</v>
      </c>
      <c r="BB165" s="605">
        <f t="shared" si="34"/>
        <v>0</v>
      </c>
      <c r="BC165" s="605">
        <f t="shared" si="35"/>
        <v>0</v>
      </c>
      <c r="BD165" s="605">
        <f t="shared" si="36"/>
        <v>0</v>
      </c>
    </row>
    <row r="166" spans="1:88" ht="15" customHeight="1">
      <c r="A166" s="345" t="s">
        <v>864</v>
      </c>
      <c r="B166" s="551">
        <f>+'NEW-Tables 80-86'!B106+'NEW-Tables 80-86'!B136</f>
        <v>270759.96666666667</v>
      </c>
      <c r="C166" s="602">
        <f>+GETPIVOTDATA("Sum of New-HS % of Total",'Pivot-HS Student % of Undergrad'!$A$3,"State","FL","Category",7,"Category2","Two-Year")</f>
        <v>2.8824279411450219E-2</v>
      </c>
      <c r="D166" s="587">
        <f>+'NEW-Tables 80-86'!C106+'NEW-Tables 80-86'!C136</f>
        <v>48301.195555555561</v>
      </c>
      <c r="E166" s="602">
        <f>+GETPIVOTDATA("Sum of New-HS % of Total",'Pivot-HS Student % of Undergrad'!$A$3,"State","FL","Category",8,"Category2","Two-Year")</f>
        <v>3.8790889033878374E-2</v>
      </c>
      <c r="F166" s="587">
        <f>+'NEW-Tables 80-86'!D106+'NEW-Tables 80-86'!D136</f>
        <v>5125.5988888888887</v>
      </c>
      <c r="G166" s="602">
        <f>+GETPIVOTDATA("Sum of New-HS % of Total",'Pivot-HS Student % of Undergrad'!$A$3,"State","FL","Category",9,"Category2","Two-Year")</f>
        <v>0.11400480161496417</v>
      </c>
      <c r="H166" s="587">
        <f>+'NEW-Tables 80-86'!E106+'NEW-Tables 80-86'!E136</f>
        <v>1548.7133333333336</v>
      </c>
      <c r="I166" s="602">
        <f>+GETPIVOTDATA("Sum of New-HS % of Total",'Pivot-HS Student % of Undergrad'!$A$3,"State","FL","Category",10,"Category2","Two-Year")</f>
        <v>5.0561283055880403E-2</v>
      </c>
      <c r="J166" s="587">
        <f>+'NEW-Tables 80-86'!F106+'NEW-Tables 80-86'!F136</f>
        <v>325735.47444444441</v>
      </c>
      <c r="K166" s="602">
        <f>+GETPIVOTDATA("Sum of New-HS % of Total",'Pivot-HS Student % of Undergrad'!$A$3,"State","FL","Category2","Group2")</f>
        <v>3.2857789577321682E-2</v>
      </c>
      <c r="Q166" s="345" t="s">
        <v>864</v>
      </c>
      <c r="R166" s="454">
        <f>+GETPIVOTDATA("Sum of Old-HS % of Total",'Pivot-HS Student % of Undergrad'!$A$3,"State","FL","Category",7,"Category2","Two-Year")</f>
        <v>2.5587905703342548E-2</v>
      </c>
      <c r="S166" s="603">
        <f t="shared" si="22"/>
        <v>0.32363737081076704</v>
      </c>
      <c r="T166" s="607">
        <f>+GETPIVOTDATA("Sum of Old-HS % of Total",'Pivot-HS Student % of Undergrad'!$A$3,"State","FL","Category",8,"Category2","Two-Year")</f>
        <v>3.5001715921734969E-2</v>
      </c>
      <c r="U166" s="603">
        <f t="shared" si="23"/>
        <v>0.37891731121434058</v>
      </c>
      <c r="V166" s="444">
        <f>+GETPIVOTDATA("Sum of Old-HS % of Total",'Pivot-HS Student % of Undergrad'!$A$3,"State","FL","Category",9,"Category2","Two-Year")</f>
        <v>0.10138633346138552</v>
      </c>
      <c r="W166" s="603">
        <f t="shared" si="24"/>
        <v>1.2618468153578644</v>
      </c>
      <c r="X166" s="444">
        <f>+GETPIVOTDATA("Sum of Old-HS % of Total",'Pivot-HS Student % of Undergrad'!$A$3,"State","FL","Category",10,"Category2","Two-Year")</f>
        <v>3.4494501752188864E-2</v>
      </c>
      <c r="Y166" s="603">
        <f t="shared" si="25"/>
        <v>1.606678130369154</v>
      </c>
      <c r="Z166" s="444">
        <f>+GETPIVOTDATA("Sum of Old-HS % of Total",'Pivot-HS Student % of Undergrad'!$A$3,"State","FL","Category2","Two-Year")</f>
        <v>2.9058534965009698E-2</v>
      </c>
      <c r="AA166" s="603">
        <f t="shared" si="26"/>
        <v>0.37992546123119841</v>
      </c>
      <c r="AC166" s="561" t="s">
        <v>864</v>
      </c>
      <c r="AD166" s="591">
        <f>+B166</f>
        <v>270759.96666666667</v>
      </c>
      <c r="AE166" s="591">
        <f>+D166</f>
        <v>48301.195555555561</v>
      </c>
      <c r="AF166" s="591">
        <f>+F166</f>
        <v>5125.5988888888887</v>
      </c>
      <c r="AG166" s="591">
        <f>+H166</f>
        <v>1548.7133333333336</v>
      </c>
      <c r="AH166" s="591"/>
      <c r="AI166" s="591">
        <f>+J166</f>
        <v>325735.47444444441</v>
      </c>
      <c r="AJ166" s="575" t="s">
        <v>864</v>
      </c>
      <c r="AK166" s="601">
        <f>+'NEW-Tables 80-86'!R106+'NEW-Tables 80-86'!Q136</f>
        <v>276626.57555555552</v>
      </c>
      <c r="AL166" s="601">
        <f>+'NEW-Tables 80-86'!S106+'NEW-Tables 80-86'!R136</f>
        <v>48138.933333333342</v>
      </c>
      <c r="AM166" s="601">
        <f>+'NEW-Tables 80-86'!T106+'NEW-Tables 80-86'!S136</f>
        <v>5073.1711111111108</v>
      </c>
      <c r="AN166" s="601">
        <f>+'NEW-Tables 80-86'!U106+'NEW-Tables 80-86'!T136</f>
        <v>1531.4533333333334</v>
      </c>
      <c r="AO166" s="601"/>
      <c r="AP166" s="604">
        <f>+'NEW-Tables 80-86'!V106+'NEW-Tables 80-86'!U136</f>
        <v>331370.1333333333</v>
      </c>
      <c r="AQ166" s="460"/>
      <c r="AR166" s="345" t="s">
        <v>864</v>
      </c>
      <c r="AS166" s="605">
        <f t="shared" si="27"/>
        <v>2.8824279411450218</v>
      </c>
      <c r="AT166" s="605">
        <f t="shared" si="28"/>
        <v>3.8790889033878373</v>
      </c>
      <c r="AU166" s="605">
        <f t="shared" si="29"/>
        <v>11.400480161496416</v>
      </c>
      <c r="AV166" s="605">
        <f t="shared" si="30"/>
        <v>5.0561283055880404</v>
      </c>
      <c r="AW166" s="605">
        <f t="shared" si="31"/>
        <v>3.2857789577321683</v>
      </c>
      <c r="AY166" s="345" t="s">
        <v>864</v>
      </c>
      <c r="AZ166" s="605">
        <f t="shared" si="32"/>
        <v>2.5587905703342551</v>
      </c>
      <c r="BA166" s="605">
        <f t="shared" si="33"/>
        <v>3.5001715921734968</v>
      </c>
      <c r="BB166" s="605">
        <f t="shared" si="34"/>
        <v>10.138633346138553</v>
      </c>
      <c r="BC166" s="605">
        <f t="shared" si="35"/>
        <v>3.4494501752188862</v>
      </c>
      <c r="BD166" s="605">
        <f t="shared" si="36"/>
        <v>2.9058534965009697</v>
      </c>
      <c r="BE166" s="460"/>
      <c r="BF166" s="460"/>
      <c r="BG166" s="460"/>
    </row>
    <row r="167" spans="1:88" ht="15" customHeight="1">
      <c r="B167" s="551"/>
      <c r="C167" s="602"/>
      <c r="D167" s="587"/>
      <c r="E167" s="602"/>
      <c r="F167" s="587"/>
      <c r="G167" s="602"/>
      <c r="H167" s="587"/>
      <c r="I167" s="602"/>
      <c r="J167" s="587"/>
      <c r="K167" s="602"/>
      <c r="R167" s="454"/>
      <c r="S167" s="603"/>
      <c r="T167" s="607"/>
      <c r="U167" s="603"/>
      <c r="V167" s="444"/>
      <c r="W167" s="603"/>
      <c r="X167" s="444"/>
      <c r="Y167" s="603"/>
      <c r="Z167" s="444"/>
      <c r="AA167" s="603"/>
      <c r="AC167" s="561"/>
      <c r="AD167" s="591"/>
      <c r="AE167" s="591"/>
      <c r="AF167" s="591"/>
      <c r="AG167" s="591"/>
      <c r="AH167" s="591"/>
      <c r="AI167" s="591"/>
      <c r="AJ167" s="575"/>
      <c r="AK167" s="601"/>
      <c r="AL167" s="601"/>
      <c r="AM167" s="601"/>
      <c r="AN167" s="601"/>
      <c r="AO167" s="601"/>
      <c r="AP167" s="604"/>
      <c r="AQ167" s="460"/>
      <c r="AS167" s="605">
        <f t="shared" si="27"/>
        <v>0</v>
      </c>
      <c r="AT167" s="605">
        <f t="shared" si="28"/>
        <v>0</v>
      </c>
      <c r="AU167" s="605">
        <f t="shared" si="29"/>
        <v>0</v>
      </c>
      <c r="AV167" s="605">
        <f t="shared" si="30"/>
        <v>0</v>
      </c>
      <c r="AW167" s="605">
        <f t="shared" si="31"/>
        <v>0</v>
      </c>
      <c r="AZ167" s="605">
        <f t="shared" si="32"/>
        <v>0</v>
      </c>
      <c r="BA167" s="605">
        <f t="shared" si="33"/>
        <v>0</v>
      </c>
      <c r="BB167" s="605">
        <f t="shared" si="34"/>
        <v>0</v>
      </c>
      <c r="BC167" s="605">
        <f t="shared" si="35"/>
        <v>0</v>
      </c>
      <c r="BD167" s="605">
        <f t="shared" si="36"/>
        <v>0</v>
      </c>
      <c r="BE167" s="460"/>
      <c r="BF167" s="460"/>
      <c r="BG167" s="460"/>
    </row>
    <row r="168" spans="1:88" ht="15" customHeight="1">
      <c r="A168" s="345" t="s">
        <v>865</v>
      </c>
      <c r="B168" s="551">
        <f>+'NEW-Tables 80-86'!B108+'NEW-Tables 80-86'!B138</f>
        <v>16079.240000000002</v>
      </c>
      <c r="C168" s="602">
        <f>+GETPIVOTDATA("Sum of New-HS % of Total",'Pivot-HS Student % of Undergrad'!$A$3,"State","GA","Category",7,"Category2","Two-Year")</f>
        <v>4.8644504756858317E-2</v>
      </c>
      <c r="D168" s="587">
        <f>+'NEW-Tables 80-86'!C108+'NEW-Tables 80-86'!C138</f>
        <v>8258.9216666666671</v>
      </c>
      <c r="E168" s="602">
        <f>+GETPIVOTDATA("Sum of New-HS % of Total",'Pivot-HS Student % of Undergrad'!$A$3,"State","GA","Category",8,"Category2","Two-Year")</f>
        <v>0</v>
      </c>
      <c r="F168" s="587">
        <f>+'NEW-Tables 80-86'!D108+'NEW-Tables 80-86'!D138</f>
        <v>4284.1679999999997</v>
      </c>
      <c r="G168" s="602">
        <f>+GETPIVOTDATA("Sum of New-HS % of Total",'Pivot-HS Student % of Undergrad'!$A$3,"State","GA","Category",9,"Category2","Two-Year")</f>
        <v>3.4732531497364251E-2</v>
      </c>
      <c r="H168" s="587">
        <f>+'NEW-Tables 80-86'!E108+'NEW-Tables 80-86'!E138</f>
        <v>1716.0013333333334</v>
      </c>
      <c r="I168" s="602">
        <f>+GETPIVOTDATA("Sum of New-HS % of Total",'Pivot-HS Student % of Undergrad'!$A$3,"State","GA","Category",10,"Category2","Two-Year")</f>
        <v>0.17913738994763795</v>
      </c>
      <c r="J168" s="587">
        <f>+'NEW-Tables 80-86'!F108+'NEW-Tables 80-86'!F138</f>
        <v>30338.330999999998</v>
      </c>
      <c r="K168" s="602">
        <f>+GETPIVOTDATA("Sum of New-HS % of Total",'Pivot-HS Student % of Undergrad'!$A$3,"State","GA","Category2","Group2")</f>
        <v>5.6086947253480256E-2</v>
      </c>
      <c r="Q168" s="345" t="s">
        <v>865</v>
      </c>
      <c r="R168" s="454">
        <f>+GETPIVOTDATA("Sum of Old-HS % of Total",'Pivot-HS Student % of Undergrad'!$A$3,"State","GA","Category",7,"Category2","Two-Year")</f>
        <v>3.2265908112177791E-2</v>
      </c>
      <c r="S168" s="603">
        <f t="shared" si="22"/>
        <v>1.6378596644680528</v>
      </c>
      <c r="T168" s="444">
        <f>+GETPIVOTDATA("Sum of Old-HS % of Total",'Pivot-HS Student % of Undergrad'!$A$3,"State","GA","Category",8,"Category2","Two-Year")</f>
        <v>3.5440084882221522E-2</v>
      </c>
      <c r="U168" s="603">
        <f t="shared" si="23"/>
        <v>-3.5440084882221523</v>
      </c>
      <c r="V168" s="444">
        <f>+GETPIVOTDATA("Sum of Old-HS % of Total",'Pivot-HS Student % of Undergrad'!$A$3,"State","GA","Category",9,"Category2","Two-Year")</f>
        <v>2.3604795369987597E-2</v>
      </c>
      <c r="W168" s="603">
        <f t="shared" si="24"/>
        <v>1.1127736127376653</v>
      </c>
      <c r="X168" s="444">
        <f>+GETPIVOTDATA("Sum of Old-HS % of Total",'Pivot-HS Student % of Undergrad'!$A$3,"State","GA","Category",10,"Category2","Two-Year")</f>
        <v>9.3949140014782551E-2</v>
      </c>
      <c r="Y168" s="603">
        <f t="shared" si="25"/>
        <v>8.5188249932855395</v>
      </c>
      <c r="Z168" s="444">
        <f>+GETPIVOTDATA("Sum of Old-HS % of Total",'Pivot-HS Student % of Undergrad'!$A$3,"State","GA","Category2","Two-Year")</f>
        <v>3.5327775993857259E-2</v>
      </c>
      <c r="AA168" s="603">
        <f t="shared" si="26"/>
        <v>2.0759171259622997</v>
      </c>
      <c r="AC168" s="561" t="s">
        <v>865</v>
      </c>
      <c r="AD168" s="591">
        <f>+B168</f>
        <v>16079.240000000002</v>
      </c>
      <c r="AE168" s="591">
        <f>+D168</f>
        <v>8258.9216666666671</v>
      </c>
      <c r="AF168" s="591">
        <f>+F168</f>
        <v>4284.1679999999997</v>
      </c>
      <c r="AG168" s="591">
        <f>+H168</f>
        <v>1716.0013333333334</v>
      </c>
      <c r="AH168" s="591"/>
      <c r="AI168" s="591">
        <f>+J168</f>
        <v>30338.330999999998</v>
      </c>
      <c r="AJ168" s="575" t="s">
        <v>865</v>
      </c>
      <c r="AK168" s="601">
        <f>+'NEW-Tables 80-86'!R108+'NEW-Tables 80-86'!Q138</f>
        <v>17067.55</v>
      </c>
      <c r="AL168" s="601">
        <f>+'NEW-Tables 80-86'!S108+'NEW-Tables 80-86'!R138</f>
        <v>15173.966666666667</v>
      </c>
      <c r="AM168" s="601">
        <f>+'NEW-Tables 80-86'!T108+'NEW-Tables 80-86'!S138</f>
        <v>4031.6666666666665</v>
      </c>
      <c r="AN168" s="601">
        <f>+'NEW-Tables 80-86'!U108+'NEW-Tables 80-86'!T138</f>
        <v>1668.6333333333334</v>
      </c>
      <c r="AO168" s="601"/>
      <c r="AP168" s="604">
        <f>+'NEW-Tables 80-86'!V108+'NEW-Tables 80-86'!U138</f>
        <v>37941.816666666666</v>
      </c>
      <c r="AQ168" s="460"/>
      <c r="AR168" s="345" t="s">
        <v>865</v>
      </c>
      <c r="AS168" s="605">
        <f t="shared" si="27"/>
        <v>4.8644504756858318</v>
      </c>
      <c r="AT168" s="605">
        <f t="shared" si="28"/>
        <v>0</v>
      </c>
      <c r="AU168" s="605">
        <f t="shared" si="29"/>
        <v>3.4732531497364252</v>
      </c>
      <c r="AV168" s="605">
        <f t="shared" si="30"/>
        <v>17.913738994763793</v>
      </c>
      <c r="AW168" s="605">
        <f t="shared" si="31"/>
        <v>5.6086947253480259</v>
      </c>
      <c r="AY168" s="345" t="s">
        <v>865</v>
      </c>
      <c r="AZ168" s="605">
        <f t="shared" si="32"/>
        <v>3.226590811217779</v>
      </c>
      <c r="BA168" s="605">
        <f t="shared" si="33"/>
        <v>3.5440084882221523</v>
      </c>
      <c r="BB168" s="605">
        <f t="shared" si="34"/>
        <v>2.3604795369987599</v>
      </c>
      <c r="BC168" s="605">
        <f t="shared" si="35"/>
        <v>9.3949140014782557</v>
      </c>
      <c r="BD168" s="605">
        <f t="shared" si="36"/>
        <v>3.5327775993857258</v>
      </c>
      <c r="BE168" s="460"/>
      <c r="BF168" s="460"/>
      <c r="BG168" s="460"/>
    </row>
    <row r="169" spans="1:88" ht="15" customHeight="1">
      <c r="A169" s="345" t="s">
        <v>866</v>
      </c>
      <c r="B169" s="551">
        <f>+'NEW-Tables 80-86'!B109+'NEW-Tables 80-86'!B139</f>
        <v>0</v>
      </c>
      <c r="C169" s="602">
        <f>+GETPIVOTDATA("Sum of New-HS % of Total",'Pivot-HS Student % of Undergrad'!$A$3,"State","KY","Category",7,"Category2","Two-Year")</f>
        <v>0</v>
      </c>
      <c r="D169" s="587">
        <f>+'NEW-Tables 80-86'!C109+'NEW-Tables 80-86'!C139</f>
        <v>13015.433333333332</v>
      </c>
      <c r="E169" s="602">
        <f>+GETPIVOTDATA("Sum of New-HS % of Total",'Pivot-HS Student % of Undergrad'!$A$3,"State","KY","Category",8,"Category2","Two-Year")</f>
        <v>6.0671561710072403E-2</v>
      </c>
      <c r="F169" s="587">
        <f>+'NEW-Tables 80-86'!D109+'NEW-Tables 80-86'!D139</f>
        <v>25291.333333333332</v>
      </c>
      <c r="G169" s="602">
        <f>+GETPIVOTDATA("Sum of New-HS % of Total",'Pivot-HS Student % of Undergrad'!$A$3,"State","KY","Category",9,"Category2","Two-Year")</f>
        <v>7.891240741228879E-2</v>
      </c>
      <c r="H169" s="587">
        <f>+'NEW-Tables 80-86'!E109+'NEW-Tables 80-86'!E139</f>
        <v>2770.666666666667</v>
      </c>
      <c r="I169" s="602">
        <f>+GETPIVOTDATA("Sum of New-HS % of Total",'Pivot-HS Student % of Undergrad'!$A$3,"State","KY","Category",10,"Category2","Two-Year")</f>
        <v>5.8902791145332048E-2</v>
      </c>
      <c r="J169" s="587">
        <f>+'NEW-Tables 80-86'!F109+'NEW-Tables 80-86'!F139</f>
        <v>41077.433333333327</v>
      </c>
      <c r="K169" s="602">
        <f>+GETPIVOTDATA("Sum of New-HS % of Total",'Pivot-HS Student % of Undergrad'!$A$3,"State","KY","Category2","Group2")</f>
        <v>7.1783128286983203E-2</v>
      </c>
      <c r="Q169" s="345" t="s">
        <v>866</v>
      </c>
      <c r="R169" s="454">
        <f>+GETPIVOTDATA("Sum of Old-HS % of Total",'Pivot-HS Student % of Undergrad'!$A$3,"State","KY","Category",7,"Category2","Two-Year")</f>
        <v>0</v>
      </c>
      <c r="S169" s="603">
        <f t="shared" si="22"/>
        <v>0</v>
      </c>
      <c r="T169" s="444">
        <f>+GETPIVOTDATA("Sum of Old-HS % of Total",'Pivot-HS Student % of Undergrad'!$A$3,"State","KY","Category",8,"Category2","Two-Year")</f>
        <v>4.6225112637671588E-2</v>
      </c>
      <c r="U169" s="603">
        <f t="shared" si="23"/>
        <v>1.4446449072400815</v>
      </c>
      <c r="V169" s="444">
        <f>+GETPIVOTDATA("Sum of Old-HS % of Total",'Pivot-HS Student % of Undergrad'!$A$3,"State","KY","Category",9,"Category2","Two-Year")</f>
        <v>6.703573974450365E-2</v>
      </c>
      <c r="W169" s="603">
        <f t="shared" si="24"/>
        <v>1.1876667667785141</v>
      </c>
      <c r="X169" s="444">
        <f>+GETPIVOTDATA("Sum of Old-HS % of Total",'Pivot-HS Student % of Undergrad'!$A$3,"State","KY","Category",10,"Category2","Two-Year")</f>
        <v>6.1492711370262389E-2</v>
      </c>
      <c r="Y169" s="603">
        <f t="shared" si="25"/>
        <v>-0.2589920224930341</v>
      </c>
      <c r="Z169" s="444">
        <f>+GETPIVOTDATA("Sum of Old-HS % of Total",'Pivot-HS Student % of Undergrad'!$A$3,"State","KY","Category2","Two-Year")</f>
        <v>5.9889923694450613E-2</v>
      </c>
      <c r="AA169" s="603">
        <f t="shared" si="26"/>
        <v>1.1893204592532589</v>
      </c>
      <c r="AC169" s="561" t="s">
        <v>866</v>
      </c>
      <c r="AD169" s="591">
        <f>+B169</f>
        <v>0</v>
      </c>
      <c r="AE169" s="591">
        <f>+D169</f>
        <v>13015.433333333332</v>
      </c>
      <c r="AF169" s="591">
        <f>+F169</f>
        <v>25291.333333333332</v>
      </c>
      <c r="AG169" s="591">
        <f>+H169</f>
        <v>2770.666666666667</v>
      </c>
      <c r="AH169" s="591"/>
      <c r="AI169" s="591">
        <f>+J169</f>
        <v>41077.433333333327</v>
      </c>
      <c r="AJ169" s="575" t="s">
        <v>866</v>
      </c>
      <c r="AK169" s="601">
        <f>+'NEW-Tables 80-86'!R109+'NEW-Tables 80-86'!Q139</f>
        <v>0</v>
      </c>
      <c r="AL169" s="601">
        <f>+'NEW-Tables 80-86'!S109+'NEW-Tables 80-86'!R139</f>
        <v>13931.1</v>
      </c>
      <c r="AM169" s="601">
        <f>+'NEW-Tables 80-86'!T109+'NEW-Tables 80-86'!S139</f>
        <v>25999.066666666666</v>
      </c>
      <c r="AN169" s="601">
        <f>+'NEW-Tables 80-86'!U109+'NEW-Tables 80-86'!T139</f>
        <v>2858.3333333333335</v>
      </c>
      <c r="AO169" s="601"/>
      <c r="AP169" s="604">
        <f>+'NEW-Tables 80-86'!V109+'NEW-Tables 80-86'!U139</f>
        <v>42788.5</v>
      </c>
      <c r="AR169" s="345" t="s">
        <v>866</v>
      </c>
      <c r="AS169" s="605">
        <f t="shared" si="27"/>
        <v>0</v>
      </c>
      <c r="AT169" s="605">
        <f t="shared" si="28"/>
        <v>6.0671561710072401</v>
      </c>
      <c r="AU169" s="605">
        <f t="shared" si="29"/>
        <v>7.891240741228879</v>
      </c>
      <c r="AV169" s="605">
        <f t="shared" si="30"/>
        <v>5.8902791145332047</v>
      </c>
      <c r="AW169" s="605">
        <f t="shared" si="31"/>
        <v>7.1783128286983207</v>
      </c>
      <c r="AY169" s="345" t="s">
        <v>866</v>
      </c>
      <c r="AZ169" s="605">
        <f t="shared" si="32"/>
        <v>0</v>
      </c>
      <c r="BA169" s="605">
        <f t="shared" si="33"/>
        <v>4.6225112637671586</v>
      </c>
      <c r="BB169" s="605">
        <f t="shared" si="34"/>
        <v>6.7035739744503653</v>
      </c>
      <c r="BC169" s="605">
        <f t="shared" si="35"/>
        <v>6.149271137026239</v>
      </c>
      <c r="BD169" s="605">
        <f t="shared" si="36"/>
        <v>5.9889923694450609</v>
      </c>
    </row>
    <row r="170" spans="1:88" ht="15" customHeight="1">
      <c r="A170" s="345" t="s">
        <v>867</v>
      </c>
      <c r="B170" s="551">
        <f>+'NEW-Tables 80-86'!B110+'NEW-Tables 80-86'!B140</f>
        <v>0</v>
      </c>
      <c r="C170" s="602">
        <f>+GETPIVOTDATA("Sum of New-HS % of Total",'Pivot-HS Student % of Undergrad'!$A$3,"State","LA","Category",7,"Category2","Two-Year")</f>
        <v>0</v>
      </c>
      <c r="D170" s="587">
        <f>+'NEW-Tables 80-86'!C110+'NEW-Tables 80-86'!C140</f>
        <v>19628.5</v>
      </c>
      <c r="E170" s="602">
        <f>+GETPIVOTDATA("Sum of New-HS % of Total",'Pivot-HS Student % of Undergrad'!$A$3,"State","LA","Category",8,"Category2","Two-Year")</f>
        <v>2.3739290657292543E-2</v>
      </c>
      <c r="F170" s="587">
        <f>+'NEW-Tables 80-86'!D110+'NEW-Tables 80-86'!D140</f>
        <v>9008.8333333333321</v>
      </c>
      <c r="G170" s="602">
        <f>+GETPIVOTDATA("Sum of New-HS % of Total",'Pivot-HS Student % of Undergrad'!$A$3,"State","LA","Category",9,"Category2","Two-Year")</f>
        <v>8.0073261428597858E-2</v>
      </c>
      <c r="H170" s="587">
        <f>+'NEW-Tables 80-86'!E110+'NEW-Tables 80-86'!E140</f>
        <v>4525.583333333333</v>
      </c>
      <c r="I170" s="602">
        <f>+GETPIVOTDATA("Sum of New-HS % of Total",'Pivot-HS Student % of Undergrad'!$A$3,"State","LA","Category",10,"Category2","Two-Year")</f>
        <v>0.13660117480251166</v>
      </c>
      <c r="J170" s="587">
        <f>+'NEW-Tables 80-86'!F110+'NEW-Tables 80-86'!F140</f>
        <v>33162.916666666664</v>
      </c>
      <c r="K170" s="602">
        <f>+GETPIVOTDATA("Sum of New-HS % of Total",'Pivot-HS Student % of Undergrad'!$A$3,"State","LA","Category2","Group2")</f>
        <v>5.4444346722619393E-2</v>
      </c>
      <c r="Q170" s="345" t="s">
        <v>867</v>
      </c>
      <c r="R170" s="454">
        <f>+GETPIVOTDATA("Sum of Old-HS % of Total",'Pivot-HS Student % of Undergrad'!$A$3,"State","LA","Category",7,"Category2","Two-Year")</f>
        <v>0</v>
      </c>
      <c r="S170" s="603">
        <f t="shared" si="22"/>
        <v>0</v>
      </c>
      <c r="T170" s="444">
        <f>+GETPIVOTDATA("Sum of Old-HS % of Total",'Pivot-HS Student % of Undergrad'!$A$3,"State","LA","Category",8,"Category2","Two-Year")</f>
        <v>1.9379484781870085E-2</v>
      </c>
      <c r="U170" s="603">
        <f t="shared" si="23"/>
        <v>0.43598058754224578</v>
      </c>
      <c r="V170" s="444">
        <f>+GETPIVOTDATA("Sum of Old-HS % of Total",'Pivot-HS Student % of Undergrad'!$A$3,"State","LA","Category",9,"Category2","Two-Year")</f>
        <v>7.9782008869884291E-2</v>
      </c>
      <c r="W170" s="603">
        <f t="shared" si="24"/>
        <v>2.9125255871356726E-2</v>
      </c>
      <c r="X170" s="444">
        <f>+GETPIVOTDATA("Sum of Old-HS % of Total",'Pivot-HS Student % of Undergrad'!$A$3,"State","LA","Category",10,"Category2","Two-Year")</f>
        <v>0.11375562777661827</v>
      </c>
      <c r="Y170" s="603">
        <f t="shared" si="25"/>
        <v>2.2845547025893391</v>
      </c>
      <c r="Z170" s="444">
        <f>+GETPIVOTDATA("Sum of Old-HS % of Total",'Pivot-HS Student % of Undergrad'!$A$3,"State","LA","Category2","Two-Year")</f>
        <v>4.6099806686149603E-2</v>
      </c>
      <c r="AA170" s="603">
        <f t="shared" si="26"/>
        <v>0.83445400364697897</v>
      </c>
      <c r="AC170" s="561" t="s">
        <v>867</v>
      </c>
      <c r="AD170" s="591">
        <f>+B170</f>
        <v>0</v>
      </c>
      <c r="AE170" s="591">
        <f>+D170</f>
        <v>19628.5</v>
      </c>
      <c r="AF170" s="591">
        <f>+F170</f>
        <v>9008.8333333333321</v>
      </c>
      <c r="AG170" s="591">
        <f>+H170</f>
        <v>4525.583333333333</v>
      </c>
      <c r="AH170" s="591"/>
      <c r="AI170" s="591">
        <f>+J170</f>
        <v>33162.916666666664</v>
      </c>
      <c r="AJ170" s="575" t="s">
        <v>867</v>
      </c>
      <c r="AK170" s="601">
        <f>+'NEW-Tables 80-86'!R110+'NEW-Tables 80-86'!Q140</f>
        <v>0</v>
      </c>
      <c r="AL170" s="601">
        <f>+'NEW-Tables 80-86'!S110+'NEW-Tables 80-86'!R140</f>
        <v>22957.266666666666</v>
      </c>
      <c r="AM170" s="601">
        <f>+'NEW-Tables 80-86'!T110+'NEW-Tables 80-86'!S140</f>
        <v>9229.7333333333336</v>
      </c>
      <c r="AN170" s="601">
        <f>+'NEW-Tables 80-86'!U110+'NEW-Tables 80-86'!T140</f>
        <v>4471.8666666666668</v>
      </c>
      <c r="AO170" s="601"/>
      <c r="AP170" s="604">
        <f>+'NEW-Tables 80-86'!V110+'NEW-Tables 80-86'!U140</f>
        <v>36658.866666666669</v>
      </c>
      <c r="AQ170" s="460"/>
      <c r="AR170" s="345" t="s">
        <v>867</v>
      </c>
      <c r="AS170" s="605">
        <f t="shared" si="27"/>
        <v>0</v>
      </c>
      <c r="AT170" s="605">
        <f t="shared" si="28"/>
        <v>2.3739290657292544</v>
      </c>
      <c r="AU170" s="605">
        <f t="shared" si="29"/>
        <v>8.0073261428597853</v>
      </c>
      <c r="AV170" s="605">
        <f t="shared" si="30"/>
        <v>13.660117480251166</v>
      </c>
      <c r="AW170" s="605">
        <f t="shared" si="31"/>
        <v>5.4444346722619397</v>
      </c>
      <c r="AY170" s="345" t="s">
        <v>867</v>
      </c>
      <c r="AZ170" s="605">
        <f t="shared" si="32"/>
        <v>0</v>
      </c>
      <c r="BA170" s="605">
        <f t="shared" si="33"/>
        <v>1.9379484781870084</v>
      </c>
      <c r="BB170" s="605">
        <f t="shared" si="34"/>
        <v>7.9782008869884287</v>
      </c>
      <c r="BC170" s="605">
        <f t="shared" si="35"/>
        <v>11.375562777661827</v>
      </c>
      <c r="BD170" s="605">
        <f t="shared" si="36"/>
        <v>4.60998066861496</v>
      </c>
      <c r="BE170" s="460"/>
      <c r="BF170" s="460"/>
      <c r="BG170" s="460"/>
    </row>
    <row r="171" spans="1:88" ht="15" customHeight="1">
      <c r="A171" s="345" t="s">
        <v>868</v>
      </c>
      <c r="B171" s="551">
        <f>+'NEW-Tables 80-86'!B111+'NEW-Tables 80-86'!B141</f>
        <v>0</v>
      </c>
      <c r="C171" s="602">
        <f>+GETPIVOTDATA("Sum of New-HS % of Total",'Pivot-HS Student % of Undergrad'!$A$3,"State","MD","Category",7,"Category2","Two-Year")</f>
        <v>0</v>
      </c>
      <c r="D171" s="587">
        <f>+'NEW-Tables 80-86'!C111+'NEW-Tables 80-86'!C141</f>
        <v>64854.499999999993</v>
      </c>
      <c r="E171" s="602">
        <f>+GETPIVOTDATA("Sum of New-HS % of Total",'Pivot-HS Student % of Undergrad'!$A$3,"State","MD","Category",8,"Category2","Two-Year")</f>
        <v>0</v>
      </c>
      <c r="F171" s="587">
        <f>+'NEW-Tables 80-86'!D111+'NEW-Tables 80-86'!D141</f>
        <v>17050.633333333331</v>
      </c>
      <c r="G171" s="602">
        <f>+GETPIVOTDATA("Sum of New-HS % of Total",'Pivot-HS Student % of Undergrad'!$A$3,"State","MD","Category",9,"Category2","Two-Year")</f>
        <v>0</v>
      </c>
      <c r="H171" s="587">
        <f>+'NEW-Tables 80-86'!E111+'NEW-Tables 80-86'!E141</f>
        <v>5252.6</v>
      </c>
      <c r="I171" s="602">
        <f>+GETPIVOTDATA("Sum of New-HS % of Total",'Pivot-HS Student % of Undergrad'!$A$3,"State","MD","Category",10,"Category2","Two-Year")</f>
        <v>0</v>
      </c>
      <c r="J171" s="587">
        <f>+'NEW-Tables 80-86'!F111+'NEW-Tables 80-86'!F141</f>
        <v>87157.733333333337</v>
      </c>
      <c r="K171" s="602">
        <f>+GETPIVOTDATA("Sum of New-HS % of Total",'Pivot-HS Student % of Undergrad'!$A$3,"State","MD","Category2","Group2")</f>
        <v>0</v>
      </c>
      <c r="Q171" s="345" t="s">
        <v>868</v>
      </c>
      <c r="R171" s="454">
        <f>+GETPIVOTDATA("Sum of Old-HS % of Total",'Pivot-HS Student % of Undergrad'!$A$3,"State","MD","Category",7,"Category2","Two-Year")</f>
        <v>0</v>
      </c>
      <c r="S171" s="603">
        <f t="shared" si="22"/>
        <v>0</v>
      </c>
      <c r="T171" s="444">
        <f>+GETPIVOTDATA("Sum of Old-HS % of Total",'Pivot-HS Student % of Undergrad'!$A$3,"State","MD","Category",8,"Category2","Two-Year")</f>
        <v>0</v>
      </c>
      <c r="U171" s="603">
        <f t="shared" si="23"/>
        <v>0</v>
      </c>
      <c r="V171" s="444">
        <f>+GETPIVOTDATA("Sum of Old-HS % of Total",'Pivot-HS Student % of Undergrad'!$A$3,"State","MD","Category",9,"Category2","Two-Year")</f>
        <v>0</v>
      </c>
      <c r="W171" s="603">
        <f t="shared" si="24"/>
        <v>0</v>
      </c>
      <c r="X171" s="444">
        <f>+GETPIVOTDATA("Sum of Old-HS % of Total",'Pivot-HS Student % of Undergrad'!$A$3,"State","MD","Category",10,"Category2","Two-Year")</f>
        <v>0</v>
      </c>
      <c r="Y171" s="603">
        <f t="shared" si="25"/>
        <v>0</v>
      </c>
      <c r="Z171" s="444">
        <f>+GETPIVOTDATA("Sum of Old-HS % of Total",'Pivot-HS Student % of Undergrad'!$A$3,"State","MD","Category2","Two-Year")</f>
        <v>0</v>
      </c>
      <c r="AA171" s="603">
        <f t="shared" si="26"/>
        <v>0</v>
      </c>
      <c r="AC171" s="561" t="s">
        <v>868</v>
      </c>
      <c r="AD171" s="591">
        <f>+B171</f>
        <v>0</v>
      </c>
      <c r="AE171" s="591">
        <f>+D171</f>
        <v>64854.499999999993</v>
      </c>
      <c r="AF171" s="591">
        <f>+F171</f>
        <v>17050.633333333331</v>
      </c>
      <c r="AG171" s="591">
        <f>+H171</f>
        <v>5252.6</v>
      </c>
      <c r="AH171" s="591"/>
      <c r="AI171" s="591">
        <f>+J171</f>
        <v>87157.733333333337</v>
      </c>
      <c r="AJ171" s="575" t="s">
        <v>868</v>
      </c>
      <c r="AK171" s="601">
        <f>+'NEW-Tables 80-86'!R111+'NEW-Tables 80-86'!Q141</f>
        <v>0</v>
      </c>
      <c r="AL171" s="601">
        <f>+'NEW-Tables 80-86'!S111+'NEW-Tables 80-86'!R141</f>
        <v>67112.533333333326</v>
      </c>
      <c r="AM171" s="601">
        <f>+'NEW-Tables 80-86'!T111+'NEW-Tables 80-86'!S141</f>
        <v>16717.633333333331</v>
      </c>
      <c r="AN171" s="601">
        <f>+'NEW-Tables 80-86'!U111+'NEW-Tables 80-86'!T141</f>
        <v>5415.4916666666668</v>
      </c>
      <c r="AO171" s="601"/>
      <c r="AP171" s="604">
        <f>+'NEW-Tables 80-86'!V111+'NEW-Tables 80-86'!U141</f>
        <v>89245.658333333326</v>
      </c>
      <c r="AR171" s="345" t="s">
        <v>868</v>
      </c>
      <c r="AS171" s="605">
        <f t="shared" si="27"/>
        <v>0</v>
      </c>
      <c r="AT171" s="605">
        <f t="shared" si="28"/>
        <v>0</v>
      </c>
      <c r="AU171" s="605">
        <f t="shared" si="29"/>
        <v>0</v>
      </c>
      <c r="AV171" s="605">
        <f t="shared" si="30"/>
        <v>0</v>
      </c>
      <c r="AW171" s="605">
        <f t="shared" si="31"/>
        <v>0</v>
      </c>
      <c r="AY171" s="345" t="s">
        <v>868</v>
      </c>
      <c r="AZ171" s="605">
        <f t="shared" si="32"/>
        <v>0</v>
      </c>
      <c r="BA171" s="605">
        <f t="shared" si="33"/>
        <v>0</v>
      </c>
      <c r="BB171" s="605">
        <f t="shared" si="34"/>
        <v>0</v>
      </c>
      <c r="BC171" s="605">
        <f t="shared" si="35"/>
        <v>0</v>
      </c>
      <c r="BD171" s="605">
        <f t="shared" si="36"/>
        <v>0</v>
      </c>
    </row>
    <row r="172" spans="1:88" ht="15" customHeight="1">
      <c r="B172" s="551"/>
      <c r="C172" s="602"/>
      <c r="D172" s="587"/>
      <c r="E172" s="602"/>
      <c r="F172" s="587"/>
      <c r="G172" s="602"/>
      <c r="H172" s="587"/>
      <c r="I172" s="602"/>
      <c r="J172" s="587"/>
      <c r="K172" s="602"/>
      <c r="R172" s="454"/>
      <c r="S172" s="603"/>
      <c r="T172" s="444"/>
      <c r="U172" s="603"/>
      <c r="V172" s="444"/>
      <c r="W172" s="603"/>
      <c r="X172" s="444"/>
      <c r="Y172" s="603"/>
      <c r="Z172" s="444"/>
      <c r="AA172" s="603"/>
      <c r="AC172" s="561"/>
      <c r="AD172" s="591"/>
      <c r="AE172" s="591"/>
      <c r="AF172" s="591"/>
      <c r="AG172" s="591"/>
      <c r="AH172" s="591"/>
      <c r="AI172" s="591"/>
      <c r="AJ172" s="575"/>
      <c r="AK172" s="601"/>
      <c r="AL172" s="601"/>
      <c r="AM172" s="601"/>
      <c r="AN172" s="601"/>
      <c r="AO172" s="601"/>
      <c r="AP172" s="604"/>
      <c r="AS172" s="605">
        <f t="shared" si="27"/>
        <v>0</v>
      </c>
      <c r="AT172" s="605">
        <f t="shared" si="28"/>
        <v>0</v>
      </c>
      <c r="AU172" s="605">
        <f t="shared" si="29"/>
        <v>0</v>
      </c>
      <c r="AV172" s="605">
        <f t="shared" si="30"/>
        <v>0</v>
      </c>
      <c r="AW172" s="605">
        <f t="shared" si="31"/>
        <v>0</v>
      </c>
      <c r="AZ172" s="605">
        <f t="shared" si="32"/>
        <v>0</v>
      </c>
      <c r="BA172" s="605">
        <f t="shared" si="33"/>
        <v>0</v>
      </c>
      <c r="BB172" s="605">
        <f t="shared" si="34"/>
        <v>0</v>
      </c>
      <c r="BC172" s="605">
        <f t="shared" si="35"/>
        <v>0</v>
      </c>
      <c r="BD172" s="605">
        <f t="shared" si="36"/>
        <v>0</v>
      </c>
    </row>
    <row r="173" spans="1:88" ht="15" customHeight="1">
      <c r="A173" s="345" t="s">
        <v>869</v>
      </c>
      <c r="B173" s="551">
        <f>+'NEW-Tables 80-86'!B113+'NEW-Tables 80-86'!B143</f>
        <v>0</v>
      </c>
      <c r="C173" s="602">
        <f>+GETPIVOTDATA("Sum of New-HS % of Total",'Pivot-HS Student % of Undergrad'!$A$3,"State","MS","Category",7,"Category2","Two-Year")</f>
        <v>0</v>
      </c>
      <c r="D173" s="587">
        <f>+'NEW-Tables 80-86'!C113+'NEW-Tables 80-86'!C143</f>
        <v>29288.433333333334</v>
      </c>
      <c r="E173" s="602">
        <f>+GETPIVOTDATA("Sum of New-HS % of Total",'Pivot-HS Student % of Undergrad'!$A$3,"State","MS","Category",8,"Category2","Two-Year")</f>
        <v>3.3222443899924091E-2</v>
      </c>
      <c r="F173" s="587">
        <f>+'NEW-Tables 80-86'!D113+'NEW-Tables 80-86'!D143</f>
        <v>30885.450000000004</v>
      </c>
      <c r="G173" s="602">
        <f>+GETPIVOTDATA("Sum of New-HS % of Total",'Pivot-HS Student % of Undergrad'!$A$3,"State","MS","Category",9,"Category2","Two-Year")</f>
        <v>3.673034821682486E-2</v>
      </c>
      <c r="H173" s="587">
        <f>+'NEW-Tables 80-86'!E113+'NEW-Tables 80-86'!E143</f>
        <v>3466.8666666666668</v>
      </c>
      <c r="I173" s="602">
        <f>+GETPIVOTDATA("Sum of New-HS % of Total",'Pivot-HS Student % of Undergrad'!$A$3,"State","MS","Category",10,"Category2","Two-Year")</f>
        <v>3.6199834624925487E-2</v>
      </c>
      <c r="J173" s="587">
        <f>+'NEW-Tables 80-86'!F113+'NEW-Tables 80-86'!F143</f>
        <v>63640.750000000007</v>
      </c>
      <c r="K173" s="602">
        <f>+GETPIVOTDATA("Sum of New-HS % of Total",'Pivot-HS Student % of Undergrad'!$A$3,"State","MS","Category2","Group2")</f>
        <v>3.5087057689714006E-2</v>
      </c>
      <c r="Q173" s="345" t="s">
        <v>869</v>
      </c>
      <c r="R173" s="454">
        <f>+GETPIVOTDATA("Sum of Old-HS % of Total",'Pivot-HS Student % of Undergrad'!$A$3,"State","MS","Category",7,"Category2","Two-Year")</f>
        <v>0</v>
      </c>
      <c r="S173" s="603">
        <f t="shared" si="22"/>
        <v>0</v>
      </c>
      <c r="T173" s="444">
        <f>+GETPIVOTDATA("Sum of Old-HS % of Total",'Pivot-HS Student % of Undergrad'!$A$3,"State","MS","Category",8,"Category2","Two-Year")</f>
        <v>3.1039380790638949E-2</v>
      </c>
      <c r="U173" s="603">
        <f t="shared" si="23"/>
        <v>0.21830631092851424</v>
      </c>
      <c r="V173" s="444">
        <f>+GETPIVOTDATA("Sum of Old-HS % of Total",'Pivot-HS Student % of Undergrad'!$A$3,"State","MS","Category",9,"Category2","Two-Year")</f>
        <v>3.0755881527366725E-2</v>
      </c>
      <c r="W173" s="603">
        <f t="shared" si="24"/>
        <v>0.59744666894581344</v>
      </c>
      <c r="X173" s="444">
        <f>+GETPIVOTDATA("Sum of Old-HS % of Total",'Pivot-HS Student % of Undergrad'!$A$3,"State","MS","Category",10,"Category2","Two-Year")</f>
        <v>3.129466357308585E-2</v>
      </c>
      <c r="Y173" s="603">
        <f t="shared" si="25"/>
        <v>0.49051710518396363</v>
      </c>
      <c r="Z173" s="444">
        <f>+GETPIVOTDATA("Sum of Old-HS % of Total",'Pivot-HS Student % of Undergrad'!$A$3,"State","MS","Category2","Two-Year")</f>
        <v>3.091691836763032E-2</v>
      </c>
      <c r="AA173" s="603">
        <f t="shared" si="26"/>
        <v>0.41701393220836858</v>
      </c>
      <c r="AC173" s="561" t="s">
        <v>869</v>
      </c>
      <c r="AD173" s="591">
        <f>+B173</f>
        <v>0</v>
      </c>
      <c r="AE173" s="591">
        <f>+D173</f>
        <v>29288.433333333334</v>
      </c>
      <c r="AF173" s="591">
        <f>+F173</f>
        <v>30885.450000000004</v>
      </c>
      <c r="AG173" s="591">
        <f>+H173</f>
        <v>3466.8666666666668</v>
      </c>
      <c r="AH173" s="591"/>
      <c r="AI173" s="591">
        <f>+J173</f>
        <v>63640.750000000007</v>
      </c>
      <c r="AJ173" s="575" t="s">
        <v>869</v>
      </c>
      <c r="AK173" s="601">
        <f>+'NEW-Tables 80-86'!R113+'NEW-Tables 80-86'!Q143</f>
        <v>0</v>
      </c>
      <c r="AL173" s="601">
        <f>+'NEW-Tables 80-86'!S113+'NEW-Tables 80-86'!R143</f>
        <v>29990.933333333331</v>
      </c>
      <c r="AM173" s="601">
        <f>+'NEW-Tables 80-86'!T113+'NEW-Tables 80-86'!S143</f>
        <v>31231.966666666667</v>
      </c>
      <c r="AN173" s="601">
        <f>+'NEW-Tables 80-86'!U113+'NEW-Tables 80-86'!T143</f>
        <v>3591.666666666667</v>
      </c>
      <c r="AO173" s="601"/>
      <c r="AP173" s="604">
        <f>+'NEW-Tables 80-86'!V113+'NEW-Tables 80-86'!U143</f>
        <v>64814.566666666658</v>
      </c>
      <c r="AR173" s="345" t="s">
        <v>869</v>
      </c>
      <c r="AS173" s="605">
        <f t="shared" si="27"/>
        <v>0</v>
      </c>
      <c r="AT173" s="605">
        <f t="shared" si="28"/>
        <v>3.322244389992409</v>
      </c>
      <c r="AU173" s="605">
        <f t="shared" si="29"/>
        <v>3.673034821682486</v>
      </c>
      <c r="AV173" s="605">
        <f t="shared" si="30"/>
        <v>3.6199834624925487</v>
      </c>
      <c r="AW173" s="605">
        <f t="shared" si="31"/>
        <v>3.5087057689714007</v>
      </c>
      <c r="AY173" s="345" t="s">
        <v>869</v>
      </c>
      <c r="AZ173" s="605">
        <f t="shared" si="32"/>
        <v>0</v>
      </c>
      <c r="BA173" s="605">
        <f t="shared" si="33"/>
        <v>3.1039380790638949</v>
      </c>
      <c r="BB173" s="605">
        <f t="shared" si="34"/>
        <v>3.0755881527366724</v>
      </c>
      <c r="BC173" s="605">
        <f t="shared" si="35"/>
        <v>3.1294663573085848</v>
      </c>
      <c r="BD173" s="605">
        <f t="shared" si="36"/>
        <v>3.0916918367630322</v>
      </c>
    </row>
    <row r="174" spans="1:88" ht="15" customHeight="1">
      <c r="A174" s="345" t="s">
        <v>870</v>
      </c>
      <c r="B174" s="551">
        <f>+'NEW-Tables 80-86'!B114+'NEW-Tables 80-86'!B144</f>
        <v>0</v>
      </c>
      <c r="C174" s="602">
        <f>+GETPIVOTDATA("Sum of New-HS % of Total",'Pivot-HS Student % of Undergrad'!$A$3,"State","NC","Category",7,"Category2","Two-Year")</f>
        <v>0</v>
      </c>
      <c r="D174" s="587">
        <f>+'NEW-Tables 80-86'!C114+'NEW-Tables 80-86'!C144</f>
        <v>83430.247777777782</v>
      </c>
      <c r="E174" s="602">
        <f>+GETPIVOTDATA("Sum of New-HS % of Total",'Pivot-HS Student % of Undergrad'!$A$3,"State","NC","Category",8,"Category2","Two-Year")</f>
        <v>5.0664158050297385E-2</v>
      </c>
      <c r="F174" s="587">
        <f>+'NEW-Tables 80-86'!D114+'NEW-Tables 80-86'!D144</f>
        <v>71425.103333333333</v>
      </c>
      <c r="G174" s="602">
        <f>+GETPIVOTDATA("Sum of New-HS % of Total",'Pivot-HS Student % of Undergrad'!$A$3,"State","NC","Category",9,"Category2","Two-Year")</f>
        <v>0.13158437298253919</v>
      </c>
      <c r="H174" s="587">
        <f>+'NEW-Tables 80-86'!E114+'NEW-Tables 80-86'!E144</f>
        <v>31068.723333333335</v>
      </c>
      <c r="I174" s="602">
        <f>+GETPIVOTDATA("Sum of New-HS % of Total",'Pivot-HS Student % of Undergrad'!$A$3,"State","NC","Category",10,"Category2","Two-Year")</f>
        <v>0.19268248875678379</v>
      </c>
      <c r="J174" s="587">
        <f>+'NEW-Tables 80-86'!F114+'NEW-Tables 80-86'!F144</f>
        <v>185924.07444444441</v>
      </c>
      <c r="K174" s="602">
        <f>+GETPIVOTDATA("Sum of New-HS % of Total",'Pivot-HS Student % of Undergrad'!$A$3,"State","NC","Category2","Group2")</f>
        <v>0.10324855296228316</v>
      </c>
      <c r="Q174" s="345" t="s">
        <v>870</v>
      </c>
      <c r="R174" s="454">
        <f>+GETPIVOTDATA("Sum of Old-HS % of Total",'Pivot-HS Student % of Undergrad'!$A$3,"State","NC","Category",7,"Category2","Two-Year")</f>
        <v>0</v>
      </c>
      <c r="S174" s="603">
        <f t="shared" si="22"/>
        <v>0</v>
      </c>
      <c r="T174" s="444">
        <f>+GETPIVOTDATA("Sum of Old-HS % of Total",'Pivot-HS Student % of Undergrad'!$A$3,"State","NC","Category",8,"Category2","Two-Year")</f>
        <v>3.4255432426028541E-2</v>
      </c>
      <c r="U174" s="603">
        <f t="shared" si="23"/>
        <v>1.6408725624268845</v>
      </c>
      <c r="V174" s="444">
        <f>+GETPIVOTDATA("Sum of Old-HS % of Total",'Pivot-HS Student % of Undergrad'!$A$3,"State","NC","Category",9,"Category2","Two-Year")</f>
        <v>0.10514701404105274</v>
      </c>
      <c r="W174" s="603">
        <f t="shared" si="24"/>
        <v>2.6437358941486453</v>
      </c>
      <c r="X174" s="444">
        <f>+GETPIVOTDATA("Sum of Old-HS % of Total",'Pivot-HS Student % of Undergrad'!$A$3,"State","NC","Category",10,"Category2","Two-Year")</f>
        <v>0.15374636592859997</v>
      </c>
      <c r="Y174" s="603">
        <f t="shared" si="25"/>
        <v>3.8936122828183817</v>
      </c>
      <c r="Z174" s="444">
        <f>+GETPIVOTDATA("Sum of Old-HS % of Total",'Pivot-HS Student % of Undergrad'!$A$3,"State","NC","Category2","Two-Year")</f>
        <v>7.9766940783399479E-2</v>
      </c>
      <c r="AA174" s="603">
        <f t="shared" si="26"/>
        <v>2.3481612178883684</v>
      </c>
      <c r="AC174" s="561" t="s">
        <v>870</v>
      </c>
      <c r="AD174" s="591">
        <f>+B174</f>
        <v>0</v>
      </c>
      <c r="AE174" s="591">
        <f>+D174</f>
        <v>83430.247777777782</v>
      </c>
      <c r="AF174" s="591">
        <f>+F174</f>
        <v>71425.103333333333</v>
      </c>
      <c r="AG174" s="591">
        <f>+H174</f>
        <v>31068.723333333335</v>
      </c>
      <c r="AH174" s="591"/>
      <c r="AI174" s="591">
        <f>+J174</f>
        <v>185924.07444444441</v>
      </c>
      <c r="AJ174" s="575" t="s">
        <v>870</v>
      </c>
      <c r="AK174" s="601">
        <f>+'NEW-Tables 80-86'!R114+'NEW-Tables 80-86'!Q144</f>
        <v>0</v>
      </c>
      <c r="AL174" s="601">
        <f>+'NEW-Tables 80-86'!S114+'NEW-Tables 80-86'!R144</f>
        <v>84619.032222222217</v>
      </c>
      <c r="AM174" s="601">
        <f>+'NEW-Tables 80-86'!T114+'NEW-Tables 80-86'!S144</f>
        <v>73824.102222222224</v>
      </c>
      <c r="AN174" s="601">
        <f>+'NEW-Tables 80-86'!U114+'NEW-Tables 80-86'!T144</f>
        <v>32013.45</v>
      </c>
      <c r="AO174" s="601"/>
      <c r="AP174" s="604">
        <f>+'NEW-Tables 80-86'!V114+'NEW-Tables 80-86'!U144</f>
        <v>190456.58444444445</v>
      </c>
      <c r="AQ174" s="460"/>
      <c r="AR174" s="345" t="s">
        <v>870</v>
      </c>
      <c r="AS174" s="605">
        <f t="shared" si="27"/>
        <v>0</v>
      </c>
      <c r="AT174" s="605">
        <f t="shared" si="28"/>
        <v>5.0664158050297381</v>
      </c>
      <c r="AU174" s="605">
        <f t="shared" si="29"/>
        <v>13.158437298253919</v>
      </c>
      <c r="AV174" s="605">
        <f t="shared" si="30"/>
        <v>19.268248875678378</v>
      </c>
      <c r="AW174" s="605">
        <f t="shared" si="31"/>
        <v>10.324855296228316</v>
      </c>
      <c r="AY174" s="345" t="s">
        <v>870</v>
      </c>
      <c r="AZ174" s="605">
        <f t="shared" si="32"/>
        <v>0</v>
      </c>
      <c r="BA174" s="605">
        <f t="shared" si="33"/>
        <v>3.425543242602854</v>
      </c>
      <c r="BB174" s="605">
        <f t="shared" si="34"/>
        <v>10.514701404105274</v>
      </c>
      <c r="BC174" s="605">
        <f t="shared" si="35"/>
        <v>15.374636592859996</v>
      </c>
      <c r="BD174" s="605">
        <f t="shared" si="36"/>
        <v>7.976694078339948</v>
      </c>
      <c r="BE174" s="460"/>
      <c r="BF174" s="460"/>
      <c r="BG174" s="460"/>
    </row>
    <row r="175" spans="1:88" ht="15" customHeight="1">
      <c r="A175" s="345" t="s">
        <v>871</v>
      </c>
      <c r="B175" s="551">
        <f>+'NEW-Tables 80-86'!B115+'NEW-Tables 80-86'!B145</f>
        <v>6697.3666666666668</v>
      </c>
      <c r="C175" s="602">
        <f>+GETPIVOTDATA("Sum of New-HS % of Total",'Pivot-HS Student % of Undergrad'!$A$3,"State","OK","Category",7,"Category2","Two-Year")</f>
        <v>2.9688285445523366E-2</v>
      </c>
      <c r="D175" s="587">
        <f>+'NEW-Tables 80-86'!C115+'NEW-Tables 80-86'!C145</f>
        <v>18789.366666666669</v>
      </c>
      <c r="E175" s="602">
        <f>+GETPIVOTDATA("Sum of New-HS % of Total",'Pivot-HS Student % of Undergrad'!$A$3,"State","OK","Category",8,"Category2","Two-Year")</f>
        <v>5.4553905489097554E-2</v>
      </c>
      <c r="F175" s="587">
        <f>+'NEW-Tables 80-86'!D115+'NEW-Tables 80-86'!D145</f>
        <v>7397.6333333333332</v>
      </c>
      <c r="G175" s="602">
        <f>+GETPIVOTDATA("Sum of New-HS % of Total",'Pivot-HS Student % of Undergrad'!$A$3,"State","OK","Category",9,"Category2","Two-Year")</f>
        <v>3.3105182288029056E-2</v>
      </c>
      <c r="H175" s="587">
        <f>+'NEW-Tables 80-86'!E115+'NEW-Tables 80-86'!E145</f>
        <v>11457.999999999998</v>
      </c>
      <c r="I175" s="602">
        <f>+GETPIVOTDATA("Sum of New-HS % of Total",'Pivot-HS Student % of Undergrad'!$A$3,"State","OK","Category",10,"Category2","Two-Year")</f>
        <v>0.10612090533542794</v>
      </c>
      <c r="J175" s="587">
        <f>+'NEW-Tables 80-86'!F115+'NEW-Tables 80-86'!F145</f>
        <v>44342.366666666669</v>
      </c>
      <c r="K175" s="602">
        <f>+GETPIVOTDATA("Sum of New-HS % of Total",'Pivot-HS Student % of Undergrad'!$A$3,"State","OK","Category2","Group2")</f>
        <v>6.0544806283832395E-2</v>
      </c>
      <c r="Q175" s="345" t="s">
        <v>871</v>
      </c>
      <c r="R175" s="454">
        <f>+GETPIVOTDATA("Sum of Old-HS % of Total",'Pivot-HS Student % of Undergrad'!$A$3,"State","OK","Category",7,"Category2","Two-Year")</f>
        <v>3.6157869137696745E-2</v>
      </c>
      <c r="S175" s="603">
        <f t="shared" si="22"/>
        <v>-0.64695836921733785</v>
      </c>
      <c r="T175" s="444">
        <f>+GETPIVOTDATA("Sum of Old-HS % of Total",'Pivot-HS Student % of Undergrad'!$A$3,"State","OK","Category",8,"Category2","Two-Year")</f>
        <v>4.9515255744383133E-2</v>
      </c>
      <c r="U175" s="603">
        <f t="shared" si="23"/>
        <v>0.50386497447144207</v>
      </c>
      <c r="V175" s="444">
        <f>+GETPIVOTDATA("Sum of Old-HS % of Total",'Pivot-HS Student % of Undergrad'!$A$3,"State","OK","Category",9,"Category2","Two-Year")</f>
        <v>2.5716633193354026E-2</v>
      </c>
      <c r="W175" s="603">
        <f t="shared" si="24"/>
        <v>0.73885490946750298</v>
      </c>
      <c r="X175" s="444">
        <f>+GETPIVOTDATA("Sum of Old-HS % of Total",'Pivot-HS Student % of Undergrad'!$A$3,"State","OK","Category",10,"Category2","Two-Year")</f>
        <v>9.0328393611754002E-2</v>
      </c>
      <c r="Y175" s="603">
        <f t="shared" si="25"/>
        <v>1.5792511723673934</v>
      </c>
      <c r="Z175" s="444">
        <f>+GETPIVOTDATA("Sum of Old-HS % of Total",'Pivot-HS Student % of Undergrad'!$A$3,"State","OK","Category2","Two-Year")</f>
        <v>5.4195312006715173E-2</v>
      </c>
      <c r="AA175" s="603">
        <f t="shared" si="26"/>
        <v>0.63494942771172225</v>
      </c>
      <c r="AC175" s="561" t="s">
        <v>871</v>
      </c>
      <c r="AD175" s="591">
        <f>+B175</f>
        <v>6697.3666666666668</v>
      </c>
      <c r="AE175" s="591">
        <f>+D175</f>
        <v>18789.366666666669</v>
      </c>
      <c r="AF175" s="591">
        <f>+F175</f>
        <v>7397.6333333333332</v>
      </c>
      <c r="AG175" s="591">
        <f>+H175</f>
        <v>11457.999999999998</v>
      </c>
      <c r="AH175" s="591"/>
      <c r="AI175" s="591">
        <f>+J175</f>
        <v>44342.366666666669</v>
      </c>
      <c r="AJ175" s="575" t="s">
        <v>871</v>
      </c>
      <c r="AK175" s="601">
        <f>+'NEW-Tables 80-86'!R115+'NEW-Tables 80-86'!Q145</f>
        <v>6647.7</v>
      </c>
      <c r="AL175" s="601">
        <f>+'NEW-Tables 80-86'!S115+'NEW-Tables 80-86'!R145</f>
        <v>19343.533333333333</v>
      </c>
      <c r="AM175" s="601">
        <f>+'NEW-Tables 80-86'!T115+'NEW-Tables 80-86'!S145</f>
        <v>7302.6666666666661</v>
      </c>
      <c r="AN175" s="601">
        <f>+'NEW-Tables 80-86'!U115+'NEW-Tables 80-86'!T145</f>
        <v>11579.599999999999</v>
      </c>
      <c r="AO175" s="601"/>
      <c r="AP175" s="604">
        <f>+'NEW-Tables 80-86'!V115+'NEW-Tables 80-86'!U145</f>
        <v>44873.5</v>
      </c>
      <c r="AR175" s="345" t="s">
        <v>871</v>
      </c>
      <c r="AS175" s="605">
        <f t="shared" si="27"/>
        <v>2.9688285445523368</v>
      </c>
      <c r="AT175" s="605">
        <f t="shared" si="28"/>
        <v>5.4553905489097554</v>
      </c>
      <c r="AU175" s="605">
        <f t="shared" si="29"/>
        <v>3.3105182288029056</v>
      </c>
      <c r="AV175" s="605">
        <f t="shared" si="30"/>
        <v>10.612090533542794</v>
      </c>
      <c r="AW175" s="605">
        <f t="shared" si="31"/>
        <v>6.0544806283832395</v>
      </c>
      <c r="AY175" s="345" t="s">
        <v>871</v>
      </c>
      <c r="AZ175" s="605">
        <f t="shared" si="32"/>
        <v>3.6157869137696745</v>
      </c>
      <c r="BA175" s="605">
        <f t="shared" si="33"/>
        <v>4.9515255744383131</v>
      </c>
      <c r="BB175" s="605">
        <f t="shared" si="34"/>
        <v>2.5716633193354026</v>
      </c>
      <c r="BC175" s="605">
        <f t="shared" si="35"/>
        <v>9.0328393611753999</v>
      </c>
      <c r="BD175" s="605">
        <f t="shared" si="36"/>
        <v>5.4195312006715168</v>
      </c>
    </row>
    <row r="176" spans="1:88" ht="15" customHeight="1">
      <c r="A176" s="345" t="s">
        <v>872</v>
      </c>
      <c r="B176" s="551">
        <f>+'NEW-Tables 80-86'!B116+'NEW-Tables 80-86'!B146</f>
        <v>0</v>
      </c>
      <c r="C176" s="602">
        <f>+GETPIVOTDATA("Sum of New-HS % of Total",'Pivot-HS Student % of Undergrad'!$A$3,"State","SC","Category",7,"Category2","Two-Year")</f>
        <v>0</v>
      </c>
      <c r="D176" s="587">
        <f>+'NEW-Tables 80-86'!C116+'NEW-Tables 80-86'!C146</f>
        <v>40292.76666666667</v>
      </c>
      <c r="E176" s="602">
        <f>+GETPIVOTDATA("Sum of New-HS % of Total",'Pivot-HS Student % of Undergrad'!$A$3,"State","SC","Category",8,"Category2","Two-Year")</f>
        <v>5.0743599140623256E-2</v>
      </c>
      <c r="F176" s="587">
        <f>+'NEW-Tables 80-86'!D116+'NEW-Tables 80-86'!D146</f>
        <v>14807.933333333334</v>
      </c>
      <c r="G176" s="602">
        <f>+GETPIVOTDATA("Sum of New-HS % of Total",'Pivot-HS Student % of Undergrad'!$A$3,"State","SC","Category",9,"Category2","Two-Year")</f>
        <v>8.1649926390808536E-2</v>
      </c>
      <c r="H176" s="587">
        <f>+'NEW-Tables 80-86'!E116+'NEW-Tables 80-86'!E146</f>
        <v>8147.9</v>
      </c>
      <c r="I176" s="602">
        <f>+GETPIVOTDATA("Sum of New-HS % of Total",'Pivot-HS Student % of Undergrad'!$A$3,"State","SC","Category",10,"Category2","Two-Year")</f>
        <v>8.5708970542953913E-2</v>
      </c>
      <c r="J176" s="587">
        <f>+'NEW-Tables 80-86'!F116+'NEW-Tables 80-86'!F146</f>
        <v>63248.600000000006</v>
      </c>
      <c r="K176" s="602">
        <f>+GETPIVOTDATA("Sum of New-HS % of Total",'Pivot-HS Student % of Undergrad'!$A$3,"State","SC","Category2","Group2")</f>
        <v>6.1346922371440467E-2</v>
      </c>
      <c r="Q176" s="345" t="s">
        <v>872</v>
      </c>
      <c r="R176" s="454">
        <f>+GETPIVOTDATA("Sum of Old-HS % of Total",'Pivot-HS Student % of Undergrad'!$A$3,"State","SC","Category",7,"Category2","Two-Year")</f>
        <v>0</v>
      </c>
      <c r="S176" s="603">
        <f t="shared" si="22"/>
        <v>0</v>
      </c>
      <c r="T176" s="444">
        <f>+GETPIVOTDATA("Sum of Old-HS % of Total",'Pivot-HS Student % of Undergrad'!$A$3,"State","SC","Category",8,"Category2","Two-Year")</f>
        <v>3.8005717712486349E-2</v>
      </c>
      <c r="U176" s="603">
        <f t="shared" si="23"/>
        <v>1.2737881428136908</v>
      </c>
      <c r="V176" s="444">
        <f>+GETPIVOTDATA("Sum of Old-HS % of Total",'Pivot-HS Student % of Undergrad'!$A$3,"State","SC","Category",9,"Category2","Two-Year")</f>
        <v>6.8157963655650938E-2</v>
      </c>
      <c r="W176" s="603">
        <f t="shared" si="24"/>
        <v>1.3491962735157599</v>
      </c>
      <c r="X176" s="444">
        <f>+GETPIVOTDATA("Sum of Old-HS % of Total",'Pivot-HS Student % of Undergrad'!$A$3,"State","SC","Category",10,"Category2","Two-Year")</f>
        <v>4.0952686097894674E-2</v>
      </c>
      <c r="Y176" s="603">
        <f t="shared" si="25"/>
        <v>4.475628444505924</v>
      </c>
      <c r="Z176" s="444">
        <f>+GETPIVOTDATA("Sum of Old-HS % of Total",'Pivot-HS Student % of Undergrad'!$A$3,"State","SC","Category2","Two-Year")</f>
        <v>4.5626288640380236E-2</v>
      </c>
      <c r="AA176" s="603">
        <f t="shared" si="26"/>
        <v>1.5720633731060232</v>
      </c>
      <c r="AC176" s="561" t="s">
        <v>872</v>
      </c>
      <c r="AD176" s="591">
        <f>+B176</f>
        <v>0</v>
      </c>
      <c r="AE176" s="591">
        <f>+D176</f>
        <v>40292.76666666667</v>
      </c>
      <c r="AF176" s="591">
        <f>+F176</f>
        <v>14807.933333333334</v>
      </c>
      <c r="AG176" s="591">
        <f>+H176</f>
        <v>8147.9</v>
      </c>
      <c r="AH176" s="591"/>
      <c r="AI176" s="591">
        <f>+J176</f>
        <v>63248.600000000006</v>
      </c>
      <c r="AJ176" s="575" t="s">
        <v>872</v>
      </c>
      <c r="AK176" s="601">
        <f>+'NEW-Tables 80-86'!R116+'NEW-Tables 80-86'!Q146</f>
        <v>0</v>
      </c>
      <c r="AL176" s="601">
        <f>+'NEW-Tables 80-86'!S116+'NEW-Tables 80-86'!R146</f>
        <v>45941.332999999999</v>
      </c>
      <c r="AM176" s="601">
        <f>+'NEW-Tables 80-86'!T116+'NEW-Tables 80-86'!S146</f>
        <v>16721.939333333336</v>
      </c>
      <c r="AN176" s="601">
        <f>+'NEW-Tables 80-86'!U116+'NEW-Tables 80-86'!T146</f>
        <v>9016.9219999999987</v>
      </c>
      <c r="AO176" s="601"/>
      <c r="AP176" s="604">
        <f>+'NEW-Tables 80-86'!V116+'NEW-Tables 80-86'!U146</f>
        <v>71680.194333333333</v>
      </c>
      <c r="AQ176" s="460"/>
      <c r="AR176" s="345" t="s">
        <v>872</v>
      </c>
      <c r="AS176" s="605">
        <f t="shared" si="27"/>
        <v>0</v>
      </c>
      <c r="AT176" s="605">
        <f t="shared" si="28"/>
        <v>5.0743599140623257</v>
      </c>
      <c r="AU176" s="605">
        <f t="shared" si="29"/>
        <v>8.1649926390808538</v>
      </c>
      <c r="AV176" s="605">
        <f t="shared" si="30"/>
        <v>8.5708970542953917</v>
      </c>
      <c r="AW176" s="605">
        <f t="shared" si="31"/>
        <v>6.1346922371440469</v>
      </c>
      <c r="AY176" s="345" t="s">
        <v>872</v>
      </c>
      <c r="AZ176" s="605">
        <f t="shared" si="32"/>
        <v>0</v>
      </c>
      <c r="BA176" s="605">
        <f t="shared" si="33"/>
        <v>3.8005717712486349</v>
      </c>
      <c r="BB176" s="605">
        <f t="shared" si="34"/>
        <v>6.8157963655650935</v>
      </c>
      <c r="BC176" s="605">
        <f t="shared" si="35"/>
        <v>4.0952686097894677</v>
      </c>
      <c r="BD176" s="605">
        <f t="shared" si="36"/>
        <v>4.5626288640380235</v>
      </c>
      <c r="BE176" s="460"/>
      <c r="BF176" s="460"/>
      <c r="BG176" s="460"/>
    </row>
    <row r="177" spans="1:88" ht="15" customHeight="1">
      <c r="B177" s="551"/>
      <c r="C177" s="602"/>
      <c r="D177" s="587"/>
      <c r="E177" s="602"/>
      <c r="F177" s="587"/>
      <c r="G177" s="602"/>
      <c r="H177" s="587"/>
      <c r="I177" s="602"/>
      <c r="J177" s="587"/>
      <c r="K177" s="602"/>
      <c r="R177" s="454"/>
      <c r="S177" s="603"/>
      <c r="T177" s="444"/>
      <c r="U177" s="603"/>
      <c r="V177" s="444"/>
      <c r="W177" s="603"/>
      <c r="X177" s="444"/>
      <c r="Y177" s="603"/>
      <c r="Z177" s="444"/>
      <c r="AA177" s="603"/>
      <c r="AC177" s="561"/>
      <c r="AD177" s="591"/>
      <c r="AE177" s="591"/>
      <c r="AF177" s="591"/>
      <c r="AG177" s="591"/>
      <c r="AH177" s="591"/>
      <c r="AI177" s="591"/>
      <c r="AJ177" s="575"/>
      <c r="AK177" s="601"/>
      <c r="AL177" s="601"/>
      <c r="AM177" s="601"/>
      <c r="AN177" s="601"/>
      <c r="AO177" s="601"/>
      <c r="AP177" s="604"/>
      <c r="AQ177" s="460"/>
      <c r="AS177" s="605">
        <f t="shared" si="27"/>
        <v>0</v>
      </c>
      <c r="AT177" s="605">
        <f t="shared" si="28"/>
        <v>0</v>
      </c>
      <c r="AU177" s="605">
        <f t="shared" si="29"/>
        <v>0</v>
      </c>
      <c r="AV177" s="605">
        <f t="shared" si="30"/>
        <v>0</v>
      </c>
      <c r="AW177" s="605">
        <f t="shared" si="31"/>
        <v>0</v>
      </c>
      <c r="AZ177" s="605">
        <f t="shared" si="32"/>
        <v>0</v>
      </c>
      <c r="BA177" s="605">
        <f t="shared" si="33"/>
        <v>0</v>
      </c>
      <c r="BB177" s="605">
        <f t="shared" si="34"/>
        <v>0</v>
      </c>
      <c r="BC177" s="605">
        <f t="shared" si="35"/>
        <v>0</v>
      </c>
      <c r="BD177" s="605">
        <f t="shared" si="36"/>
        <v>0</v>
      </c>
      <c r="BE177" s="460"/>
      <c r="BF177" s="460"/>
      <c r="BG177" s="460"/>
    </row>
    <row r="178" spans="1:88" ht="11.25" customHeight="1">
      <c r="A178" s="345" t="s">
        <v>873</v>
      </c>
      <c r="B178" s="551">
        <f>+'NEW-Tables 80-86'!B118+'NEW-Tables 80-86'!B148</f>
        <v>0</v>
      </c>
      <c r="C178" s="602">
        <f>+GETPIVOTDATA("Sum of New-HS % of Total",'Pivot-HS Student % of Undergrad'!$A$3,"State","TN","Category",7,"Category2","Two-Year")</f>
        <v>0</v>
      </c>
      <c r="D178" s="587">
        <f>+'NEW-Tables 80-86'!C118+'NEW-Tables 80-86'!C148</f>
        <v>30362.833333333328</v>
      </c>
      <c r="E178" s="602">
        <f>+GETPIVOTDATA("Sum of New-HS % of Total",'Pivot-HS Student % of Undergrad'!$A$3,"State","TN","Category",8,"Category2","Two-Year")</f>
        <v>5.7022565966065968E-2</v>
      </c>
      <c r="F178" s="587">
        <f>+'NEW-Tables 80-86'!D118+'NEW-Tables 80-86'!D148</f>
        <v>24831.800000000003</v>
      </c>
      <c r="G178" s="602">
        <f>+GETPIVOTDATA("Sum of New-HS % of Total",'Pivot-HS Student % of Undergrad'!$A$3,"State","TN","Category",9,"Category2","Two-Year")</f>
        <v>9.1470077347057671E-2</v>
      </c>
      <c r="H178" s="587">
        <f>+'NEW-Tables 80-86'!E118+'NEW-Tables 80-86'!E148</f>
        <v>1679.4</v>
      </c>
      <c r="I178" s="602">
        <f>+GETPIVOTDATA("Sum of New-HS % of Total",'Pivot-HS Student % of Undergrad'!$A$3,"State","TN","Category",10,"Category2","Two-Year")</f>
        <v>0.1445754436108134</v>
      </c>
      <c r="J178" s="587">
        <f>+'NEW-Tables 80-86'!F118+'NEW-Tables 80-86'!F148</f>
        <v>56874.033333333333</v>
      </c>
      <c r="K178" s="602">
        <f>+GETPIVOTDATA("Sum of New-HS % of Total",'Pivot-HS Student % of Undergrad'!$A$3,"State","TN","Category2","Group2")</f>
        <v>7.4648008669451385E-2</v>
      </c>
      <c r="Q178" s="345" t="s">
        <v>873</v>
      </c>
      <c r="R178" s="454">
        <f>+GETPIVOTDATA("Sum of Old-HS % of Total",'Pivot-HS Student % of Undergrad'!$A$3,"State","TN","Category",7,"Category2","Two-Year")</f>
        <v>0</v>
      </c>
      <c r="S178" s="603">
        <f t="shared" si="22"/>
        <v>0</v>
      </c>
      <c r="T178" s="444">
        <f>+GETPIVOTDATA("Sum of Old-HS % of Total",'Pivot-HS Student % of Undergrad'!$A$3,"State","TN","Category",8,"Category2","Two-Year")</f>
        <v>5.2875649875520507E-2</v>
      </c>
      <c r="U178" s="603">
        <f t="shared" si="23"/>
        <v>0.41469160905454605</v>
      </c>
      <c r="V178" s="444">
        <f>+GETPIVOTDATA("Sum of Old-HS % of Total",'Pivot-HS Student % of Undergrad'!$A$3,"State","TN","Category",9,"Category2","Two-Year")</f>
        <v>8.9086927555061229E-2</v>
      </c>
      <c r="W178" s="603">
        <f t="shared" si="24"/>
        <v>0.23831497919964417</v>
      </c>
      <c r="X178" s="444">
        <f>+GETPIVOTDATA("Sum of Old-HS % of Total",'Pivot-HS Student % of Undergrad'!$A$3,"State","TN","Category",10,"Category2","Two-Year")</f>
        <v>0.14603149067948279</v>
      </c>
      <c r="Y178" s="603">
        <f t="shared" si="25"/>
        <v>-0.14560470686693916</v>
      </c>
      <c r="Z178" s="444">
        <f>+GETPIVOTDATA("Sum of Old-HS % of Total",'Pivot-HS Student % of Undergrad'!$A$3,"State","TN","Category2","Two-Year")</f>
        <v>7.074313030746196E-2</v>
      </c>
      <c r="AA178" s="603">
        <f t="shared" si="26"/>
        <v>0.39048783619894251</v>
      </c>
      <c r="AC178" s="561" t="s">
        <v>873</v>
      </c>
      <c r="AD178" s="591">
        <f>+B178</f>
        <v>0</v>
      </c>
      <c r="AE178" s="591">
        <f>+D178</f>
        <v>30362.833333333328</v>
      </c>
      <c r="AF178" s="591">
        <f>+F178</f>
        <v>24831.800000000003</v>
      </c>
      <c r="AG178" s="591">
        <f>+H178</f>
        <v>1679.4</v>
      </c>
      <c r="AH178" s="591"/>
      <c r="AI178" s="591">
        <f>+J178</f>
        <v>56874.033333333333</v>
      </c>
      <c r="AJ178" s="575" t="s">
        <v>873</v>
      </c>
      <c r="AK178" s="601">
        <f>+'NEW-Tables 80-86'!R118+'NEW-Tables 80-86'!Q148</f>
        <v>0</v>
      </c>
      <c r="AL178" s="601">
        <f>+'NEW-Tables 80-86'!S118+'NEW-Tables 80-86'!R148</f>
        <v>31691.966666666667</v>
      </c>
      <c r="AM178" s="601">
        <f>+'NEW-Tables 80-86'!T118+'NEW-Tables 80-86'!S148</f>
        <v>24065.633333333335</v>
      </c>
      <c r="AN178" s="601">
        <f>+'NEW-Tables 80-86'!U118+'NEW-Tables 80-86'!T148</f>
        <v>1657.6333333333334</v>
      </c>
      <c r="AO178" s="601"/>
      <c r="AP178" s="604">
        <f>+'NEW-Tables 80-86'!V118+'NEW-Tables 80-86'!U148</f>
        <v>57415.233333333337</v>
      </c>
      <c r="AQ178" s="460"/>
      <c r="AR178" s="345" t="s">
        <v>873</v>
      </c>
      <c r="AS178" s="605">
        <f t="shared" si="27"/>
        <v>0</v>
      </c>
      <c r="AT178" s="605">
        <f t="shared" si="28"/>
        <v>5.7022565966065963</v>
      </c>
      <c r="AU178" s="605">
        <f t="shared" si="29"/>
        <v>9.1470077347057668</v>
      </c>
      <c r="AV178" s="605">
        <f t="shared" si="30"/>
        <v>14.457544361081339</v>
      </c>
      <c r="AW178" s="605">
        <f t="shared" si="31"/>
        <v>7.4648008669451382</v>
      </c>
      <c r="AY178" s="345" t="s">
        <v>873</v>
      </c>
      <c r="AZ178" s="605">
        <f t="shared" si="32"/>
        <v>0</v>
      </c>
      <c r="BA178" s="605">
        <f t="shared" si="33"/>
        <v>5.2875649875520505</v>
      </c>
      <c r="BB178" s="605">
        <f t="shared" si="34"/>
        <v>8.9086927555061237</v>
      </c>
      <c r="BC178" s="605">
        <f t="shared" si="35"/>
        <v>14.603149067948278</v>
      </c>
      <c r="BD178" s="605">
        <f t="shared" si="36"/>
        <v>7.0743130307461959</v>
      </c>
      <c r="BE178" s="460"/>
      <c r="BF178" s="460"/>
      <c r="BG178" s="460"/>
    </row>
    <row r="179" spans="1:88" ht="15" customHeight="1">
      <c r="A179" s="345" t="s">
        <v>874</v>
      </c>
      <c r="B179" s="551">
        <f>+'NEW-Tables 80-86'!B119+'NEW-Tables 80-86'!B149</f>
        <v>27730.011111111111</v>
      </c>
      <c r="C179" s="608">
        <f>+GETPIVOTDATA("Sum of New-HS % of Total",'Pivot-HS Student % of Undergrad'!$A$3,"State","TX","Category",7,"Category2","Two-Year")</f>
        <v>0.18167762396082901</v>
      </c>
      <c r="D179" s="587">
        <f>+'NEW-Tables 80-86'!C119+'NEW-Tables 80-86'!C149</f>
        <v>346865.94222222222</v>
      </c>
      <c r="E179" s="608">
        <f>+GETPIVOTDATA("Sum of New-HS % of Total",'Pivot-HS Student % of Undergrad'!$A$3,"State","TX","Category",8,"Category2","Two-Year")</f>
        <v>4.954385534547464E-2</v>
      </c>
      <c r="F179" s="587">
        <f>+'NEW-Tables 80-86'!D119+'NEW-Tables 80-86'!D149</f>
        <v>86365.074444444443</v>
      </c>
      <c r="G179" s="608">
        <f>+GETPIVOTDATA("Sum of New-HS % of Total",'Pivot-HS Student % of Undergrad'!$A$3,"State","TX","Category",9,"Category2","Two-Year")</f>
        <v>5.6257773655813886E-2</v>
      </c>
      <c r="H179" s="587">
        <f>+'NEW-Tables 80-86'!E119+'NEW-Tables 80-86'!E149</f>
        <v>15507.774444444445</v>
      </c>
      <c r="I179" s="608">
        <f>+GETPIVOTDATA("Sum of New-HS % of Total",'Pivot-HS Student % of Undergrad'!$A$3,"State","TX","Category",10,"Category2","Two-Year")</f>
        <v>4.8570403363172442E-2</v>
      </c>
      <c r="J179" s="587">
        <f>+'NEW-Tables 80-86'!F119+'NEW-Tables 80-86'!F149</f>
        <v>476468.80222222215</v>
      </c>
      <c r="K179" s="608">
        <f>+GETPIVOTDATA("Sum of New-HS % of Total",'Pivot-HS Student % of Undergrad'!$A$3,"State","TX","Category2","Group2")</f>
        <v>5.636971941241338E-2</v>
      </c>
      <c r="Q179" s="345" t="s">
        <v>874</v>
      </c>
      <c r="R179" s="454">
        <f>+GETPIVOTDATA("Sum of Old-HS % of Total",'Pivot-HS Student % of Undergrad'!$A$3,"State","TX","Category",7,"Category2","Two-Year")</f>
        <v>0.26116909777948039</v>
      </c>
      <c r="S179" s="603">
        <f t="shared" si="22"/>
        <v>-7.9491473818651377</v>
      </c>
      <c r="T179" s="444">
        <f>+GETPIVOTDATA("Sum of Old-HS % of Total",'Pivot-HS Student % of Undergrad'!$A$3,"State","TX","Category",8,"Category2","Two-Year")</f>
        <v>8.5016382942520619E-2</v>
      </c>
      <c r="U179" s="603">
        <f t="shared" si="23"/>
        <v>-3.5472527597045977</v>
      </c>
      <c r="V179" s="444">
        <f>+GETPIVOTDATA("Sum of Old-HS % of Total",'Pivot-HS Student % of Undergrad'!$A$3,"State","TX","Category",9,"Category2","Two-Year")</f>
        <v>0.12355994487070003</v>
      </c>
      <c r="W179" s="603">
        <f t="shared" si="24"/>
        <v>-6.7302171214886144</v>
      </c>
      <c r="X179" s="444">
        <f>+GETPIVOTDATA("Sum of Old-HS % of Total",'Pivot-HS Student % of Undergrad'!$A$3,"State","TX","Category",10,"Category2","Two-Year")</f>
        <v>0.11897186469677891</v>
      </c>
      <c r="Y179" s="603">
        <f t="shared" si="25"/>
        <v>-7.040146133360647</v>
      </c>
      <c r="Z179" s="444">
        <f>+GETPIVOTDATA("Sum of Old-HS % of Total",'Pivot-HS Student % of Undergrad'!$A$3,"State","TX","Category2","Two-Year")</f>
        <v>0.10297467555751674</v>
      </c>
      <c r="AA179" s="603">
        <f t="shared" si="26"/>
        <v>-4.660495614510336</v>
      </c>
      <c r="AC179" s="561" t="s">
        <v>874</v>
      </c>
      <c r="AD179" s="609">
        <f>+'FTE Pivot for regular counts'!AF171</f>
        <v>27730.011111111111</v>
      </c>
      <c r="AE179" s="609">
        <f>+'FTE Pivot for regular counts'!AG171</f>
        <v>275357.6366666666</v>
      </c>
      <c r="AF179" s="609">
        <f>+'FTE Pivot for regular counts'!AH171</f>
        <v>74704.684444444443</v>
      </c>
      <c r="AG179" s="609">
        <f>+'FTE Pivot for regular counts'!AI171</f>
        <v>13559.432222222222</v>
      </c>
      <c r="AH179" s="609">
        <f>+'FTE Pivot for regular counts'!AJ171</f>
        <v>85117.037777777776</v>
      </c>
      <c r="AI179" s="591">
        <f>+J179</f>
        <v>476468.80222222215</v>
      </c>
      <c r="AJ179" s="575" t="s">
        <v>874</v>
      </c>
      <c r="AK179" s="601">
        <f>+'FTE Pivot for regular counts'!AF170</f>
        <v>27297.016666666666</v>
      </c>
      <c r="AL179" s="610">
        <f>+'FTE Pivot for regular counts'!AG170</f>
        <v>276561.86333333328</v>
      </c>
      <c r="AM179" s="610">
        <f>+'FTE Pivot for regular counts'!AH170</f>
        <v>74554.794444444444</v>
      </c>
      <c r="AN179" s="610">
        <f>+'FTE Pivot for regular counts'!AI170</f>
        <v>13120.356666666668</v>
      </c>
      <c r="AO179" s="610">
        <f>+'FTE Pivot for regular counts'!AJ170</f>
        <v>85343.442222222235</v>
      </c>
      <c r="AP179" s="604">
        <f>+'NEW-Tables 80-86'!V119+'NEW-Tables 80-86'!U149</f>
        <v>476877.47333333327</v>
      </c>
      <c r="AR179" s="345" t="s">
        <v>874</v>
      </c>
      <c r="AS179" s="605">
        <f t="shared" si="27"/>
        <v>18.1677623960829</v>
      </c>
      <c r="AT179" s="605">
        <f t="shared" si="28"/>
        <v>4.9543855345474643</v>
      </c>
      <c r="AU179" s="605">
        <f t="shared" si="29"/>
        <v>5.6257773655813885</v>
      </c>
      <c r="AV179" s="605">
        <f t="shared" si="30"/>
        <v>4.8570403363172439</v>
      </c>
      <c r="AW179" s="605">
        <f t="shared" si="31"/>
        <v>5.6369719412413382</v>
      </c>
      <c r="AY179" s="345" t="s">
        <v>874</v>
      </c>
      <c r="AZ179" s="605">
        <f t="shared" si="32"/>
        <v>26.116909777948038</v>
      </c>
      <c r="BA179" s="605">
        <f t="shared" si="33"/>
        <v>8.5016382942520625</v>
      </c>
      <c r="BB179" s="605">
        <f t="shared" si="34"/>
        <v>12.355994487070003</v>
      </c>
      <c r="BC179" s="605">
        <f t="shared" si="35"/>
        <v>11.897186469677891</v>
      </c>
      <c r="BD179" s="605">
        <f t="shared" si="36"/>
        <v>10.297467555751675</v>
      </c>
    </row>
    <row r="180" spans="1:88" ht="15" customHeight="1">
      <c r="A180" s="345" t="s">
        <v>875</v>
      </c>
      <c r="B180" s="551">
        <f>+'NEW-Tables 80-86'!B120+'NEW-Tables 80-86'!B150</f>
        <v>0</v>
      </c>
      <c r="C180" s="608">
        <f>+GETPIVOTDATA("Sum of New-HS % of Total",'Pivot-HS Student % of Undergrad'!$A$3,"State","VA","Category",7,"Category2","Two-Year")</f>
        <v>0</v>
      </c>
      <c r="D180" s="587">
        <f>+'NEW-Tables 80-86'!C120+'NEW-Tables 80-86'!C150</f>
        <v>68059.95</v>
      </c>
      <c r="E180" s="608">
        <f>+GETPIVOTDATA("Sum of New-HS % of Total",'Pivot-HS Student % of Undergrad'!$A$3,"State","VA","Category",8,"Category2","Two-Year")</f>
        <v>0.10142675685186368</v>
      </c>
      <c r="F180" s="587">
        <f>+'NEW-Tables 80-86'!D120+'NEW-Tables 80-86'!D150</f>
        <v>31862.633333333335</v>
      </c>
      <c r="G180" s="608">
        <f>+GETPIVOTDATA("Sum of New-HS % of Total",'Pivot-HS Student % of Undergrad'!$A$3,"State","VA","Category",9,"Category2","Two-Year")</f>
        <v>0.42897584317680376</v>
      </c>
      <c r="H180" s="587">
        <f>+'NEW-Tables 80-86'!E120+'NEW-Tables 80-86'!E150</f>
        <v>10240.1</v>
      </c>
      <c r="I180" s="608">
        <f>+GETPIVOTDATA("Sum of New-HS % of Total",'Pivot-HS Student % of Undergrad'!$A$3,"State","VA","Category",10,"Category2","Two-Year")</f>
        <v>0.52216612467977197</v>
      </c>
      <c r="J180" s="587">
        <f>+'NEW-Tables 80-86'!F120+'NEW-Tables 80-86'!F150</f>
        <v>110162.68333333333</v>
      </c>
      <c r="K180" s="608">
        <f>+GETPIVOTDATA("Sum of New-HS % of Total",'Pivot-HS Student % of Undergrad'!$A$3,"State","VA","Category2","Group2")</f>
        <v>0.23527416498115439</v>
      </c>
      <c r="Q180" s="345" t="s">
        <v>875</v>
      </c>
      <c r="R180" s="454">
        <f>+GETPIVOTDATA("Sum of Old-HS % of Total",'Pivot-HS Student % of Undergrad'!$A$3,"State","VA","Category",7,"Category2","Two-Year")</f>
        <v>0</v>
      </c>
      <c r="S180" s="603">
        <f t="shared" si="22"/>
        <v>0</v>
      </c>
      <c r="T180" s="444">
        <f>+GETPIVOTDATA("Sum of Old-HS % of Total",'Pivot-HS Student % of Undergrad'!$A$3,"State","VA","Category",8,"Category2","Two-Year")</f>
        <v>7.7827003350024085E-2</v>
      </c>
      <c r="U180" s="603">
        <f t="shared" si="23"/>
        <v>2.35997535018396</v>
      </c>
      <c r="V180" s="444">
        <f>+GETPIVOTDATA("Sum of Old-HS % of Total",'Pivot-HS Student % of Undergrad'!$A$3,"State","VA","Category",9,"Category2","Two-Year")</f>
        <v>0.39542187360195652</v>
      </c>
      <c r="W180" s="603">
        <f t="shared" si="24"/>
        <v>3.3553969574847242</v>
      </c>
      <c r="X180" s="444">
        <f>+GETPIVOTDATA("Sum of Old-HS % of Total",'Pivot-HS Student % of Undergrad'!$A$3,"State","VA","Category",10,"Category2","Two-Year")</f>
        <v>0.46675171633742801</v>
      </c>
      <c r="Y180" s="603">
        <f t="shared" si="25"/>
        <v>5.5414408342343959</v>
      </c>
      <c r="Z180" s="444">
        <f>+GETPIVOTDATA("Sum of Old-HS % of Total",'Pivot-HS Student % of Undergrad'!$A$3,"State","VA","Category2","Two-Year")</f>
        <v>0.20443067125269604</v>
      </c>
      <c r="AA180" s="603">
        <f t="shared" si="26"/>
        <v>3.0843493728458347</v>
      </c>
      <c r="AC180" s="611" t="s">
        <v>875</v>
      </c>
      <c r="AD180" s="591"/>
      <c r="AE180" s="591">
        <f>+D180</f>
        <v>68059.95</v>
      </c>
      <c r="AF180" s="591">
        <f>+F180</f>
        <v>31862.633333333335</v>
      </c>
      <c r="AG180" s="609">
        <f>'FTE Pivot for regular counts'!AI183</f>
        <v>10240.1</v>
      </c>
      <c r="AH180" s="609">
        <f>+'FTE Pivot for regular counts'!AJ183</f>
        <v>110525.08333333333</v>
      </c>
      <c r="AI180" s="591">
        <f>+J180</f>
        <v>110162.68333333333</v>
      </c>
      <c r="AJ180" s="575" t="s">
        <v>875</v>
      </c>
      <c r="AK180" s="601"/>
      <c r="AL180" s="601"/>
      <c r="AM180" s="601"/>
      <c r="AN180" s="610">
        <f>'FTE Pivot for regular counts'!AI182</f>
        <v>8367.1666666666679</v>
      </c>
      <c r="AO180" s="610">
        <f>+'FTE Pivot for regular counts'!AJ182</f>
        <v>114109.78333333334</v>
      </c>
      <c r="AP180" s="604">
        <f>+'NEW-Tables 80-86'!V120+'NEW-Tables 80-86'!U150</f>
        <v>115253.41666666667</v>
      </c>
      <c r="AQ180" s="460"/>
      <c r="AR180" s="345" t="s">
        <v>875</v>
      </c>
      <c r="AS180" s="605">
        <f t="shared" si="27"/>
        <v>0</v>
      </c>
      <c r="AT180" s="605">
        <f t="shared" si="28"/>
        <v>10.142675685186369</v>
      </c>
      <c r="AU180" s="605">
        <f t="shared" si="29"/>
        <v>42.897584317680376</v>
      </c>
      <c r="AV180" s="605">
        <f t="shared" si="30"/>
        <v>52.2166124679772</v>
      </c>
      <c r="AW180" s="605">
        <f t="shared" si="31"/>
        <v>23.527416498115439</v>
      </c>
      <c r="AY180" s="345" t="s">
        <v>875</v>
      </c>
      <c r="AZ180" s="605">
        <f t="shared" si="32"/>
        <v>0</v>
      </c>
      <c r="BA180" s="605">
        <f t="shared" si="33"/>
        <v>7.7827003350024082</v>
      </c>
      <c r="BB180" s="605">
        <f t="shared" si="34"/>
        <v>39.542187360195655</v>
      </c>
      <c r="BC180" s="605">
        <f t="shared" si="35"/>
        <v>46.675171633742799</v>
      </c>
      <c r="BD180" s="605">
        <f t="shared" si="36"/>
        <v>20.443067125269604</v>
      </c>
      <c r="BE180" s="460"/>
      <c r="BF180" s="460"/>
      <c r="BG180" s="460"/>
    </row>
    <row r="181" spans="1:88" ht="15" customHeight="1">
      <c r="A181" s="461" t="s">
        <v>876</v>
      </c>
      <c r="B181" s="556">
        <f>+'NEW-Tables 80-86'!B121+'NEW-Tables 80-86'!B151</f>
        <v>1160.0666666666666</v>
      </c>
      <c r="C181" s="612">
        <f>+GETPIVOTDATA("Sum of New-HS % of Total",'Pivot-HS Student % of Undergrad'!$A$3,"State","WV","Category",7,"Category2","Two-Year")</f>
        <v>7.2524567553588867E-2</v>
      </c>
      <c r="D181" s="613">
        <f>+'NEW-Tables 80-86'!C121+'NEW-Tables 80-86'!C151</f>
        <v>0</v>
      </c>
      <c r="E181" s="612">
        <f>+GETPIVOTDATA("Sum of New-HS % of Total",'Pivot-HS Student % of Undergrad'!$A$3,"State","WV","Category",8,"Category2","Two-Year")</f>
        <v>0</v>
      </c>
      <c r="F181" s="613">
        <f>+'NEW-Tables 80-86'!D121+'NEW-Tables 80-86'!D151</f>
        <v>0</v>
      </c>
      <c r="G181" s="612">
        <f>+GETPIVOTDATA("Sum of New-HS % of Total",'Pivot-HS Student % of Undergrad'!$A$3,"State","WV","Category",9,"Category2","Two-Year")</f>
        <v>0</v>
      </c>
      <c r="H181" s="613">
        <f>+'NEW-Tables 80-86'!E121+'NEW-Tables 80-86'!E151</f>
        <v>10385.156666666668</v>
      </c>
      <c r="I181" s="612">
        <f>+GETPIVOTDATA("Sum of New-HS % of Total",'Pivot-HS Student % of Undergrad'!$A$3,"State","WV","Category",10,"Category2","Two-Year")</f>
        <v>5.7078901393559471E-2</v>
      </c>
      <c r="J181" s="613">
        <f>+'NEW-Tables 80-86'!F121+'NEW-Tables 80-86'!F151</f>
        <v>11545.223333333335</v>
      </c>
      <c r="K181" s="612">
        <f>+GETPIVOTDATA("Sum of New-HS % of Total",'Pivot-HS Student % of Undergrad'!$A$3,"State","WV","Category2","Group2")</f>
        <v>5.8630885442666487E-2</v>
      </c>
      <c r="Q181" s="461" t="s">
        <v>876</v>
      </c>
      <c r="R181" s="466">
        <f>+GETPIVOTDATA("Sum of Old-HS % of Total",'Pivot-HS Student % of Undergrad'!$A$3,"State","WV","Category",7,"Category2","Two-Year")</f>
        <v>6.8092245419684699E-2</v>
      </c>
      <c r="S181" s="603">
        <f t="shared" si="22"/>
        <v>0.4432322133904168</v>
      </c>
      <c r="T181" s="468">
        <f>+GETPIVOTDATA("Sum of Old-HS % of Total",'Pivot-HS Student % of Undergrad'!$A$3,"State","WV","Category",8,"Category2","Two-Year")</f>
        <v>0</v>
      </c>
      <c r="U181" s="603">
        <f t="shared" si="23"/>
        <v>0</v>
      </c>
      <c r="V181" s="468">
        <f>+GETPIVOTDATA("Sum of Old-HS % of Total",'Pivot-HS Student % of Undergrad'!$A$3,"State","WV","Category",9,"Category2","Two-Year")</f>
        <v>0</v>
      </c>
      <c r="W181" s="603">
        <f t="shared" si="24"/>
        <v>0</v>
      </c>
      <c r="X181" s="468">
        <f>+GETPIVOTDATA("Sum of Old-HS % of Total",'Pivot-HS Student % of Undergrad'!$A$3,"State","WV","Category",10,"Category2","Two-Year")</f>
        <v>5.0266970773258673E-2</v>
      </c>
      <c r="Y181" s="603">
        <f t="shared" si="25"/>
        <v>0.68119306203007979</v>
      </c>
      <c r="Z181" s="468">
        <f>+GETPIVOTDATA("Sum of Old-HS % of Total",'Pivot-HS Student % of Undergrad'!$A$3,"State","WV","Category2","Two-Year")</f>
        <v>5.2104722299324321E-2</v>
      </c>
      <c r="AA181" s="603">
        <f t="shared" si="26"/>
        <v>0.65261631433421663</v>
      </c>
      <c r="AC181" s="611" t="s">
        <v>876</v>
      </c>
      <c r="AD181" s="591">
        <f>+B181</f>
        <v>1160.0666666666666</v>
      </c>
      <c r="AE181" s="591">
        <f>+D181</f>
        <v>0</v>
      </c>
      <c r="AF181" s="591">
        <f>+F181</f>
        <v>0</v>
      </c>
      <c r="AG181" s="591">
        <f>+H181</f>
        <v>10385.156666666668</v>
      </c>
      <c r="AH181" s="614"/>
      <c r="AI181" s="591">
        <f>+J181</f>
        <v>11545.223333333335</v>
      </c>
      <c r="AJ181" s="615" t="s">
        <v>876</v>
      </c>
      <c r="AK181" s="616">
        <f>+'NEW-Tables 80-86'!R121+'NEW-Tables 80-86'!Q151</f>
        <v>1251.7333333333333</v>
      </c>
      <c r="AL181" s="616">
        <f>+'NEW-Tables 80-86'!S121+'NEW-Tables 80-86'!R151</f>
        <v>0</v>
      </c>
      <c r="AM181" s="616">
        <f>+'NEW-Tables 80-86'!T121+'NEW-Tables 80-86'!S151</f>
        <v>0</v>
      </c>
      <c r="AN181" s="616">
        <f>+'NEW-Tables 80-86'!U121+'NEW-Tables 80-86'!T151</f>
        <v>10889.456666666667</v>
      </c>
      <c r="AO181" s="616"/>
      <c r="AP181" s="617">
        <f>+'NEW-Tables 80-86'!V121+'NEW-Tables 80-86'!U151</f>
        <v>12141.19</v>
      </c>
      <c r="AR181" s="461" t="s">
        <v>876</v>
      </c>
      <c r="AS181" s="618">
        <f t="shared" si="27"/>
        <v>7.252456755358887</v>
      </c>
      <c r="AT181" s="618">
        <f t="shared" si="28"/>
        <v>0</v>
      </c>
      <c r="AU181" s="618">
        <f t="shared" si="29"/>
        <v>0</v>
      </c>
      <c r="AV181" s="618">
        <f t="shared" si="30"/>
        <v>5.7078901393559471</v>
      </c>
      <c r="AW181" s="618">
        <f t="shared" si="31"/>
        <v>5.8630885442666489</v>
      </c>
      <c r="AY181" s="461" t="s">
        <v>876</v>
      </c>
      <c r="AZ181" s="618">
        <f t="shared" si="32"/>
        <v>6.8092245419684696</v>
      </c>
      <c r="BA181" s="618">
        <f t="shared" si="33"/>
        <v>0</v>
      </c>
      <c r="BB181" s="618">
        <f t="shared" si="34"/>
        <v>0</v>
      </c>
      <c r="BC181" s="618">
        <f t="shared" si="35"/>
        <v>5.026697077325867</v>
      </c>
      <c r="BD181" s="618">
        <f t="shared" si="36"/>
        <v>5.2104722299324324</v>
      </c>
      <c r="BH181" s="460"/>
      <c r="BI181" s="460"/>
      <c r="BJ181" s="460"/>
    </row>
    <row r="182" spans="1:88" ht="34.5" customHeight="1">
      <c r="A182" s="757" t="s">
        <v>913</v>
      </c>
      <c r="B182" s="757"/>
      <c r="C182" s="757"/>
      <c r="D182" s="757"/>
      <c r="E182" s="757"/>
      <c r="F182" s="757"/>
      <c r="G182" s="757"/>
      <c r="H182" s="757"/>
      <c r="I182" s="757"/>
      <c r="J182" s="757"/>
      <c r="K182" s="757"/>
      <c r="P182" s="460"/>
      <c r="AN182" s="460"/>
      <c r="AO182" s="460"/>
      <c r="AP182" s="460"/>
      <c r="AQ182" s="460"/>
      <c r="AZ182" s="460"/>
      <c r="BA182" s="460"/>
      <c r="BB182" s="460"/>
      <c r="BC182" s="460"/>
      <c r="BD182" s="460"/>
      <c r="BE182" s="460"/>
      <c r="BF182" s="460"/>
      <c r="BG182" s="460"/>
      <c r="CF182" s="460"/>
      <c r="CG182" s="460"/>
      <c r="CH182" s="460"/>
      <c r="CI182" s="460"/>
      <c r="CJ182" s="460"/>
    </row>
    <row r="183" spans="1:88" s="460" customFormat="1" ht="10.5" customHeight="1">
      <c r="A183" s="345"/>
      <c r="B183" s="345"/>
      <c r="C183" s="345"/>
      <c r="D183" s="345"/>
      <c r="E183" s="345"/>
      <c r="F183" s="345"/>
      <c r="G183" s="345"/>
      <c r="H183" s="270"/>
      <c r="I183" s="345"/>
      <c r="J183" s="345"/>
      <c r="K183" s="477" t="s">
        <v>956</v>
      </c>
      <c r="L183" s="495"/>
      <c r="M183" s="495"/>
      <c r="P183" s="345"/>
      <c r="Q183" s="345"/>
      <c r="R183" s="345"/>
      <c r="S183" s="345"/>
      <c r="T183" s="345"/>
      <c r="U183" s="345"/>
      <c r="V183" s="345"/>
      <c r="W183" s="345"/>
      <c r="X183" s="345"/>
      <c r="Y183" s="345"/>
      <c r="Z183" s="345"/>
      <c r="AA183" s="345"/>
      <c r="AB183" s="345"/>
      <c r="AC183" s="345"/>
      <c r="AD183" s="345"/>
      <c r="AE183" s="345"/>
      <c r="AF183" s="345"/>
      <c r="AG183" s="345"/>
      <c r="AH183" s="345"/>
      <c r="AI183" s="345"/>
      <c r="AJ183" s="345"/>
      <c r="AK183" s="345"/>
      <c r="AL183" s="345"/>
      <c r="AM183" s="345"/>
      <c r="AN183" s="345"/>
      <c r="AO183" s="345"/>
      <c r="AP183" s="345"/>
      <c r="AQ183" s="345"/>
      <c r="AZ183" s="345"/>
      <c r="BA183" s="345"/>
      <c r="BB183" s="345"/>
      <c r="BC183" s="345"/>
      <c r="BD183" s="345"/>
      <c r="BE183" s="345"/>
      <c r="BF183" s="345"/>
      <c r="BG183" s="345"/>
      <c r="BH183" s="345"/>
      <c r="BI183" s="345"/>
      <c r="BJ183" s="345"/>
      <c r="BK183" s="345"/>
      <c r="BL183" s="345"/>
      <c r="BM183" s="345"/>
      <c r="BN183" s="345"/>
      <c r="BO183" s="345"/>
      <c r="BP183" s="345"/>
      <c r="BQ183" s="345"/>
      <c r="BR183" s="345"/>
      <c r="BS183" s="345"/>
      <c r="BT183" s="345"/>
      <c r="BU183" s="345"/>
      <c r="BV183" s="345"/>
      <c r="BW183" s="345"/>
      <c r="BX183" s="345"/>
      <c r="BY183" s="345"/>
      <c r="BZ183" s="345"/>
      <c r="CA183" s="345"/>
      <c r="CB183" s="345"/>
      <c r="CC183" s="345"/>
      <c r="CD183" s="345"/>
      <c r="CE183" s="345"/>
    </row>
    <row r="184" spans="1:88" ht="18" customHeight="1">
      <c r="A184" s="499" t="s">
        <v>914</v>
      </c>
      <c r="B184" s="400"/>
      <c r="C184" s="400"/>
      <c r="D184" s="400"/>
      <c r="E184" s="400"/>
      <c r="F184" s="400"/>
      <c r="G184" s="400"/>
      <c r="H184" s="406"/>
      <c r="I184" s="400"/>
      <c r="J184" s="345"/>
      <c r="K184" s="345"/>
      <c r="L184" s="345"/>
      <c r="M184" s="537"/>
      <c r="S184" s="498"/>
      <c r="AN184" s="460"/>
      <c r="AO184" s="460"/>
      <c r="AP184" s="460"/>
      <c r="AQ184" s="460"/>
      <c r="AZ184" s="460"/>
      <c r="BA184" s="460"/>
      <c r="BB184" s="460"/>
      <c r="BC184" s="460"/>
      <c r="BD184" s="460"/>
      <c r="BE184" s="460"/>
      <c r="BF184" s="460"/>
      <c r="BG184" s="460"/>
    </row>
    <row r="185" spans="1:88" ht="15.75">
      <c r="A185" s="401"/>
      <c r="B185" s="400"/>
      <c r="C185" s="400"/>
      <c r="D185" s="400"/>
      <c r="E185" s="400"/>
      <c r="F185" s="400"/>
      <c r="G185" s="400"/>
      <c r="H185" s="406"/>
      <c r="I185" s="400"/>
      <c r="J185" s="345"/>
      <c r="K185" s="345"/>
      <c r="L185" s="345"/>
      <c r="M185" s="537"/>
      <c r="S185" s="498"/>
      <c r="AA185" s="411"/>
      <c r="AB185" s="412"/>
      <c r="AC185" s="561"/>
      <c r="AD185" s="565" t="s">
        <v>896</v>
      </c>
      <c r="AE185" s="561"/>
      <c r="AF185" s="561"/>
      <c r="AG185" s="561"/>
      <c r="AH185" s="561"/>
      <c r="AI185" s="561"/>
      <c r="AJ185" s="565" t="s">
        <v>896</v>
      </c>
      <c r="AK185" s="561"/>
      <c r="AL185" s="561"/>
      <c r="AN185" s="460"/>
      <c r="AO185" s="412" t="s">
        <v>842</v>
      </c>
      <c r="AT185" s="412" t="s">
        <v>842</v>
      </c>
      <c r="BA185" s="460"/>
      <c r="BB185" s="460"/>
      <c r="BC185" s="460"/>
    </row>
    <row r="186" spans="1:88" ht="15.75" customHeight="1">
      <c r="A186" s="478" t="s">
        <v>882</v>
      </c>
      <c r="B186" s="400"/>
      <c r="C186" s="400"/>
      <c r="D186" s="400"/>
      <c r="E186" s="400"/>
      <c r="F186" s="400"/>
      <c r="G186" s="400"/>
      <c r="H186" s="406"/>
      <c r="I186" s="400"/>
      <c r="J186" s="345"/>
      <c r="K186" s="345"/>
      <c r="L186" s="345"/>
      <c r="M186" s="537"/>
      <c r="S186" s="498"/>
      <c r="AA186" s="559"/>
      <c r="AB186" s="411"/>
      <c r="AC186" s="561"/>
      <c r="AD186" s="619" t="s">
        <v>844</v>
      </c>
      <c r="AE186" s="561"/>
      <c r="AF186" s="561"/>
      <c r="AG186" s="561"/>
      <c r="AH186" s="561"/>
      <c r="AI186" s="561"/>
      <c r="AJ186" s="619" t="s">
        <v>841</v>
      </c>
      <c r="AK186" s="561"/>
      <c r="AL186" s="561"/>
      <c r="AN186" s="460"/>
      <c r="AO186" s="418" t="s">
        <v>844</v>
      </c>
      <c r="AT186" s="418" t="s">
        <v>841</v>
      </c>
      <c r="BA186" s="460"/>
      <c r="BB186" s="460"/>
      <c r="BC186" s="460"/>
    </row>
    <row r="187" spans="1:88" ht="15.75">
      <c r="A187" s="405" t="s">
        <v>1018</v>
      </c>
      <c r="B187" s="400"/>
      <c r="C187" s="400"/>
      <c r="D187" s="400"/>
      <c r="E187" s="400"/>
      <c r="F187" s="400"/>
      <c r="G187" s="400"/>
      <c r="H187" s="406"/>
      <c r="I187" s="400"/>
      <c r="J187" s="345"/>
      <c r="K187" s="345"/>
      <c r="L187" s="345"/>
      <c r="M187" s="537"/>
      <c r="Q187" s="411" t="s">
        <v>841</v>
      </c>
      <c r="S187" s="498"/>
      <c r="AA187" s="559"/>
      <c r="AB187" s="559"/>
      <c r="AC187" s="561"/>
      <c r="AD187" s="561"/>
      <c r="AE187" s="561"/>
      <c r="AF187" s="561"/>
      <c r="AG187" s="561"/>
      <c r="AH187" s="561"/>
      <c r="AI187" s="561"/>
      <c r="AJ187" s="561"/>
      <c r="AK187" s="561"/>
      <c r="AL187" s="561"/>
      <c r="AN187" s="460"/>
      <c r="BA187" s="460"/>
      <c r="BB187" s="460"/>
      <c r="BC187" s="460"/>
    </row>
    <row r="188" spans="1:88">
      <c r="C188" s="461"/>
      <c r="D188" s="461"/>
      <c r="E188" s="461"/>
      <c r="F188" s="461"/>
      <c r="G188" s="461"/>
      <c r="H188" s="269"/>
      <c r="I188" s="460"/>
      <c r="J188" s="345"/>
      <c r="K188" s="345"/>
      <c r="L188" s="345"/>
      <c r="M188" s="537"/>
      <c r="Q188" s="564" t="s">
        <v>843</v>
      </c>
      <c r="R188" s="461"/>
      <c r="S188" s="461"/>
      <c r="T188" s="461"/>
      <c r="U188" s="461"/>
      <c r="V188" s="461"/>
      <c r="W188" s="461"/>
      <c r="X188" s="460"/>
      <c r="Y188" s="460"/>
      <c r="AA188" s="559"/>
      <c r="AB188" s="559"/>
      <c r="AC188" s="561"/>
      <c r="AD188" s="620" t="s">
        <v>896</v>
      </c>
      <c r="AE188" s="561"/>
      <c r="AF188" s="561"/>
      <c r="AG188" s="561"/>
      <c r="AH188" s="561"/>
      <c r="AI188" s="561"/>
      <c r="AJ188" s="620" t="s">
        <v>896</v>
      </c>
      <c r="AK188" s="561"/>
      <c r="AL188" s="561"/>
      <c r="AN188" s="460"/>
      <c r="BA188" s="460"/>
      <c r="BB188" s="460"/>
      <c r="BC188" s="460"/>
    </row>
    <row r="189" spans="1:88" ht="28.5" customHeight="1">
      <c r="A189" s="419"/>
      <c r="B189" s="621">
        <v>1</v>
      </c>
      <c r="D189" s="622">
        <v>2</v>
      </c>
      <c r="F189" s="623" t="s">
        <v>845</v>
      </c>
      <c r="H189" s="269"/>
      <c r="I189" s="460"/>
      <c r="J189" s="345"/>
      <c r="K189" s="345"/>
      <c r="L189" s="345"/>
      <c r="M189" s="537"/>
      <c r="Q189" s="624"/>
      <c r="R189" s="624" t="s">
        <v>916</v>
      </c>
      <c r="S189" s="460"/>
      <c r="T189" s="625">
        <v>2</v>
      </c>
      <c r="U189" s="460"/>
      <c r="V189" s="625" t="s">
        <v>917</v>
      </c>
      <c r="W189" s="460"/>
      <c r="X189" s="269"/>
      <c r="Y189" s="269"/>
      <c r="AA189" s="559"/>
      <c r="AB189" s="559"/>
      <c r="AC189" s="561"/>
      <c r="AD189" s="626" t="s">
        <v>890</v>
      </c>
      <c r="AE189" s="627"/>
      <c r="AF189" s="628"/>
      <c r="AG189" s="629"/>
      <c r="AH189" s="561"/>
      <c r="AI189" s="561"/>
      <c r="AJ189" s="626" t="s">
        <v>890</v>
      </c>
      <c r="AK189" s="627"/>
      <c r="AL189" s="628"/>
      <c r="AN189" s="460"/>
      <c r="AP189" s="626">
        <v>1</v>
      </c>
      <c r="AQ189" s="627">
        <v>2</v>
      </c>
      <c r="AR189" s="628" t="s">
        <v>845</v>
      </c>
      <c r="AU189" s="626">
        <v>1</v>
      </c>
      <c r="AV189" s="627">
        <v>2</v>
      </c>
      <c r="AW189" s="628" t="s">
        <v>845</v>
      </c>
      <c r="BA189" s="460"/>
      <c r="BB189" s="460"/>
      <c r="BC189" s="460"/>
    </row>
    <row r="190" spans="1:88" ht="78" customHeight="1">
      <c r="A190" s="578"/>
      <c r="B190" s="572" t="s">
        <v>848</v>
      </c>
      <c r="C190" s="430" t="s">
        <v>849</v>
      </c>
      <c r="D190" s="579" t="s">
        <v>848</v>
      </c>
      <c r="E190" s="430" t="s">
        <v>849</v>
      </c>
      <c r="F190" s="579" t="s">
        <v>848</v>
      </c>
      <c r="G190" s="430" t="s">
        <v>849</v>
      </c>
      <c r="J190" s="345"/>
      <c r="K190" s="345"/>
      <c r="L190" s="345"/>
      <c r="M190" s="537"/>
      <c r="Q190" s="461"/>
      <c r="R190" s="435" t="s">
        <v>901</v>
      </c>
      <c r="S190" s="435" t="s">
        <v>851</v>
      </c>
      <c r="T190" s="436" t="s">
        <v>901</v>
      </c>
      <c r="U190" s="435" t="s">
        <v>851</v>
      </c>
      <c r="V190" s="436" t="s">
        <v>901</v>
      </c>
      <c r="W190" s="435" t="s">
        <v>851</v>
      </c>
      <c r="X190" s="630"/>
      <c r="Y190" s="630"/>
      <c r="AA190" s="559"/>
      <c r="AB190" s="559"/>
      <c r="AC190" s="561"/>
      <c r="AD190" s="631">
        <v>1</v>
      </c>
      <c r="AE190" s="632">
        <v>2</v>
      </c>
      <c r="AF190" s="583" t="s">
        <v>845</v>
      </c>
      <c r="AG190" s="583"/>
      <c r="AH190" s="561"/>
      <c r="AI190" s="561"/>
      <c r="AJ190" s="631">
        <v>1</v>
      </c>
      <c r="AK190" s="632">
        <v>2</v>
      </c>
      <c r="AL190" s="583" t="s">
        <v>845</v>
      </c>
      <c r="AN190" s="460"/>
      <c r="AP190" s="437" t="s">
        <v>852</v>
      </c>
      <c r="AQ190" s="437" t="s">
        <v>852</v>
      </c>
      <c r="AR190" s="437" t="s">
        <v>852</v>
      </c>
      <c r="AU190" s="437" t="s">
        <v>852</v>
      </c>
      <c r="AV190" s="437" t="s">
        <v>852</v>
      </c>
      <c r="AW190" s="437" t="s">
        <v>852</v>
      </c>
      <c r="BA190" s="460"/>
      <c r="BB190" s="460"/>
      <c r="BC190" s="460"/>
    </row>
    <row r="191" spans="1:88" ht="12.75" customHeight="1">
      <c r="A191" s="345" t="s">
        <v>853</v>
      </c>
      <c r="B191" s="551">
        <f>+'NEW-Tables 80-86'!G101+'NEW-Tables 80-86'!G131</f>
        <v>86064.138444444441</v>
      </c>
      <c r="D191" s="588">
        <f>+'NEW-Tables 80-86'!H101+'NEW-Tables 80-86'!H131</f>
        <v>28103.744577777783</v>
      </c>
      <c r="F191" s="588">
        <f>+'NEW-Tables 80-86'!I101+'NEW-Tables 80-86'!I131</f>
        <v>114167.88302222222</v>
      </c>
      <c r="J191" s="345"/>
      <c r="K191" s="345"/>
      <c r="L191" s="345"/>
      <c r="M191" s="537"/>
      <c r="Q191" s="460" t="s">
        <v>853</v>
      </c>
      <c r="R191" s="442"/>
      <c r="S191" s="590">
        <f>C191-R191</f>
        <v>0</v>
      </c>
      <c r="T191" s="444"/>
      <c r="U191" s="590">
        <f>E191-T191</f>
        <v>0</v>
      </c>
      <c r="V191" s="444"/>
      <c r="W191" s="590">
        <f>G191-V191</f>
        <v>0</v>
      </c>
      <c r="X191" s="633"/>
      <c r="Y191" s="634"/>
      <c r="AA191" s="559"/>
      <c r="AB191" s="559"/>
      <c r="AC191" s="561" t="s">
        <v>853</v>
      </c>
      <c r="AD191" s="635">
        <f>SUM(AD193:AD211)</f>
        <v>86064.138444444441</v>
      </c>
      <c r="AE191" s="591">
        <f>SUM(AE193:AE211)</f>
        <v>28103.744577777783</v>
      </c>
      <c r="AF191" s="591">
        <f>SUM(AF193:AF211)</f>
        <v>114167.88302222223</v>
      </c>
      <c r="AG191" s="591"/>
      <c r="AH191" s="561"/>
      <c r="AI191" s="561" t="s">
        <v>853</v>
      </c>
      <c r="AJ191" s="591">
        <f>SUM(AJ193:AJ211)</f>
        <v>89225.862544444419</v>
      </c>
      <c r="AK191" s="591">
        <f>SUM(AK193:AK211)</f>
        <v>27070.132422222225</v>
      </c>
      <c r="AL191" s="591">
        <f>SUM(AL193:AL211)</f>
        <v>116295.99496666665</v>
      </c>
      <c r="AN191" s="460"/>
      <c r="AO191" s="561" t="s">
        <v>853</v>
      </c>
      <c r="AT191" s="561" t="s">
        <v>853</v>
      </c>
      <c r="BA191" s="460"/>
      <c r="BB191" s="460"/>
      <c r="BC191" s="460"/>
    </row>
    <row r="192" spans="1:88" ht="10.5" customHeight="1">
      <c r="A192" s="594"/>
      <c r="B192" s="636"/>
      <c r="C192" s="596" t="s">
        <v>918</v>
      </c>
      <c r="D192" s="637" t="s">
        <v>891</v>
      </c>
      <c r="E192" s="596" t="s">
        <v>919</v>
      </c>
      <c r="F192" s="637" t="s">
        <v>891</v>
      </c>
      <c r="G192" s="596" t="s">
        <v>920</v>
      </c>
      <c r="J192" s="345" t="s">
        <v>891</v>
      </c>
      <c r="K192" s="345"/>
      <c r="L192" s="345"/>
      <c r="M192" s="537"/>
      <c r="Q192" s="460"/>
      <c r="R192" s="449"/>
      <c r="S192" s="590"/>
      <c r="T192" s="451"/>
      <c r="U192" s="590"/>
      <c r="V192" s="451"/>
      <c r="W192" s="590"/>
      <c r="X192" s="633"/>
      <c r="Y192" s="638"/>
      <c r="AA192" s="559"/>
      <c r="AB192" s="559"/>
      <c r="AC192" s="561"/>
      <c r="AD192" s="591"/>
      <c r="AE192" s="591"/>
      <c r="AF192" s="591"/>
      <c r="AG192" s="591"/>
      <c r="AH192" s="561"/>
      <c r="AI192" s="561"/>
      <c r="AJ192" s="591"/>
      <c r="AK192" s="591"/>
      <c r="AL192" s="591"/>
      <c r="AN192" s="460"/>
      <c r="AO192" s="561"/>
      <c r="AT192" s="561"/>
      <c r="BA192" s="460"/>
      <c r="BB192" s="460"/>
      <c r="BC192" s="460"/>
    </row>
    <row r="193" spans="1:55">
      <c r="A193" s="345" t="s">
        <v>861</v>
      </c>
      <c r="B193" s="551">
        <f>+'NEW-Tables 80-86'!G103+'NEW-Tables 80-86'!G133</f>
        <v>1285.2</v>
      </c>
      <c r="C193" s="602">
        <f>+GETPIVOTDATA("Sum of New-HS % of Total",'Pivot-HS Student % of Undergrad'!$A$3,"State","AL","Category",12,"Category2","Technical")</f>
        <v>5.1483556385517167E-2</v>
      </c>
      <c r="D193" s="588">
        <f>+'NEW-Tables 80-86'!H103+'NEW-Tables 80-86'!H133</f>
        <v>1678.6999999999998</v>
      </c>
      <c r="E193" s="602">
        <f>+GETPIVOTDATA("Sum of New-HS % of Total",'Pivot-HS Student % of Undergrad'!$A$3,"State","AL","Category",13,"Category2","Technical")</f>
        <v>2.7739719227179761E-2</v>
      </c>
      <c r="F193" s="588">
        <f>+'NEW-Tables 80-86'!I103+'NEW-Tables 80-86'!I133</f>
        <v>2963.8999999999996</v>
      </c>
      <c r="G193" s="602">
        <f>+GETPIVOTDATA("Sum of New-HS % of Total",'Pivot-HS Student % of Undergrad'!$A$3,"State","AL","Category2","Group3")</f>
        <v>3.8035471282207002E-2</v>
      </c>
      <c r="J193" s="345"/>
      <c r="K193" s="345"/>
      <c r="L193" s="345"/>
      <c r="M193" s="537"/>
      <c r="Q193" s="460" t="s">
        <v>861</v>
      </c>
      <c r="R193" s="454">
        <f>+GETPIVOTDATA("Sum of Old-HS % of Total",'Pivot-HS Student % of Undergrad'!$A$3,"State","AL","Category",12,"Category2","Technical")</f>
        <v>3.0481890985673513E-2</v>
      </c>
      <c r="S193" s="603">
        <f>(C193-R193)*100</f>
        <v>2.1001665399843654</v>
      </c>
      <c r="T193" s="444">
        <f>+GETPIVOTDATA("Sum of Old-HS % of Total",'Pivot-HS Student % of Undergrad'!$A$3,"State","AL","Category",13,"Category2","Technical")</f>
        <v>4.5834507372968909E-2</v>
      </c>
      <c r="U193" s="603">
        <f>(E193-T193)*100</f>
        <v>-1.8094788145789149</v>
      </c>
      <c r="V193" s="444">
        <f>+GETPIVOTDATA("Sum of Old-HS % of Total",'Pivot-HS Student % of Undergrad'!$A$3,"State","AL","Category2","Technical")</f>
        <v>3.9631893598441596E-2</v>
      </c>
      <c r="W193" s="603">
        <f>(G193-V193)*100</f>
        <v>-0.15964223162345942</v>
      </c>
      <c r="X193" s="633"/>
      <c r="Y193" s="638"/>
      <c r="AA193" s="559"/>
      <c r="AB193" s="559"/>
      <c r="AC193" s="561" t="s">
        <v>861</v>
      </c>
      <c r="AD193" s="635">
        <f>+B193</f>
        <v>1285.2</v>
      </c>
      <c r="AE193" s="591">
        <f>+D193</f>
        <v>1678.6999999999998</v>
      </c>
      <c r="AF193" s="591">
        <f>+F193</f>
        <v>2963.8999999999996</v>
      </c>
      <c r="AG193" s="591"/>
      <c r="AH193" s="561"/>
      <c r="AI193" s="561" t="s">
        <v>861</v>
      </c>
      <c r="AJ193" s="639">
        <f>+'NEW-Tables 80-86'!W103+'NEW-Tables 80-86'!V133</f>
        <v>1202.9000000000001</v>
      </c>
      <c r="AK193" s="611">
        <f>+'NEW-Tables 80-86'!X103+'NEW-Tables 80-86'!W133</f>
        <v>1774.5</v>
      </c>
      <c r="AL193" s="591">
        <f>+'NEW-Tables 80-86'!Y103+'NEW-Tables 80-86'!X133</f>
        <v>2977.4</v>
      </c>
      <c r="AN193" s="460"/>
      <c r="AO193" s="561" t="s">
        <v>861</v>
      </c>
      <c r="AP193" s="640">
        <f>C193*100</f>
        <v>5.1483556385517169</v>
      </c>
      <c r="AQ193" s="640">
        <f>E193*100</f>
        <v>2.7739719227179762</v>
      </c>
      <c r="AR193" s="640">
        <f>G193*100</f>
        <v>3.8035471282207003</v>
      </c>
      <c r="AT193" s="561" t="s">
        <v>861</v>
      </c>
      <c r="AU193" s="640">
        <f>R193*100</f>
        <v>3.0481890985673514</v>
      </c>
      <c r="AV193" s="640">
        <f>T193*100</f>
        <v>4.5834507372968911</v>
      </c>
      <c r="AW193" s="640">
        <f>V193*100</f>
        <v>3.9631893598441597</v>
      </c>
      <c r="BA193" s="460"/>
      <c r="BB193" s="460"/>
      <c r="BC193" s="460"/>
    </row>
    <row r="194" spans="1:55">
      <c r="A194" s="345" t="s">
        <v>862</v>
      </c>
      <c r="B194" s="551">
        <f>+'NEW-Tables 80-86'!G104+'NEW-Tables 80-86'!G134</f>
        <v>0</v>
      </c>
      <c r="C194" s="602">
        <f>+GETPIVOTDATA("Sum of New-HS % of Total",'Pivot-HS Student % of Undergrad'!$A$3,"State","AR","Category",12,"Category2","Technical")</f>
        <v>0</v>
      </c>
      <c r="D194" s="588">
        <f>+'NEW-Tables 80-86'!H104+'NEW-Tables 80-86'!H134</f>
        <v>0</v>
      </c>
      <c r="E194" s="602">
        <f>+GETPIVOTDATA("Sum of New-HS % of Total",'Pivot-HS Student % of Undergrad'!$A$3,"State","AR","Category",13,"Category2","Technical")</f>
        <v>0</v>
      </c>
      <c r="F194" s="588">
        <f>+'NEW-Tables 80-86'!I104+'NEW-Tables 80-86'!I134</f>
        <v>0</v>
      </c>
      <c r="G194" s="602">
        <f>+GETPIVOTDATA("Sum of New-HS % of Total",'Pivot-HS Student % of Undergrad'!$A$3,"State","AR","Category2","Group3")</f>
        <v>0</v>
      </c>
      <c r="J194" s="345"/>
      <c r="K194" s="345"/>
      <c r="L194" s="345"/>
      <c r="M194" s="537"/>
      <c r="Q194" s="269" t="s">
        <v>862</v>
      </c>
      <c r="R194" s="454">
        <f>+GETPIVOTDATA("Sum of Old-HS % of Total",'Pivot-HS Student % of Undergrad'!$A$3,"State","AR","Category",12,"Category2","Technical")</f>
        <v>0</v>
      </c>
      <c r="S194" s="603">
        <f t="shared" ref="S194:S211" si="37">(C194-R194)*100</f>
        <v>0</v>
      </c>
      <c r="T194" s="444">
        <f>+GETPIVOTDATA("Sum of Old-HS % of Total",'Pivot-HS Student % of Undergrad'!$A$3,"State","AR","Category",13,"Category2","Technical")</f>
        <v>0</v>
      </c>
      <c r="U194" s="603">
        <f t="shared" ref="U194:U211" si="38">(E194-T194)*100</f>
        <v>0</v>
      </c>
      <c r="V194" s="444">
        <f>+GETPIVOTDATA("Sum of Old-HS % of Total",'Pivot-HS Student % of Undergrad'!$A$3,"State","AR","Category2","Technical")</f>
        <v>0</v>
      </c>
      <c r="W194" s="603">
        <f t="shared" ref="W194:W211" si="39">(G194-V194)*100</f>
        <v>0</v>
      </c>
      <c r="X194" s="633"/>
      <c r="Y194" s="641"/>
      <c r="AA194" s="559"/>
      <c r="AB194" s="559"/>
      <c r="AC194" s="561" t="s">
        <v>862</v>
      </c>
      <c r="AD194" s="635">
        <f>+B194</f>
        <v>0</v>
      </c>
      <c r="AE194" s="591">
        <f>+D194</f>
        <v>0</v>
      </c>
      <c r="AF194" s="591">
        <f>+F194</f>
        <v>0</v>
      </c>
      <c r="AG194" s="591"/>
      <c r="AH194" s="561"/>
      <c r="AI194" s="561" t="s">
        <v>862</v>
      </c>
      <c r="AJ194" s="639">
        <f>+'NEW-Tables 80-86'!W104+'NEW-Tables 80-86'!V134</f>
        <v>0</v>
      </c>
      <c r="AK194" s="611">
        <f>+'NEW-Tables 80-86'!X104+'NEW-Tables 80-86'!W134</f>
        <v>0</v>
      </c>
      <c r="AL194" s="591">
        <f>+'NEW-Tables 80-86'!Y104+'NEW-Tables 80-86'!X134</f>
        <v>0</v>
      </c>
      <c r="AN194" s="460"/>
      <c r="AO194" s="561" t="s">
        <v>862</v>
      </c>
      <c r="AP194" s="640">
        <f t="shared" ref="AP194:AP211" si="40">C194*100</f>
        <v>0</v>
      </c>
      <c r="AQ194" s="640">
        <f t="shared" ref="AQ194:AQ211" si="41">E194*100</f>
        <v>0</v>
      </c>
      <c r="AR194" s="640">
        <f t="shared" ref="AR194:AR211" si="42">G194*100</f>
        <v>0</v>
      </c>
      <c r="AT194" s="561" t="s">
        <v>862</v>
      </c>
      <c r="AU194" s="640">
        <f t="shared" ref="AU194:AU211" si="43">R194*100</f>
        <v>0</v>
      </c>
      <c r="AV194" s="640">
        <f t="shared" ref="AV194:AV211" si="44">T194*100</f>
        <v>0</v>
      </c>
      <c r="AW194" s="640">
        <f t="shared" ref="AW194:AW211" si="45">V194*100</f>
        <v>0</v>
      </c>
      <c r="BA194" s="460"/>
      <c r="BB194" s="460"/>
      <c r="BC194" s="460"/>
    </row>
    <row r="195" spans="1:55">
      <c r="A195" s="345" t="s">
        <v>863</v>
      </c>
      <c r="B195" s="551">
        <f>+'NEW-Tables 80-86'!G105+'NEW-Tables 80-86'!G135</f>
        <v>0</v>
      </c>
      <c r="C195" s="602">
        <f>+GETPIVOTDATA("Sum of New-HS % of Total",'Pivot-HS Student % of Undergrad'!$A$3,"State","DE","Category",12,"Category2","Technical")</f>
        <v>0</v>
      </c>
      <c r="D195" s="588">
        <f>+'NEW-Tables 80-86'!H105+'NEW-Tables 80-86'!H135</f>
        <v>0</v>
      </c>
      <c r="E195" s="602">
        <f>+GETPIVOTDATA("Sum of New-HS % of Total",'Pivot-HS Student % of Undergrad'!$A$3,"State","DE","Category",13,"Category2","Technical")</f>
        <v>0</v>
      </c>
      <c r="F195" s="588">
        <f>+'NEW-Tables 80-86'!I105+'NEW-Tables 80-86'!I135</f>
        <v>0</v>
      </c>
      <c r="G195" s="602">
        <f>+GETPIVOTDATA("Sum of New-HS % of Total",'Pivot-HS Student % of Undergrad'!$A$3,"State","DE","Category2","Group3")</f>
        <v>0</v>
      </c>
      <c r="J195" s="345"/>
      <c r="K195" s="345"/>
      <c r="L195" s="345"/>
      <c r="M195" s="537"/>
      <c r="Q195" s="460" t="s">
        <v>863</v>
      </c>
      <c r="R195" s="454">
        <f>+GETPIVOTDATA("Sum of Old-HS % of Total",'Pivot-HS Student % of Undergrad'!$A$3,"State","DE","Category",12,"Category2","Technical")</f>
        <v>0</v>
      </c>
      <c r="S195" s="603">
        <f t="shared" si="37"/>
        <v>0</v>
      </c>
      <c r="T195" s="444">
        <f>+GETPIVOTDATA("Sum of Old-HS % of Total",'Pivot-HS Student % of Undergrad'!$A$3,"State","DE","Category",13,"Category2","Technical")</f>
        <v>0</v>
      </c>
      <c r="U195" s="603">
        <f t="shared" si="38"/>
        <v>0</v>
      </c>
      <c r="V195" s="444">
        <f>+GETPIVOTDATA("Sum of Old-HS % of Total",'Pivot-HS Student % of Undergrad'!$A$3,"State","DE","Category2","Technical")</f>
        <v>0</v>
      </c>
      <c r="W195" s="603">
        <f t="shared" si="39"/>
        <v>0</v>
      </c>
      <c r="X195" s="633"/>
      <c r="Y195" s="638"/>
      <c r="AA195" s="559"/>
      <c r="AB195" s="559"/>
      <c r="AC195" s="561" t="s">
        <v>863</v>
      </c>
      <c r="AD195" s="635">
        <f>+B195</f>
        <v>0</v>
      </c>
      <c r="AE195" s="591">
        <f>+D195</f>
        <v>0</v>
      </c>
      <c r="AF195" s="591">
        <f>+F195</f>
        <v>0</v>
      </c>
      <c r="AG195" s="591"/>
      <c r="AH195" s="561"/>
      <c r="AI195" s="561" t="s">
        <v>863</v>
      </c>
      <c r="AJ195" s="639">
        <f>+'NEW-Tables 80-86'!W105+'NEW-Tables 80-86'!V135</f>
        <v>0</v>
      </c>
      <c r="AK195" s="611">
        <f>+'NEW-Tables 80-86'!X105+'NEW-Tables 80-86'!W135</f>
        <v>0</v>
      </c>
      <c r="AL195" s="591">
        <f>+'NEW-Tables 80-86'!Y105+'NEW-Tables 80-86'!X135</f>
        <v>0</v>
      </c>
      <c r="AN195" s="460"/>
      <c r="AO195" s="561" t="s">
        <v>863</v>
      </c>
      <c r="AP195" s="640">
        <f t="shared" si="40"/>
        <v>0</v>
      </c>
      <c r="AQ195" s="640">
        <f t="shared" si="41"/>
        <v>0</v>
      </c>
      <c r="AR195" s="640">
        <f t="shared" si="42"/>
        <v>0</v>
      </c>
      <c r="AT195" s="561" t="s">
        <v>863</v>
      </c>
      <c r="AU195" s="640">
        <f t="shared" si="43"/>
        <v>0</v>
      </c>
      <c r="AV195" s="640">
        <f t="shared" si="44"/>
        <v>0</v>
      </c>
      <c r="AW195" s="640">
        <f t="shared" si="45"/>
        <v>0</v>
      </c>
      <c r="BA195" s="460"/>
      <c r="BB195" s="460"/>
      <c r="BC195" s="460"/>
    </row>
    <row r="196" spans="1:55">
      <c r="A196" s="345" t="s">
        <v>864</v>
      </c>
      <c r="B196" s="551">
        <f>+'NEW-Tables 80-86'!G106+'NEW-Tables 80-86'!G136</f>
        <v>0</v>
      </c>
      <c r="C196" s="602">
        <f>+GETPIVOTDATA("Sum of New-HS % of Total",'Pivot-HS Student % of Undergrad'!$A$3,"State","FL","Category",12,"Category2","Technical")</f>
        <v>0</v>
      </c>
      <c r="D196" s="588">
        <f>+'NEW-Tables 80-86'!H106+'NEW-Tables 80-86'!H136</f>
        <v>0</v>
      </c>
      <c r="E196" s="602">
        <f>+GETPIVOTDATA("Sum of New-HS % of Total",'Pivot-HS Student % of Undergrad'!$A$3,"State","FL","Category",13,"Category2","Technical")</f>
        <v>0</v>
      </c>
      <c r="F196" s="588">
        <f>+'NEW-Tables 80-86'!I106+'NEW-Tables 80-86'!I136</f>
        <v>0</v>
      </c>
      <c r="G196" s="602">
        <f>+GETPIVOTDATA("Sum of New-HS % of Total",'Pivot-HS Student % of Undergrad'!$A$3,"State","FL","Category2","Group3")</f>
        <v>0</v>
      </c>
      <c r="J196" s="345"/>
      <c r="K196" s="345"/>
      <c r="L196" s="345"/>
      <c r="M196" s="537"/>
      <c r="Q196" s="460" t="s">
        <v>864</v>
      </c>
      <c r="R196" s="454">
        <f>+GETPIVOTDATA("Sum of Old-HS % of Total",'Pivot-HS Student % of Undergrad'!$A$3,"State","FL","Category",12,"Category2","Technical")</f>
        <v>0</v>
      </c>
      <c r="S196" s="603">
        <f t="shared" si="37"/>
        <v>0</v>
      </c>
      <c r="T196" s="444">
        <f>+GETPIVOTDATA("Sum of Old-HS % of Total",'Pivot-HS Student % of Undergrad'!$A$3,"State","FL","Category",13,"Category2","Technical")</f>
        <v>0</v>
      </c>
      <c r="U196" s="603">
        <f t="shared" si="38"/>
        <v>0</v>
      </c>
      <c r="V196" s="444">
        <f>+GETPIVOTDATA("Sum of Old-HS % of Total",'Pivot-HS Student % of Undergrad'!$A$3,"State","FL","Category2","Technical")</f>
        <v>0</v>
      </c>
      <c r="W196" s="603">
        <f t="shared" si="39"/>
        <v>0</v>
      </c>
      <c r="X196" s="633"/>
      <c r="Y196" s="638"/>
      <c r="AA196" s="559"/>
      <c r="AB196" s="559"/>
      <c r="AC196" s="561" t="s">
        <v>864</v>
      </c>
      <c r="AD196" s="635">
        <f>+B196</f>
        <v>0</v>
      </c>
      <c r="AE196" s="591">
        <f>+D196</f>
        <v>0</v>
      </c>
      <c r="AF196" s="591">
        <f>+F196</f>
        <v>0</v>
      </c>
      <c r="AG196" s="591"/>
      <c r="AH196" s="561"/>
      <c r="AI196" s="561" t="s">
        <v>864</v>
      </c>
      <c r="AJ196" s="639">
        <f>+'NEW-Tables 80-86'!W106+'NEW-Tables 80-86'!V136</f>
        <v>0</v>
      </c>
      <c r="AK196" s="611">
        <f>+'NEW-Tables 80-86'!X106+'NEW-Tables 80-86'!W136</f>
        <v>0</v>
      </c>
      <c r="AL196" s="591">
        <f>+'NEW-Tables 80-86'!Y106+'NEW-Tables 80-86'!X136</f>
        <v>0</v>
      </c>
      <c r="AN196" s="460"/>
      <c r="AO196" s="561" t="s">
        <v>864</v>
      </c>
      <c r="AP196" s="640">
        <f t="shared" si="40"/>
        <v>0</v>
      </c>
      <c r="AQ196" s="640">
        <f t="shared" si="41"/>
        <v>0</v>
      </c>
      <c r="AR196" s="640">
        <f t="shared" si="42"/>
        <v>0</v>
      </c>
      <c r="AT196" s="561" t="s">
        <v>864</v>
      </c>
      <c r="AU196" s="640">
        <f t="shared" si="43"/>
        <v>0</v>
      </c>
      <c r="AV196" s="640">
        <f t="shared" si="44"/>
        <v>0</v>
      </c>
      <c r="AW196" s="640">
        <f t="shared" si="45"/>
        <v>0</v>
      </c>
      <c r="BA196" s="460"/>
      <c r="BB196" s="460"/>
      <c r="BC196" s="460"/>
    </row>
    <row r="197" spans="1:55">
      <c r="B197" s="551"/>
      <c r="C197" s="602"/>
      <c r="D197" s="588"/>
      <c r="E197" s="602"/>
      <c r="F197" s="588"/>
      <c r="G197" s="602"/>
      <c r="J197" s="345"/>
      <c r="K197" s="345"/>
      <c r="L197" s="345"/>
      <c r="M197" s="537"/>
      <c r="Q197" s="460"/>
      <c r="R197" s="454"/>
      <c r="S197" s="603"/>
      <c r="T197" s="444"/>
      <c r="U197" s="603"/>
      <c r="V197" s="444"/>
      <c r="W197" s="603"/>
      <c r="X197" s="633"/>
      <c r="Y197" s="638"/>
      <c r="AA197" s="559"/>
      <c r="AB197" s="559"/>
      <c r="AC197" s="561"/>
      <c r="AD197" s="635"/>
      <c r="AE197" s="591"/>
      <c r="AF197" s="591"/>
      <c r="AG197" s="591"/>
      <c r="AH197" s="561"/>
      <c r="AI197" s="561"/>
      <c r="AJ197" s="639"/>
      <c r="AK197" s="611"/>
      <c r="AL197" s="591"/>
      <c r="AN197" s="460"/>
      <c r="AO197" s="561"/>
      <c r="AP197" s="640">
        <f t="shared" si="40"/>
        <v>0</v>
      </c>
      <c r="AQ197" s="640">
        <f t="shared" si="41"/>
        <v>0</v>
      </c>
      <c r="AR197" s="640">
        <f t="shared" si="42"/>
        <v>0</v>
      </c>
      <c r="AT197" s="561"/>
      <c r="AU197" s="640">
        <f t="shared" si="43"/>
        <v>0</v>
      </c>
      <c r="AV197" s="640">
        <f t="shared" si="44"/>
        <v>0</v>
      </c>
      <c r="AW197" s="640">
        <f t="shared" si="45"/>
        <v>0</v>
      </c>
      <c r="BA197" s="460"/>
      <c r="BB197" s="460"/>
      <c r="BC197" s="460"/>
    </row>
    <row r="198" spans="1:55">
      <c r="A198" s="345" t="s">
        <v>865</v>
      </c>
      <c r="B198" s="551">
        <f>+'NEW-Tables 80-86'!G108+'NEW-Tables 80-86'!G138</f>
        <v>65049.509999999995</v>
      </c>
      <c r="C198" s="602">
        <f>+GETPIVOTDATA("Sum of New-HS % of Total",'Pivot-HS Student % of Undergrad'!$A$3,"State","GA","Category",12,"Category2","Technical")</f>
        <v>9.6087938761311706E-2</v>
      </c>
      <c r="D198" s="588">
        <f>+'NEW-Tables 80-86'!H108+'NEW-Tables 80-86'!H138</f>
        <v>0</v>
      </c>
      <c r="E198" s="602">
        <f>+GETPIVOTDATA("Sum of New-HS % of Total",'Pivot-HS Student % of Undergrad'!$A$3,"State","GA","Category",13,"Category2","Technical")</f>
        <v>0</v>
      </c>
      <c r="F198" s="588">
        <f>+'NEW-Tables 80-86'!I108+'NEW-Tables 80-86'!I138</f>
        <v>65049.509999999995</v>
      </c>
      <c r="G198" s="602">
        <f>+GETPIVOTDATA("Sum of New-HS % of Total",'Pivot-HS Student % of Undergrad'!$A$3,"State","GA","Category2","Group3")</f>
        <v>9.6087938761311706E-2</v>
      </c>
      <c r="J198" s="345"/>
      <c r="K198" s="345"/>
      <c r="L198" s="345"/>
      <c r="M198" s="537"/>
      <c r="Q198" s="460" t="s">
        <v>865</v>
      </c>
      <c r="R198" s="454">
        <f>+GETPIVOTDATA("Sum of Old-HS % of Total",'Pivot-HS Student % of Undergrad'!$A$3,"State","GA","Category",12,"Category2","Technical")</f>
        <v>6.6908339822446025E-2</v>
      </c>
      <c r="S198" s="603">
        <f t="shared" si="37"/>
        <v>2.9179598938865681</v>
      </c>
      <c r="T198" s="444">
        <f>+GETPIVOTDATA("Sum of Old-HS % of Total",'Pivot-HS Student % of Undergrad'!$A$3,"State","GA","Category",13,"Category2","Technical")</f>
        <v>0</v>
      </c>
      <c r="U198" s="603">
        <f t="shared" si="38"/>
        <v>0</v>
      </c>
      <c r="V198" s="444">
        <f>+GETPIVOTDATA("Sum of Old-HS % of Total",'Pivot-HS Student % of Undergrad'!$A$3,"State","GA","Category2","Technical")</f>
        <v>6.6908339822446025E-2</v>
      </c>
      <c r="W198" s="603">
        <f t="shared" si="39"/>
        <v>2.9179598938865681</v>
      </c>
      <c r="X198" s="633"/>
      <c r="Y198" s="638"/>
      <c r="AA198" s="559"/>
      <c r="AB198" s="559"/>
      <c r="AC198" s="561" t="s">
        <v>865</v>
      </c>
      <c r="AD198" s="635">
        <f>+B198</f>
        <v>65049.509999999995</v>
      </c>
      <c r="AE198" s="591">
        <f>+D198</f>
        <v>0</v>
      </c>
      <c r="AF198" s="591">
        <f>+F198</f>
        <v>65049.509999999995</v>
      </c>
      <c r="AG198" s="591"/>
      <c r="AH198" s="561"/>
      <c r="AI198" s="561" t="s">
        <v>865</v>
      </c>
      <c r="AJ198" s="639">
        <f>+'NEW-Tables 80-86'!W108+'NEW-Tables 80-86'!V138</f>
        <v>67506.233333333323</v>
      </c>
      <c r="AK198" s="611">
        <f>+'NEW-Tables 80-86'!X108+'NEW-Tables 80-86'!W138</f>
        <v>0</v>
      </c>
      <c r="AL198" s="591">
        <f>+'NEW-Tables 80-86'!Y108+'NEW-Tables 80-86'!X138</f>
        <v>67506.233333333323</v>
      </c>
      <c r="AN198" s="460"/>
      <c r="AO198" s="561" t="s">
        <v>865</v>
      </c>
      <c r="AP198" s="640">
        <f t="shared" si="40"/>
        <v>9.6087938761311698</v>
      </c>
      <c r="AQ198" s="640">
        <f t="shared" si="41"/>
        <v>0</v>
      </c>
      <c r="AR198" s="640">
        <f t="shared" si="42"/>
        <v>9.6087938761311698</v>
      </c>
      <c r="AT198" s="561" t="s">
        <v>865</v>
      </c>
      <c r="AU198" s="640">
        <f t="shared" si="43"/>
        <v>6.6908339822446026</v>
      </c>
      <c r="AV198" s="640">
        <f t="shared" si="44"/>
        <v>0</v>
      </c>
      <c r="AW198" s="640">
        <f t="shared" si="45"/>
        <v>6.6908339822446026</v>
      </c>
      <c r="BA198" s="460"/>
      <c r="BB198" s="460"/>
      <c r="BC198" s="460"/>
    </row>
    <row r="199" spans="1:55">
      <c r="A199" s="345" t="s">
        <v>866</v>
      </c>
      <c r="B199" s="551">
        <f>+'NEW-Tables 80-86'!G109+'NEW-Tables 80-86'!G139</f>
        <v>4880.8666666666668</v>
      </c>
      <c r="C199" s="602">
        <f>+GETPIVOTDATA("Sum of New-HS % of Total",'Pivot-HS Student % of Undergrad'!$A$3,"State","KY","Category",12,"Category2","Technical")</f>
        <v>8.8939122833376585E-2</v>
      </c>
      <c r="D199" s="588">
        <f>+'NEW-Tables 80-86'!H109+'NEW-Tables 80-86'!H139</f>
        <v>0</v>
      </c>
      <c r="E199" s="602">
        <f>+GETPIVOTDATA("Sum of New-HS % of Total",'Pivot-HS Student % of Undergrad'!$A$3,"State","KY","Category",13,"Category2","Technical")</f>
        <v>0</v>
      </c>
      <c r="F199" s="588">
        <f>+'NEW-Tables 80-86'!I109+'NEW-Tables 80-86'!I139</f>
        <v>4880.8666666666668</v>
      </c>
      <c r="G199" s="602">
        <f>+GETPIVOTDATA("Sum of New-HS % of Total",'Pivot-HS Student % of Undergrad'!$A$3,"State","KY","Category2","Group3")</f>
        <v>8.8939122833376585E-2</v>
      </c>
      <c r="J199" s="345"/>
      <c r="K199" s="345"/>
      <c r="L199" s="345"/>
      <c r="M199" s="537"/>
      <c r="Q199" s="460" t="s">
        <v>866</v>
      </c>
      <c r="R199" s="454">
        <f>+GETPIVOTDATA("Sum of Old-HS % of Total",'Pivot-HS Student % of Undergrad'!$A$3,"State","KY","Category",12,"Category2","Technical")</f>
        <v>7.4917835344070871E-2</v>
      </c>
      <c r="S199" s="603">
        <f t="shared" si="37"/>
        <v>1.4021287489305714</v>
      </c>
      <c r="T199" s="444">
        <f>+GETPIVOTDATA("Sum of Old-HS % of Total",'Pivot-HS Student % of Undergrad'!$A$3,"State","KY","Category",13,"Category2","Technical")</f>
        <v>0</v>
      </c>
      <c r="U199" s="603">
        <f t="shared" si="38"/>
        <v>0</v>
      </c>
      <c r="V199" s="444">
        <f>+GETPIVOTDATA("Sum of Old-HS % of Total",'Pivot-HS Student % of Undergrad'!$A$3,"State","KY","Category2","Technical")</f>
        <v>7.4917835344070871E-2</v>
      </c>
      <c r="W199" s="603">
        <f t="shared" si="39"/>
        <v>1.4021287489305714</v>
      </c>
      <c r="X199" s="633"/>
      <c r="Y199" s="638"/>
      <c r="AA199" s="559"/>
      <c r="AB199" s="559"/>
      <c r="AC199" s="561" t="s">
        <v>866</v>
      </c>
      <c r="AD199" s="635">
        <f>+B199</f>
        <v>4880.8666666666668</v>
      </c>
      <c r="AE199" s="591">
        <f>+D199</f>
        <v>0</v>
      </c>
      <c r="AF199" s="591">
        <f>+F199</f>
        <v>4880.8666666666668</v>
      </c>
      <c r="AG199" s="591"/>
      <c r="AH199" s="561"/>
      <c r="AI199" s="561" t="s">
        <v>866</v>
      </c>
      <c r="AJ199" s="639">
        <f>+'NEW-Tables 80-86'!W109+'NEW-Tables 80-86'!V139</f>
        <v>4898.7</v>
      </c>
      <c r="AK199" s="611">
        <f>+'NEW-Tables 80-86'!X109+'NEW-Tables 80-86'!W139</f>
        <v>0</v>
      </c>
      <c r="AL199" s="591">
        <f>+'NEW-Tables 80-86'!Y109+'NEW-Tables 80-86'!X139</f>
        <v>4898.7</v>
      </c>
      <c r="AN199" s="460"/>
      <c r="AO199" s="561" t="s">
        <v>866</v>
      </c>
      <c r="AP199" s="640">
        <f t="shared" si="40"/>
        <v>8.8939122833376594</v>
      </c>
      <c r="AQ199" s="640">
        <f t="shared" si="41"/>
        <v>0</v>
      </c>
      <c r="AR199" s="640">
        <f t="shared" si="42"/>
        <v>8.8939122833376594</v>
      </c>
      <c r="AT199" s="561" t="s">
        <v>866</v>
      </c>
      <c r="AU199" s="640">
        <f t="shared" si="43"/>
        <v>7.4917835344070873</v>
      </c>
      <c r="AV199" s="640">
        <f t="shared" si="44"/>
        <v>0</v>
      </c>
      <c r="AW199" s="640">
        <f t="shared" si="45"/>
        <v>7.4917835344070873</v>
      </c>
      <c r="BA199" s="460"/>
      <c r="BB199" s="460"/>
      <c r="BC199" s="460"/>
    </row>
    <row r="200" spans="1:55">
      <c r="A200" s="345" t="s">
        <v>867</v>
      </c>
      <c r="B200" s="551">
        <f>+'NEW-Tables 80-86'!G110+'NEW-Tables 80-86'!G140</f>
        <v>9034.8377777777769</v>
      </c>
      <c r="C200" s="602">
        <f>+GETPIVOTDATA("Sum of New-HS % of Total",'Pivot-HS Student % of Undergrad'!$A$3,"State","LA","Category",12,"Category2","Technical")</f>
        <v>0.13627551889342229</v>
      </c>
      <c r="D200" s="588">
        <f>+'NEW-Tables 80-86'!H110+'NEW-Tables 80-86'!H140</f>
        <v>0</v>
      </c>
      <c r="E200" s="602">
        <f>+GETPIVOTDATA("Sum of New-HS % of Total",'Pivot-HS Student % of Undergrad'!$A$3,"State","LA","Category",13,"Category2","Technical")</f>
        <v>0</v>
      </c>
      <c r="F200" s="588">
        <f>+'NEW-Tables 80-86'!I110+'NEW-Tables 80-86'!I140</f>
        <v>9034.8377777777769</v>
      </c>
      <c r="G200" s="602">
        <f>+GETPIVOTDATA("Sum of New-HS % of Total",'Pivot-HS Student % of Undergrad'!$A$3,"State","LA","Category2","Group3")</f>
        <v>0.13627551889342229</v>
      </c>
      <c r="J200" s="345"/>
      <c r="K200" s="345"/>
      <c r="L200" s="345"/>
      <c r="M200" s="537"/>
      <c r="Q200" s="460" t="s">
        <v>867</v>
      </c>
      <c r="R200" s="454">
        <f>+GETPIVOTDATA("Sum of Old-HS % of Total",'Pivot-HS Student % of Undergrad'!$A$3,"State","LA","Category",12,"Category2","Technical")</f>
        <v>0.15245576279292206</v>
      </c>
      <c r="S200" s="603">
        <f t="shared" si="37"/>
        <v>-1.6180243899499764</v>
      </c>
      <c r="T200" s="444">
        <f>+GETPIVOTDATA("Sum of Old-HS % of Total",'Pivot-HS Student % of Undergrad'!$A$3,"State","LA","Category",13,"Category2","Technical")</f>
        <v>0</v>
      </c>
      <c r="U200" s="603">
        <f t="shared" si="38"/>
        <v>0</v>
      </c>
      <c r="V200" s="444">
        <f>+GETPIVOTDATA("Sum of Old-HS % of Total",'Pivot-HS Student % of Undergrad'!$A$3,"State","LA","Category2","Technical")</f>
        <v>0.15245576279292206</v>
      </c>
      <c r="W200" s="603">
        <f t="shared" si="39"/>
        <v>-1.6180243899499764</v>
      </c>
      <c r="X200" s="633"/>
      <c r="Y200" s="638"/>
      <c r="AA200" s="559"/>
      <c r="AB200" s="559"/>
      <c r="AC200" s="561" t="s">
        <v>867</v>
      </c>
      <c r="AD200" s="635">
        <f>+B200</f>
        <v>9034.8377777777769</v>
      </c>
      <c r="AE200" s="591">
        <f>+D200</f>
        <v>0</v>
      </c>
      <c r="AF200" s="591">
        <f>+F200</f>
        <v>9034.8377777777769</v>
      </c>
      <c r="AG200" s="591"/>
      <c r="AH200" s="561"/>
      <c r="AI200" s="561" t="s">
        <v>867</v>
      </c>
      <c r="AJ200" s="639">
        <f>+'NEW-Tables 80-86'!W110+'NEW-Tables 80-86'!V140</f>
        <v>9824.0811111111107</v>
      </c>
      <c r="AK200" s="611">
        <f>+'NEW-Tables 80-86'!X110+'NEW-Tables 80-86'!W140</f>
        <v>0</v>
      </c>
      <c r="AL200" s="591">
        <f>+'NEW-Tables 80-86'!Y110+'NEW-Tables 80-86'!X140</f>
        <v>9824.0811111111107</v>
      </c>
      <c r="AN200" s="460"/>
      <c r="AO200" s="561" t="s">
        <v>867</v>
      </c>
      <c r="AP200" s="640">
        <f t="shared" si="40"/>
        <v>13.627551889342229</v>
      </c>
      <c r="AQ200" s="640">
        <f t="shared" si="41"/>
        <v>0</v>
      </c>
      <c r="AR200" s="640">
        <f t="shared" si="42"/>
        <v>13.627551889342229</v>
      </c>
      <c r="AT200" s="561" t="s">
        <v>867</v>
      </c>
      <c r="AU200" s="640">
        <f t="shared" si="43"/>
        <v>15.245576279292205</v>
      </c>
      <c r="AV200" s="640">
        <f t="shared" si="44"/>
        <v>0</v>
      </c>
      <c r="AW200" s="640">
        <f t="shared" si="45"/>
        <v>15.245576279292205</v>
      </c>
      <c r="BA200" s="460"/>
      <c r="BB200" s="460"/>
      <c r="BC200" s="460"/>
    </row>
    <row r="201" spans="1:55">
      <c r="A201" s="345" t="s">
        <v>868</v>
      </c>
      <c r="B201" s="551">
        <f>+'NEW-Tables 80-86'!G111+'NEW-Tables 80-86'!G141</f>
        <v>0</v>
      </c>
      <c r="C201" s="602">
        <f>+GETPIVOTDATA("Sum of New-HS % of Total",'Pivot-HS Student % of Undergrad'!$A$3,"State","MD","Category",12,"Category2","Technical")</f>
        <v>0</v>
      </c>
      <c r="D201" s="588">
        <f>+'NEW-Tables 80-86'!H111+'NEW-Tables 80-86'!H141</f>
        <v>0</v>
      </c>
      <c r="E201" s="602">
        <f>+GETPIVOTDATA("Sum of New-HS % of Total",'Pivot-HS Student % of Undergrad'!$A$3,"State","MD","Category",13,"Category2","Technical")</f>
        <v>0</v>
      </c>
      <c r="F201" s="588">
        <f>+'NEW-Tables 80-86'!I111+'NEW-Tables 80-86'!I141</f>
        <v>0</v>
      </c>
      <c r="G201" s="602">
        <f>+GETPIVOTDATA("Sum of New-HS % of Total",'Pivot-HS Student % of Undergrad'!$A$3,"State","MD","Category2","Group3")</f>
        <v>0</v>
      </c>
      <c r="J201" s="345"/>
      <c r="K201" s="345"/>
      <c r="L201" s="345"/>
      <c r="M201" s="537"/>
      <c r="Q201" s="460" t="s">
        <v>868</v>
      </c>
      <c r="R201" s="454">
        <f>+GETPIVOTDATA("Sum of Old-HS % of Total",'Pivot-HS Student % of Undergrad'!$A$3,"State","MD","Category",12,"Category2","Technical")</f>
        <v>0</v>
      </c>
      <c r="S201" s="603">
        <f t="shared" si="37"/>
        <v>0</v>
      </c>
      <c r="T201" s="444">
        <f>+GETPIVOTDATA("Sum of Old-HS % of Total",'Pivot-HS Student % of Undergrad'!$A$3,"State","MD","Category",13,"Category2","Technical")</f>
        <v>0</v>
      </c>
      <c r="U201" s="603">
        <f t="shared" si="38"/>
        <v>0</v>
      </c>
      <c r="V201" s="444">
        <f>+GETPIVOTDATA("Sum of Old-HS % of Total",'Pivot-HS Student % of Undergrad'!$A$3,"State","MD","Category2","Technical")</f>
        <v>0</v>
      </c>
      <c r="W201" s="603">
        <f t="shared" si="39"/>
        <v>0</v>
      </c>
      <c r="X201" s="633"/>
      <c r="Y201" s="638"/>
      <c r="AA201" s="559"/>
      <c r="AB201" s="559"/>
      <c r="AC201" s="561" t="s">
        <v>868</v>
      </c>
      <c r="AD201" s="635">
        <f>+B201</f>
        <v>0</v>
      </c>
      <c r="AE201" s="591">
        <f>+D201</f>
        <v>0</v>
      </c>
      <c r="AF201" s="591">
        <f>+F201</f>
        <v>0</v>
      </c>
      <c r="AG201" s="591"/>
      <c r="AH201" s="561"/>
      <c r="AI201" s="561" t="s">
        <v>868</v>
      </c>
      <c r="AJ201" s="639">
        <f>+'NEW-Tables 80-86'!W111+'NEW-Tables 80-86'!V141</f>
        <v>0</v>
      </c>
      <c r="AK201" s="611">
        <f>+'NEW-Tables 80-86'!X111+'NEW-Tables 80-86'!W141</f>
        <v>0</v>
      </c>
      <c r="AL201" s="591">
        <f>+'NEW-Tables 80-86'!Y111+'NEW-Tables 80-86'!X141</f>
        <v>0</v>
      </c>
      <c r="AN201" s="460"/>
      <c r="AO201" s="561" t="s">
        <v>868</v>
      </c>
      <c r="AP201" s="640">
        <f t="shared" si="40"/>
        <v>0</v>
      </c>
      <c r="AQ201" s="640">
        <f t="shared" si="41"/>
        <v>0</v>
      </c>
      <c r="AR201" s="640">
        <f t="shared" si="42"/>
        <v>0</v>
      </c>
      <c r="AT201" s="561" t="s">
        <v>868</v>
      </c>
      <c r="AU201" s="640">
        <f t="shared" si="43"/>
        <v>0</v>
      </c>
      <c r="AV201" s="640">
        <f t="shared" si="44"/>
        <v>0</v>
      </c>
      <c r="AW201" s="640">
        <f t="shared" si="45"/>
        <v>0</v>
      </c>
      <c r="BA201" s="460"/>
      <c r="BB201" s="460"/>
      <c r="BC201" s="460"/>
    </row>
    <row r="202" spans="1:55">
      <c r="B202" s="551"/>
      <c r="C202" s="602"/>
      <c r="D202" s="588"/>
      <c r="E202" s="602"/>
      <c r="F202" s="588"/>
      <c r="G202" s="602"/>
      <c r="J202" s="345"/>
      <c r="K202" s="345"/>
      <c r="L202" s="345"/>
      <c r="M202" s="537"/>
      <c r="Q202" s="460"/>
      <c r="R202" s="454"/>
      <c r="S202" s="603"/>
      <c r="T202" s="444"/>
      <c r="U202" s="603"/>
      <c r="V202" s="444"/>
      <c r="W202" s="603"/>
      <c r="X202" s="633"/>
      <c r="Y202" s="638"/>
      <c r="AA202" s="559"/>
      <c r="AB202" s="559"/>
      <c r="AC202" s="561"/>
      <c r="AD202" s="635"/>
      <c r="AE202" s="591"/>
      <c r="AF202" s="591"/>
      <c r="AG202" s="591"/>
      <c r="AH202" s="561"/>
      <c r="AI202" s="561"/>
      <c r="AJ202" s="639"/>
      <c r="AK202" s="611"/>
      <c r="AL202" s="591"/>
      <c r="AN202" s="460"/>
      <c r="AO202" s="561"/>
      <c r="AP202" s="640">
        <f t="shared" si="40"/>
        <v>0</v>
      </c>
      <c r="AQ202" s="640">
        <f t="shared" si="41"/>
        <v>0</v>
      </c>
      <c r="AR202" s="640">
        <f t="shared" si="42"/>
        <v>0</v>
      </c>
      <c r="AT202" s="561"/>
      <c r="AU202" s="640">
        <f t="shared" si="43"/>
        <v>0</v>
      </c>
      <c r="AV202" s="640">
        <f t="shared" si="44"/>
        <v>0</v>
      </c>
      <c r="AW202" s="640">
        <f t="shared" si="45"/>
        <v>0</v>
      </c>
      <c r="BA202" s="460"/>
      <c r="BB202" s="460"/>
      <c r="BC202" s="460"/>
    </row>
    <row r="203" spans="1:55">
      <c r="A203" s="345" t="s">
        <v>869</v>
      </c>
      <c r="B203" s="551">
        <f>+'NEW-Tables 80-86'!G113+'NEW-Tables 80-86'!G143</f>
        <v>0</v>
      </c>
      <c r="C203" s="602">
        <f>+GETPIVOTDATA("Sum of New-HS % of Total",'Pivot-HS Student % of Undergrad'!$A$3,"State","MS","Category",12,"Category2","Technical")</f>
        <v>0</v>
      </c>
      <c r="D203" s="588">
        <f>+'NEW-Tables 80-86'!H113+'NEW-Tables 80-86'!H143</f>
        <v>0</v>
      </c>
      <c r="E203" s="602">
        <f>+GETPIVOTDATA("Sum of New-HS % of Total",'Pivot-HS Student % of Undergrad'!$A$3,"State","MS","Category",13,"Category2","Technical")</f>
        <v>0</v>
      </c>
      <c r="F203" s="588">
        <f>+'NEW-Tables 80-86'!I113+'NEW-Tables 80-86'!I143</f>
        <v>0</v>
      </c>
      <c r="G203" s="602">
        <f>+GETPIVOTDATA("Sum of New-HS % of Total",'Pivot-HS Student % of Undergrad'!$A$3,"State","MS","Category2","Group3")</f>
        <v>0</v>
      </c>
      <c r="J203" s="345"/>
      <c r="K203" s="345"/>
      <c r="L203" s="345"/>
      <c r="M203" s="537"/>
      <c r="Q203" s="460" t="s">
        <v>869</v>
      </c>
      <c r="R203" s="454">
        <f>+GETPIVOTDATA("Sum of Old-HS % of Total",'Pivot-HS Student % of Undergrad'!$A$3,"State","MS","Category",12,"Category2","Technical")</f>
        <v>0</v>
      </c>
      <c r="S203" s="603">
        <f t="shared" si="37"/>
        <v>0</v>
      </c>
      <c r="T203" s="444">
        <f>+GETPIVOTDATA("Sum of Old-HS % of Total",'Pivot-HS Student % of Undergrad'!$A$3,"State","MS","Category",13,"Category2","Technical")</f>
        <v>0</v>
      </c>
      <c r="U203" s="603">
        <f t="shared" si="38"/>
        <v>0</v>
      </c>
      <c r="V203" s="444">
        <f>+GETPIVOTDATA("Sum of Old-HS % of Total",'Pivot-HS Student % of Undergrad'!$A$3,"State","MS","Category2","Technical")</f>
        <v>0</v>
      </c>
      <c r="W203" s="603">
        <f t="shared" si="39"/>
        <v>0</v>
      </c>
      <c r="X203" s="633"/>
      <c r="Y203" s="638"/>
      <c r="AA203" s="559"/>
      <c r="AB203" s="559"/>
      <c r="AC203" s="561" t="s">
        <v>869</v>
      </c>
      <c r="AD203" s="635">
        <f>+B203</f>
        <v>0</v>
      </c>
      <c r="AE203" s="591">
        <f>+D203</f>
        <v>0</v>
      </c>
      <c r="AF203" s="591">
        <f>+F203</f>
        <v>0</v>
      </c>
      <c r="AG203" s="591"/>
      <c r="AH203" s="561"/>
      <c r="AI203" s="561" t="s">
        <v>869</v>
      </c>
      <c r="AJ203" s="639">
        <f>+'NEW-Tables 80-86'!W113+'NEW-Tables 80-86'!V143</f>
        <v>0</v>
      </c>
      <c r="AK203" s="611">
        <f>+'NEW-Tables 80-86'!X113+'NEW-Tables 80-86'!W143</f>
        <v>0</v>
      </c>
      <c r="AL203" s="591">
        <f>+'NEW-Tables 80-86'!Y113+'NEW-Tables 80-86'!X143</f>
        <v>0</v>
      </c>
      <c r="AN203" s="460"/>
      <c r="AO203" s="561" t="s">
        <v>869</v>
      </c>
      <c r="AP203" s="640">
        <f t="shared" si="40"/>
        <v>0</v>
      </c>
      <c r="AQ203" s="640">
        <f t="shared" si="41"/>
        <v>0</v>
      </c>
      <c r="AR203" s="640">
        <f t="shared" si="42"/>
        <v>0</v>
      </c>
      <c r="AT203" s="561" t="s">
        <v>869</v>
      </c>
      <c r="AU203" s="640">
        <f t="shared" si="43"/>
        <v>0</v>
      </c>
      <c r="AV203" s="640">
        <f t="shared" si="44"/>
        <v>0</v>
      </c>
      <c r="AW203" s="640">
        <f t="shared" si="45"/>
        <v>0</v>
      </c>
      <c r="BA203" s="460"/>
      <c r="BB203" s="460"/>
      <c r="BC203" s="460"/>
    </row>
    <row r="204" spans="1:55">
      <c r="A204" s="345" t="s">
        <v>870</v>
      </c>
      <c r="B204" s="551">
        <f>+'NEW-Tables 80-86'!G114+'NEW-Tables 80-86'!G144</f>
        <v>0</v>
      </c>
      <c r="C204" s="602">
        <f>+GETPIVOTDATA("Sum of New-HS % of Total",'Pivot-HS Student % of Undergrad'!$A$3,"State","NC","Category",12,"Category2","Technical")</f>
        <v>0</v>
      </c>
      <c r="D204" s="588">
        <f>+'NEW-Tables 80-86'!H114+'NEW-Tables 80-86'!H144</f>
        <v>0</v>
      </c>
      <c r="E204" s="602">
        <f>+GETPIVOTDATA("Sum of New-HS % of Total",'Pivot-HS Student % of Undergrad'!$A$3,"State","NC","Category",13,"Category2","Technical")</f>
        <v>0</v>
      </c>
      <c r="F204" s="588">
        <f>+'NEW-Tables 80-86'!I114+'NEW-Tables 80-86'!I144</f>
        <v>0</v>
      </c>
      <c r="G204" s="602">
        <f>+GETPIVOTDATA("Sum of New-HS % of Total",'Pivot-HS Student % of Undergrad'!$A$3,"State","NC","Category2","Group3")</f>
        <v>0</v>
      </c>
      <c r="J204" s="345"/>
      <c r="K204" s="345"/>
      <c r="L204" s="345"/>
      <c r="M204" s="537"/>
      <c r="Q204" s="460" t="s">
        <v>870</v>
      </c>
      <c r="R204" s="454">
        <f>+GETPIVOTDATA("Sum of Old-HS % of Total",'Pivot-HS Student % of Undergrad'!$A$3,"State","NC","Category",12,"Category2","Technical")</f>
        <v>0</v>
      </c>
      <c r="S204" s="603">
        <f t="shared" si="37"/>
        <v>0</v>
      </c>
      <c r="T204" s="444">
        <f>+GETPIVOTDATA("Sum of Old-HS % of Total",'Pivot-HS Student % of Undergrad'!$A$3,"State","NC","Category",13,"Category2","Technical")</f>
        <v>0</v>
      </c>
      <c r="U204" s="603">
        <f t="shared" si="38"/>
        <v>0</v>
      </c>
      <c r="V204" s="444">
        <f>+GETPIVOTDATA("Sum of Old-HS % of Total",'Pivot-HS Student % of Undergrad'!$A$3,"State","NC","Category2","Technical")</f>
        <v>0</v>
      </c>
      <c r="W204" s="603">
        <f t="shared" si="39"/>
        <v>0</v>
      </c>
      <c r="X204" s="633"/>
      <c r="Y204" s="641"/>
      <c r="AA204" s="559"/>
      <c r="AB204" s="559"/>
      <c r="AC204" s="561" t="s">
        <v>870</v>
      </c>
      <c r="AD204" s="635">
        <f>+B204</f>
        <v>0</v>
      </c>
      <c r="AE204" s="591">
        <f>+D204</f>
        <v>0</v>
      </c>
      <c r="AF204" s="591">
        <f>+F204</f>
        <v>0</v>
      </c>
      <c r="AG204" s="591"/>
      <c r="AH204" s="561"/>
      <c r="AI204" s="561" t="s">
        <v>870</v>
      </c>
      <c r="AJ204" s="639">
        <f>+'NEW-Tables 80-86'!W114+'NEW-Tables 80-86'!V144</f>
        <v>0</v>
      </c>
      <c r="AK204" s="611">
        <f>+'NEW-Tables 80-86'!X114+'NEW-Tables 80-86'!W144</f>
        <v>0</v>
      </c>
      <c r="AL204" s="591">
        <f>+'NEW-Tables 80-86'!Y114+'NEW-Tables 80-86'!X144</f>
        <v>0</v>
      </c>
      <c r="AN204" s="460"/>
      <c r="AO204" s="561" t="s">
        <v>870</v>
      </c>
      <c r="AP204" s="640">
        <f t="shared" si="40"/>
        <v>0</v>
      </c>
      <c r="AQ204" s="640">
        <f t="shared" si="41"/>
        <v>0</v>
      </c>
      <c r="AR204" s="640">
        <f t="shared" si="42"/>
        <v>0</v>
      </c>
      <c r="AT204" s="561" t="s">
        <v>870</v>
      </c>
      <c r="AU204" s="640">
        <f t="shared" si="43"/>
        <v>0</v>
      </c>
      <c r="AV204" s="640">
        <f t="shared" si="44"/>
        <v>0</v>
      </c>
      <c r="AW204" s="640">
        <f t="shared" si="45"/>
        <v>0</v>
      </c>
      <c r="BA204" s="460"/>
      <c r="BB204" s="460"/>
      <c r="BC204" s="460"/>
    </row>
    <row r="205" spans="1:55">
      <c r="A205" s="345" t="s">
        <v>871</v>
      </c>
      <c r="B205" s="551">
        <f>+'NEW-Tables 80-86'!G115+'NEW-Tables 80-86'!G145</f>
        <v>4831.0506666666661</v>
      </c>
      <c r="C205" s="602">
        <f>+GETPIVOTDATA("Sum of New-HS % of Total",'Pivot-HS Student % of Undergrad'!$A$3,"State","OK","Category",12,"Category2","Technical")</f>
        <v>0</v>
      </c>
      <c r="D205" s="588">
        <f>+'NEW-Tables 80-86'!H115+'NEW-Tables 80-86'!H145</f>
        <v>14836.709022222221</v>
      </c>
      <c r="E205" s="602">
        <f>+GETPIVOTDATA("Sum of New-HS % of Total",'Pivot-HS Student % of Undergrad'!$A$3,"State","OK","Category",13,"Category2","Technical")</f>
        <v>0</v>
      </c>
      <c r="F205" s="588">
        <f>+'NEW-Tables 80-86'!I115+'NEW-Tables 80-86'!I145</f>
        <v>19667.759688888887</v>
      </c>
      <c r="G205" s="602">
        <f>+GETPIVOTDATA("Sum of New-HS % of Total",'Pivot-HS Student % of Undergrad'!$A$3,"State","OK","Category2","Group3")</f>
        <v>0</v>
      </c>
      <c r="J205" s="345"/>
      <c r="K205" s="345"/>
      <c r="L205" s="345"/>
      <c r="M205" s="537"/>
      <c r="Q205" s="460" t="s">
        <v>871</v>
      </c>
      <c r="R205" s="454">
        <f>+GETPIVOTDATA("Sum of Old-HS % of Total",'Pivot-HS Student % of Undergrad'!$A$3,"State","OK","Category",12,"Category2","Technical")</f>
        <v>0</v>
      </c>
      <c r="S205" s="603">
        <f t="shared" si="37"/>
        <v>0</v>
      </c>
      <c r="T205" s="444">
        <f>+GETPIVOTDATA("Sum of Old-HS % of Total",'Pivot-HS Student % of Undergrad'!$A$3,"State","OK","Category",13,"Category2","Technical")</f>
        <v>0</v>
      </c>
      <c r="U205" s="603">
        <f t="shared" si="38"/>
        <v>0</v>
      </c>
      <c r="V205" s="444">
        <f>+GETPIVOTDATA("Sum of Old-HS % of Total",'Pivot-HS Student % of Undergrad'!$A$3,"State","OK","Category2","Technical")</f>
        <v>0</v>
      </c>
      <c r="W205" s="603">
        <f t="shared" si="39"/>
        <v>0</v>
      </c>
      <c r="X205" s="633"/>
      <c r="Y205" s="638"/>
      <c r="AA205" s="559"/>
      <c r="AB205" s="559"/>
      <c r="AC205" s="561" t="s">
        <v>871</v>
      </c>
      <c r="AD205" s="635">
        <f>+B205</f>
        <v>4831.0506666666661</v>
      </c>
      <c r="AE205" s="591">
        <f>+D205</f>
        <v>14836.709022222221</v>
      </c>
      <c r="AF205" s="591">
        <f>+F205</f>
        <v>19667.759688888887</v>
      </c>
      <c r="AG205" s="591"/>
      <c r="AH205" s="561"/>
      <c r="AI205" s="561" t="s">
        <v>871</v>
      </c>
      <c r="AJ205" s="639">
        <f>+'NEW-Tables 80-86'!W115+'NEW-Tables 80-86'!V145</f>
        <v>4789.910322222222</v>
      </c>
      <c r="AK205" s="611">
        <f>+'NEW-Tables 80-86'!X115+'NEW-Tables 80-86'!W145</f>
        <v>14653.944644444447</v>
      </c>
      <c r="AL205" s="591">
        <f>+'NEW-Tables 80-86'!Y115+'NEW-Tables 80-86'!X145</f>
        <v>19443.854966666669</v>
      </c>
      <c r="AN205" s="460"/>
      <c r="AO205" s="561" t="s">
        <v>871</v>
      </c>
      <c r="AP205" s="640">
        <f t="shared" si="40"/>
        <v>0</v>
      </c>
      <c r="AQ205" s="640">
        <f t="shared" si="41"/>
        <v>0</v>
      </c>
      <c r="AR205" s="640">
        <f t="shared" si="42"/>
        <v>0</v>
      </c>
      <c r="AT205" s="561" t="s">
        <v>871</v>
      </c>
      <c r="AU205" s="640">
        <f t="shared" si="43"/>
        <v>0</v>
      </c>
      <c r="AV205" s="640">
        <f t="shared" si="44"/>
        <v>0</v>
      </c>
      <c r="AW205" s="640">
        <f t="shared" si="45"/>
        <v>0</v>
      </c>
      <c r="BA205" s="460"/>
      <c r="BB205" s="460"/>
      <c r="BC205" s="460"/>
    </row>
    <row r="206" spans="1:55">
      <c r="A206" s="345" t="s">
        <v>872</v>
      </c>
      <c r="B206" s="551">
        <f>+'NEW-Tables 80-86'!G116+'NEW-Tables 80-86'!G146</f>
        <v>0</v>
      </c>
      <c r="C206" s="602">
        <f>+GETPIVOTDATA("Sum of New-HS % of Total",'Pivot-HS Student % of Undergrad'!$A$3,"State","SC","Category",12,"Category2","Technical")</f>
        <v>0</v>
      </c>
      <c r="D206" s="588">
        <f>+'NEW-Tables 80-86'!H116+'NEW-Tables 80-86'!H146</f>
        <v>0</v>
      </c>
      <c r="E206" s="602">
        <f>+GETPIVOTDATA("Sum of New-HS % of Total",'Pivot-HS Student % of Undergrad'!$A$3,"State","SC","Category",13,"Category2","Technical")</f>
        <v>0</v>
      </c>
      <c r="F206" s="588">
        <f>+'NEW-Tables 80-86'!I116+'NEW-Tables 80-86'!I146</f>
        <v>0</v>
      </c>
      <c r="G206" s="602">
        <f>+GETPIVOTDATA("Sum of New-HS % of Total",'Pivot-HS Student % of Undergrad'!$A$3,"State","SC","Category2","Group3")</f>
        <v>0</v>
      </c>
      <c r="J206" s="345"/>
      <c r="K206" s="345"/>
      <c r="L206" s="345"/>
      <c r="M206" s="537"/>
      <c r="Q206" s="460" t="s">
        <v>872</v>
      </c>
      <c r="R206" s="454">
        <f>+GETPIVOTDATA("Sum of Old-HS % of Total",'Pivot-HS Student % of Undergrad'!$A$3,"State","SC","Category",12,"Category2","Technical")</f>
        <v>0</v>
      </c>
      <c r="S206" s="603">
        <f t="shared" si="37"/>
        <v>0</v>
      </c>
      <c r="T206" s="444">
        <f>+GETPIVOTDATA("Sum of Old-HS % of Total",'Pivot-HS Student % of Undergrad'!$A$3,"State","SC","Category",13,"Category2","Technical")</f>
        <v>0</v>
      </c>
      <c r="U206" s="603">
        <f t="shared" si="38"/>
        <v>0</v>
      </c>
      <c r="V206" s="444">
        <f>+GETPIVOTDATA("Sum of Old-HS % of Total",'Pivot-HS Student % of Undergrad'!$A$3,"State","SC","Category2","Technical")</f>
        <v>0</v>
      </c>
      <c r="W206" s="603">
        <f t="shared" si="39"/>
        <v>0</v>
      </c>
      <c r="X206" s="633"/>
      <c r="Y206" s="638"/>
      <c r="AA206" s="559"/>
      <c r="AB206" s="559"/>
      <c r="AC206" s="561" t="s">
        <v>872</v>
      </c>
      <c r="AD206" s="635">
        <f>+B206</f>
        <v>0</v>
      </c>
      <c r="AE206" s="591">
        <f>+D206</f>
        <v>0</v>
      </c>
      <c r="AF206" s="591">
        <f>+F206</f>
        <v>0</v>
      </c>
      <c r="AG206" s="591"/>
      <c r="AH206" s="561"/>
      <c r="AI206" s="561" t="s">
        <v>872</v>
      </c>
      <c r="AJ206" s="639">
        <f>+'NEW-Tables 80-86'!W116+'NEW-Tables 80-86'!V146</f>
        <v>0</v>
      </c>
      <c r="AK206" s="611">
        <f>+'NEW-Tables 80-86'!X116+'NEW-Tables 80-86'!W146</f>
        <v>0</v>
      </c>
      <c r="AL206" s="591">
        <f>+'NEW-Tables 80-86'!Y116+'NEW-Tables 80-86'!X146</f>
        <v>0</v>
      </c>
      <c r="AN206" s="460"/>
      <c r="AO206" s="561" t="s">
        <v>872</v>
      </c>
      <c r="AP206" s="640">
        <f t="shared" si="40"/>
        <v>0</v>
      </c>
      <c r="AQ206" s="640">
        <f t="shared" si="41"/>
        <v>0</v>
      </c>
      <c r="AR206" s="640">
        <f t="shared" si="42"/>
        <v>0</v>
      </c>
      <c r="AT206" s="561" t="s">
        <v>872</v>
      </c>
      <c r="AU206" s="640">
        <f t="shared" si="43"/>
        <v>0</v>
      </c>
      <c r="AV206" s="640">
        <f t="shared" si="44"/>
        <v>0</v>
      </c>
      <c r="AW206" s="640">
        <f t="shared" si="45"/>
        <v>0</v>
      </c>
      <c r="BA206" s="460"/>
      <c r="BB206" s="460"/>
      <c r="BC206" s="460"/>
    </row>
    <row r="207" spans="1:55" ht="11.25" customHeight="1">
      <c r="B207" s="551"/>
      <c r="C207" s="602"/>
      <c r="D207" s="588"/>
      <c r="E207" s="602"/>
      <c r="F207" s="588"/>
      <c r="G207" s="602"/>
      <c r="J207" s="345"/>
      <c r="K207" s="345"/>
      <c r="L207" s="345"/>
      <c r="M207" s="537"/>
      <c r="Q207" s="460"/>
      <c r="R207" s="454"/>
      <c r="S207" s="603">
        <f t="shared" si="37"/>
        <v>0</v>
      </c>
      <c r="T207" s="444"/>
      <c r="U207" s="603">
        <f t="shared" si="38"/>
        <v>0</v>
      </c>
      <c r="V207" s="444"/>
      <c r="W207" s="603">
        <f t="shared" si="39"/>
        <v>0</v>
      </c>
      <c r="X207" s="633"/>
      <c r="Y207" s="638"/>
      <c r="AA207" s="559"/>
      <c r="AB207" s="559"/>
      <c r="AC207" s="561"/>
      <c r="AD207" s="635"/>
      <c r="AE207" s="591"/>
      <c r="AF207" s="591"/>
      <c r="AG207" s="591"/>
      <c r="AH207" s="561"/>
      <c r="AI207" s="561"/>
      <c r="AJ207" s="639"/>
      <c r="AK207" s="611"/>
      <c r="AL207" s="591"/>
      <c r="AN207" s="460"/>
      <c r="AO207" s="561"/>
      <c r="AP207" s="640">
        <f t="shared" si="40"/>
        <v>0</v>
      </c>
      <c r="AQ207" s="640">
        <f t="shared" si="41"/>
        <v>0</v>
      </c>
      <c r="AR207" s="640">
        <f t="shared" si="42"/>
        <v>0</v>
      </c>
      <c r="AT207" s="561"/>
      <c r="AU207" s="640">
        <f t="shared" si="43"/>
        <v>0</v>
      </c>
      <c r="AV207" s="640">
        <f t="shared" si="44"/>
        <v>0</v>
      </c>
      <c r="AW207" s="640">
        <f t="shared" si="45"/>
        <v>0</v>
      </c>
      <c r="BA207" s="460"/>
      <c r="BB207" s="460"/>
      <c r="BC207" s="460"/>
    </row>
    <row r="208" spans="1:55" ht="11.25" customHeight="1">
      <c r="A208" s="345" t="s">
        <v>873</v>
      </c>
      <c r="B208" s="551">
        <f>+'NEW-Tables 80-86'!G118+'NEW-Tables 80-86'!G148</f>
        <v>982.67333333333329</v>
      </c>
      <c r="C208" s="602">
        <f>+GETPIVOTDATA("Sum of New-HS % of Total",'Pivot-HS Student % of Undergrad'!$A$3,"State","TN","Category",12,"Category2","Technical")</f>
        <v>0</v>
      </c>
      <c r="D208" s="588">
        <f>+'NEW-Tables 80-86'!H118+'NEW-Tables 80-86'!H148</f>
        <v>11588.335555555561</v>
      </c>
      <c r="E208" s="602">
        <f>+GETPIVOTDATA("Sum of New-HS % of Total",'Pivot-HS Student % of Undergrad'!$A$3,"State","TN","Category",13,"Category2","Technical")</f>
        <v>0</v>
      </c>
      <c r="F208" s="588">
        <f>+'NEW-Tables 80-86'!I118+'NEW-Tables 80-86'!I148</f>
        <v>12571.008888888895</v>
      </c>
      <c r="G208" s="602">
        <f>+GETPIVOTDATA("Sum of New-HS % of Total",'Pivot-HS Student % of Undergrad'!$A$3,"State","TN","Category2","Group3")</f>
        <v>0</v>
      </c>
      <c r="J208" s="345"/>
      <c r="K208" s="345"/>
      <c r="L208" s="345"/>
      <c r="M208" s="537"/>
      <c r="Q208" s="460" t="s">
        <v>873</v>
      </c>
      <c r="R208" s="454">
        <f>+GETPIVOTDATA("Sum of Old-HS % of Total",'Pivot-HS Student % of Undergrad'!$A$3,"State","TN","Category",12,"Category2","Technical")</f>
        <v>0</v>
      </c>
      <c r="S208" s="603">
        <f t="shared" si="37"/>
        <v>0</v>
      </c>
      <c r="T208" s="444">
        <f>+GETPIVOTDATA("Sum of Old-HS % of Total",'Pivot-HS Student % of Undergrad'!$A$3,"State","TN","Category",13,"Category2","Technical")</f>
        <v>0</v>
      </c>
      <c r="U208" s="603">
        <f t="shared" si="38"/>
        <v>0</v>
      </c>
      <c r="V208" s="444">
        <f>+GETPIVOTDATA("Sum of Old-HS % of Total",'Pivot-HS Student % of Undergrad'!$A$3,"State","TN","Category2","Technical")</f>
        <v>0</v>
      </c>
      <c r="W208" s="603">
        <f t="shared" si="39"/>
        <v>0</v>
      </c>
      <c r="X208" s="633"/>
      <c r="Y208" s="638"/>
      <c r="AA208" s="559"/>
      <c r="AB208" s="559"/>
      <c r="AC208" s="561" t="s">
        <v>873</v>
      </c>
      <c r="AD208" s="635">
        <f>+B208</f>
        <v>982.67333333333329</v>
      </c>
      <c r="AE208" s="591">
        <f>+D208</f>
        <v>11588.335555555561</v>
      </c>
      <c r="AF208" s="591">
        <f>+F208</f>
        <v>12571.008888888895</v>
      </c>
      <c r="AG208" s="591"/>
      <c r="AH208" s="561"/>
      <c r="AI208" s="561" t="s">
        <v>873</v>
      </c>
      <c r="AJ208" s="639">
        <f>+'NEW-Tables 80-86'!W118+'NEW-Tables 80-86'!V148</f>
        <v>1004.0377777777778</v>
      </c>
      <c r="AK208" s="611">
        <f>+'NEW-Tables 80-86'!X118+'NEW-Tables 80-86'!W148</f>
        <v>10641.687777777777</v>
      </c>
      <c r="AL208" s="591">
        <f>+'NEW-Tables 80-86'!Y118+'NEW-Tables 80-86'!X148</f>
        <v>11645.725555555555</v>
      </c>
      <c r="AN208" s="460"/>
      <c r="AO208" s="561" t="s">
        <v>873</v>
      </c>
      <c r="AP208" s="640">
        <f t="shared" si="40"/>
        <v>0</v>
      </c>
      <c r="AQ208" s="640">
        <f t="shared" si="41"/>
        <v>0</v>
      </c>
      <c r="AR208" s="640">
        <f t="shared" si="42"/>
        <v>0</v>
      </c>
      <c r="AT208" s="561" t="s">
        <v>873</v>
      </c>
      <c r="AU208" s="640">
        <f t="shared" si="43"/>
        <v>0</v>
      </c>
      <c r="AV208" s="640">
        <f t="shared" si="44"/>
        <v>0</v>
      </c>
      <c r="AW208" s="640">
        <f t="shared" si="45"/>
        <v>0</v>
      </c>
      <c r="BA208" s="460"/>
      <c r="BB208" s="460"/>
      <c r="BC208" s="460"/>
    </row>
    <row r="209" spans="1:55">
      <c r="A209" s="345" t="s">
        <v>874</v>
      </c>
      <c r="B209" s="551">
        <f>+'NEW-Tables 80-86'!G119+'NEW-Tables 80-86'!G149</f>
        <v>0</v>
      </c>
      <c r="C209" s="608">
        <f>+GETPIVOTDATA("Sum of New-HS % of Total",'Pivot-HS Student % of Undergrad'!$A$3,"State","TX","Category",12,"Category2","Technical")</f>
        <v>0</v>
      </c>
      <c r="D209" s="588">
        <f>+'NEW-Tables 80-86'!H119+'NEW-Tables 80-86'!H149</f>
        <v>0</v>
      </c>
      <c r="E209" s="608">
        <f>+GETPIVOTDATA("Sum of New-HS % of Total",'Pivot-HS Student % of Undergrad'!$A$3,"State","TX","Category",13,"Category2","Technical")</f>
        <v>0</v>
      </c>
      <c r="F209" s="588">
        <f>+'NEW-Tables 80-86'!I119+'NEW-Tables 80-86'!I149</f>
        <v>0</v>
      </c>
      <c r="G209" s="602">
        <f>+GETPIVOTDATA("Sum of New-HS % of Total",'Pivot-HS Student % of Undergrad'!$A$3,"State","TX","Category2","Group3")</f>
        <v>0</v>
      </c>
      <c r="J209" s="345"/>
      <c r="K209" s="345"/>
      <c r="L209" s="345"/>
      <c r="M209" s="537"/>
      <c r="Q209" s="460" t="s">
        <v>874</v>
      </c>
      <c r="R209" s="454">
        <f>+GETPIVOTDATA("Sum of Old-HS % of Total",'Pivot-HS Student % of Undergrad'!$A$3,"State","TX","Category",12,"Category2","Technical")</f>
        <v>0</v>
      </c>
      <c r="S209" s="603">
        <f t="shared" si="37"/>
        <v>0</v>
      </c>
      <c r="T209" s="444">
        <f>+GETPIVOTDATA("Sum of Old-HS % of Total",'Pivot-HS Student % of Undergrad'!$A$3,"State","TX","Category",13,"Category2","Technical")</f>
        <v>0</v>
      </c>
      <c r="U209" s="603">
        <f t="shared" si="38"/>
        <v>0</v>
      </c>
      <c r="V209" s="444">
        <f>+GETPIVOTDATA("Sum of Old-HS % of Total",'Pivot-HS Student % of Undergrad'!$A$3,"State","TX","Category2","Technical")</f>
        <v>0</v>
      </c>
      <c r="W209" s="603">
        <f t="shared" si="39"/>
        <v>0</v>
      </c>
      <c r="X209" s="633"/>
      <c r="Y209" s="641"/>
      <c r="AA209" s="559"/>
      <c r="AB209" s="559"/>
      <c r="AC209" s="561" t="s">
        <v>874</v>
      </c>
      <c r="AD209" s="635">
        <f>+B209</f>
        <v>0</v>
      </c>
      <c r="AE209" s="591">
        <f>+D209</f>
        <v>0</v>
      </c>
      <c r="AF209" s="591">
        <f>+F209</f>
        <v>0</v>
      </c>
      <c r="AG209" s="591"/>
      <c r="AH209" s="561"/>
      <c r="AI209" s="561" t="s">
        <v>874</v>
      </c>
      <c r="AJ209" s="639">
        <f>+'NEW-Tables 80-86'!W119+'NEW-Tables 80-86'!V149</f>
        <v>0</v>
      </c>
      <c r="AK209" s="611">
        <f>+'NEW-Tables 80-86'!X119+'NEW-Tables 80-86'!W149</f>
        <v>0</v>
      </c>
      <c r="AL209" s="591">
        <f>+'NEW-Tables 80-86'!Y119+'NEW-Tables 80-86'!X149</f>
        <v>0</v>
      </c>
      <c r="AN209" s="460"/>
      <c r="AO209" s="561" t="s">
        <v>874</v>
      </c>
      <c r="AP209" s="640">
        <f t="shared" si="40"/>
        <v>0</v>
      </c>
      <c r="AQ209" s="640">
        <f t="shared" si="41"/>
        <v>0</v>
      </c>
      <c r="AR209" s="640">
        <f t="shared" si="42"/>
        <v>0</v>
      </c>
      <c r="AT209" s="561" t="s">
        <v>874</v>
      </c>
      <c r="AU209" s="640">
        <f t="shared" si="43"/>
        <v>0</v>
      </c>
      <c r="AV209" s="640">
        <f t="shared" si="44"/>
        <v>0</v>
      </c>
      <c r="AW209" s="640">
        <f t="shared" si="45"/>
        <v>0</v>
      </c>
      <c r="BA209" s="460"/>
      <c r="BB209" s="460"/>
      <c r="BC209" s="460"/>
    </row>
    <row r="210" spans="1:55">
      <c r="A210" s="345" t="s">
        <v>875</v>
      </c>
      <c r="B210" s="551">
        <f>+'NEW-Tables 80-86'!G120+'NEW-Tables 80-86'!G150</f>
        <v>0</v>
      </c>
      <c r="C210" s="608">
        <f>+GETPIVOTDATA("Sum of New-HS % of Total",'Pivot-HS Student % of Undergrad'!$A$3,"State","VA","Category",12,"Category2","Technical")</f>
        <v>0</v>
      </c>
      <c r="D210" s="588">
        <f>+'NEW-Tables 80-86'!H120+'NEW-Tables 80-86'!H150</f>
        <v>0</v>
      </c>
      <c r="E210" s="608">
        <f>+GETPIVOTDATA("Sum of New-HS % of Total",'Pivot-HS Student % of Undergrad'!$A$3,"State","VA","Category",13,"Category2","Technical")</f>
        <v>0</v>
      </c>
      <c r="F210" s="588">
        <f>+'NEW-Tables 80-86'!I120+'NEW-Tables 80-86'!I150</f>
        <v>0</v>
      </c>
      <c r="G210" s="602">
        <f>+GETPIVOTDATA("Sum of New-HS % of Total",'Pivot-HS Student % of Undergrad'!$A$3,"State","VA","Category2","Group3")</f>
        <v>0</v>
      </c>
      <c r="J210" s="345"/>
      <c r="K210" s="345"/>
      <c r="L210" s="345"/>
      <c r="M210" s="537"/>
      <c r="Q210" s="460" t="s">
        <v>875</v>
      </c>
      <c r="R210" s="454">
        <f>+GETPIVOTDATA("Sum of Old-HS % of Total",'Pivot-HS Student % of Undergrad'!$A$3,"State","VA","Category",12,"Category2","Technical")</f>
        <v>0</v>
      </c>
      <c r="S210" s="603">
        <f t="shared" si="37"/>
        <v>0</v>
      </c>
      <c r="T210" s="444">
        <f>+GETPIVOTDATA("Sum of Old-HS % of Total",'Pivot-HS Student % of Undergrad'!$A$3,"State","VA","Category",13,"Category2","Technical")</f>
        <v>0</v>
      </c>
      <c r="U210" s="603">
        <f t="shared" si="38"/>
        <v>0</v>
      </c>
      <c r="V210" s="444">
        <f>+GETPIVOTDATA("Sum of Old-HS % of Total",'Pivot-HS Student % of Undergrad'!$A$3,"State","VA","Category2","Technical")</f>
        <v>0</v>
      </c>
      <c r="W210" s="603">
        <f t="shared" si="39"/>
        <v>0</v>
      </c>
      <c r="X210" s="633"/>
      <c r="Y210" s="638"/>
      <c r="AA210" s="559"/>
      <c r="AB210" s="559"/>
      <c r="AC210" s="561" t="s">
        <v>875</v>
      </c>
      <c r="AD210" s="635">
        <f>+B210</f>
        <v>0</v>
      </c>
      <c r="AE210" s="591">
        <f>+D210</f>
        <v>0</v>
      </c>
      <c r="AF210" s="591">
        <f>+F210</f>
        <v>0</v>
      </c>
      <c r="AG210" s="591"/>
      <c r="AH210" s="561"/>
      <c r="AI210" s="561" t="s">
        <v>875</v>
      </c>
      <c r="AJ210" s="639">
        <f>+'NEW-Tables 80-86'!W120+'NEW-Tables 80-86'!V150</f>
        <v>0</v>
      </c>
      <c r="AK210" s="611">
        <f>+'NEW-Tables 80-86'!X120+'NEW-Tables 80-86'!W150</f>
        <v>0</v>
      </c>
      <c r="AL210" s="591">
        <f>+'NEW-Tables 80-86'!Y120+'NEW-Tables 80-86'!X150</f>
        <v>0</v>
      </c>
      <c r="AN210" s="460"/>
      <c r="AO210" s="561" t="s">
        <v>875</v>
      </c>
      <c r="AP210" s="640">
        <f t="shared" si="40"/>
        <v>0</v>
      </c>
      <c r="AQ210" s="640">
        <f t="shared" si="41"/>
        <v>0</v>
      </c>
      <c r="AR210" s="640">
        <f t="shared" si="42"/>
        <v>0</v>
      </c>
      <c r="AT210" s="561" t="s">
        <v>875</v>
      </c>
      <c r="AU210" s="640">
        <f t="shared" si="43"/>
        <v>0</v>
      </c>
      <c r="AV210" s="640">
        <f t="shared" si="44"/>
        <v>0</v>
      </c>
      <c r="AW210" s="640">
        <f t="shared" si="45"/>
        <v>0</v>
      </c>
      <c r="BA210" s="460"/>
      <c r="BB210" s="460"/>
      <c r="BC210" s="460"/>
    </row>
    <row r="211" spans="1:55">
      <c r="A211" s="461" t="s">
        <v>876</v>
      </c>
      <c r="B211" s="556">
        <f>+'NEW-Tables 80-86'!G121+'NEW-Tables 80-86'!G151</f>
        <v>0</v>
      </c>
      <c r="C211" s="612">
        <f>+GETPIVOTDATA("Sum of New-HS % of Total",'Pivot-HS Student % of Undergrad'!$A$3,"State","WV","Category",12,"Category2","Technical")</f>
        <v>0</v>
      </c>
      <c r="D211" s="642">
        <f>+'NEW-Tables 80-86'!H121+'NEW-Tables 80-86'!H151</f>
        <v>0</v>
      </c>
      <c r="E211" s="612">
        <f>+GETPIVOTDATA("Sum of New-HS % of Total",'Pivot-HS Student % of Undergrad'!$A$3,"State","WV","Category",13,"Category2","Technical")</f>
        <v>0</v>
      </c>
      <c r="F211" s="642">
        <f>+'NEW-Tables 80-86'!I121+'NEW-Tables 80-86'!I151</f>
        <v>0</v>
      </c>
      <c r="G211" s="612">
        <f>+GETPIVOTDATA("Sum of New-HS % of Total",'Pivot-HS Student % of Undergrad'!$A$3,"State","WV","Category2","Group3")</f>
        <v>0</v>
      </c>
      <c r="H211" s="269"/>
      <c r="I211" s="460"/>
      <c r="J211" s="345"/>
      <c r="K211" s="345"/>
      <c r="L211" s="345"/>
      <c r="M211" s="537"/>
      <c r="Q211" s="461" t="s">
        <v>876</v>
      </c>
      <c r="R211" s="466">
        <f>+GETPIVOTDATA("Sum of Old-HS % of Total",'Pivot-HS Student % of Undergrad'!$A$3,"State","WV","Category",12,"Category2","Technical")</f>
        <v>0</v>
      </c>
      <c r="S211" s="603">
        <f t="shared" si="37"/>
        <v>0</v>
      </c>
      <c r="T211" s="468">
        <f>+GETPIVOTDATA("Sum of Old-HS % of Total",'Pivot-HS Student % of Undergrad'!$A$3,"State","WV","Category",13,"Category2","Technical")</f>
        <v>0</v>
      </c>
      <c r="U211" s="603">
        <f t="shared" si="38"/>
        <v>0</v>
      </c>
      <c r="V211" s="468">
        <f>+GETPIVOTDATA("Sum of Old-HS % of Total",'Pivot-HS Student % of Undergrad'!$A$3,"State","WV","Category2","Technical")</f>
        <v>0</v>
      </c>
      <c r="W211" s="603">
        <f t="shared" si="39"/>
        <v>0</v>
      </c>
      <c r="X211" s="633"/>
      <c r="Y211" s="638"/>
      <c r="AA211" s="559"/>
      <c r="AB211" s="559"/>
      <c r="AC211" s="643" t="s">
        <v>876</v>
      </c>
      <c r="AD211" s="644">
        <f>+B211</f>
        <v>0</v>
      </c>
      <c r="AE211" s="645">
        <f>+D211</f>
        <v>0</v>
      </c>
      <c r="AF211" s="645">
        <f>+F211</f>
        <v>0</v>
      </c>
      <c r="AG211" s="645"/>
      <c r="AH211" s="561"/>
      <c r="AI211" s="643" t="s">
        <v>876</v>
      </c>
      <c r="AJ211" s="646">
        <f>+'NEW-Tables 80-86'!W121+'NEW-Tables 80-86'!V151</f>
        <v>0</v>
      </c>
      <c r="AK211" s="645">
        <f>+'NEW-Tables 80-86'!X121+'NEW-Tables 80-86'!W151</f>
        <v>0</v>
      </c>
      <c r="AL211" s="645">
        <f>+'NEW-Tables 80-86'!Y121+'NEW-Tables 80-86'!X151</f>
        <v>0</v>
      </c>
      <c r="AN211" s="460"/>
      <c r="AO211" s="643" t="s">
        <v>876</v>
      </c>
      <c r="AP211" s="640">
        <f t="shared" si="40"/>
        <v>0</v>
      </c>
      <c r="AQ211" s="640">
        <f t="shared" si="41"/>
        <v>0</v>
      </c>
      <c r="AR211" s="640">
        <f t="shared" si="42"/>
        <v>0</v>
      </c>
      <c r="AT211" s="643" t="s">
        <v>876</v>
      </c>
      <c r="AU211" s="640">
        <f t="shared" si="43"/>
        <v>0</v>
      </c>
      <c r="AV211" s="640">
        <f t="shared" si="44"/>
        <v>0</v>
      </c>
      <c r="AW211" s="640">
        <f t="shared" si="45"/>
        <v>0</v>
      </c>
      <c r="BA211" s="460"/>
      <c r="BB211" s="460"/>
      <c r="BC211" s="460"/>
    </row>
    <row r="212" spans="1:55" ht="57.75" customHeight="1">
      <c r="A212" s="757" t="s">
        <v>921</v>
      </c>
      <c r="B212" s="757"/>
      <c r="C212" s="757"/>
      <c r="D212" s="757"/>
      <c r="E212" s="757"/>
      <c r="F212" s="757"/>
      <c r="G212" s="757"/>
      <c r="H212" s="496"/>
      <c r="I212" s="496"/>
      <c r="J212" s="345"/>
      <c r="K212" s="345"/>
      <c r="L212" s="345"/>
      <c r="M212" s="537"/>
      <c r="AA212" s="559"/>
      <c r="AB212" s="559"/>
      <c r="AC212" s="559"/>
      <c r="AD212" s="559"/>
      <c r="AE212" s="559"/>
      <c r="AF212" s="559"/>
      <c r="BC212" s="460"/>
    </row>
    <row r="213" spans="1:55" ht="10.5" customHeight="1">
      <c r="B213" s="535"/>
      <c r="C213" s="535"/>
      <c r="D213" s="535"/>
      <c r="E213" s="535"/>
      <c r="F213" s="535"/>
      <c r="G213" s="477" t="s">
        <v>956</v>
      </c>
      <c r="H213" s="535"/>
      <c r="I213" s="498"/>
      <c r="J213" s="345"/>
      <c r="K213" s="345"/>
      <c r="L213" s="345"/>
      <c r="M213" s="537"/>
      <c r="AA213" s="559"/>
      <c r="AB213" s="559"/>
      <c r="AC213" s="559"/>
      <c r="AD213" s="559"/>
      <c r="AE213" s="559"/>
      <c r="BA213" s="460"/>
      <c r="BB213" s="460"/>
      <c r="BC213" s="460"/>
    </row>
    <row r="214" spans="1:55" ht="13.5" customHeight="1">
      <c r="A214" s="535"/>
      <c r="B214" s="535"/>
      <c r="C214" s="535"/>
      <c r="D214" s="535"/>
      <c r="E214" s="535"/>
      <c r="F214" s="535"/>
      <c r="G214" s="535"/>
      <c r="H214" s="535"/>
      <c r="J214" s="345"/>
      <c r="K214" s="345"/>
      <c r="L214" s="345"/>
      <c r="M214" s="537"/>
      <c r="S214" s="498"/>
      <c r="BA214" s="460"/>
      <c r="BB214" s="460"/>
      <c r="BC214" s="460"/>
    </row>
    <row r="215" spans="1:55" ht="24" customHeight="1">
      <c r="A215" s="647" t="s">
        <v>922</v>
      </c>
      <c r="B215" s="396"/>
      <c r="C215" s="396"/>
      <c r="D215" s="648"/>
      <c r="E215" s="399"/>
      <c r="F215" s="400"/>
      <c r="G215" s="400"/>
      <c r="H215" s="406"/>
      <c r="L215" s="345"/>
      <c r="M215" s="537"/>
      <c r="AK215" s="559"/>
      <c r="BA215" s="460"/>
      <c r="BB215" s="460"/>
      <c r="BC215" s="460"/>
    </row>
    <row r="216" spans="1:55" ht="15.75">
      <c r="A216" s="401"/>
      <c r="B216" s="401"/>
      <c r="C216" s="401"/>
      <c r="D216" s="649"/>
      <c r="E216" s="399"/>
      <c r="F216" s="400"/>
      <c r="G216" s="400"/>
      <c r="H216" s="406"/>
      <c r="BA216" s="460"/>
      <c r="BB216" s="460"/>
      <c r="BC216" s="460"/>
    </row>
    <row r="217" spans="1:55" ht="18" customHeight="1">
      <c r="A217" s="478" t="s">
        <v>882</v>
      </c>
      <c r="B217" s="478"/>
      <c r="C217" s="478"/>
      <c r="D217" s="650"/>
      <c r="E217" s="399"/>
      <c r="F217" s="400"/>
      <c r="G217" s="400"/>
      <c r="H217" s="406"/>
    </row>
    <row r="218" spans="1:55" ht="15.75">
      <c r="A218" s="478" t="s">
        <v>923</v>
      </c>
      <c r="B218" s="478"/>
      <c r="C218" s="478"/>
      <c r="D218" s="650"/>
      <c r="E218" s="399"/>
      <c r="F218" s="400"/>
      <c r="G218" s="400"/>
      <c r="H218" s="406"/>
      <c r="Q218" s="345" t="s">
        <v>841</v>
      </c>
    </row>
    <row r="219" spans="1:55" ht="15.75">
      <c r="A219" s="478" t="s">
        <v>1019</v>
      </c>
      <c r="B219" s="478"/>
      <c r="C219" s="478"/>
      <c r="D219" s="650"/>
      <c r="E219" s="399"/>
      <c r="F219" s="400"/>
      <c r="G219" s="400"/>
      <c r="H219" s="406"/>
      <c r="I219" s="460"/>
      <c r="Q219" s="412" t="s">
        <v>925</v>
      </c>
      <c r="R219" s="412"/>
    </row>
    <row r="220" spans="1:55">
      <c r="B220" s="409"/>
      <c r="C220" s="409"/>
      <c r="D220" s="651"/>
      <c r="I220" s="460"/>
      <c r="Q220" s="652" t="s">
        <v>926</v>
      </c>
      <c r="R220" s="652"/>
      <c r="S220" s="653"/>
      <c r="T220" s="653"/>
      <c r="U220" s="654"/>
      <c r="V220" s="655" t="s">
        <v>927</v>
      </c>
      <c r="W220" s="656"/>
      <c r="X220" s="653"/>
      <c r="Y220" s="653"/>
      <c r="Z220" s="655" t="s">
        <v>928</v>
      </c>
      <c r="AA220" s="656"/>
      <c r="AB220" s="653"/>
      <c r="AC220" s="653"/>
    </row>
    <row r="221" spans="1:55" ht="39.75" customHeight="1">
      <c r="A221" s="657"/>
      <c r="B221" s="658" t="s">
        <v>833</v>
      </c>
      <c r="C221" s="425"/>
      <c r="D221" s="658" t="s">
        <v>889</v>
      </c>
      <c r="E221" s="422" t="s">
        <v>891</v>
      </c>
      <c r="F221" s="422" t="s">
        <v>890</v>
      </c>
      <c r="G221" s="659" t="s">
        <v>891</v>
      </c>
      <c r="H221" s="432" t="s">
        <v>6</v>
      </c>
      <c r="I221" s="660"/>
      <c r="Q221" s="661"/>
      <c r="R221" s="661" t="s">
        <v>833</v>
      </c>
      <c r="S221" s="661" t="s">
        <v>889</v>
      </c>
      <c r="T221" s="662" t="s">
        <v>890</v>
      </c>
      <c r="U221" s="663" t="s">
        <v>929</v>
      </c>
      <c r="V221" s="664" t="s">
        <v>833</v>
      </c>
      <c r="W221" s="661" t="s">
        <v>889</v>
      </c>
      <c r="X221" s="662" t="s">
        <v>890</v>
      </c>
      <c r="Y221" s="662" t="s">
        <v>929</v>
      </c>
      <c r="Z221" s="664" t="s">
        <v>833</v>
      </c>
      <c r="AA221" s="661" t="s">
        <v>889</v>
      </c>
      <c r="AB221" s="662" t="s">
        <v>890</v>
      </c>
      <c r="AC221" s="662" t="s">
        <v>929</v>
      </c>
    </row>
    <row r="222" spans="1:55" ht="11.25" customHeight="1">
      <c r="A222" s="345" t="s">
        <v>853</v>
      </c>
      <c r="B222" s="665">
        <f>+GETPIVOTDATA("Sum of New Grand Total FTE",'FTE Pivot for regular counts'!$A$2,"Category2","Four-Year")</f>
        <v>2480690.1893333336</v>
      </c>
      <c r="D222" s="494">
        <f>+GETPIVOTDATA("Sum of New Grand Total FTE",'FTE Pivot for regular counts'!$A$2,"Category2","Two-Year")</f>
        <v>1630570.4554444444</v>
      </c>
      <c r="F222" s="666">
        <f>+GETPIVOTDATA("Sum of New Grand Total FTE",'FTE Pivot for regular counts'!$A$2,"Category2","Technical")</f>
        <v>114167.88302222223</v>
      </c>
      <c r="G222" s="667"/>
      <c r="H222" s="668">
        <f>+F222+D222+B222</f>
        <v>4225428.5278000003</v>
      </c>
      <c r="I222" s="460"/>
      <c r="Q222" s="345" t="s">
        <v>853</v>
      </c>
      <c r="R222" s="665">
        <f>+GETPIVOTDATA("Sum of Old Grand Total FTE",'FTE Pivot for regular counts'!$A$2,"Category2","Four-Year")</f>
        <v>2436859.9442499997</v>
      </c>
      <c r="S222" s="494">
        <f>+GETPIVOTDATA("Sum of Old Grand Total FTE",'FTE Pivot for regular counts'!$A$2,"Category2","Two-Year")</f>
        <v>1675156.1337777774</v>
      </c>
      <c r="T222" s="494">
        <f>+GETPIVOTDATA("Sum of Old Grand Total FTE",'FTE Pivot for regular counts'!$A$2,"Category2","Technical")</f>
        <v>116295.99496666665</v>
      </c>
      <c r="U222" s="669">
        <f>SUM(R222:T222)</f>
        <v>4228312.0729944436</v>
      </c>
      <c r="V222" s="670">
        <f>+B222-R222</f>
        <v>43830.245083333924</v>
      </c>
      <c r="W222" s="671">
        <f>+D222-S222</f>
        <v>-44585.678333332995</v>
      </c>
      <c r="X222" s="672">
        <f>+F222-T222</f>
        <v>-2128.1119444444194</v>
      </c>
      <c r="Y222" s="672">
        <f>+H222-U222</f>
        <v>-2883.5451944433153</v>
      </c>
      <c r="Z222" s="673">
        <f>(B222-R222)/R222</f>
        <v>1.7986361992922702E-2</v>
      </c>
      <c r="AA222" s="674">
        <f>(D222-S222)/S222</f>
        <v>-2.6615834449284614E-2</v>
      </c>
      <c r="AB222" s="675">
        <f t="shared" ref="AB222:AB239" si="46">IF(T222&gt;0,((F222-T222)/T222),)</f>
        <v>-1.829909916549052E-2</v>
      </c>
      <c r="AC222" s="675">
        <f>(H222-U222)/U222</f>
        <v>-6.8196129913401132E-4</v>
      </c>
      <c r="AI222" s="602"/>
      <c r="AJ222" s="602"/>
      <c r="AK222" s="602"/>
      <c r="AL222" s="602"/>
    </row>
    <row r="223" spans="1:55" ht="15" customHeight="1">
      <c r="B223" s="494"/>
      <c r="D223" s="494"/>
      <c r="F223" s="494"/>
      <c r="G223" s="667"/>
      <c r="H223" s="494"/>
      <c r="I223" s="460"/>
      <c r="R223" s="494"/>
      <c r="S223" s="494"/>
      <c r="T223" s="494"/>
      <c r="U223" s="494"/>
      <c r="V223" s="670"/>
      <c r="W223" s="671"/>
      <c r="X223" s="672"/>
      <c r="Y223" s="672"/>
      <c r="Z223" s="673"/>
      <c r="AA223" s="674"/>
      <c r="AB223" s="675">
        <f t="shared" si="46"/>
        <v>0</v>
      </c>
      <c r="AC223" s="675"/>
      <c r="AI223" s="602"/>
      <c r="AJ223" s="602"/>
      <c r="AK223" s="602"/>
      <c r="AL223" s="602"/>
    </row>
    <row r="224" spans="1:55" ht="13.5" customHeight="1">
      <c r="A224" s="345" t="s">
        <v>861</v>
      </c>
      <c r="B224" s="494">
        <f>+GETPIVOTDATA("Sum of New Grand Total FTE",'FTE Pivot for regular counts'!$A$2,"State","AL","Category2","Four-Year")</f>
        <v>134942.17499999999</v>
      </c>
      <c r="D224" s="494">
        <f>+GETPIVOTDATA("Sum of New Grand Total FTE",'FTE Pivot for regular counts'!$A$2,"State","AL","Category2","Two-Year")</f>
        <v>58380.566666666666</v>
      </c>
      <c r="F224" s="666">
        <f>+GETPIVOTDATA("Sum of New Grand Total FTE",'FTE Pivot for regular counts'!$A$2,"State","AL","Category2","Technical")</f>
        <v>2963.8999999999996</v>
      </c>
      <c r="G224" s="667"/>
      <c r="H224" s="668">
        <f t="shared" ref="H224:H239" si="47">+F224+D224+B224</f>
        <v>196286.64166666666</v>
      </c>
      <c r="I224" s="460"/>
      <c r="Q224" s="345" t="s">
        <v>861</v>
      </c>
      <c r="R224" s="494">
        <f>+GETPIVOTDATA("Sum of Old Grand Total FTE",'FTE Pivot for regular counts'!$A$2,"State","AL","Category2","Four-Year")</f>
        <v>131015.60833333332</v>
      </c>
      <c r="S224" s="494">
        <f>+GETPIVOTDATA("Sum of Old Grand Total FTE",'FTE Pivot for regular counts'!$A$2,"State","AL","Category2","Two-Year")</f>
        <v>59714.366666666669</v>
      </c>
      <c r="T224" s="494">
        <f>+GETPIVOTDATA("Sum of Old Grand Total FTE",'FTE Pivot for regular counts'!$A$2,"State","AL","Category2","Technical")</f>
        <v>2977.4</v>
      </c>
      <c r="U224" s="676">
        <f t="shared" ref="U224:U239" si="48">SUM(R224:T224)</f>
        <v>193707.37499999997</v>
      </c>
      <c r="V224" s="670">
        <f t="shared" ref="V224:V239" si="49">+B224-R224</f>
        <v>3926.5666666666657</v>
      </c>
      <c r="W224" s="671">
        <f t="shared" ref="W224:W239" si="50">+D224-S224</f>
        <v>-1333.8000000000029</v>
      </c>
      <c r="X224" s="672">
        <f t="shared" ref="X224:X239" si="51">+F224-T224</f>
        <v>-13.500000000000455</v>
      </c>
      <c r="Y224" s="672">
        <f t="shared" ref="Y224:Y239" si="52">+H224-U224</f>
        <v>2579.2666666666919</v>
      </c>
      <c r="Z224" s="673">
        <f t="shared" ref="Z224:Z239" si="53">(B224-R224)/R224</f>
        <v>2.9970220469278688E-2</v>
      </c>
      <c r="AA224" s="674">
        <f t="shared" ref="AA224:AA239" si="54">(D224-S224)/S224</f>
        <v>-2.2336333355847969E-2</v>
      </c>
      <c r="AB224" s="675">
        <f t="shared" si="46"/>
        <v>-4.5341573184659277E-3</v>
      </c>
      <c r="AC224" s="675">
        <f t="shared" ref="AC224:AC239" si="55">(H224-U224)/U224</f>
        <v>1.3315273446179797E-2</v>
      </c>
      <c r="AI224" s="602"/>
      <c r="AJ224" s="602"/>
      <c r="AK224" s="602"/>
      <c r="AL224" s="602"/>
    </row>
    <row r="225" spans="1:83" ht="15" customHeight="1">
      <c r="A225" s="270" t="s">
        <v>862</v>
      </c>
      <c r="B225" s="494">
        <f>+GETPIVOTDATA("Sum of New Grand Total FTE",'FTE Pivot for regular counts'!$A$2,"State","AR","Category2","Four-Year")</f>
        <v>82743.341666666674</v>
      </c>
      <c r="D225" s="494">
        <f>+GETPIVOTDATA("Sum of New Grand Total FTE",'FTE Pivot for regular counts'!$A$2,"State","AR","Category2","Two-Year")</f>
        <v>33309.566666666666</v>
      </c>
      <c r="F225" s="666">
        <f>+GETPIVOTDATA("Sum of New Grand Total FTE",'FTE Pivot for regular counts'!$A$2,"State","AR","Category2","Technical")</f>
        <v>0</v>
      </c>
      <c r="G225" s="667"/>
      <c r="H225" s="668">
        <f t="shared" si="47"/>
        <v>116052.90833333334</v>
      </c>
      <c r="I225" s="460"/>
      <c r="Q225" s="270" t="s">
        <v>862</v>
      </c>
      <c r="R225" s="494">
        <f>+GETPIVOTDATA("Sum of Old Grand Total FTE",'FTE Pivot for regular counts'!$A$2,"State","AR","Category2","Four-Year")</f>
        <v>81500.674999999988</v>
      </c>
      <c r="S225" s="494">
        <f>+GETPIVOTDATA("Sum of Old Grand Total FTE",'FTE Pivot for regular counts'!$A$2,"State","AR","Category2","Two-Year")</f>
        <v>34822.633333333331</v>
      </c>
      <c r="T225" s="494">
        <f>+GETPIVOTDATA("Sum of Old Grand Total FTE",'FTE Pivot for regular counts'!$A$2,"State","AR","Category2","Technical")</f>
        <v>0</v>
      </c>
      <c r="U225" s="676">
        <f t="shared" si="48"/>
        <v>116323.30833333332</v>
      </c>
      <c r="V225" s="670">
        <f t="shared" si="49"/>
        <v>1242.6666666666861</v>
      </c>
      <c r="W225" s="671">
        <f t="shared" si="50"/>
        <v>-1513.0666666666657</v>
      </c>
      <c r="X225" s="672">
        <f t="shared" si="51"/>
        <v>0</v>
      </c>
      <c r="Y225" s="672">
        <f t="shared" si="52"/>
        <v>-270.39999999997963</v>
      </c>
      <c r="Z225" s="673">
        <f t="shared" si="53"/>
        <v>1.5247317481317624E-2</v>
      </c>
      <c r="AA225" s="674">
        <f t="shared" si="54"/>
        <v>-4.3450667621345862E-2</v>
      </c>
      <c r="AB225" s="675">
        <f t="shared" si="46"/>
        <v>0</v>
      </c>
      <c r="AC225" s="675">
        <f t="shared" si="55"/>
        <v>-2.3245556189403398E-3</v>
      </c>
      <c r="AI225" s="602"/>
      <c r="AJ225" s="602"/>
      <c r="AK225" s="602"/>
      <c r="AL225" s="602"/>
    </row>
    <row r="226" spans="1:83" ht="15" customHeight="1">
      <c r="A226" s="345" t="s">
        <v>863</v>
      </c>
      <c r="B226" s="495">
        <f>+GETPIVOTDATA("Sum of New Grand Total FTE",'FTE Pivot for regular counts'!$A$2,"State","DE","Category2","Four-Year")</f>
        <v>26339.375</v>
      </c>
      <c r="D226" s="494">
        <f>+GETPIVOTDATA("Sum of New Grand Total FTE",'FTE Pivot for regular counts'!$A$2,"State","DE","Category2","Two-Year")</f>
        <v>9201.9</v>
      </c>
      <c r="F226" s="666">
        <f>+GETPIVOTDATA("Sum of New Grand Total FTE",'FTE Pivot for regular counts'!$A$2,"State","DE","Category2","Technical")</f>
        <v>0</v>
      </c>
      <c r="G226" s="667"/>
      <c r="H226" s="668">
        <f t="shared" si="47"/>
        <v>35541.275000000001</v>
      </c>
      <c r="I226" s="460"/>
      <c r="Q226" s="345" t="s">
        <v>863</v>
      </c>
      <c r="R226" s="495">
        <f>+GETPIVOTDATA("Sum of Old Grand Total FTE",'FTE Pivot for regular counts'!$A$2,"State","DE","Category2","Four-Year")</f>
        <v>25458.833333333328</v>
      </c>
      <c r="S226" s="494">
        <f>+GETPIVOTDATA("Sum of Old Grand Total FTE",'FTE Pivot for regular counts'!$A$2,"State","DE","Category2","Two-Year")</f>
        <v>9102</v>
      </c>
      <c r="T226" s="494">
        <f>+GETPIVOTDATA("Sum of Old Grand Total FTE",'FTE Pivot for regular counts'!$A$2,"State","DE","Category2","Technical")</f>
        <v>0</v>
      </c>
      <c r="U226" s="676">
        <f t="shared" si="48"/>
        <v>34560.833333333328</v>
      </c>
      <c r="V226" s="670">
        <f t="shared" si="49"/>
        <v>880.54166666667152</v>
      </c>
      <c r="W226" s="671">
        <f t="shared" si="50"/>
        <v>99.899999999999636</v>
      </c>
      <c r="X226" s="672">
        <f t="shared" si="51"/>
        <v>0</v>
      </c>
      <c r="Y226" s="672">
        <f t="shared" si="52"/>
        <v>980.44166666667297</v>
      </c>
      <c r="Z226" s="673">
        <f t="shared" si="53"/>
        <v>3.4586882090695631E-2</v>
      </c>
      <c r="AA226" s="674">
        <f t="shared" si="54"/>
        <v>1.097560975609752E-2</v>
      </c>
      <c r="AB226" s="675">
        <f t="shared" si="46"/>
        <v>0</v>
      </c>
      <c r="AC226" s="675">
        <f t="shared" si="55"/>
        <v>2.8368577146577478E-2</v>
      </c>
      <c r="AI226" s="602"/>
      <c r="AJ226" s="602"/>
      <c r="AK226" s="602"/>
      <c r="AL226" s="602"/>
    </row>
    <row r="227" spans="1:83" ht="15" customHeight="1">
      <c r="A227" s="345" t="s">
        <v>864</v>
      </c>
      <c r="B227" s="494">
        <f>+GETPIVOTDATA("Sum of New Grand Total FTE",'FTE Pivot for regular counts'!$A$2,"State","FL","Category2","Four-Year")</f>
        <v>302432.71666666667</v>
      </c>
      <c r="D227" s="494">
        <f>+GETPIVOTDATA("Sum of New Grand Total FTE",'FTE Pivot for regular counts'!$A$2,"State","FL","Category2","Two-Year")</f>
        <v>325735.47444444447</v>
      </c>
      <c r="F227" s="666">
        <f>+GETPIVOTDATA("Sum of New Grand Total FTE",'FTE Pivot for regular counts'!$A$2,"State","FL","Category2","Technical")</f>
        <v>0</v>
      </c>
      <c r="G227" s="667"/>
      <c r="H227" s="668">
        <f t="shared" si="47"/>
        <v>628168.19111111108</v>
      </c>
      <c r="I227" s="460"/>
      <c r="Q227" s="345" t="s">
        <v>864</v>
      </c>
      <c r="R227" s="494">
        <f>+GETPIVOTDATA("Sum of Old Grand Total FTE",'FTE Pivot for regular counts'!$A$2,"State","FL","Category2","Four-Year")</f>
        <v>296820.33333333337</v>
      </c>
      <c r="S227" s="494">
        <f>+GETPIVOTDATA("Sum of Old Grand Total FTE",'FTE Pivot for regular counts'!$A$2,"State","FL","Category2","Two-Year")</f>
        <v>331370.13333333336</v>
      </c>
      <c r="T227" s="494">
        <f>+GETPIVOTDATA("Sum of Old Grand Total FTE",'FTE Pivot for regular counts'!$A$2,"State","FL","Category2","Technical")</f>
        <v>0</v>
      </c>
      <c r="U227" s="676">
        <f t="shared" si="48"/>
        <v>628190.46666666679</v>
      </c>
      <c r="V227" s="670">
        <f t="shared" si="49"/>
        <v>5612.3833333333023</v>
      </c>
      <c r="W227" s="671">
        <f t="shared" si="50"/>
        <v>-5634.6588888888946</v>
      </c>
      <c r="X227" s="672">
        <f t="shared" si="51"/>
        <v>0</v>
      </c>
      <c r="Y227" s="672">
        <f t="shared" si="52"/>
        <v>-22.275555555708706</v>
      </c>
      <c r="Z227" s="673">
        <f t="shared" si="53"/>
        <v>1.890835196600402E-2</v>
      </c>
      <c r="AA227" s="674">
        <f t="shared" si="54"/>
        <v>-1.7004124156297613E-2</v>
      </c>
      <c r="AB227" s="675">
        <f t="shared" si="46"/>
        <v>0</v>
      </c>
      <c r="AC227" s="675">
        <f t="shared" si="55"/>
        <v>-3.5459875209358532E-5</v>
      </c>
      <c r="AI227" s="602"/>
      <c r="AJ227" s="602"/>
      <c r="AK227" s="602"/>
      <c r="AL227" s="602"/>
    </row>
    <row r="228" spans="1:83" ht="15" customHeight="1">
      <c r="A228" s="345" t="s">
        <v>865</v>
      </c>
      <c r="B228" s="494">
        <f>+GETPIVOTDATA("Sum of New Grand Total FTE",'FTE Pivot for regular counts'!$A$2,"State","GA","Category2","Four-Year")</f>
        <v>253319.5101666667</v>
      </c>
      <c r="D228" s="494">
        <f>+GETPIVOTDATA("Sum of New Grand Total FTE",'FTE Pivot for regular counts'!$A$2,"State","GA","Category2","Two-Year")</f>
        <v>30338.330999999998</v>
      </c>
      <c r="F228" s="666">
        <f>+GETPIVOTDATA("Sum of New Grand Total FTE",'FTE Pivot for regular counts'!$A$2,"State","GA","Category2","Technical")</f>
        <v>65049.509999999995</v>
      </c>
      <c r="G228" s="667"/>
      <c r="H228" s="668">
        <f t="shared" si="47"/>
        <v>348707.35116666672</v>
      </c>
      <c r="I228" s="460"/>
      <c r="Q228" s="345" t="s">
        <v>865</v>
      </c>
      <c r="R228" s="494">
        <f>+GETPIVOTDATA("Sum of Old Grand Total FTE",'FTE Pivot for regular counts'!$A$2,"State","GA","Category2","Four-Year")</f>
        <v>241964.37216666667</v>
      </c>
      <c r="S228" s="494">
        <f>+GETPIVOTDATA("Sum of Old Grand Total FTE",'FTE Pivot for regular counts'!$A$2,"State","GA","Category2","Two-Year")</f>
        <v>37941.816666666666</v>
      </c>
      <c r="T228" s="494">
        <f>+GETPIVOTDATA("Sum of Old Grand Total FTE",'FTE Pivot for regular counts'!$A$2,"State","GA","Category2","Technical")</f>
        <v>67506.233333333323</v>
      </c>
      <c r="U228" s="676">
        <f t="shared" si="48"/>
        <v>347412.42216666666</v>
      </c>
      <c r="V228" s="670">
        <f t="shared" si="49"/>
        <v>11355.138000000035</v>
      </c>
      <c r="W228" s="671">
        <f t="shared" si="50"/>
        <v>-7603.4856666666674</v>
      </c>
      <c r="X228" s="672">
        <f t="shared" si="51"/>
        <v>-2456.7233333333279</v>
      </c>
      <c r="Y228" s="672">
        <f t="shared" si="52"/>
        <v>1294.9290000000619</v>
      </c>
      <c r="Z228" s="673">
        <f t="shared" si="53"/>
        <v>4.6928966848799297E-2</v>
      </c>
      <c r="AA228" s="674">
        <f t="shared" si="54"/>
        <v>-0.20039856640145068</v>
      </c>
      <c r="AB228" s="675">
        <f t="shared" si="46"/>
        <v>-3.639254054070061E-2</v>
      </c>
      <c r="AC228" s="675">
        <f t="shared" si="55"/>
        <v>3.7273537656602167E-3</v>
      </c>
      <c r="AI228" s="602"/>
      <c r="AJ228" s="602"/>
      <c r="AK228" s="602"/>
      <c r="AL228" s="602"/>
    </row>
    <row r="229" spans="1:83" ht="15" customHeight="1">
      <c r="A229" s="345" t="s">
        <v>866</v>
      </c>
      <c r="B229" s="494">
        <f>+GETPIVOTDATA("Sum of New Grand Total FTE",'FTE Pivot for regular counts'!$A$2,"State","KY","Category2","Four-Year")</f>
        <v>100018.55833333333</v>
      </c>
      <c r="D229" s="494">
        <f>+GETPIVOTDATA("Sum of New Grand Total FTE",'FTE Pivot for regular counts'!$A$2,"State","KY","Category2","Two-Year")</f>
        <v>41077.433333333327</v>
      </c>
      <c r="F229" s="666">
        <f>+GETPIVOTDATA("Sum of New Grand Total FTE",'FTE Pivot for regular counts'!$A$2,"State","KY","Category2","Technical")</f>
        <v>4880.8666666666668</v>
      </c>
      <c r="G229" s="667"/>
      <c r="H229" s="668">
        <f t="shared" si="47"/>
        <v>145976.85833333334</v>
      </c>
      <c r="I229" s="460"/>
      <c r="Q229" s="345" t="s">
        <v>866</v>
      </c>
      <c r="R229" s="494">
        <f>+GETPIVOTDATA("Sum of Old Grand Total FTE",'FTE Pivot for regular counts'!$A$2,"State","KY","Category2","Four-Year")</f>
        <v>101092.26666666668</v>
      </c>
      <c r="S229" s="494">
        <f>+GETPIVOTDATA("Sum of Old Grand Total FTE",'FTE Pivot for regular counts'!$A$2,"State","KY","Category2","Two-Year")</f>
        <v>42788.5</v>
      </c>
      <c r="T229" s="494">
        <f>+GETPIVOTDATA("Sum of Old Grand Total FTE",'FTE Pivot for regular counts'!$A$2,"State","KY","Category2","Technical")</f>
        <v>4898.7</v>
      </c>
      <c r="U229" s="676">
        <f t="shared" si="48"/>
        <v>148779.46666666667</v>
      </c>
      <c r="V229" s="670">
        <f t="shared" si="49"/>
        <v>-1073.708333333343</v>
      </c>
      <c r="W229" s="671">
        <f t="shared" si="50"/>
        <v>-1711.066666666673</v>
      </c>
      <c r="X229" s="672">
        <f t="shared" si="51"/>
        <v>-17.83333333333303</v>
      </c>
      <c r="Y229" s="672">
        <f t="shared" si="52"/>
        <v>-2802.6083333333372</v>
      </c>
      <c r="Z229" s="673">
        <f t="shared" si="53"/>
        <v>-1.0621072894464822E-2</v>
      </c>
      <c r="AA229" s="674">
        <f t="shared" si="54"/>
        <v>-3.9988937837659021E-2</v>
      </c>
      <c r="AB229" s="675">
        <f t="shared" si="46"/>
        <v>-3.6404216084538819E-3</v>
      </c>
      <c r="AC229" s="675">
        <f t="shared" si="55"/>
        <v>-1.8837332839836348E-2</v>
      </c>
      <c r="AI229" s="602"/>
      <c r="AJ229" s="602"/>
      <c r="AK229" s="602"/>
      <c r="AL229" s="602"/>
    </row>
    <row r="230" spans="1:83" ht="15" customHeight="1">
      <c r="A230" s="345" t="s">
        <v>867</v>
      </c>
      <c r="B230" s="494">
        <f>+GETPIVOTDATA("Sum of New Grand Total FTE",'FTE Pivot for regular counts'!$A$2,"State","LA","Category2","Four-Year")</f>
        <v>118658.35000000002</v>
      </c>
      <c r="D230" s="494">
        <f>+GETPIVOTDATA("Sum of New Grand Total FTE",'FTE Pivot for regular counts'!$A$2,"State","LA","Category2","Two-Year")</f>
        <v>33162.916666666664</v>
      </c>
      <c r="F230" s="666">
        <f>+GETPIVOTDATA("Sum of New Grand Total FTE",'FTE Pivot for regular counts'!$A$2,"State","LA","Category2","Technical")</f>
        <v>9034.8377777777769</v>
      </c>
      <c r="G230" s="667"/>
      <c r="H230" s="668">
        <f t="shared" si="47"/>
        <v>160856.10444444447</v>
      </c>
      <c r="I230" s="460"/>
      <c r="Q230" s="345" t="s">
        <v>867</v>
      </c>
      <c r="R230" s="494">
        <f>+GETPIVOTDATA("Sum of Old Grand Total FTE",'FTE Pivot for regular counts'!$A$2,"State","LA","Category2","Four-Year")</f>
        <v>118380.84583333334</v>
      </c>
      <c r="S230" s="494">
        <f>+GETPIVOTDATA("Sum of Old Grand Total FTE",'FTE Pivot for regular counts'!$A$2,"State","LA","Category2","Two-Year")</f>
        <v>36658.866666666669</v>
      </c>
      <c r="T230" s="494">
        <f>+GETPIVOTDATA("Sum of Old Grand Total FTE",'FTE Pivot for regular counts'!$A$2,"State","LA","Category2","Technical")</f>
        <v>9824.0811111111107</v>
      </c>
      <c r="U230" s="676">
        <f t="shared" si="48"/>
        <v>164863.79361111112</v>
      </c>
      <c r="V230" s="670">
        <f t="shared" si="49"/>
        <v>277.50416666668025</v>
      </c>
      <c r="W230" s="671">
        <f t="shared" si="50"/>
        <v>-3495.9500000000044</v>
      </c>
      <c r="X230" s="672">
        <f t="shared" si="51"/>
        <v>-789.24333333333379</v>
      </c>
      <c r="Y230" s="672">
        <f t="shared" si="52"/>
        <v>-4007.6891666666488</v>
      </c>
      <c r="Z230" s="673">
        <f t="shared" si="53"/>
        <v>2.3441644187723941E-3</v>
      </c>
      <c r="AA230" s="674">
        <f t="shared" si="54"/>
        <v>-9.5364377513034698E-2</v>
      </c>
      <c r="AB230" s="675">
        <f t="shared" si="46"/>
        <v>-8.0337623886339207E-2</v>
      </c>
      <c r="AC230" s="675">
        <f t="shared" si="55"/>
        <v>-2.4309092244475368E-2</v>
      </c>
      <c r="AI230" s="602"/>
      <c r="AJ230" s="602"/>
      <c r="AK230" s="602"/>
      <c r="AL230" s="602"/>
    </row>
    <row r="231" spans="1:83" ht="15" customHeight="1">
      <c r="A231" s="345" t="s">
        <v>868</v>
      </c>
      <c r="B231" s="494">
        <f>+GETPIVOTDATA("Sum of New Grand Total FTE",'FTE Pivot for regular counts'!$A$2,"State","MD","Category2","Four-Year")</f>
        <v>104252.38333333335</v>
      </c>
      <c r="D231" s="494">
        <f>+GETPIVOTDATA("Sum of New Grand Total FTE",'FTE Pivot for regular counts'!$A$2,"State","MD","Category2","Two-Year")</f>
        <v>87157.733333333337</v>
      </c>
      <c r="F231" s="666">
        <f>+GETPIVOTDATA("Sum of New Grand Total FTE",'FTE Pivot for regular counts'!$A$2,"State","MD","Category2","Technical")</f>
        <v>0</v>
      </c>
      <c r="G231" s="667"/>
      <c r="H231" s="668">
        <f t="shared" si="47"/>
        <v>191410.1166666667</v>
      </c>
      <c r="I231" s="460"/>
      <c r="Q231" s="345" t="s">
        <v>868</v>
      </c>
      <c r="R231" s="494">
        <f>+GETPIVOTDATA("Sum of Old Grand Total FTE",'FTE Pivot for regular counts'!$A$2,"State","MD","Category2","Four-Year")</f>
        <v>104450.40708333334</v>
      </c>
      <c r="S231" s="494">
        <f>+GETPIVOTDATA("Sum of Old Grand Total FTE",'FTE Pivot for regular counts'!$A$2,"State","MD","Category2","Two-Year")</f>
        <v>89245.658333333326</v>
      </c>
      <c r="T231" s="494">
        <f>+GETPIVOTDATA("Sum of Old Grand Total FTE",'FTE Pivot for regular counts'!$A$2,"State","MD","Category2","Technical")</f>
        <v>0</v>
      </c>
      <c r="U231" s="676">
        <f t="shared" si="48"/>
        <v>193696.06541666668</v>
      </c>
      <c r="V231" s="670">
        <f t="shared" si="49"/>
        <v>-198.02374999999302</v>
      </c>
      <c r="W231" s="671">
        <f t="shared" si="50"/>
        <v>-2087.9249999999884</v>
      </c>
      <c r="X231" s="672">
        <f t="shared" si="51"/>
        <v>0</v>
      </c>
      <c r="Y231" s="672">
        <f t="shared" si="52"/>
        <v>-2285.9487499999814</v>
      </c>
      <c r="Z231" s="673">
        <f t="shared" si="53"/>
        <v>-1.8958638413156623E-3</v>
      </c>
      <c r="AA231" s="674">
        <f t="shared" si="54"/>
        <v>-2.3395255735596348E-2</v>
      </c>
      <c r="AB231" s="675">
        <f t="shared" si="46"/>
        <v>0</v>
      </c>
      <c r="AC231" s="675">
        <f t="shared" si="55"/>
        <v>-1.180173043310195E-2</v>
      </c>
      <c r="AI231" s="602"/>
      <c r="AJ231" s="602"/>
      <c r="AK231" s="602"/>
      <c r="AL231" s="602"/>
    </row>
    <row r="232" spans="1:83" ht="15" customHeight="1">
      <c r="A232" s="345" t="s">
        <v>869</v>
      </c>
      <c r="B232" s="494">
        <f>+GETPIVOTDATA("Sum of New Grand Total FTE",'FTE Pivot for regular counts'!$A$2,"State","MS","Category2","Four-Year")</f>
        <v>71502.391666666663</v>
      </c>
      <c r="D232" s="494">
        <f>+GETPIVOTDATA("Sum of New Grand Total FTE",'FTE Pivot for regular counts'!$A$2,"State","MS","Category2","Two-Year")</f>
        <v>63640.750000000007</v>
      </c>
      <c r="F232" s="666">
        <f>+GETPIVOTDATA("Sum of New Grand Total FTE",'FTE Pivot for regular counts'!$A$2,"State","MS","Category2","Technical")</f>
        <v>0</v>
      </c>
      <c r="G232" s="667"/>
      <c r="H232" s="668">
        <f t="shared" si="47"/>
        <v>135143.14166666666</v>
      </c>
      <c r="I232" s="460"/>
      <c r="Q232" s="345" t="s">
        <v>869</v>
      </c>
      <c r="R232" s="494">
        <f>+GETPIVOTDATA("Sum of Old Grand Total FTE",'FTE Pivot for regular counts'!$A$2,"State","MS","Category2","Four-Year")</f>
        <v>69366.179166666669</v>
      </c>
      <c r="S232" s="494">
        <f>+GETPIVOTDATA("Sum of Old Grand Total FTE",'FTE Pivot for regular counts'!$A$2,"State","MS","Category2","Two-Year")</f>
        <v>64814.566666666658</v>
      </c>
      <c r="T232" s="494">
        <f>+GETPIVOTDATA("Sum of Old Grand Total FTE",'FTE Pivot for regular counts'!$A$2,"State","MS","Category2","Technical")</f>
        <v>0</v>
      </c>
      <c r="U232" s="676">
        <f t="shared" si="48"/>
        <v>134180.74583333332</v>
      </c>
      <c r="V232" s="670">
        <f t="shared" si="49"/>
        <v>2136.2124999999942</v>
      </c>
      <c r="W232" s="671">
        <f t="shared" si="50"/>
        <v>-1173.8166666666511</v>
      </c>
      <c r="X232" s="672">
        <f t="shared" si="51"/>
        <v>0</v>
      </c>
      <c r="Y232" s="672">
        <f t="shared" si="52"/>
        <v>962.39583333334303</v>
      </c>
      <c r="Z232" s="673">
        <f t="shared" si="53"/>
        <v>3.0796167897143355E-2</v>
      </c>
      <c r="AA232" s="674">
        <f t="shared" si="54"/>
        <v>-1.8110383622611345E-2</v>
      </c>
      <c r="AB232" s="675">
        <f t="shared" si="46"/>
        <v>0</v>
      </c>
      <c r="AC232" s="675">
        <f t="shared" si="55"/>
        <v>7.1723839911334263E-3</v>
      </c>
      <c r="AI232" s="602"/>
      <c r="AJ232" s="602"/>
      <c r="AK232" s="602"/>
      <c r="AL232" s="602"/>
    </row>
    <row r="233" spans="1:83" ht="12" customHeight="1">
      <c r="A233" s="345" t="s">
        <v>870</v>
      </c>
      <c r="B233" s="494">
        <f>+GETPIVOTDATA("Sum of New Grand Total FTE",'FTE Pivot for regular counts'!$A$2,"State","NC","Category2","Four-Year")</f>
        <v>201955.95000000004</v>
      </c>
      <c r="D233" s="494">
        <f>+GETPIVOTDATA("Sum of New Grand Total FTE",'FTE Pivot for regular counts'!$A$2,"State","NC","Category2","Two-Year")</f>
        <v>185924.07444444444</v>
      </c>
      <c r="F233" s="666">
        <f>+GETPIVOTDATA("Sum of New Grand Total FTE",'FTE Pivot for regular counts'!$A$2,"State","NC","Category2","Technical")</f>
        <v>0</v>
      </c>
      <c r="G233" s="667"/>
      <c r="H233" s="668">
        <f t="shared" si="47"/>
        <v>387880.02444444445</v>
      </c>
      <c r="I233" s="460"/>
      <c r="Q233" s="345" t="s">
        <v>870</v>
      </c>
      <c r="R233" s="494">
        <f>+GETPIVOTDATA("Sum of Old Grand Total FTE",'FTE Pivot for regular counts'!$A$2,"State","NC","Category2","Four-Year")</f>
        <v>198034.89166666666</v>
      </c>
      <c r="S233" s="494">
        <f>+GETPIVOTDATA("Sum of Old Grand Total FTE",'FTE Pivot for regular counts'!$A$2,"State","NC","Category2","Two-Year")</f>
        <v>190456.58444444442</v>
      </c>
      <c r="T233" s="494">
        <f>+GETPIVOTDATA("Sum of Old Grand Total FTE",'FTE Pivot for regular counts'!$A$2,"State","NC","Category2","Technical")</f>
        <v>0</v>
      </c>
      <c r="U233" s="676">
        <f t="shared" si="48"/>
        <v>388491.47611111111</v>
      </c>
      <c r="V233" s="670">
        <f t="shared" si="49"/>
        <v>3921.058333333378</v>
      </c>
      <c r="W233" s="671">
        <f t="shared" si="50"/>
        <v>-4532.5099999999802</v>
      </c>
      <c r="X233" s="672">
        <f t="shared" si="51"/>
        <v>0</v>
      </c>
      <c r="Y233" s="672">
        <f t="shared" si="52"/>
        <v>-611.45166666666046</v>
      </c>
      <c r="Z233" s="673">
        <f t="shared" si="53"/>
        <v>1.9799835778097748E-2</v>
      </c>
      <c r="AA233" s="674">
        <f t="shared" si="54"/>
        <v>-2.3798127080883878E-2</v>
      </c>
      <c r="AB233" s="675">
        <f t="shared" si="46"/>
        <v>0</v>
      </c>
      <c r="AC233" s="675">
        <f t="shared" si="55"/>
        <v>-1.573912696328455E-3</v>
      </c>
      <c r="AI233" s="602"/>
      <c r="AJ233" s="602"/>
      <c r="AK233" s="602"/>
      <c r="AL233" s="602"/>
    </row>
    <row r="234" spans="1:83" ht="15" customHeight="1">
      <c r="A234" s="345" t="s">
        <v>871</v>
      </c>
      <c r="B234" s="494">
        <f>+GETPIVOTDATA("Sum of New Grand Total FTE",'FTE Pivot for regular counts'!$A$2,"State","OK","Category2","Four-Year")</f>
        <v>94073.016666666677</v>
      </c>
      <c r="D234" s="494">
        <f>+GETPIVOTDATA("Sum of New Grand Total FTE",'FTE Pivot for regular counts'!$A$2,"State","OK","Category2","Two-Year")</f>
        <v>44342.366666666669</v>
      </c>
      <c r="F234" s="666">
        <f>+GETPIVOTDATA("Sum of New Grand Total FTE",'FTE Pivot for regular counts'!$A$2,"State","OK","Category2","Technical")</f>
        <v>19667.759688888887</v>
      </c>
      <c r="G234" s="667"/>
      <c r="H234" s="668">
        <f t="shared" si="47"/>
        <v>158083.14302222224</v>
      </c>
      <c r="I234" s="460"/>
      <c r="Q234" s="345" t="s">
        <v>871</v>
      </c>
      <c r="R234" s="494">
        <f>+GETPIVOTDATA("Sum of Old Grand Total FTE",'FTE Pivot for regular counts'!$A$2,"State","OK","Category2","Four-Year")</f>
        <v>94275.191666666651</v>
      </c>
      <c r="S234" s="494">
        <f>+GETPIVOTDATA("Sum of Old Grand Total FTE",'FTE Pivot for regular counts'!$A$2,"State","OK","Category2","Two-Year")</f>
        <v>44873.5</v>
      </c>
      <c r="T234" s="665">
        <f>+GETPIVOTDATA("Sum of Old Grand Total FTE",'FTE Pivot for regular counts'!$A$2,"State","OK","Category2","Technical")</f>
        <v>19443.854966666669</v>
      </c>
      <c r="U234" s="676">
        <f t="shared" si="48"/>
        <v>158592.54663333332</v>
      </c>
      <c r="V234" s="670">
        <f t="shared" si="49"/>
        <v>-202.17499999997381</v>
      </c>
      <c r="W234" s="671">
        <f t="shared" si="50"/>
        <v>-531.13333333333139</v>
      </c>
      <c r="X234" s="672">
        <f t="shared" si="51"/>
        <v>223.90472222221797</v>
      </c>
      <c r="Y234" s="672">
        <f t="shared" si="52"/>
        <v>-509.40361111107632</v>
      </c>
      <c r="Z234" s="673">
        <f t="shared" si="53"/>
        <v>-2.1445196390033733E-3</v>
      </c>
      <c r="AA234" s="674">
        <f t="shared" si="54"/>
        <v>-1.1836235937320054E-2</v>
      </c>
      <c r="AB234" s="675">
        <f t="shared" si="46"/>
        <v>1.1515449102354766E-2</v>
      </c>
      <c r="AC234" s="675">
        <f t="shared" si="55"/>
        <v>-3.2120274371330942E-3</v>
      </c>
      <c r="AI234" s="602"/>
      <c r="AJ234" s="602"/>
      <c r="AK234" s="602"/>
      <c r="AL234" s="602"/>
    </row>
    <row r="235" spans="1:83" ht="15" customHeight="1">
      <c r="A235" s="345" t="s">
        <v>872</v>
      </c>
      <c r="B235" s="494">
        <f>+GETPIVOTDATA("Sum of New Grand Total FTE",'FTE Pivot for regular counts'!$A$2,"State","SC","Category2","Four-Year")</f>
        <v>102238.74166666665</v>
      </c>
      <c r="D235" s="494">
        <f>+GETPIVOTDATA("Sum of New Grand Total FTE",'FTE Pivot for regular counts'!$A$2,"State","SC","Category2","Two-Year")</f>
        <v>63248.600000000006</v>
      </c>
      <c r="F235" s="666">
        <f>+GETPIVOTDATA("Sum of New Grand Total FTE",'FTE Pivot for regular counts'!$A$2,"State","SC","Category2","Technical")</f>
        <v>0</v>
      </c>
      <c r="G235" s="667"/>
      <c r="H235" s="668">
        <f t="shared" si="47"/>
        <v>165487.34166666667</v>
      </c>
      <c r="I235" s="460"/>
      <c r="Q235" s="345" t="s">
        <v>872</v>
      </c>
      <c r="R235" s="494">
        <f>+GETPIVOTDATA("Sum of Old Grand Total FTE",'FTE Pivot for regular counts'!$A$2,"State","SC","Category2","Four-Year")</f>
        <v>100457.59583333335</v>
      </c>
      <c r="S235" s="494">
        <f>+GETPIVOTDATA("Sum of Old Grand Total FTE",'FTE Pivot for regular counts'!$A$2,"State","SC","Category2","Two-Year")</f>
        <v>71680.194333333333</v>
      </c>
      <c r="T235" s="494">
        <f>+GETPIVOTDATA("Sum of Old Grand Total FTE",'FTE Pivot for regular counts'!$A$2,"State","SC","Category2","Technical")</f>
        <v>0</v>
      </c>
      <c r="U235" s="676">
        <f t="shared" si="48"/>
        <v>172137.79016666667</v>
      </c>
      <c r="V235" s="670">
        <f t="shared" si="49"/>
        <v>1781.1458333332994</v>
      </c>
      <c r="W235" s="671">
        <f t="shared" si="50"/>
        <v>-8431.5943333333271</v>
      </c>
      <c r="X235" s="672">
        <f t="shared" si="51"/>
        <v>0</v>
      </c>
      <c r="Y235" s="672">
        <f t="shared" si="52"/>
        <v>-6650.4484999999986</v>
      </c>
      <c r="Z235" s="673">
        <f t="shared" si="53"/>
        <v>1.7730325104418715E-2</v>
      </c>
      <c r="AA235" s="674">
        <f t="shared" si="54"/>
        <v>-0.11762795025532451</v>
      </c>
      <c r="AB235" s="675">
        <f t="shared" si="46"/>
        <v>0</v>
      </c>
      <c r="AC235" s="675">
        <f t="shared" si="55"/>
        <v>-3.8634447982403654E-2</v>
      </c>
      <c r="AI235" s="602"/>
      <c r="AJ235" s="602"/>
      <c r="AK235" s="602"/>
      <c r="AL235" s="602"/>
    </row>
    <row r="236" spans="1:83" ht="15" customHeight="1">
      <c r="A236" s="345" t="s">
        <v>873</v>
      </c>
      <c r="B236" s="494">
        <f>+GETPIVOTDATA("Sum of New Grand Total FTE",'FTE Pivot for regular counts'!$A$2,"State","TN","Category2","Four-Year")</f>
        <v>116067.86666666668</v>
      </c>
      <c r="D236" s="494">
        <f>+GETPIVOTDATA("Sum of New Grand Total FTE",'FTE Pivot for regular counts'!$A$2,"State","TN","Category2","Two-Year")</f>
        <v>56874.033333333333</v>
      </c>
      <c r="F236" s="666">
        <f>+GETPIVOTDATA("Sum of New Grand Total FTE",'FTE Pivot for regular counts'!$A$2,"State","TN","Category2","Technical")</f>
        <v>12571.008888888895</v>
      </c>
      <c r="G236" s="667"/>
      <c r="H236" s="668">
        <f t="shared" si="47"/>
        <v>185512.90888888889</v>
      </c>
      <c r="I236" s="460"/>
      <c r="Q236" s="345" t="s">
        <v>873</v>
      </c>
      <c r="R236" s="494">
        <f>+GETPIVOTDATA("Sum of Old Grand Total FTE",'FTE Pivot for regular counts'!$A$2,"State","TN","Category2","Four-Year")</f>
        <v>116482.08333333331</v>
      </c>
      <c r="S236" s="494">
        <f>+GETPIVOTDATA("Sum of Old Grand Total FTE",'FTE Pivot for regular counts'!$A$2,"State","TN","Category2","Two-Year")</f>
        <v>57415.233333333337</v>
      </c>
      <c r="T236" s="494">
        <f>+GETPIVOTDATA("Sum of Old Grand Total FTE",'FTE Pivot for regular counts'!$A$2,"State","TN","Category2","Technical")</f>
        <v>11645.725555555555</v>
      </c>
      <c r="U236" s="676">
        <f t="shared" si="48"/>
        <v>185543.0422222222</v>
      </c>
      <c r="V236" s="670">
        <f t="shared" si="49"/>
        <v>-414.21666666663077</v>
      </c>
      <c r="W236" s="671">
        <f t="shared" si="50"/>
        <v>-541.20000000000437</v>
      </c>
      <c r="X236" s="672">
        <f t="shared" si="51"/>
        <v>925.28333333334012</v>
      </c>
      <c r="Y236" s="672">
        <f t="shared" si="52"/>
        <v>-30.133333333302289</v>
      </c>
      <c r="Z236" s="673">
        <f t="shared" si="53"/>
        <v>-3.5560547580633433E-3</v>
      </c>
      <c r="AA236" s="674">
        <f t="shared" si="54"/>
        <v>-9.426069852542112E-3</v>
      </c>
      <c r="AB236" s="675">
        <f t="shared" si="46"/>
        <v>7.9452613658059015E-2</v>
      </c>
      <c r="AC236" s="675">
        <f t="shared" si="55"/>
        <v>-1.6240616178542569E-4</v>
      </c>
      <c r="AI236" s="602"/>
      <c r="AJ236" s="602"/>
      <c r="AK236" s="602"/>
      <c r="AL236" s="602"/>
    </row>
    <row r="237" spans="1:83" ht="15" customHeight="1">
      <c r="A237" s="345" t="s">
        <v>874</v>
      </c>
      <c r="B237" s="494">
        <f>+GETPIVOTDATA("Sum of New Grand Total FTE",'FTE Pivot for regular counts'!$A$2,"State","TX","Category2","Four-Year")</f>
        <v>518606.2333333334</v>
      </c>
      <c r="D237" s="494">
        <f>+GETPIVOTDATA("Sum of New Grand Total FTE",'FTE Pivot for regular counts'!$A$2,"State","TX","Category2","Two-Year")</f>
        <v>476468.80222222215</v>
      </c>
      <c r="F237" s="666">
        <f>+GETPIVOTDATA("Sum of New Grand Total FTE",'FTE Pivot for regular counts'!$A$2,"State","TX","Category2","Technical")</f>
        <v>0</v>
      </c>
      <c r="G237" s="667"/>
      <c r="H237" s="668">
        <f t="shared" si="47"/>
        <v>995075.03555555549</v>
      </c>
      <c r="I237" s="460"/>
      <c r="Q237" s="345" t="s">
        <v>874</v>
      </c>
      <c r="R237" s="494">
        <f>+GETPIVOTDATA("Sum of Old Grand Total FTE",'FTE Pivot for regular counts'!$A$2,"State","TX","Category2","Four-Year")</f>
        <v>504084.50000000006</v>
      </c>
      <c r="S237" s="494">
        <f>+GETPIVOTDATA("Sum of Old Grand Total FTE",'FTE Pivot for regular counts'!$A$2,"State","TX","Category2","Two-Year")</f>
        <v>476877.47333333327</v>
      </c>
      <c r="T237" s="666">
        <f>+GETPIVOTDATA("Sum of Old Grand Total FTE",'FTE Pivot for regular counts'!$A$2,"State","TX","Category2","Technical")</f>
        <v>0</v>
      </c>
      <c r="U237" s="676">
        <f t="shared" si="48"/>
        <v>980961.97333333339</v>
      </c>
      <c r="V237" s="670">
        <f t="shared" si="49"/>
        <v>14521.733333333337</v>
      </c>
      <c r="W237" s="671">
        <f t="shared" si="50"/>
        <v>-408.67111111112172</v>
      </c>
      <c r="X237" s="672">
        <f t="shared" si="51"/>
        <v>0</v>
      </c>
      <c r="Y237" s="672">
        <f t="shared" si="52"/>
        <v>14113.062222222099</v>
      </c>
      <c r="Z237" s="673">
        <f t="shared" si="53"/>
        <v>2.8808133027961254E-2</v>
      </c>
      <c r="AA237" s="674">
        <f t="shared" si="54"/>
        <v>-8.5697298355182343E-4</v>
      </c>
      <c r="AB237" s="675">
        <f t="shared" si="46"/>
        <v>0</v>
      </c>
      <c r="AC237" s="675">
        <f t="shared" si="55"/>
        <v>1.4386961580442878E-2</v>
      </c>
      <c r="AI237" s="602"/>
      <c r="AJ237" s="602"/>
      <c r="AK237" s="602"/>
      <c r="AL237" s="602"/>
    </row>
    <row r="238" spans="1:83" ht="15" customHeight="1">
      <c r="A238" s="345" t="s">
        <v>875</v>
      </c>
      <c r="B238" s="494">
        <f>+GETPIVOTDATA("Sum of New Grand Total FTE",'FTE Pivot for regular counts'!$A$2,"State","VA","Category2","Four-Year")</f>
        <v>196961.67916666664</v>
      </c>
      <c r="D238" s="494">
        <f>+GETPIVOTDATA("Sum of New Grand Total FTE",'FTE Pivot for regular counts'!$A$2,"State","VA","Category2","Two-Year")</f>
        <v>110162.68333333333</v>
      </c>
      <c r="F238" s="666">
        <f>+GETPIVOTDATA("Sum of New Grand Total FTE",'FTE Pivot for regular counts'!$A$2,"State","VA","Category2","Technical")</f>
        <v>0</v>
      </c>
      <c r="G238" s="667"/>
      <c r="H238" s="668">
        <f t="shared" si="47"/>
        <v>307124.36249999999</v>
      </c>
      <c r="I238" s="460"/>
      <c r="Q238" s="345" t="s">
        <v>875</v>
      </c>
      <c r="R238" s="494">
        <f>+GETPIVOTDATA("Sum of Old Grand Total FTE",'FTE Pivot for regular counts'!$A$2,"State","VA","Category2","Four-Year")</f>
        <v>196122.40916666671</v>
      </c>
      <c r="S238" s="494">
        <f>+GETPIVOTDATA("Sum of Old Grand Total FTE",'FTE Pivot for regular counts'!$A$2,"State","VA","Category2","Two-Year")</f>
        <v>115253.41666666667</v>
      </c>
      <c r="T238" s="666">
        <f>+GETPIVOTDATA("Sum of Old Grand Total FTE",'FTE Pivot for regular counts'!$A$2,"State","VA","Category2","Technical")</f>
        <v>0</v>
      </c>
      <c r="U238" s="676">
        <f t="shared" si="48"/>
        <v>311375.82583333337</v>
      </c>
      <c r="V238" s="670">
        <f t="shared" si="49"/>
        <v>839.26999999993131</v>
      </c>
      <c r="W238" s="671">
        <f t="shared" si="50"/>
        <v>-5090.7333333333372</v>
      </c>
      <c r="X238" s="672">
        <f t="shared" si="51"/>
        <v>0</v>
      </c>
      <c r="Y238" s="672">
        <f t="shared" si="52"/>
        <v>-4251.4633333333768</v>
      </c>
      <c r="Z238" s="673">
        <f t="shared" si="53"/>
        <v>4.2793172058513294E-3</v>
      </c>
      <c r="AA238" s="674">
        <f t="shared" si="54"/>
        <v>-4.4169912533323336E-2</v>
      </c>
      <c r="AB238" s="675">
        <f t="shared" si="46"/>
        <v>0</v>
      </c>
      <c r="AC238" s="675">
        <f t="shared" si="55"/>
        <v>-1.3653800265178614E-2</v>
      </c>
    </row>
    <row r="239" spans="1:83" ht="15" customHeight="1">
      <c r="A239" s="461" t="s">
        <v>876</v>
      </c>
      <c r="B239" s="462">
        <f>+GETPIVOTDATA("Sum of New Grand Total FTE",'FTE Pivot for regular counts'!$A$2,"State","WV","Category2","Four-Year")</f>
        <v>56577.899999999994</v>
      </c>
      <c r="C239" s="461"/>
      <c r="D239" s="462">
        <f>+GETPIVOTDATA("Sum of New Grand Total FTE",'FTE Pivot for regular counts'!$A$2,"State","WV","Category2","Two-Year")</f>
        <v>11545.223333333335</v>
      </c>
      <c r="E239" s="461"/>
      <c r="F239" s="677">
        <f>+GETPIVOTDATA("Sum of New Grand Total FTE",'FTE Pivot for regular counts'!$A$2,"State","WV","Category2","Technical")</f>
        <v>0</v>
      </c>
      <c r="G239" s="678"/>
      <c r="H239" s="668">
        <f t="shared" si="47"/>
        <v>68123.123333333322</v>
      </c>
      <c r="I239" s="460"/>
      <c r="Q239" s="461" t="s">
        <v>876</v>
      </c>
      <c r="R239" s="462">
        <f>+GETPIVOTDATA("Sum of Old Grand Total FTE",'FTE Pivot for regular counts'!$A$2,"State","WV","Category2","Four-Year")</f>
        <v>57353.751666666663</v>
      </c>
      <c r="S239" s="462">
        <f>+GETPIVOTDATA("Sum of Old Grand Total FTE",'FTE Pivot for regular counts'!$A$2,"State","WV","Category2","Two-Year")</f>
        <v>12141.19</v>
      </c>
      <c r="T239" s="677">
        <f>+GETPIVOTDATA("Sum of Old Grand Total FTE",'FTE Pivot for regular counts'!$A$2,"State","WV","Category2","Technical")</f>
        <v>0</v>
      </c>
      <c r="U239" s="679">
        <f t="shared" si="48"/>
        <v>69494.941666666666</v>
      </c>
      <c r="V239" s="680">
        <f t="shared" si="49"/>
        <v>-775.85166666666919</v>
      </c>
      <c r="W239" s="681">
        <f t="shared" si="50"/>
        <v>-595.96666666666533</v>
      </c>
      <c r="X239" s="681">
        <f t="shared" si="51"/>
        <v>0</v>
      </c>
      <c r="Y239" s="682">
        <f t="shared" si="52"/>
        <v>-1371.8183333333436</v>
      </c>
      <c r="Z239" s="683">
        <f t="shared" si="53"/>
        <v>-1.3527478920225287E-2</v>
      </c>
      <c r="AA239" s="684">
        <f t="shared" si="54"/>
        <v>-4.9086347109852109E-2</v>
      </c>
      <c r="AB239" s="684">
        <f t="shared" si="46"/>
        <v>0</v>
      </c>
      <c r="AC239" s="684">
        <f t="shared" si="55"/>
        <v>-1.973982998522809E-2</v>
      </c>
    </row>
    <row r="240" spans="1:83" ht="15" customHeight="1">
      <c r="A240" s="624"/>
      <c r="B240" s="685"/>
      <c r="C240" s="685"/>
      <c r="D240" s="685"/>
      <c r="E240" s="685"/>
      <c r="F240" s="685"/>
      <c r="G240" s="685"/>
      <c r="H240" s="686"/>
      <c r="I240" s="494"/>
      <c r="J240" s="495"/>
      <c r="K240" s="495"/>
      <c r="P240" s="460"/>
      <c r="Q240" s="460"/>
      <c r="R240" s="460"/>
      <c r="S240" s="460"/>
      <c r="T240" s="460"/>
      <c r="U240" s="460"/>
      <c r="V240" s="651"/>
      <c r="W240" s="651"/>
      <c r="X240" s="651"/>
      <c r="Y240" s="651"/>
      <c r="Z240" s="460"/>
      <c r="AA240" s="460"/>
      <c r="AB240" s="460"/>
      <c r="AC240" s="460"/>
      <c r="AD240" s="460"/>
      <c r="AE240" s="460"/>
      <c r="AF240" s="460"/>
      <c r="AG240" s="460"/>
      <c r="AH240" s="460"/>
      <c r="AI240" s="460"/>
      <c r="AJ240" s="460"/>
      <c r="AK240" s="460"/>
      <c r="AL240" s="460"/>
      <c r="AM240" s="460"/>
      <c r="AN240" s="460"/>
      <c r="AO240" s="460"/>
      <c r="AP240" s="460"/>
      <c r="AQ240" s="460"/>
      <c r="AR240" s="460"/>
      <c r="AS240" s="460"/>
      <c r="AT240" s="460"/>
      <c r="AU240" s="460"/>
      <c r="AV240" s="460"/>
      <c r="AW240" s="460"/>
      <c r="AX240" s="460"/>
      <c r="AY240" s="460"/>
      <c r="AZ240" s="460"/>
      <c r="BA240" s="460"/>
      <c r="BB240" s="460"/>
      <c r="BC240" s="460"/>
      <c r="BD240" s="460"/>
      <c r="BE240" s="460"/>
      <c r="BF240" s="460"/>
      <c r="BG240" s="460"/>
      <c r="BH240" s="460"/>
      <c r="BI240" s="460"/>
      <c r="BJ240" s="460"/>
      <c r="BK240" s="460"/>
      <c r="BL240" s="460"/>
      <c r="BM240" s="460"/>
      <c r="BN240" s="460"/>
      <c r="BO240" s="460"/>
      <c r="BP240" s="460"/>
      <c r="BQ240" s="460"/>
      <c r="BR240" s="460"/>
      <c r="BS240" s="460"/>
      <c r="BT240" s="460"/>
      <c r="BU240" s="460"/>
      <c r="BV240" s="460"/>
      <c r="BW240" s="460"/>
      <c r="BX240" s="460"/>
      <c r="BY240" s="460"/>
      <c r="BZ240" s="460"/>
      <c r="CA240" s="460"/>
      <c r="CB240" s="460"/>
      <c r="CC240" s="460"/>
      <c r="CD240" s="460"/>
      <c r="CE240" s="460"/>
    </row>
    <row r="241" spans="2:83" s="460" customFormat="1" ht="20.25" customHeight="1">
      <c r="B241" s="494"/>
      <c r="C241" s="494"/>
      <c r="D241" s="494"/>
      <c r="E241" s="494"/>
      <c r="F241" s="494"/>
      <c r="G241" s="494"/>
      <c r="H241" s="495"/>
      <c r="J241" s="270"/>
      <c r="K241" s="270"/>
      <c r="L241" s="495"/>
      <c r="M241" s="495"/>
      <c r="P241" s="345"/>
      <c r="Q241" s="687"/>
      <c r="R241" s="345"/>
      <c r="S241" s="490"/>
      <c r="T241" s="345"/>
      <c r="U241" s="345"/>
      <c r="V241" s="345"/>
      <c r="W241" s="345"/>
      <c r="X241" s="345"/>
      <c r="Y241" s="345"/>
      <c r="Z241" s="345"/>
      <c r="AA241" s="345"/>
      <c r="AB241" s="345"/>
      <c r="AC241" s="345"/>
      <c r="AD241" s="345"/>
      <c r="AE241" s="345"/>
      <c r="AF241" s="345"/>
      <c r="AG241" s="345"/>
      <c r="AH241" s="345"/>
      <c r="AI241" s="345"/>
      <c r="AJ241" s="345"/>
      <c r="AK241" s="345"/>
      <c r="AL241" s="345"/>
      <c r="AM241" s="345"/>
      <c r="AN241" s="345"/>
      <c r="AO241" s="345"/>
      <c r="AP241" s="345"/>
      <c r="AQ241" s="345"/>
      <c r="AR241" s="345"/>
      <c r="AS241" s="345"/>
      <c r="AT241" s="345"/>
      <c r="AU241" s="345"/>
      <c r="AV241" s="345"/>
      <c r="AW241" s="345"/>
      <c r="AX241" s="345"/>
      <c r="AY241" s="345"/>
      <c r="AZ241" s="345"/>
      <c r="BA241" s="345"/>
      <c r="BB241" s="345"/>
      <c r="BC241" s="345"/>
      <c r="BD241" s="345"/>
      <c r="BE241" s="345"/>
      <c r="BF241" s="345"/>
      <c r="BG241" s="345"/>
      <c r="BH241" s="345"/>
      <c r="BI241" s="345"/>
      <c r="BJ241" s="345"/>
      <c r="BK241" s="345"/>
      <c r="BL241" s="345"/>
      <c r="BM241" s="345"/>
      <c r="BN241" s="345"/>
      <c r="BO241" s="345"/>
      <c r="BP241" s="345"/>
      <c r="BQ241" s="345"/>
      <c r="BR241" s="345"/>
      <c r="BS241" s="345"/>
      <c r="BT241" s="345"/>
      <c r="BU241" s="345"/>
      <c r="BV241" s="345"/>
      <c r="BW241" s="345"/>
      <c r="BX241" s="345"/>
      <c r="BY241" s="345"/>
      <c r="BZ241" s="345"/>
      <c r="CA241" s="345"/>
      <c r="CB241" s="345"/>
      <c r="CC241" s="345"/>
      <c r="CD241" s="345"/>
      <c r="CE241" s="345"/>
    </row>
    <row r="242" spans="2:83" ht="71.25" customHeight="1">
      <c r="H242" s="498"/>
      <c r="Q242" s="433"/>
    </row>
    <row r="257" spans="14:20">
      <c r="P257" s="460"/>
      <c r="Q257" s="460"/>
      <c r="R257" s="460"/>
      <c r="S257" s="460"/>
      <c r="T257" s="460"/>
    </row>
    <row r="258" spans="14:20">
      <c r="N258" s="460"/>
      <c r="O258" s="460"/>
      <c r="P258" s="460"/>
      <c r="Q258" s="460"/>
      <c r="R258" s="460"/>
      <c r="S258" s="460"/>
      <c r="T258" s="460"/>
    </row>
    <row r="259" spans="14:20">
      <c r="N259" s="460"/>
      <c r="O259" s="460"/>
      <c r="P259" s="460"/>
      <c r="Q259" s="460"/>
      <c r="R259" s="460"/>
      <c r="S259" s="460"/>
      <c r="T259" s="460"/>
    </row>
    <row r="260" spans="14:20">
      <c r="N260" s="460"/>
      <c r="O260" s="460"/>
      <c r="P260" s="460"/>
      <c r="Q260" s="460"/>
      <c r="R260" s="460"/>
      <c r="S260" s="460"/>
      <c r="T260" s="460"/>
    </row>
    <row r="261" spans="14:20">
      <c r="N261" s="460"/>
      <c r="O261" s="460"/>
      <c r="P261" s="460"/>
      <c r="Q261" s="460"/>
      <c r="R261" s="460"/>
      <c r="S261" s="460"/>
      <c r="T261" s="460"/>
    </row>
    <row r="262" spans="14:20">
      <c r="N262" s="460"/>
      <c r="O262" s="460"/>
      <c r="P262" s="460"/>
      <c r="Q262" s="460"/>
      <c r="R262" s="460"/>
      <c r="S262" s="460"/>
      <c r="T262" s="460"/>
    </row>
    <row r="263" spans="14:20">
      <c r="N263" s="460"/>
      <c r="O263" s="460"/>
      <c r="P263" s="460"/>
      <c r="Q263" s="460"/>
      <c r="R263" s="460"/>
      <c r="S263" s="460"/>
      <c r="T263" s="460"/>
    </row>
    <row r="264" spans="14:20">
      <c r="N264" s="460"/>
      <c r="O264" s="460"/>
      <c r="P264" s="460"/>
      <c r="Q264" s="460"/>
      <c r="R264" s="460"/>
      <c r="S264" s="460"/>
      <c r="T264" s="460"/>
    </row>
    <row r="265" spans="14:20">
      <c r="N265" s="460"/>
      <c r="O265" s="460"/>
      <c r="P265" s="460"/>
      <c r="Q265" s="460"/>
      <c r="R265" s="460"/>
      <c r="S265" s="460"/>
      <c r="T265" s="460"/>
    </row>
    <row r="266" spans="14:20">
      <c r="N266" s="460"/>
      <c r="O266" s="460"/>
    </row>
  </sheetData>
  <mergeCells count="13">
    <mergeCell ref="A97:J97"/>
    <mergeCell ref="A30:O30"/>
    <mergeCell ref="A60:H60"/>
    <mergeCell ref="A91:H91"/>
    <mergeCell ref="A94:J94"/>
    <mergeCell ref="A96:J96"/>
    <mergeCell ref="A212:G212"/>
    <mergeCell ref="A122:I122"/>
    <mergeCell ref="A124:J124"/>
    <mergeCell ref="A126:J126"/>
    <mergeCell ref="A127:J127"/>
    <mergeCell ref="A152:I152"/>
    <mergeCell ref="A182:K182"/>
  </mergeCells>
  <pageMargins left="0.25" right="1.02083333333333E-2" top="1" bottom="0.85" header="0.75" footer="0.5"/>
  <pageSetup scale="93" firstPageNumber="88" fitToHeight="7" orientation="landscape" useFirstPageNumber="1" r:id="rId1"/>
  <headerFooter alignWithMargins="0">
    <oddHeader>&amp;RSREB-State Data Exchange</oddHeader>
    <oddFooter>&amp;C&amp;10&amp;P</oddFooter>
  </headerFooter>
  <rowBreaks count="6" manualBreakCount="6">
    <brk id="31" max="14" man="1"/>
    <brk id="62" max="14" man="1"/>
    <brk id="93" max="14" man="1"/>
    <brk id="123" max="14" man="1"/>
    <brk id="153" max="14" man="1"/>
    <brk id="183" max="14"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S263"/>
  <sheetViews>
    <sheetView showZeros="0" view="pageBreakPreview" topLeftCell="A199" zoomScaleNormal="100" zoomScaleSheetLayoutView="100" workbookViewId="0">
      <selection activeCell="F17" sqref="F17"/>
    </sheetView>
  </sheetViews>
  <sheetFormatPr defaultRowHeight="12.75"/>
  <cols>
    <col min="1" max="1" width="15" style="345" customWidth="1"/>
    <col min="2" max="2" width="12.33203125" style="345" customWidth="1"/>
    <col min="3" max="3" width="11.83203125" style="345" customWidth="1"/>
    <col min="4" max="4" width="12.1640625" style="345" customWidth="1"/>
    <col min="5" max="5" width="10.83203125" style="345" customWidth="1"/>
    <col min="6" max="6" width="12.1640625" style="345" customWidth="1"/>
    <col min="7" max="7" width="10" style="345" customWidth="1"/>
    <col min="8" max="8" width="12" style="270" customWidth="1"/>
    <col min="9" max="9" width="12.6640625" style="345" customWidth="1"/>
    <col min="10" max="10" width="11.6640625" style="270" customWidth="1"/>
    <col min="11" max="11" width="10" style="270" customWidth="1"/>
    <col min="12" max="12" width="10.5" style="270" customWidth="1"/>
    <col min="13" max="13" width="10" style="269" customWidth="1"/>
    <col min="14" max="14" width="12.1640625" style="345" customWidth="1"/>
    <col min="15" max="15" width="10" style="345" customWidth="1"/>
    <col min="16" max="16384" width="9.33203125" style="345"/>
  </cols>
  <sheetData>
    <row r="1" spans="1:17" ht="18">
      <c r="A1" s="395" t="s">
        <v>839</v>
      </c>
      <c r="B1" s="396"/>
      <c r="C1" s="396"/>
      <c r="D1" s="396"/>
      <c r="E1" s="396"/>
      <c r="F1" s="396"/>
      <c r="G1" s="396"/>
      <c r="H1" s="397"/>
      <c r="I1" s="396"/>
      <c r="J1" s="397"/>
      <c r="K1" s="397"/>
      <c r="L1" s="397"/>
      <c r="M1" s="398"/>
      <c r="N1" s="399"/>
      <c r="O1" s="400"/>
    </row>
    <row r="2" spans="1:17" ht="15.75">
      <c r="A2" s="401"/>
      <c r="B2" s="401"/>
      <c r="C2" s="401"/>
      <c r="D2" s="401"/>
      <c r="E2" s="401"/>
      <c r="F2" s="401"/>
      <c r="G2" s="401"/>
      <c r="H2" s="402"/>
      <c r="I2" s="401"/>
      <c r="J2" s="402"/>
      <c r="K2" s="402"/>
      <c r="L2" s="402"/>
      <c r="M2" s="403"/>
      <c r="N2" s="404"/>
      <c r="O2" s="400"/>
    </row>
    <row r="3" spans="1:17" ht="15.75">
      <c r="A3" s="405" t="s">
        <v>840</v>
      </c>
      <c r="B3" s="400"/>
      <c r="C3" s="400"/>
      <c r="D3" s="400"/>
      <c r="E3" s="400"/>
      <c r="F3" s="400"/>
      <c r="G3" s="400"/>
      <c r="H3" s="406"/>
      <c r="I3" s="400"/>
      <c r="J3" s="406"/>
      <c r="K3" s="406"/>
      <c r="L3" s="406"/>
      <c r="M3" s="407"/>
      <c r="N3" s="400"/>
      <c r="O3" s="404"/>
    </row>
    <row r="4" spans="1:17" ht="15.75">
      <c r="A4" s="405" t="s">
        <v>1016</v>
      </c>
      <c r="B4" s="400"/>
      <c r="C4" s="400"/>
      <c r="D4" s="400"/>
      <c r="E4" s="400"/>
      <c r="F4" s="400"/>
      <c r="G4" s="400"/>
      <c r="H4" s="406"/>
      <c r="I4" s="400"/>
      <c r="J4" s="406"/>
      <c r="K4" s="406"/>
      <c r="L4" s="406"/>
      <c r="M4" s="407"/>
      <c r="N4" s="408"/>
      <c r="O4" s="400"/>
    </row>
    <row r="5" spans="1:17" ht="15.75" customHeight="1">
      <c r="B5" s="409"/>
      <c r="C5" s="409"/>
      <c r="D5" s="409"/>
      <c r="E5" s="409"/>
      <c r="F5" s="409"/>
      <c r="G5" s="409"/>
      <c r="H5" s="372"/>
      <c r="I5" s="409"/>
      <c r="J5" s="372"/>
      <c r="K5" s="372"/>
      <c r="L5" s="372"/>
      <c r="M5" s="410"/>
    </row>
    <row r="6" spans="1:17" ht="15" customHeight="1">
      <c r="A6" s="513"/>
      <c r="B6" s="764" t="s">
        <v>833</v>
      </c>
      <c r="C6" s="765"/>
      <c r="D6" s="765"/>
      <c r="E6" s="765"/>
      <c r="F6" s="765"/>
      <c r="G6" s="765"/>
      <c r="H6" s="544"/>
      <c r="I6" s="754"/>
      <c r="J6" s="754"/>
      <c r="K6" s="754"/>
      <c r="L6" s="754"/>
      <c r="M6" s="754"/>
      <c r="N6" s="754"/>
      <c r="O6" s="754"/>
    </row>
    <row r="7" spans="1:17" ht="17.25" customHeight="1">
      <c r="A7" s="419"/>
      <c r="B7" s="420">
        <v>1</v>
      </c>
      <c r="C7" s="400"/>
      <c r="D7" s="421">
        <v>2</v>
      </c>
      <c r="E7" s="400"/>
      <c r="F7" s="421">
        <v>3</v>
      </c>
      <c r="G7" s="400"/>
      <c r="H7" s="421">
        <v>4</v>
      </c>
      <c r="I7" s="422"/>
      <c r="J7" s="421">
        <v>5</v>
      </c>
      <c r="K7" s="422"/>
      <c r="L7" s="421">
        <v>6</v>
      </c>
      <c r="M7" s="423"/>
      <c r="N7" s="421" t="s">
        <v>845</v>
      </c>
      <c r="O7" s="422"/>
    </row>
    <row r="8" spans="1:17" ht="77.25" customHeight="1">
      <c r="A8" s="428"/>
      <c r="B8" s="429" t="s">
        <v>848</v>
      </c>
      <c r="C8" s="430" t="s">
        <v>849</v>
      </c>
      <c r="D8" s="431" t="s">
        <v>848</v>
      </c>
      <c r="E8" s="430" t="s">
        <v>849</v>
      </c>
      <c r="F8" s="431" t="s">
        <v>848</v>
      </c>
      <c r="G8" s="430" t="s">
        <v>849</v>
      </c>
      <c r="H8" s="431" t="s">
        <v>848</v>
      </c>
      <c r="I8" s="430" t="s">
        <v>849</v>
      </c>
      <c r="J8" s="431" t="s">
        <v>848</v>
      </c>
      <c r="K8" s="430" t="s">
        <v>849</v>
      </c>
      <c r="L8" s="431" t="s">
        <v>848</v>
      </c>
      <c r="M8" s="432" t="s">
        <v>849</v>
      </c>
      <c r="N8" s="431" t="s">
        <v>848</v>
      </c>
      <c r="O8" s="430" t="s">
        <v>849</v>
      </c>
      <c r="Q8" s="412"/>
    </row>
    <row r="9" spans="1:17" ht="15" customHeight="1">
      <c r="A9" s="345" t="s">
        <v>853</v>
      </c>
      <c r="B9" s="438">
        <f>+GETPIVOTDATA("Sum of Old-Total Undg SCH FTE",'FTE Pivot for regular counts'!$A$2,"Category",1,"Category2","Group1")</f>
        <v>982383.59999999986</v>
      </c>
      <c r="C9" s="439"/>
      <c r="D9" s="440">
        <f>+GETPIVOTDATA("Sum of Old-Total Undg SCH FTE",'FTE Pivot for regular counts'!$A$2,"Category",2,"Category2","Four-Year")</f>
        <v>199073.67966666669</v>
      </c>
      <c r="E9" s="439"/>
      <c r="F9" s="441">
        <f>+GETPIVOTDATA("Sum of Old-Total Undg SCH FTE",'FTE Pivot for regular counts'!$A$2,"Category",3,"Category2","Four-Year")</f>
        <v>560794.06666666665</v>
      </c>
      <c r="G9" s="439"/>
      <c r="H9" s="441">
        <f>+GETPIVOTDATA("Sum of Old-Total Undg SCH FTE",'FTE Pivot for regular counts'!$A$2,"Category",4,"Category2","Four-Year")</f>
        <v>135842.15000000002</v>
      </c>
      <c r="I9" s="439"/>
      <c r="J9" s="441">
        <f>+GETPIVOTDATA("Sum of Old-Total Undg SCH FTE",'FTE Pivot for regular counts'!$A$2,"Category",5,"Category2","Four-Year")</f>
        <v>94338.166666666672</v>
      </c>
      <c r="K9" s="439"/>
      <c r="L9" s="441">
        <f>+GETPIVOTDATA("Sum of Old-Total Undg SCH FTE",'FTE Pivot for regular counts'!$A$2,"Category",6,"Category2","Four-Year")</f>
        <v>68644.776666666658</v>
      </c>
      <c r="M9" s="439"/>
      <c r="N9" s="441">
        <f>+GETPIVOTDATA("Sum of Old-Total Undg SCH FTE",'FTE Pivot for regular counts'!$A$2,"Category2","Four-Year")</f>
        <v>2041076.439666667</v>
      </c>
      <c r="O9" s="439"/>
    </row>
    <row r="10" spans="1:17" ht="12.75" customHeight="1">
      <c r="B10" s="452"/>
      <c r="C10" s="447" t="s">
        <v>1001</v>
      </c>
      <c r="D10" s="441"/>
      <c r="E10" s="447" t="s">
        <v>1002</v>
      </c>
      <c r="F10" s="441"/>
      <c r="G10" s="447" t="s">
        <v>1003</v>
      </c>
      <c r="H10" s="441"/>
      <c r="I10" s="447" t="s">
        <v>1004</v>
      </c>
      <c r="J10" s="441"/>
      <c r="K10" s="447" t="s">
        <v>1005</v>
      </c>
      <c r="L10" s="441"/>
      <c r="M10" s="447" t="s">
        <v>1006</v>
      </c>
      <c r="N10" s="441"/>
      <c r="O10" s="447" t="s">
        <v>1007</v>
      </c>
    </row>
    <row r="11" spans="1:17" ht="15" customHeight="1">
      <c r="A11" s="345" t="s">
        <v>861</v>
      </c>
      <c r="B11" s="452">
        <f>+GETPIVOTDATA("Sum of Old-Total Undg SCH FTE",'FTE Pivot for regular counts'!$A$2,"State","AL","Category",1,"Category2","Four-Year")</f>
        <v>50237.733333333337</v>
      </c>
      <c r="C11" s="453">
        <f>+GETPIVOTDATA("Sum of Old-HS % of Total",'Pivot-HS Student % of Undergrad'!$A$3,"State","AL","Category",1,"Category2","Four-Year")</f>
        <v>3.7514962193092574E-3</v>
      </c>
      <c r="D11" s="441">
        <f>+GETPIVOTDATA("Sum of Old-Total Undg SCH FTE",'FTE Pivot for regular counts'!$A$2,"State","AL","Category",2,"Category2","Four-Year")</f>
        <v>13900.866666666667</v>
      </c>
      <c r="E11" s="453">
        <f>+GETPIVOTDATA("Sum of Old-HS % of Total",'Pivot-HS Student % of Undergrad'!$A$3,"State","AL","Category",2,"Category2","Four-Year")</f>
        <v>1.2996791566952659E-3</v>
      </c>
      <c r="F11" s="441">
        <f>+GETPIVOTDATA("Sum of Old-Total Undg SCH FTE",'FTE Pivot for regular counts'!$A$2,"State","AL","Category",3,"Category2","Four-Year")</f>
        <v>33433.666666666672</v>
      </c>
      <c r="G11" s="453">
        <f>+GETPIVOTDATA("Sum of Old-HS % of Total",'Pivot-HS Student % of Undergrad'!$A$3,"State","AL","Category",3,"Category2","Four-Year")</f>
        <v>7.697829533105353E-3</v>
      </c>
      <c r="H11" s="441">
        <f>+GETPIVOTDATA("Sum of Old-Total Undg SCH FTE",'FTE Pivot for regular counts'!$A$2,"State","AL","Category",4,"Category2","Four-Year")</f>
        <v>8550.0333333333328</v>
      </c>
      <c r="I11" s="453">
        <f>+GETPIVOTDATA("Sum of Old-HS % of Total",'Pivot-HS Student % of Undergrad'!$A$3,"State","AL","Category",4,"Category2","Four-Year")</f>
        <v>8.8888542344864156E-4</v>
      </c>
      <c r="J11" s="441">
        <f>+GETPIVOTDATA("Sum of Old-Total Undg SCH FTE",'FTE Pivot for regular counts'!$A$2,"State","AL","Category",5,"Category2","Four-Year")</f>
        <v>4135.8999999999996</v>
      </c>
      <c r="K11" s="453">
        <f>+GETPIVOTDATA("Sum of Old-HS % of Total",'Pivot-HS Student % of Undergrad'!$A$3,"State","AL","Category",5,"Category2","Four-Year")</f>
        <v>4.9727185538012688E-3</v>
      </c>
      <c r="L11" s="441">
        <f>+GETPIVOTDATA("Sum of Old-Total Undg SCH FTE",'FTE Pivot for regular counts'!$A$2,"State","AL","Category",6,"Category2","Four-Year")</f>
        <v>2347.1999999999998</v>
      </c>
      <c r="M11" s="453">
        <f>+GETPIVOTDATA("Sum of Old-HS % of Total",'Pivot-HS Student % of Undergrad'!$A$3,"State","AL","Category",6,"Category2","Four-Year")</f>
        <v>0</v>
      </c>
      <c r="N11" s="441">
        <f>+GETPIVOTDATA("Sum of Old-Total Undg SCH FTE",'FTE Pivot for regular counts'!$A$2,"State","AL","Category2","Four-Year")</f>
        <v>112605.40000000001</v>
      </c>
      <c r="O11" s="453">
        <f>+GETPIVOTDATA("Sum of Old-HS % of Total",'Pivot-HS Student % of Undergrad'!$A$3,"State","AL","Category2","Group1")</f>
        <v>4.3698318789921857E-3</v>
      </c>
    </row>
    <row r="12" spans="1:17" ht="15" customHeight="1">
      <c r="A12" s="270" t="s">
        <v>862</v>
      </c>
      <c r="B12" s="452">
        <f>+GETPIVOTDATA("Sum of Old-Total Undg SCH FTE",'FTE Pivot for regular counts'!$A$2,"State","AR","Category",1,"Category2","Four-Year")</f>
        <v>20970.033333333333</v>
      </c>
      <c r="C12" s="453">
        <f>+GETPIVOTDATA("Sum of Old-HS % of Total",'Pivot-HS Student % of Undergrad'!$A$3,"State","AR","Category",1,"Category2","Four-Year")</f>
        <v>7.8779083167885601E-3</v>
      </c>
      <c r="D12" s="441">
        <f>+GETPIVOTDATA("Sum of Old-Total Undg SCH FTE",'FTE Pivot for regular counts'!$A$2,"State","AR","Category",2,"Category2","Four-Year")</f>
        <v>7088.8666666666668</v>
      </c>
      <c r="E12" s="453">
        <f>+GETPIVOTDATA("Sum of Old-HS % of Total",'Pivot-HS Student % of Undergrad'!$A$3,"State","AR","Category",2,"Category2","Four-Year")</f>
        <v>8.780905269295515E-2</v>
      </c>
      <c r="F12" s="441">
        <f>+GETPIVOTDATA("Sum of Old-Total Undg SCH FTE",'FTE Pivot for regular counts'!$A$2,"State","AR","Category",3,"Category2","Four-Year")</f>
        <v>25630.266666666666</v>
      </c>
      <c r="G12" s="453">
        <f>+GETPIVOTDATA("Sum of Old-HS % of Total",'Pivot-HS Student % of Undergrad'!$A$3,"State","AR","Category",3,"Category2","Four-Year")</f>
        <v>2.3340893839054869E-2</v>
      </c>
      <c r="H12" s="441">
        <f>+GETPIVOTDATA("Sum of Old-Total Undg SCH FTE",'FTE Pivot for regular counts'!$A$2,"State","AR","Category",4,"Category2","Four-Year")</f>
        <v>5846.1333333333332</v>
      </c>
      <c r="I12" s="453">
        <f>+GETPIVOTDATA("Sum of Old-HS % of Total",'Pivot-HS Student % of Undergrad'!$A$3,"State","AR","Category",4,"Category2","Four-Year")</f>
        <v>7.5035351001231584E-3</v>
      </c>
      <c r="J12" s="441">
        <f>+GETPIVOTDATA("Sum of Old-Total Undg SCH FTE",'FTE Pivot for regular counts'!$A$2,"State","AR","Category",5,"Category2","Four-Year")</f>
        <v>2271.8333333333335</v>
      </c>
      <c r="K12" s="453">
        <f>+GETPIVOTDATA("Sum of Old-HS % of Total",'Pivot-HS Student % of Undergrad'!$A$3,"State","AR","Category",5,"Category2","Four-Year")</f>
        <v>8.9883354119286926E-2</v>
      </c>
      <c r="L12" s="441">
        <f>+GETPIVOTDATA("Sum of Old-Total Undg SCH FTE",'FTE Pivot for regular counts'!$A$2,"State","AR","Category",6,"Category2","Four-Year")</f>
        <v>7900.333333333333</v>
      </c>
      <c r="M12" s="453">
        <f>+GETPIVOTDATA("Sum of Old-HS % of Total",'Pivot-HS Student % of Undergrad'!$A$3,"State","AR","Category",6,"Category2","Four-Year")</f>
        <v>5.0457786591283069E-2</v>
      </c>
      <c r="N12" s="441">
        <f>+GETPIVOTDATA("Sum of Old-Total Undg SCH FTE",'FTE Pivot for regular counts'!$A$2,"State","AR","Category2","Four-Year")</f>
        <v>69707.466666666674</v>
      </c>
      <c r="O12" s="453">
        <f>+GETPIVOTDATA("Sum of Old-HS % of Total",'Pivot-HS Student % of Undergrad'!$A$3,"State","AR","Category2","Group1")</f>
        <v>2.915899970543567E-2</v>
      </c>
    </row>
    <row r="13" spans="1:17" ht="15" customHeight="1">
      <c r="A13" s="345" t="s">
        <v>863</v>
      </c>
      <c r="B13" s="452">
        <f>+GETPIVOTDATA("Sum of Old-Total Undg SCH FTE",'FTE Pivot for regular counts'!$A$2,"State","DE","Category",1,"Category2","Four-Year")</f>
        <v>18911.099999999999</v>
      </c>
      <c r="C13" s="453">
        <f>+GETPIVOTDATA("Sum of Old-HS % of Total",'Pivot-HS Student % of Undergrad'!$A$3,"State","DE","Category",1,"Category2","Four-Year")</f>
        <v>0</v>
      </c>
      <c r="D13" s="441">
        <f>+GETPIVOTDATA("Sum of Old-Total Undg SCH FTE",'FTE Pivot for regular counts'!$A$2,"State","DE","Category",2,"Category2","Four-Year")</f>
        <v>0</v>
      </c>
      <c r="E13" s="453">
        <f>+GETPIVOTDATA("Sum of Old-HS % of Total",'Pivot-HS Student % of Undergrad'!$A$3,"State","DE","Category",2,"Category2","Four-Year")</f>
        <v>0</v>
      </c>
      <c r="F13" s="441">
        <f>+GETPIVOTDATA("Sum of Old-Total Undg SCH FTE",'FTE Pivot for regular counts'!$A$2,"State","DE","Category",3,"Category2","Four-Year")</f>
        <v>4065.0666666666666</v>
      </c>
      <c r="G13" s="453">
        <f>+GETPIVOTDATA("Sum of Old-HS % of Total",'Pivot-HS Student % of Undergrad'!$A$3,"State","DE","Category",3,"Category2","Four-Year")</f>
        <v>0</v>
      </c>
      <c r="H13" s="441">
        <f>+GETPIVOTDATA("Sum of Old-Total Undg SCH FTE",'FTE Pivot for regular counts'!$A$2,"State","DE","Category",4,"Category2","Four-Year")</f>
        <v>0</v>
      </c>
      <c r="I13" s="453">
        <f>+GETPIVOTDATA("Sum of Old-HS % of Total",'Pivot-HS Student % of Undergrad'!$A$3,"State","DE","Category",4,"Category2","Four-Year")</f>
        <v>0</v>
      </c>
      <c r="J13" s="441">
        <f>+GETPIVOTDATA("Sum of Old-Total Undg SCH FTE",'FTE Pivot for regular counts'!$A$2,"State","DE","Category",5,"Category2","Four-Year")</f>
        <v>0</v>
      </c>
      <c r="K13" s="453">
        <f>+GETPIVOTDATA("Sum of Old-HS % of Total",'Pivot-HS Student % of Undergrad'!$A$3,"State","DE","Category",5,"Category2","Four-Year")</f>
        <v>0</v>
      </c>
      <c r="L13" s="441">
        <f>+GETPIVOTDATA("Sum of Old-Total Undg SCH FTE",'FTE Pivot for regular counts'!$A$2,"State","DE","Category",6,"Category2","Four-Year")</f>
        <v>0</v>
      </c>
      <c r="M13" s="453">
        <f>+GETPIVOTDATA("Sum of Old-HS % of Total",'Pivot-HS Student % of Undergrad'!$A$3,"State","DE","Category",6,"Category2","Four-Year")</f>
        <v>0</v>
      </c>
      <c r="N13" s="441">
        <f>+GETPIVOTDATA("Sum of Old-Total Undg SCH FTE",'FTE Pivot for regular counts'!$A$2,"State","DE","Category2","Four-Year")</f>
        <v>22976.166666666664</v>
      </c>
      <c r="O13" s="453">
        <f>+GETPIVOTDATA("Sum of Old-HS % of Total",'Pivot-HS Student % of Undergrad'!$A$3,"State","DE","Category2","Group1")</f>
        <v>0</v>
      </c>
    </row>
    <row r="14" spans="1:17" ht="15" customHeight="1">
      <c r="A14" s="345" t="s">
        <v>864</v>
      </c>
      <c r="B14" s="452">
        <f>+GETPIVOTDATA("Sum of Old-Total Undg SCH FTE",'FTE Pivot for regular counts'!$A$2,"State","FL","Category",1,"Category2","Four-Year")</f>
        <v>203155.76666666666</v>
      </c>
      <c r="C14" s="453">
        <f>+GETPIVOTDATA("Sum of Old-HS % of Total",'Pivot-HS Student % of Undergrad'!$A$3,"State","FL","Category",1,"Category2","Four-Year")</f>
        <v>9.1463479664946751E-3</v>
      </c>
      <c r="D14" s="441">
        <f>+GETPIVOTDATA("Sum of Old-Total Undg SCH FTE",'FTE Pivot for regular counts'!$A$2,"State","FL","Category",2,"Category2","Four-Year")</f>
        <v>0</v>
      </c>
      <c r="E14" s="453">
        <f>+GETPIVOTDATA("Sum of Old-HS % of Total",'Pivot-HS Student % of Undergrad'!$A$3,"State","FL","Category",2,"Category2","Four-Year")</f>
        <v>0</v>
      </c>
      <c r="F14" s="441">
        <f>+GETPIVOTDATA("Sum of Old-Total Undg SCH FTE",'FTE Pivot for regular counts'!$A$2,"State","FL","Category",3,"Category2","Four-Year")</f>
        <v>28570.133333333331</v>
      </c>
      <c r="G14" s="453">
        <f>+GETPIVOTDATA("Sum of Old-HS % of Total",'Pivot-HS Student % of Undergrad'!$A$3,"State","FL","Category",3,"Category2","Four-Year")</f>
        <v>4.4498683940338629E-3</v>
      </c>
      <c r="H14" s="441">
        <f>+GETPIVOTDATA("Sum of Old-Total Undg SCH FTE",'FTE Pivot for regular counts'!$A$2,"State","FL","Category",4,"Category2","Four-Year")</f>
        <v>11631.4</v>
      </c>
      <c r="I14" s="453">
        <f>+GETPIVOTDATA("Sum of Old-HS % of Total",'Pivot-HS Student % of Undergrad'!$A$3,"State","FL","Category",4,"Category2","Four-Year")</f>
        <v>1.4902190048776015E-3</v>
      </c>
      <c r="J14" s="441">
        <f>+GETPIVOTDATA("Sum of Old-Total Undg SCH FTE",'FTE Pivot for regular counts'!$A$2,"State","FL","Category",5,"Category2","Four-Year")</f>
        <v>0</v>
      </c>
      <c r="K14" s="453">
        <f>+GETPIVOTDATA("Sum of Old-HS % of Total",'Pivot-HS Student % of Undergrad'!$A$3,"State","FL","Category",5,"Category2","Four-Year")</f>
        <v>0</v>
      </c>
      <c r="L14" s="441">
        <f>+GETPIVOTDATA("Sum of Old-Total Undg SCH FTE",'FTE Pivot for regular counts'!$A$2,"State","FL","Category",6,"Category2","Four-Year")</f>
        <v>974.93333333333328</v>
      </c>
      <c r="M14" s="453">
        <f>+GETPIVOTDATA("Sum of Old-HS % of Total",'Pivot-HS Student % of Undergrad'!$A$3,"State","FL","Category",6,"Category2","Four-Year")</f>
        <v>0</v>
      </c>
      <c r="N14" s="441">
        <f>+GETPIVOTDATA("Sum of Old-Total Undg SCH FTE",'FTE Pivot for regular counts'!$A$2,"State","FL","Category2","Four-Year")</f>
        <v>244332.23333333331</v>
      </c>
      <c r="O14" s="453">
        <f>+GETPIVOTDATA("Sum of Old-HS % of Total",'Pivot-HS Student % of Undergrad'!$A$3,"State","FL","Category2","Group1")</f>
        <v>8.2290525083899262E-3</v>
      </c>
    </row>
    <row r="15" spans="1:17" ht="15" customHeight="1">
      <c r="B15" s="452"/>
      <c r="C15" s="453"/>
      <c r="D15" s="441"/>
      <c r="E15" s="453"/>
      <c r="F15" s="441"/>
      <c r="G15" s="453"/>
      <c r="H15" s="441"/>
      <c r="I15" s="453"/>
      <c r="J15" s="441"/>
      <c r="K15" s="453"/>
      <c r="L15" s="441"/>
      <c r="M15" s="453"/>
      <c r="N15" s="441"/>
      <c r="O15" s="453"/>
    </row>
    <row r="16" spans="1:17" ht="15" customHeight="1">
      <c r="A16" s="345" t="s">
        <v>865</v>
      </c>
      <c r="B16" s="452">
        <f>+GETPIVOTDATA("Sum of Old-Total Undg SCH FTE",'FTE Pivot for regular counts'!$A$2,"State","GA","Category",1,"Category2","Four-Year")</f>
        <v>48413.433333333334</v>
      </c>
      <c r="C16" s="453">
        <f>+GETPIVOTDATA("Sum of Old-HS % of Total",'Pivot-HS Student % of Undergrad'!$A$3,"State","GA","Category",1,"Category2","Four-Year")</f>
        <v>2.478650897856862E-3</v>
      </c>
      <c r="D16" s="441">
        <f>+GETPIVOTDATA("Sum of Old-Total Undg SCH FTE",'FTE Pivot for regular counts'!$A$2,"State","GA","Category",2,"Category2","Four-Year")</f>
        <v>14453.966333333334</v>
      </c>
      <c r="E16" s="453">
        <f>+GETPIVOTDATA("Sum of Old-HS % of Total",'Pivot-HS Student % of Undergrad'!$A$3,"State","GA","Category",2,"Category2","Four-Year")</f>
        <v>8.3875477870560978E-3</v>
      </c>
      <c r="F16" s="441">
        <f>+GETPIVOTDATA("Sum of Old-Total Undg SCH FTE",'FTE Pivot for regular counts'!$A$2,"State","GA","Category",3,"Category2","Four-Year")</f>
        <v>61139.80000000001</v>
      </c>
      <c r="G16" s="453">
        <f>+GETPIVOTDATA("Sum of Old-HS % of Total",'Pivot-HS Student % of Undergrad'!$A$3,"State","GA","Category",3,"Category2","Four-Year")</f>
        <v>8.8447568795885275E-3</v>
      </c>
      <c r="H16" s="441">
        <f>+GETPIVOTDATA("Sum of Old-Total Undg SCH FTE",'FTE Pivot for regular counts'!$A$2,"State","GA","Category",4,"Category2","Four-Year")</f>
        <v>45588.066666666666</v>
      </c>
      <c r="I16" s="453">
        <f>+GETPIVOTDATA("Sum of Old-HS % of Total",'Pivot-HS Student % of Undergrad'!$A$3,"State","GA","Category",4,"Category2","Four-Year")</f>
        <v>1.7239160540550816E-2</v>
      </c>
      <c r="J16" s="441">
        <f>+GETPIVOTDATA("Sum of Old-Total Undg SCH FTE",'FTE Pivot for regular counts'!$A$2,"State","GA","Category",5,"Category2","Four-Year")</f>
        <v>6372.5666666666675</v>
      </c>
      <c r="K16" s="453">
        <f>+GETPIVOTDATA("Sum of Old-HS % of Total",'Pivot-HS Student % of Undergrad'!$A$3,"State","GA","Category",5,"Category2","Four-Year")</f>
        <v>1.0487663264932497E-2</v>
      </c>
      <c r="L16" s="441">
        <f>+GETPIVOTDATA("Sum of Old-Total Undg SCH FTE",'FTE Pivot for regular counts'!$A$2,"State","GA","Category",6,"Category2","Four-Year")</f>
        <v>21806.066666666666</v>
      </c>
      <c r="M16" s="453">
        <f>+GETPIVOTDATA("Sum of Old-HS % of Total",'Pivot-HS Student % of Undergrad'!$A$3,"State","GA","Category",6,"Category2","Four-Year")</f>
        <v>2.6463583528742767E-2</v>
      </c>
      <c r="N16" s="441">
        <f>+GETPIVOTDATA("Sum of Old-Total Undg SCH FTE",'FTE Pivot for regular counts'!$A$2,"State","GA","Category2","Four-Year")</f>
        <v>197773.89966666669</v>
      </c>
      <c r="O16" s="453">
        <f>+GETPIVOTDATA("Sum of Old-HS % of Total",'Pivot-HS Student % of Undergrad'!$A$3,"State","GA","Category2","Group1")</f>
        <v>1.1183477717372343E-2</v>
      </c>
    </row>
    <row r="17" spans="1:15" ht="15" customHeight="1">
      <c r="A17" s="345" t="s">
        <v>866</v>
      </c>
      <c r="B17" s="452">
        <f>+GETPIVOTDATA("Sum of Old-Total Undg SCH FTE",'FTE Pivot for regular counts'!$A$2,"State","KY","Category",1,"Category2","Four-Year")</f>
        <v>34419.1</v>
      </c>
      <c r="C17" s="453">
        <f>+GETPIVOTDATA("Sum of Old-HS % of Total",'Pivot-HS Student % of Undergrad'!$A$3,"State","KY","Category",1,"Category2","Four-Year")</f>
        <v>1.9097923342950088E-3</v>
      </c>
      <c r="D17" s="441">
        <f>+GETPIVOTDATA("Sum of Old-Total Undg SCH FTE",'FTE Pivot for regular counts'!$A$2,"State","KY","Category",2,"Category2","Four-Year")</f>
        <v>0</v>
      </c>
      <c r="E17" s="453">
        <f>+GETPIVOTDATA("Sum of Old-HS % of Total",'Pivot-HS Student % of Undergrad'!$A$3,"State","KY","Category",2,"Category2","Four-Year")</f>
        <v>0</v>
      </c>
      <c r="F17" s="441">
        <f>+GETPIVOTDATA("Sum of Old-Total Undg SCH FTE",'FTE Pivot for regular counts'!$A$2,"State","KY","Category",3,"Category2","Four-Year")</f>
        <v>51873.966666666674</v>
      </c>
      <c r="G17" s="453">
        <f>+GETPIVOTDATA("Sum of Old-HS % of Total",'Pivot-HS Student % of Undergrad'!$A$3,"State","KY","Category",3,"Category2","Four-Year")</f>
        <v>3.4527916700670021E-2</v>
      </c>
      <c r="H17" s="441">
        <f>+GETPIVOTDATA("Sum of Old-Total Undg SCH FTE",'FTE Pivot for regular counts'!$A$2,"State","KY","Category",4,"Category2","Four-Year")</f>
        <v>1371.8666666666666</v>
      </c>
      <c r="I17" s="453">
        <f>+GETPIVOTDATA("Sum of Old-HS % of Total",'Pivot-HS Student % of Undergrad'!$A$3,"State","KY","Category",4,"Category2","Four-Year")</f>
        <v>4.1233356011274175E-2</v>
      </c>
      <c r="J17" s="441">
        <f>+GETPIVOTDATA("Sum of Old-Total Undg SCH FTE",'FTE Pivot for regular counts'!$A$2,"State","KY","Category",5,"Category2","Four-Year")</f>
        <v>0</v>
      </c>
      <c r="K17" s="453">
        <f>+GETPIVOTDATA("Sum of Old-HS % of Total",'Pivot-HS Student % of Undergrad'!$A$3,"State","KY","Category",5,"Category2","Four-Year")</f>
        <v>0</v>
      </c>
      <c r="L17" s="441">
        <f>+GETPIVOTDATA("Sum of Old-Total Undg SCH FTE",'FTE Pivot for regular counts'!$A$2,"State","KY","Category",6,"Category2","Four-Year")</f>
        <v>0</v>
      </c>
      <c r="M17" s="453">
        <f>+GETPIVOTDATA("Sum of Old-HS % of Total",'Pivot-HS Student % of Undergrad'!$A$3,"State","KY","Category",6,"Category2","Four-Year")</f>
        <v>0</v>
      </c>
      <c r="N17" s="441">
        <f>+GETPIVOTDATA("Sum of Old-Total Undg SCH FTE",'FTE Pivot for regular counts'!$A$2,"State","KY","Category2","Four-Year")</f>
        <v>87664.933333333349</v>
      </c>
      <c r="O17" s="453">
        <f>+GETPIVOTDATA("Sum of Old-HS % of Total",'Pivot-HS Student % of Undergrad'!$A$3,"State","KY","Category2","Group1")</f>
        <v>2.18262870596681E-2</v>
      </c>
    </row>
    <row r="18" spans="1:15" ht="15" customHeight="1">
      <c r="A18" s="345" t="s">
        <v>867</v>
      </c>
      <c r="B18" s="452">
        <f>+GETPIVOTDATA("Sum of Old-Total Undg SCH FTE",'FTE Pivot for regular counts'!$A$2,"State","LA","Category",1,"Category2","Four-Year")</f>
        <v>24616.400000000001</v>
      </c>
      <c r="C18" s="453">
        <f>+GETPIVOTDATA("Sum of Old-HS % of Total",'Pivot-HS Student % of Undergrad'!$A$3,"State","LA","Category",1,"Category2","Four-Year")</f>
        <v>7.9405057874696004E-3</v>
      </c>
      <c r="D18" s="441">
        <f>+GETPIVOTDATA("Sum of Old-Total Undg SCH FTE",'FTE Pivot for regular counts'!$A$2,"State","LA","Category",2,"Category2","Four-Year")</f>
        <v>27936.533333333333</v>
      </c>
      <c r="E18" s="453">
        <f>+GETPIVOTDATA("Sum of Old-HS % of Total",'Pivot-HS Student % of Undergrad'!$A$3,"State","LA","Category",2,"Category2","Four-Year")</f>
        <v>2.839173555296768E-2</v>
      </c>
      <c r="F18" s="441">
        <f>+GETPIVOTDATA("Sum of Old-Total Undg SCH FTE",'FTE Pivot for regular counts'!$A$2,"State","LA","Category",3,"Category2","Four-Year")</f>
        <v>21635.833333333332</v>
      </c>
      <c r="G18" s="453">
        <f>+GETPIVOTDATA("Sum of Old-HS % of Total",'Pivot-HS Student % of Undergrad'!$A$3,"State","LA","Category",3,"Category2","Four-Year")</f>
        <v>5.4650078958517888E-2</v>
      </c>
      <c r="H18" s="441">
        <f>+GETPIVOTDATA("Sum of Old-Total Undg SCH FTE",'FTE Pivot for regular counts'!$A$2,"State","LA","Category",4,"Category2","Four-Year")</f>
        <v>23738.833333333336</v>
      </c>
      <c r="I18" s="453">
        <f>+GETPIVOTDATA("Sum of Old-HS % of Total",'Pivot-HS Student % of Undergrad'!$A$3,"State","LA","Category",4,"Category2","Four-Year")</f>
        <v>3.1908335849136084E-2</v>
      </c>
      <c r="J18" s="441">
        <f>+GETPIVOTDATA("Sum of Old-Total Undg SCH FTE",'FTE Pivot for regular counts'!$A$2,"State","LA","Category",5,"Category2","Four-Year")</f>
        <v>2006.1333333333334</v>
      </c>
      <c r="K18" s="453">
        <f>+GETPIVOTDATA("Sum of Old-HS % of Total",'Pivot-HS Student % of Undergrad'!$A$3,"State","LA","Category",5,"Category2","Four-Year")</f>
        <v>2.3328459391200318E-2</v>
      </c>
      <c r="L18" s="441">
        <f>+GETPIVOTDATA("Sum of Old-Total Undg SCH FTE",'FTE Pivot for regular counts'!$A$2,"State","LA","Category",6,"Category2","Four-Year")</f>
        <v>2026.6</v>
      </c>
      <c r="M18" s="453">
        <f>+GETPIVOTDATA("Sum of Old-HS % of Total",'Pivot-HS Student % of Undergrad'!$A$3,"State","LA","Category",6,"Category2","Four-Year")</f>
        <v>9.1368137109773345E-2</v>
      </c>
      <c r="N18" s="441">
        <f>+GETPIVOTDATA("Sum of Old-Total Undg SCH FTE",'FTE Pivot for regular counts'!$A$2,"State","LA","Category2","Four-Year")</f>
        <v>101960.33333333334</v>
      </c>
      <c r="O18" s="453">
        <f>+GETPIVOTDATA("Sum of Old-HS % of Total",'Pivot-HS Student % of Undergrad'!$A$3,"State","LA","Category2","Group1")</f>
        <v>3.0997021717596059E-2</v>
      </c>
    </row>
    <row r="19" spans="1:15" ht="15" customHeight="1">
      <c r="A19" s="345" t="s">
        <v>868</v>
      </c>
      <c r="B19" s="452">
        <f>+GETPIVOTDATA("Sum of Old-Total Undg SCH FTE",'FTE Pivot for regular counts'!$A$2,"State","MD","Category",1,"Category2","Four-Year")</f>
        <v>27151.466666666667</v>
      </c>
      <c r="C19" s="453">
        <f>+GETPIVOTDATA("Sum of Old-HS % of Total",'Pivot-HS Student % of Undergrad'!$A$3,"State","MD","Category",1,"Category2","Four-Year")</f>
        <v>0</v>
      </c>
      <c r="D19" s="441">
        <f>+GETPIVOTDATA("Sum of Old-Total Undg SCH FTE",'FTE Pivot for regular counts'!$A$2,"State","MD","Category",2,"Category2","Four-Year")</f>
        <v>16778.25</v>
      </c>
      <c r="E19" s="453">
        <f>+GETPIVOTDATA("Sum of Old-HS % of Total",'Pivot-HS Student % of Undergrad'!$A$3,"State","MD","Category",2,"Category2","Four-Year")</f>
        <v>0</v>
      </c>
      <c r="F19" s="441">
        <f>+GETPIVOTDATA("Sum of Old-Total Undg SCH FTE",'FTE Pivot for regular counts'!$A$2,"State","MD","Category",3,"Category2","Four-Year")</f>
        <v>20560.55</v>
      </c>
      <c r="G19" s="453">
        <f>+GETPIVOTDATA("Sum of Old-HS % of Total",'Pivot-HS Student % of Undergrad'!$A$3,"State","MD","Category",3,"Category2","Four-Year")</f>
        <v>0</v>
      </c>
      <c r="H19" s="441">
        <f>+GETPIVOTDATA("Sum of Old-Total Undg SCH FTE",'FTE Pivot for regular counts'!$A$2,"State","MD","Category",4,"Category2","Four-Year")</f>
        <v>19746.816666666666</v>
      </c>
      <c r="I19" s="453">
        <f>+GETPIVOTDATA("Sum of Old-HS % of Total",'Pivot-HS Student % of Undergrad'!$A$3,"State","MD","Category",4,"Category2","Four-Year")</f>
        <v>0</v>
      </c>
      <c r="J19" s="441">
        <f>+GETPIVOTDATA("Sum of Old-Total Undg SCH FTE",'FTE Pivot for regular counts'!$A$2,"State","MD","Category",5,"Category2","Four-Year")</f>
        <v>2336.6666666666665</v>
      </c>
      <c r="K19" s="453">
        <f>+GETPIVOTDATA("Sum of Old-HS % of Total",'Pivot-HS Student % of Undergrad'!$A$3,"State","MD","Category",5,"Category2","Four-Year")</f>
        <v>0</v>
      </c>
      <c r="L19" s="441">
        <f>+GETPIVOTDATA("Sum of Old-Total Undg SCH FTE",'FTE Pivot for regular counts'!$A$2,"State","MD","Category",6,"Category2","Four-Year")</f>
        <v>1786.15</v>
      </c>
      <c r="M19" s="453">
        <f>+GETPIVOTDATA("Sum of Old-HS % of Total",'Pivot-HS Student % of Undergrad'!$A$3,"State","MD","Category",6,"Category2","Four-Year")</f>
        <v>0</v>
      </c>
      <c r="N19" s="441">
        <f>+GETPIVOTDATA("Sum of Old-Total Undg SCH FTE",'FTE Pivot for regular counts'!$A$2,"State","MD","Category2","Four-Year")</f>
        <v>88359.9</v>
      </c>
      <c r="O19" s="453">
        <f>+GETPIVOTDATA("Sum of Old-HS % of Total",'Pivot-HS Student % of Undergrad'!$A$3,"State","MD","Category2","Group1")</f>
        <v>0</v>
      </c>
    </row>
    <row r="20" spans="1:15" ht="15" customHeight="1">
      <c r="B20" s="452"/>
      <c r="C20" s="453"/>
      <c r="D20" s="441"/>
      <c r="E20" s="453"/>
      <c r="F20" s="441"/>
      <c r="G20" s="453"/>
      <c r="H20" s="441"/>
      <c r="I20" s="453"/>
      <c r="J20" s="441"/>
      <c r="K20" s="453"/>
      <c r="L20" s="441"/>
      <c r="M20" s="453"/>
      <c r="N20" s="441"/>
      <c r="O20" s="453"/>
    </row>
    <row r="21" spans="1:15" ht="15" customHeight="1">
      <c r="A21" s="345" t="s">
        <v>869</v>
      </c>
      <c r="B21" s="452">
        <f>+GETPIVOTDATA("Sum of Old-Total Undg SCH FTE",'FTE Pivot for regular counts'!$A$2,"State","MS","Category",1,"Category2","Four-Year")</f>
        <v>26479.466666666667</v>
      </c>
      <c r="C21" s="453">
        <f>+GETPIVOTDATA("Sum of Old-HS % of Total",'Pivot-HS Student % of Undergrad'!$A$3,"State","MS","Category",1,"Category2","Four-Year")</f>
        <v>0</v>
      </c>
      <c r="D21" s="441">
        <f>+GETPIVOTDATA("Sum of Old-Total Undg SCH FTE",'FTE Pivot for regular counts'!$A$2,"State","MS","Category",2,"Category2","Four-Year")</f>
        <v>23353.333333333336</v>
      </c>
      <c r="E21" s="453">
        <f>+GETPIVOTDATA("Sum of Old-HS % of Total",'Pivot-HS Student % of Undergrad'!$A$3,"State","MS","Category",2,"Category2","Four-Year")</f>
        <v>0</v>
      </c>
      <c r="F21" s="441">
        <f>+GETPIVOTDATA("Sum of Old-Total Undg SCH FTE",'FTE Pivot for regular counts'!$A$2,"State","MS","Category",3,"Category2","Four-Year")</f>
        <v>0</v>
      </c>
      <c r="G21" s="453">
        <f>+GETPIVOTDATA("Sum of Old-HS % of Total",'Pivot-HS Student % of Undergrad'!$A$3,"State","MS","Category",3,"Category2","Four-Year")</f>
        <v>0</v>
      </c>
      <c r="H21" s="441">
        <f>+GETPIVOTDATA("Sum of Old-Total Undg SCH FTE",'FTE Pivot for regular counts'!$A$2,"State","MS","Category",4,"Category2","Four-Year")</f>
        <v>6810.0666666666666</v>
      </c>
      <c r="I21" s="453">
        <f>+GETPIVOTDATA("Sum of Old-HS % of Total",'Pivot-HS Student % of Undergrad'!$A$3,"State","MS","Category",4,"Category2","Four-Year")</f>
        <v>0</v>
      </c>
      <c r="J21" s="441">
        <f>+GETPIVOTDATA("Sum of Old-Total Undg SCH FTE",'FTE Pivot for regular counts'!$A$2,"State","MS","Category",5,"Category2","Four-Year")</f>
        <v>2322.1666666666665</v>
      </c>
      <c r="K21" s="453">
        <f>+GETPIVOTDATA("Sum of Old-HS % of Total",'Pivot-HS Student % of Undergrad'!$A$3,"State","MS","Category",5,"Category2","Four-Year")</f>
        <v>0</v>
      </c>
      <c r="L21" s="441">
        <f>+GETPIVOTDATA("Sum of Old-Total Undg SCH FTE",'FTE Pivot for regular counts'!$A$2,"State","MS","Category",6,"Category2","Four-Year")</f>
        <v>0</v>
      </c>
      <c r="M21" s="453">
        <f>+GETPIVOTDATA("Sum of Old-HS % of Total",'Pivot-HS Student % of Undergrad'!$A$3,"State","MS","Category",6,"Category2","Four-Year")</f>
        <v>0</v>
      </c>
      <c r="N21" s="441">
        <f>+GETPIVOTDATA("Sum of Old-Total Undg SCH FTE",'FTE Pivot for regular counts'!$A$2,"State","MS","Category2","Four-Year")</f>
        <v>58965.033333333333</v>
      </c>
      <c r="O21" s="453">
        <f>+GETPIVOTDATA("Sum of Old-HS % of Total",'Pivot-HS Student % of Undergrad'!$A$3,"State","MS","Category2","Group1")</f>
        <v>0</v>
      </c>
    </row>
    <row r="22" spans="1:15" ht="15" customHeight="1">
      <c r="A22" s="345" t="s">
        <v>870</v>
      </c>
      <c r="B22" s="452">
        <f>+GETPIVOTDATA("Sum of Old-Total Undg SCH FTE",'FTE Pivot for regular counts'!$A$2,"State","NC","Category",1,"Category2","Four-Year")</f>
        <v>74944.633333333331</v>
      </c>
      <c r="C22" s="453">
        <f>+GETPIVOTDATA("Sum of Old-HS % of Total",'Pivot-HS Student % of Undergrad'!$A$3,"State","NC","Category",1,"Category2","Four-Year")</f>
        <v>2.3484003079606765E-3</v>
      </c>
      <c r="D22" s="441">
        <f>+GETPIVOTDATA("Sum of Old-Total Undg SCH FTE",'FTE Pivot for regular counts'!$A$2,"State","NC","Category",2,"Category2","Four-Year")</f>
        <v>20511.133333333335</v>
      </c>
      <c r="E22" s="453">
        <f>+GETPIVOTDATA("Sum of Old-HS % of Total",'Pivot-HS Student % of Undergrad'!$A$3,"State","NC","Category",2,"Category2","Four-Year")</f>
        <v>9.8076816818183296E-3</v>
      </c>
      <c r="F22" s="441">
        <f>+GETPIVOTDATA("Sum of Old-Total Undg SCH FTE",'FTE Pivot for regular counts'!$A$2,"State","NC","Category",3,"Category2","Four-Year")</f>
        <v>51861.533333333333</v>
      </c>
      <c r="G22" s="453">
        <f>+GETPIVOTDATA("Sum of Old-HS % of Total",'Pivot-HS Student % of Undergrad'!$A$3,"State","NC","Category",3,"Category2","Four-Year")</f>
        <v>3.9341940012057753E-3</v>
      </c>
      <c r="H22" s="441">
        <f>+GETPIVOTDATA("Sum of Old-Total Undg SCH FTE",'FTE Pivot for regular counts'!$A$2,"State","NC","Category",4,"Category2","Four-Year")</f>
        <v>5046.1000000000004</v>
      </c>
      <c r="I22" s="453">
        <f>+GETPIVOTDATA("Sum of Old-HS % of Total",'Pivot-HS Student % of Undergrad'!$A$3,"State","NC","Category",4,"Category2","Four-Year")</f>
        <v>1.778931584127676E-2</v>
      </c>
      <c r="J22" s="441">
        <f>+GETPIVOTDATA("Sum of Old-Total Undg SCH FTE",'FTE Pivot for regular counts'!$A$2,"State","NC","Category",5,"Category2","Four-Year")</f>
        <v>9373.7000000000007</v>
      </c>
      <c r="K22" s="453">
        <f>+GETPIVOTDATA("Sum of Old-HS % of Total",'Pivot-HS Student % of Undergrad'!$A$3,"State","NC","Category",5,"Category2","Four-Year")</f>
        <v>0</v>
      </c>
      <c r="L22" s="441">
        <f>+GETPIVOTDATA("Sum of Old-Total Undg SCH FTE",'FTE Pivot for regular counts'!$A$2,"State","NC","Category",6,"Category2","Four-Year")</f>
        <v>5067.6666666666661</v>
      </c>
      <c r="M22" s="453">
        <f>+GETPIVOTDATA("Sum of Old-HS % of Total",'Pivot-HS Student % of Undergrad'!$A$3,"State","NC","Category",6,"Category2","Four-Year")</f>
        <v>0</v>
      </c>
      <c r="N22" s="441">
        <f>+GETPIVOTDATA("Sum of Old-Total Undg SCH FTE",'FTE Pivot for regular counts'!$A$2,"State","NC","Category2","Four-Year")</f>
        <v>166804.76666666666</v>
      </c>
      <c r="O22" s="453">
        <f>+GETPIVOTDATA("Sum of Old-HS % of Total",'Pivot-HS Student % of Undergrad'!$A$3,"State","NC","Category2","Group1")</f>
        <v>4.022466983857176E-3</v>
      </c>
    </row>
    <row r="23" spans="1:15" ht="15" customHeight="1">
      <c r="A23" s="345" t="s">
        <v>871</v>
      </c>
      <c r="B23" s="452">
        <f>+GETPIVOTDATA("Sum of Old-Total Undg SCH FTE",'FTE Pivot for regular counts'!$A$2,"State","OK","Category",1,"Category2","Four-Year")</f>
        <v>40026.1</v>
      </c>
      <c r="C23" s="453">
        <f>+GETPIVOTDATA("Sum of Old-HS % of Total",'Pivot-HS Student % of Undergrad'!$A$3,"State","OK","Category",1,"Category2","Four-Year")</f>
        <v>1.5981238908279014E-3</v>
      </c>
      <c r="D23" s="441">
        <f>+GETPIVOTDATA("Sum of Old-Total Undg SCH FTE",'FTE Pivot for regular counts'!$A$2,"State","OK","Category",2,"Category2","Four-Year")</f>
        <v>0</v>
      </c>
      <c r="E23" s="453">
        <f>+GETPIVOTDATA("Sum of Old-HS % of Total",'Pivot-HS Student % of Undergrad'!$A$3,"State","OK","Category",2,"Category2","Four-Year")</f>
        <v>0</v>
      </c>
      <c r="F23" s="441">
        <f>+GETPIVOTDATA("Sum of Old-Total Undg SCH FTE",'FTE Pivot for regular counts'!$A$2,"State","OK","Category",3,"Category2","Four-Year")</f>
        <v>17928.599999999999</v>
      </c>
      <c r="G23" s="453">
        <f>+GETPIVOTDATA("Sum of Old-HS % of Total",'Pivot-HS Student % of Undergrad'!$A$3,"State","OK","Category",3,"Category2","Four-Year")</f>
        <v>1.1235307460333396E-2</v>
      </c>
      <c r="H23" s="441">
        <f>+GETPIVOTDATA("Sum of Old-Total Undg SCH FTE",'FTE Pivot for regular counts'!$A$2,"State","OK","Category",4,"Category2","Four-Year")</f>
        <v>2811.2333333333331</v>
      </c>
      <c r="I23" s="453">
        <f>+GETPIVOTDATA("Sum of Old-HS % of Total",'Pivot-HS Student % of Undergrad'!$A$3,"State","OK","Category",4,"Category2","Four-Year")</f>
        <v>1.8461647912541353E-2</v>
      </c>
      <c r="J23" s="441">
        <f>+GETPIVOTDATA("Sum of Old-Total Undg SCH FTE",'FTE Pivot for regular counts'!$A$2,"State","OK","Category",5,"Category2","Four-Year")</f>
        <v>14641</v>
      </c>
      <c r="K23" s="453">
        <f>+GETPIVOTDATA("Sum of Old-HS % of Total",'Pivot-HS Student % of Undergrad'!$A$3,"State","OK","Category",5,"Category2","Four-Year")</f>
        <v>1.5561323224734193E-2</v>
      </c>
      <c r="L23" s="441">
        <f>+GETPIVOTDATA("Sum of Old-Total Undg SCH FTE",'FTE Pivot for regular counts'!$A$2,"State","OK","Category",6,"Category2","Four-Year")</f>
        <v>4867.6333333333332</v>
      </c>
      <c r="M23" s="453">
        <f>+GETPIVOTDATA("Sum of Old-HS % of Total",'Pivot-HS Student % of Undergrad'!$A$3,"State","OK","Category",6,"Category2","Four-Year")</f>
        <v>3.0247416609029715E-2</v>
      </c>
      <c r="N23" s="441">
        <f>+GETPIVOTDATA("Sum of Old-Total Undg SCH FTE",'FTE Pivot for regular counts'!$A$2,"State","OK","Category2","Four-Year")</f>
        <v>80274.566666666651</v>
      </c>
      <c r="O23" s="453">
        <f>+GETPIVOTDATA("Sum of Old-HS % of Total",'Pivot-HS Student % of Undergrad'!$A$3,"State","OK","Category2","Group1")</f>
        <v>8.6249816774677905E-3</v>
      </c>
    </row>
    <row r="24" spans="1:15" ht="15" customHeight="1">
      <c r="A24" s="345" t="s">
        <v>872</v>
      </c>
      <c r="B24" s="452">
        <f>+GETPIVOTDATA("Sum of Old-Total Undg SCH FTE",'FTE Pivot for regular counts'!$A$2,"State","SC","Category",1,"Category2","Four-Year")</f>
        <v>43152.566666666666</v>
      </c>
      <c r="C24" s="459">
        <f>+GETPIVOTDATA("Sum of Old-HS % of Total",'Pivot-HS Student % of Undergrad'!$A$3,"State","SC","Category",1,"Category2","Four-Year")</f>
        <v>1.2761849099457343E-3</v>
      </c>
      <c r="D24" s="441">
        <f>+GETPIVOTDATA("Sum of Old-Total Undg SCH FTE",'FTE Pivot for regular counts'!$A$2,"State","SC","Category",2,"Category2","Four-Year")</f>
        <v>0</v>
      </c>
      <c r="E24" s="453">
        <f>+GETPIVOTDATA("Sum of Old-HS % of Total",'Pivot-HS Student % of Undergrad'!$A$3,"State","SC","Category",2,"Category2","Four-Year")</f>
        <v>0</v>
      </c>
      <c r="F24" s="441">
        <f>+GETPIVOTDATA("Sum of Old-Total Undg SCH FTE",'FTE Pivot for regular counts'!$A$2,"State","SC","Category",3,"Category2","Four-Year")</f>
        <v>18149.083333333332</v>
      </c>
      <c r="G24" s="453">
        <f>+GETPIVOTDATA("Sum of Old-HS % of Total",'Pivot-HS Student % of Undergrad'!$A$3,"State","SC","Category",3,"Category2","Four-Year")</f>
        <v>3.9561226691889858E-3</v>
      </c>
      <c r="H24" s="441">
        <f>+GETPIVOTDATA("Sum of Old-Total Undg SCH FTE",'FTE Pivot for regular counts'!$A$2,"State","SC","Category",4,"Category2","Four-Year")</f>
        <v>0</v>
      </c>
      <c r="I24" s="453">
        <f>+GETPIVOTDATA("Sum of Old-HS % of Total",'Pivot-HS Student % of Undergrad'!$A$3,"State","SC","Category",4,"Category2","Four-Year")</f>
        <v>0</v>
      </c>
      <c r="J24" s="441">
        <f>+GETPIVOTDATA("Sum of Old-Total Undg SCH FTE",'FTE Pivot for regular counts'!$A$2,"State","SC","Category",5,"Category2","Four-Year")</f>
        <v>14960.333333333332</v>
      </c>
      <c r="K24" s="453">
        <f>+GETPIVOTDATA("Sum of Old-HS % of Total",'Pivot-HS Student % of Undergrad'!$A$3,"State","SC","Category",5,"Category2","Four-Year")</f>
        <v>1.7279782828107056E-2</v>
      </c>
      <c r="L24" s="441">
        <f>+GETPIVOTDATA("Sum of Old-Total Undg SCH FTE",'FTE Pivot for regular counts'!$A$2,"State","SC","Category",6,"Category2","Four-Year")</f>
        <v>12213.216666666667</v>
      </c>
      <c r="M24" s="453">
        <f>+GETPIVOTDATA("Sum of Old-HS % of Total",'Pivot-HS Student % of Undergrad'!$A$3,"State","SC","Category",6,"Category2","Four-Year")</f>
        <v>2.2699688371330164E-3</v>
      </c>
      <c r="N24" s="441">
        <f>+GETPIVOTDATA("Sum of Old-Total Undg SCH FTE",'FTE Pivot for regular counts'!$A$2,"State","SC","Category2","Four-Year")</f>
        <v>88475.199999999983</v>
      </c>
      <c r="O24" s="453">
        <f>+GETPIVOTDATA("Sum of Old-HS % of Total",'Pivot-HS Student % of Undergrad'!$A$3,"State","SC","Category2","Group1")</f>
        <v>4.4955715321456603E-3</v>
      </c>
    </row>
    <row r="25" spans="1:15" ht="15" customHeight="1">
      <c r="B25" s="452"/>
      <c r="C25" s="459"/>
      <c r="D25" s="441"/>
      <c r="E25" s="453"/>
      <c r="F25" s="441"/>
      <c r="G25" s="453"/>
      <c r="H25" s="441"/>
      <c r="I25" s="453"/>
      <c r="J25" s="441"/>
      <c r="K25" s="453"/>
      <c r="L25" s="441"/>
      <c r="M25" s="453"/>
      <c r="N25" s="441"/>
      <c r="O25" s="453"/>
    </row>
    <row r="26" spans="1:15" ht="15" customHeight="1">
      <c r="A26" s="345" t="s">
        <v>873</v>
      </c>
      <c r="B26" s="452">
        <f>+GETPIVOTDATA("Sum of Old-Total Undg SCH FTE",'FTE Pivot for regular counts'!$A$2,"State","TN","Category",1,"Category2","Four-Year")</f>
        <v>34191.033333333333</v>
      </c>
      <c r="C26" s="453">
        <f>+GETPIVOTDATA("Sum of Old-HS % of Total",'Pivot-HS Student % of Undergrad'!$A$3,"State","TN","Category",1,"Category2","Four-Year")</f>
        <v>7.0544811456414985E-3</v>
      </c>
      <c r="D26" s="441">
        <f>+GETPIVOTDATA("Sum of Old-Total Undg SCH FTE",'FTE Pivot for regular counts'!$A$2,"State","TN","Category",2,"Category2","Four-Year")</f>
        <v>16905.933333333334</v>
      </c>
      <c r="E26" s="453">
        <f>+GETPIVOTDATA("Sum of Old-HS % of Total",'Pivot-HS Student % of Undergrad'!$A$3,"State","TN","Category",2,"Category2","Four-Year")</f>
        <v>6.3878059691953731E-3</v>
      </c>
      <c r="F26" s="441">
        <f>+GETPIVOTDATA("Sum of Old-Total Undg SCH FTE",'FTE Pivot for regular counts'!$A$2,"State","TN","Category",3,"Category2","Four-Year")</f>
        <v>44060.933333333334</v>
      </c>
      <c r="G26" s="453">
        <f>+GETPIVOTDATA("Sum of Old-HS % of Total",'Pivot-HS Student % of Undergrad'!$A$3,"State","TN","Category",3,"Category2","Four-Year")</f>
        <v>4.3394450715221649E-3</v>
      </c>
      <c r="H26" s="441">
        <f>+GETPIVOTDATA("Sum of Old-Total Undg SCH FTE",'FTE Pivot for regular counts'!$A$2,"State","TN","Category",4,"Category2","Four-Year")</f>
        <v>0</v>
      </c>
      <c r="I26" s="453">
        <f>+GETPIVOTDATA("Sum of Old-HS % of Total",'Pivot-HS Student % of Undergrad'!$A$3,"State","TN","Category",4,"Category2","Four-Year")</f>
        <v>0</v>
      </c>
      <c r="J26" s="441">
        <f>+GETPIVOTDATA("Sum of Old-Total Undg SCH FTE",'FTE Pivot for regular counts'!$A$2,"State","TN","Category",5,"Category2","Four-Year")</f>
        <v>6028.2666666666664</v>
      </c>
      <c r="K26" s="453">
        <f>+GETPIVOTDATA("Sum of Old-HS % of Total",'Pivot-HS Student % of Undergrad'!$A$3,"State","TN","Category",5,"Category2","Four-Year")</f>
        <v>1.2651508449084314E-2</v>
      </c>
      <c r="L26" s="441">
        <f>+GETPIVOTDATA("Sum of Old-Total Undg SCH FTE",'FTE Pivot for regular counts'!$A$2,"State","TN","Category",6,"Category2","Four-Year")</f>
        <v>0</v>
      </c>
      <c r="M26" s="453">
        <f>+GETPIVOTDATA("Sum of Old-HS % of Total",'Pivot-HS Student % of Undergrad'!$A$3,"State","TN","Category",6,"Category2","Four-Year")</f>
        <v>0</v>
      </c>
      <c r="N26" s="441">
        <f>+GETPIVOTDATA("Sum of Old-Total Undg SCH FTE",'FTE Pivot for regular counts'!$A$2,"State","TN","Category2","Four-Year")</f>
        <v>101186.16666666666</v>
      </c>
      <c r="O26" s="453">
        <f>+GETPIVOTDATA("Sum of Old-HS % of Total",'Pivot-HS Student % of Undergrad'!$A$3,"State","TN","Category2","Group1")</f>
        <v>6.074231693629817E-3</v>
      </c>
    </row>
    <row r="27" spans="1:15" ht="15" customHeight="1">
      <c r="A27" s="345" t="s">
        <v>874</v>
      </c>
      <c r="B27" s="452">
        <f>+GETPIVOTDATA("Sum of Old-Total Undg SCH FTE",'FTE Pivot for regular counts'!$A$2,"State","TX","Category",1,"Category2","Four-Year")</f>
        <v>210703.33333333331</v>
      </c>
      <c r="C27" s="459">
        <f>+GETPIVOTDATA("Sum of Old-HS % of Total",'Pivot-HS Student % of Undergrad'!$A$3,"State","TX","Category",1,"Category2","Four-Year")</f>
        <v>1.6484472639255825E-4</v>
      </c>
      <c r="D27" s="441">
        <f>+GETPIVOTDATA("Sum of Old-Total Undg SCH FTE",'FTE Pivot for regular counts'!$A$2,"State","TX","Category",2,"Category2","Four-Year")</f>
        <v>51933.8</v>
      </c>
      <c r="E27" s="453">
        <f>+GETPIVOTDATA("Sum of Old-HS % of Total",'Pivot-HS Student % of Undergrad'!$A$3,"State","TX","Category",2,"Category2","Four-Year")</f>
        <v>2.9004874153890788E-3</v>
      </c>
      <c r="F27" s="441">
        <f>+GETPIVOTDATA("Sum of Old-Total Undg SCH FTE",'FTE Pivot for regular counts'!$A$2,"State","TX","Category",3,"Category2","Four-Year")</f>
        <v>127887.2</v>
      </c>
      <c r="G27" s="453">
        <f>+GETPIVOTDATA("Sum of Old-HS % of Total",'Pivot-HS Student % of Undergrad'!$A$3,"State","TX","Category",3,"Category2","Four-Year")</f>
        <v>1.6564597551592342E-2</v>
      </c>
      <c r="H27" s="441">
        <f>+GETPIVOTDATA("Sum of Old-Total Undg SCH FTE",'FTE Pivot for regular counts'!$A$2,"State","TX","Category",4,"Category2","Four-Year")</f>
        <v>4701.6000000000004</v>
      </c>
      <c r="I27" s="459">
        <f>+GETPIVOTDATA("Sum of Old-HS % of Total",'Pivot-HS Student % of Undergrad'!$A$3,"State","TX","Category",4,"Category2","Four-Year")</f>
        <v>0</v>
      </c>
      <c r="J27" s="441">
        <f>+GETPIVOTDATA("Sum of Old-Total Undg SCH FTE",'FTE Pivot for regular counts'!$A$2,"State","TX","Category",5,"Category2","Four-Year")</f>
        <v>14059.066666666666</v>
      </c>
      <c r="K27" s="453">
        <f>+GETPIVOTDATA("Sum of Old-HS % of Total",'Pivot-HS Student % of Undergrad'!$A$3,"State","TX","Category",5,"Category2","Four-Year")</f>
        <v>1.99396830515065E-3</v>
      </c>
      <c r="L27" s="441">
        <f>+GETPIVOTDATA("Sum of Old-Total Undg SCH FTE",'FTE Pivot for regular counts'!$A$2,"State","TX","Category",6,"Category2","Four-Year")</f>
        <v>0</v>
      </c>
      <c r="M27" s="453">
        <f>+GETPIVOTDATA("Sum of Old-HS % of Total",'Pivot-HS Student % of Undergrad'!$A$3,"State","TX","Category",6,"Category2","Four-Year")</f>
        <v>0</v>
      </c>
      <c r="N27" s="441">
        <f>+GETPIVOTDATA("Sum of Old-Total Undg SCH FTE",'FTE Pivot for regular counts'!$A$2,"State","TX","Category2","Four-Year")</f>
        <v>409284.99999999994</v>
      </c>
      <c r="O27" s="453">
        <f>+GETPIVOTDATA("Sum of Old-HS % of Total",'Pivot-HS Student % of Undergrad'!$A$3,"State","TX","Category2","Group1")</f>
        <v>5.6972525257461184E-3</v>
      </c>
    </row>
    <row r="28" spans="1:15" ht="15" customHeight="1">
      <c r="A28" s="345" t="s">
        <v>875</v>
      </c>
      <c r="B28" s="452">
        <f>+GETPIVOTDATA("Sum of Old-Total Undg SCH FTE",'FTE Pivot for regular counts'!$A$2,"State","VA","Category",1,"Category2","Four-Year")</f>
        <v>103273.93333333333</v>
      </c>
      <c r="C28" s="453">
        <f>+GETPIVOTDATA("Sum of Old-HS % of Total",'Pivot-HS Student % of Undergrad'!$A$3,"State","VA","Category",1,"Category2","Four-Year")</f>
        <v>7.7076564657490212E-3</v>
      </c>
      <c r="D28" s="441">
        <f>+GETPIVOTDATA("Sum of Old-Total Undg SCH FTE",'FTE Pivot for regular counts'!$A$2,"State","VA","Category",2,"Category2","Four-Year")</f>
        <v>6210.9966666666678</v>
      </c>
      <c r="E28" s="453">
        <f>+GETPIVOTDATA("Sum of Old-HS % of Total",'Pivot-HS Student % of Undergrad'!$A$3,"State","VA","Category",2,"Category2","Four-Year")</f>
        <v>0</v>
      </c>
      <c r="F28" s="441">
        <f>+GETPIVOTDATA("Sum of Old-Total Undg SCH FTE",'FTE Pivot for regular counts'!$A$2,"State","VA","Category",3,"Category2","Four-Year")</f>
        <v>45272.5</v>
      </c>
      <c r="G28" s="453">
        <f>+GETPIVOTDATA("Sum of Old-HS % of Total",'Pivot-HS Student % of Undergrad'!$A$3,"State","VA","Category",3,"Category2","Four-Year")</f>
        <v>5.8512341929427359E-3</v>
      </c>
      <c r="H28" s="441">
        <f>+GETPIVOTDATA("Sum of Old-Total Undg SCH FTE",'FTE Pivot for regular counts'!$A$2,"State","VA","Category",4,"Category2","Four-Year")</f>
        <v>0</v>
      </c>
      <c r="I28" s="459">
        <f>+GETPIVOTDATA("Sum of Old-HS % of Total",'Pivot-HS Student % of Undergrad'!$A$3,"State","VA","Category",4,"Category2","Four-Year")</f>
        <v>0</v>
      </c>
      <c r="J28" s="441">
        <f>+GETPIVOTDATA("Sum of Old-Total Undg SCH FTE",'FTE Pivot for regular counts'!$A$2,"State","VA","Category",5,"Category2","Four-Year")</f>
        <v>4926.3666666666668</v>
      </c>
      <c r="K28" s="459">
        <f>+GETPIVOTDATA("Sum of Old-HS % of Total",'Pivot-HS Student % of Undergrad'!$A$3,"State","VA","Category",5,"Category2","Four-Year")</f>
        <v>3.8567977752366518E-4</v>
      </c>
      <c r="L28" s="441">
        <f>+GETPIVOTDATA("Sum of Old-Total Undg SCH FTE",'FTE Pivot for regular counts'!$A$2,"State","VA","Category",6,"Category2","Four-Year")</f>
        <v>1733.5333333333333</v>
      </c>
      <c r="M28" s="459">
        <f>+GETPIVOTDATA("Sum of Old-HS % of Total",'Pivot-HS Student % of Undergrad'!$A$3,"State","VA","Category",6,"Category2","Four-Year")</f>
        <v>8.6336191977848704E-3</v>
      </c>
      <c r="N28" s="441">
        <f>+GETPIVOTDATA("Sum of Old-Total Undg SCH FTE",'FTE Pivot for regular counts'!$A$2,"State","VA","Category2","Four-Year")</f>
        <v>161417.32999999999</v>
      </c>
      <c r="O28" s="453">
        <f>+GETPIVOTDATA("Sum of Old-HS % of Total",'Pivot-HS Student % of Undergrad'!$A$3,"State","VA","Category2","Group1")</f>
        <v>6.6768956385703229E-3</v>
      </c>
    </row>
    <row r="29" spans="1:15" s="460" customFormat="1" ht="15" customHeight="1">
      <c r="A29" s="461" t="s">
        <v>876</v>
      </c>
      <c r="B29" s="462">
        <f>+GETPIVOTDATA("Sum of Old-Total Undg SCH FTE",'FTE Pivot for regular counts'!$A$2,"State","WV","Category",1,"Category2","Four-Year")</f>
        <v>21737.5</v>
      </c>
      <c r="C29" s="463">
        <f>+GETPIVOTDATA("Sum of Old-HS % of Total",'Pivot-HS Student % of Undergrad'!$A$3,"State","WV","Category",1,"Category2","Four-Year")</f>
        <v>7.2639447958596894E-3</v>
      </c>
      <c r="D29" s="464">
        <f>+GETPIVOTDATA("Sum of Old-Total Undg SCH FTE",'FTE Pivot for regular counts'!$A$2,"State","WV","Category",2,"Category2","Four-Year")</f>
        <v>0</v>
      </c>
      <c r="E29" s="463">
        <f>+GETPIVOTDATA("Sum of Old-HS % of Total",'Pivot-HS Student % of Undergrad'!$A$3,"State","WV","Category",2,"Category2","Four-Year")</f>
        <v>0</v>
      </c>
      <c r="F29" s="464">
        <f>+GETPIVOTDATA("Sum of Old-Total Undg SCH FTE",'FTE Pivot for regular counts'!$A$2,"State","WV","Category",3,"Category2","Four-Year")</f>
        <v>8724.9333333333325</v>
      </c>
      <c r="G29" s="463">
        <f>+GETPIVOTDATA("Sum of Old-HS % of Total",'Pivot-HS Student % of Undergrad'!$A$3,"State","WV","Category",3,"Category2","Four-Year")</f>
        <v>2.1425187585005424E-2</v>
      </c>
      <c r="H29" s="464">
        <f>+GETPIVOTDATA("Sum of Old-Total Undg SCH FTE",'FTE Pivot for regular counts'!$A$2,"State","WV","Category",4,"Category2","Four-Year")</f>
        <v>0</v>
      </c>
      <c r="I29" s="463">
        <f>+GETPIVOTDATA("Sum of Old-HS % of Total",'Pivot-HS Student % of Undergrad'!$A$3,"State","WV","Category",4,"Category2","Four-Year")</f>
        <v>0</v>
      </c>
      <c r="J29" s="464">
        <f>+GETPIVOTDATA("Sum of Old-Total Undg SCH FTE",'FTE Pivot for regular counts'!$A$2,"State","WV","Category",5,"Category2","Four-Year")</f>
        <v>10904.166666666668</v>
      </c>
      <c r="K29" s="465">
        <f>+GETPIVOTDATA("Sum of Old-HS % of Total",'Pivot-HS Student % of Undergrad'!$A$3,"State","WV","Category",5,"Category2","Four-Year")</f>
        <v>6.7283148643484903E-3</v>
      </c>
      <c r="L29" s="464">
        <f>+GETPIVOTDATA("Sum of Old-Total Undg SCH FTE",'FTE Pivot for regular counts'!$A$2,"State","WV","Category",6,"Category2","Four-Year")</f>
        <v>7921.4433333333327</v>
      </c>
      <c r="M29" s="463">
        <f>+GETPIVOTDATA("Sum of Old-HS % of Total",'Pivot-HS Student % of Undergrad'!$A$3,"State","WV","Category",6,"Category2","Four-Year")</f>
        <v>5.2982768712604142E-2</v>
      </c>
      <c r="N29" s="464">
        <f>+GETPIVOTDATA("Sum of Old-Total Undg SCH FTE",'FTE Pivot for regular counts'!$A$2,"State","WV","Category2","Four-Year")</f>
        <v>49288.043333333335</v>
      </c>
      <c r="O29" s="463">
        <f>+GETPIVOTDATA("Sum of Old-HS % of Total",'Pivot-HS Student % of Undergrad'!$A$3,"State","WV","Category2","Group1")</f>
        <v>1.7000066209431591E-2</v>
      </c>
    </row>
    <row r="30" spans="1:15" ht="23.25" customHeight="1">
      <c r="A30" s="761" t="s">
        <v>1008</v>
      </c>
      <c r="B30" s="762"/>
      <c r="C30" s="762"/>
      <c r="D30" s="762"/>
      <c r="E30" s="762"/>
      <c r="F30" s="762"/>
      <c r="G30" s="762"/>
      <c r="H30" s="762"/>
      <c r="I30" s="763"/>
      <c r="J30" s="763"/>
      <c r="K30" s="763"/>
      <c r="L30" s="763"/>
      <c r="M30" s="763"/>
      <c r="N30" s="763"/>
      <c r="O30" s="763"/>
    </row>
    <row r="31" spans="1:15">
      <c r="A31" s="497"/>
      <c r="B31" s="473"/>
      <c r="C31" s="473"/>
      <c r="D31" s="473"/>
      <c r="E31" s="473"/>
      <c r="F31" s="473"/>
      <c r="G31" s="473"/>
      <c r="H31" s="345"/>
      <c r="J31" s="474"/>
      <c r="K31" s="474"/>
      <c r="L31" s="474"/>
      <c r="M31" s="475"/>
      <c r="N31" s="476"/>
      <c r="O31" s="498" t="s">
        <v>956</v>
      </c>
    </row>
    <row r="32" spans="1:15" ht="18">
      <c r="A32" s="395" t="s">
        <v>878</v>
      </c>
      <c r="B32" s="478"/>
      <c r="C32" s="478"/>
      <c r="D32" s="478"/>
      <c r="E32" s="478"/>
      <c r="F32" s="479"/>
      <c r="G32" s="478"/>
      <c r="H32" s="405"/>
      <c r="I32" s="473"/>
      <c r="J32" s="474"/>
      <c r="K32" s="474"/>
      <c r="L32" s="474"/>
      <c r="M32" s="475"/>
      <c r="N32" s="476"/>
    </row>
    <row r="33" spans="1:14" ht="15.75">
      <c r="A33" s="478"/>
      <c r="B33" s="478"/>
      <c r="C33" s="478"/>
      <c r="D33" s="478"/>
      <c r="E33" s="478"/>
      <c r="F33" s="478"/>
      <c r="G33" s="478"/>
      <c r="H33" s="405"/>
      <c r="I33" s="473"/>
      <c r="J33" s="474"/>
      <c r="K33" s="474"/>
      <c r="L33" s="474"/>
      <c r="M33" s="475"/>
      <c r="N33" s="476"/>
    </row>
    <row r="34" spans="1:14" ht="15.75">
      <c r="A34" s="478" t="s">
        <v>879</v>
      </c>
      <c r="B34" s="478"/>
      <c r="C34" s="478"/>
      <c r="D34" s="478"/>
      <c r="E34" s="478"/>
      <c r="F34" s="478"/>
      <c r="G34" s="478"/>
      <c r="H34" s="405"/>
      <c r="I34" s="473"/>
      <c r="J34" s="474"/>
      <c r="K34" s="474"/>
      <c r="L34" s="474"/>
      <c r="M34" s="475"/>
      <c r="N34" s="476"/>
    </row>
    <row r="35" spans="1:14" ht="15.75">
      <c r="A35" s="405" t="s">
        <v>1016</v>
      </c>
      <c r="B35" s="478"/>
      <c r="C35" s="478"/>
      <c r="D35" s="478"/>
      <c r="E35" s="478"/>
      <c r="F35" s="478"/>
      <c r="G35" s="478"/>
      <c r="H35" s="405"/>
    </row>
    <row r="37" spans="1:14" ht="15" customHeight="1">
      <c r="A37" s="414"/>
      <c r="B37" s="414" t="s">
        <v>833</v>
      </c>
      <c r="C37" s="414"/>
      <c r="D37" s="414"/>
      <c r="E37" s="414"/>
      <c r="F37" s="414"/>
      <c r="G37" s="414"/>
      <c r="H37" s="480"/>
    </row>
    <row r="38" spans="1:14" ht="15" customHeight="1">
      <c r="A38" s="481"/>
      <c r="B38" s="482">
        <v>1</v>
      </c>
      <c r="C38" s="482">
        <v>2</v>
      </c>
      <c r="D38" s="482">
        <v>3</v>
      </c>
      <c r="E38" s="482">
        <v>4</v>
      </c>
      <c r="F38" s="482">
        <v>5</v>
      </c>
      <c r="G38" s="483">
        <v>6</v>
      </c>
      <c r="H38" s="484" t="s">
        <v>845</v>
      </c>
    </row>
    <row r="39" spans="1:14" ht="15" customHeight="1">
      <c r="A39" s="345" t="s">
        <v>853</v>
      </c>
      <c r="B39" s="485">
        <f>+GETPIVOTDATA("Sum of Old-Total Grad FTE",'FTE Pivot for regular counts'!$A$2,"Category",1,"Category2","Four-Year")</f>
        <v>235723.77374999999</v>
      </c>
      <c r="C39" s="485">
        <f>+GETPIVOTDATA("Sum of Old-Total Grad FTE",'FTE Pivot for regular counts'!$A$2,"Category",2,"Category2","Four-Year")</f>
        <v>44189.568333333329</v>
      </c>
      <c r="D39" s="485">
        <f>+GETPIVOTDATA("Sum of Old-Total Grad FTE",'FTE Pivot for regular counts'!$A$2,"Category",3,"Category2","Four-Year")</f>
        <v>87607.954166666648</v>
      </c>
      <c r="E39" s="485">
        <f>+GETPIVOTDATA("Sum of Old-Total Grad FTE",'FTE Pivot for regular counts'!$A$2,"Category",4,"Category2","Four-Year")</f>
        <v>18480.958333333336</v>
      </c>
      <c r="F39" s="485">
        <f>+GETPIVOTDATA("Sum of Old-Total Grad FTE",'FTE Pivot for regular counts'!$A$2,"Category",5,"Category2","Four-Year")</f>
        <v>9271.125</v>
      </c>
      <c r="G39" s="486">
        <f>+GETPIVOTDATA("Sum of Old-Total Grad FTE",'FTE Pivot for regular counts'!$A$2,"Category",6,"Category2","Four-Year")</f>
        <v>510.125</v>
      </c>
      <c r="H39" s="487">
        <f>+GETPIVOTDATA("Sum of Old-Total Grad FTE",'FTE Pivot for regular counts'!$A$2,"Category2","Four-Year")</f>
        <v>395783.50458333333</v>
      </c>
    </row>
    <row r="40" spans="1:14" ht="15" customHeight="1">
      <c r="B40" s="485"/>
      <c r="C40" s="485"/>
      <c r="D40" s="485"/>
      <c r="E40" s="485"/>
      <c r="F40" s="485"/>
      <c r="G40" s="486"/>
      <c r="H40" s="487"/>
    </row>
    <row r="41" spans="1:14" ht="15" customHeight="1">
      <c r="A41" s="345" t="s">
        <v>861</v>
      </c>
      <c r="B41" s="488">
        <f>+GETPIVOTDATA("Sum of Old-Total Grad FTE",'FTE Pivot for regular counts'!$A$2,"State","AL","Category",1,"Category2","Four-Year")</f>
        <v>8274.625</v>
      </c>
      <c r="C41" s="488">
        <f>+GETPIVOTDATA("Sum of Old-Total Grad FTE",'FTE Pivot for regular counts'!$A$2,"State","AL","Category",2,"Category2","Four-Year")</f>
        <v>2940.1666666666665</v>
      </c>
      <c r="D41" s="488">
        <f>+GETPIVOTDATA("Sum of Old-Total Grad FTE",'FTE Pivot for regular counts'!$A$2,"State","AL","Category",3,"Category2","Four-Year")</f>
        <v>4412.833333333333</v>
      </c>
      <c r="E41" s="488">
        <f>+GETPIVOTDATA("Sum of Old-Total Grad FTE",'FTE Pivot for regular counts'!$A$2,"State","AL","Category",4,"Category2","Four-Year")</f>
        <v>1073.75</v>
      </c>
      <c r="F41" s="488">
        <f>+GETPIVOTDATA("Sum of Old-Total Grad FTE",'FTE Pivot for regular counts'!$A$2,"State","AL","Category",5,"Category2","Four-Year")</f>
        <v>1708.8333333333333</v>
      </c>
      <c r="G41" s="486">
        <f>+GETPIVOTDATA("Sum of Old-Total Grad FTE",'FTE Pivot for regular counts'!$A$2,"State","AL","Category",6,"Category2","Four-Year")</f>
        <v>0</v>
      </c>
      <c r="H41" s="489">
        <f>+GETPIVOTDATA("Sum of Old-Total Grad FTE",'FTE Pivot for regular counts'!$A$2,"State","AL","Category2","Four-Year")</f>
        <v>18410.208333333332</v>
      </c>
    </row>
    <row r="42" spans="1:14" ht="15" customHeight="1">
      <c r="A42" s="270" t="s">
        <v>862</v>
      </c>
      <c r="B42" s="488">
        <f>+GETPIVOTDATA("Sum of Old-Total Grad FTE",'FTE Pivot for regular counts'!$A$2,"State","AR","Category",1,"Category2","Four-Year")</f>
        <v>3343.125</v>
      </c>
      <c r="C42" s="488">
        <f>+GETPIVOTDATA("Sum of Old-Total Grad FTE",'FTE Pivot for regular counts'!$A$2,"State","AR","Category",2,"Category2","Four-Year")</f>
        <v>1799.5833333333333</v>
      </c>
      <c r="D42" s="488">
        <f>+GETPIVOTDATA("Sum of Old-Total Grad FTE",'FTE Pivot for regular counts'!$A$2,"State","AR","Category",3,"Category2","Four-Year")</f>
        <v>5578.0833333333339</v>
      </c>
      <c r="E42" s="488">
        <f>+GETPIVOTDATA("Sum of Old-Total Grad FTE",'FTE Pivot for regular counts'!$A$2,"State","AR","Category",4,"Category2","Four-Year")</f>
        <v>845.91666666666674</v>
      </c>
      <c r="F42" s="488">
        <f>+GETPIVOTDATA("Sum of Old-Total Grad FTE",'FTE Pivot for regular counts'!$A$2,"State","AR","Category",5,"Category2","Four-Year")</f>
        <v>146.25</v>
      </c>
      <c r="G42" s="486">
        <f>+GETPIVOTDATA("Sum of Old-Total Grad FTE",'FTE Pivot for regular counts'!$A$2,"State","AR","Category",6,"Category2","Four-Year")</f>
        <v>80.25</v>
      </c>
      <c r="H42" s="489">
        <f>+GETPIVOTDATA("Sum of Old-Total Grad FTE",'FTE Pivot for regular counts'!$A$2,"State","AR","Category2","Four-Year")</f>
        <v>11793.208333333334</v>
      </c>
    </row>
    <row r="43" spans="1:14" ht="15" customHeight="1">
      <c r="A43" s="345" t="s">
        <v>863</v>
      </c>
      <c r="B43" s="488">
        <f>+GETPIVOTDATA("Sum of Old-Total Grad FTE",'FTE Pivot for regular counts'!$A$2,"State","DE","Category",1,"Category2","Four-Year")</f>
        <v>2254.4583333333335</v>
      </c>
      <c r="C43" s="488">
        <f>+GETPIVOTDATA("Sum of Old-Total Grad FTE",'FTE Pivot for regular counts'!$A$2,"State","DE","Category",2,"Category2","Four-Year")</f>
        <v>0</v>
      </c>
      <c r="D43" s="488">
        <f>+GETPIVOTDATA("Sum of Old-Total Grad FTE",'FTE Pivot for regular counts'!$A$2,"State","DE","Category",3,"Category2","Four-Year")</f>
        <v>228.20833333333334</v>
      </c>
      <c r="E43" s="488">
        <f>+GETPIVOTDATA("Sum of Old-Total Grad FTE",'FTE Pivot for regular counts'!$A$2,"State","DE","Category",4,"Category2","Four-Year")</f>
        <v>0</v>
      </c>
      <c r="F43" s="488">
        <f>+GETPIVOTDATA("Sum of Old-Total Grad FTE",'FTE Pivot for regular counts'!$A$2,"State","DE","Category",5,"Category2","Four-Year")</f>
        <v>0</v>
      </c>
      <c r="G43" s="486">
        <f>+GETPIVOTDATA("Sum of Old-Total Grad FTE",'FTE Pivot for regular counts'!$A$2,"State","DE","Category",6,"Category2","Four-Year")</f>
        <v>0</v>
      </c>
      <c r="H43" s="489">
        <f>+GETPIVOTDATA("Sum of Old-Total Grad FTE",'FTE Pivot for regular counts'!$A$2,"State","DE","Category2","Four-Year")</f>
        <v>2482.666666666667</v>
      </c>
      <c r="N43" s="490"/>
    </row>
    <row r="44" spans="1:14" ht="15" customHeight="1">
      <c r="A44" s="345" t="s">
        <v>864</v>
      </c>
      <c r="B44" s="488">
        <f>+GETPIVOTDATA("Sum of Old-Total Grad FTE",'FTE Pivot for regular counts'!$A$2,"State","FL","Category",1,"Category2","Four-Year")</f>
        <v>46865.599999999999</v>
      </c>
      <c r="C44" s="488">
        <f>+GETPIVOTDATA("Sum of Old-Total Grad FTE",'FTE Pivot for regular counts'!$A$2,"State","FL","Category",2,"Category2","Four-Year")</f>
        <v>0</v>
      </c>
      <c r="D44" s="488">
        <f>+GETPIVOTDATA("Sum of Old-Total Grad FTE",'FTE Pivot for regular counts'!$A$2,"State","FL","Category",3,"Category2","Four-Year")</f>
        <v>4797</v>
      </c>
      <c r="E44" s="488">
        <f>+GETPIVOTDATA("Sum of Old-Total Grad FTE",'FTE Pivot for regular counts'!$A$2,"State","FL","Category",4,"Category2","Four-Year")</f>
        <v>825.5</v>
      </c>
      <c r="F44" s="488">
        <f>+GETPIVOTDATA("Sum of Old-Total Grad FTE",'FTE Pivot for regular counts'!$A$2,"State","FL","Category",5,"Category2","Four-Year")</f>
        <v>0</v>
      </c>
      <c r="G44" s="486">
        <f>+GETPIVOTDATA("Sum of Old-Total Grad FTE",'FTE Pivot for regular counts'!$A$2,"State","FL","Category",6,"Category2","Four-Year")</f>
        <v>0</v>
      </c>
      <c r="H44" s="489">
        <f>+GETPIVOTDATA("Sum of Old-Total Grad FTE",'FTE Pivot for regular counts'!$A$2,"State","FL","Category2","Four-Year")</f>
        <v>52488.1</v>
      </c>
    </row>
    <row r="45" spans="1:14" ht="15" customHeight="1">
      <c r="B45" s="488"/>
      <c r="C45" s="488"/>
      <c r="D45" s="488"/>
      <c r="E45" s="488"/>
      <c r="F45" s="488"/>
      <c r="G45" s="486"/>
      <c r="H45" s="489"/>
    </row>
    <row r="46" spans="1:14" ht="15" customHeight="1">
      <c r="A46" s="345" t="s">
        <v>865</v>
      </c>
      <c r="B46" s="488">
        <f>+GETPIVOTDATA("Sum of Old-Total Grad FTE",'FTE Pivot for regular counts'!$A$2,"State","GA","Category",1,"Category2","Four-Year")</f>
        <v>19973.966666666667</v>
      </c>
      <c r="C46" s="488">
        <f>+GETPIVOTDATA("Sum of Old-Total Grad FTE",'FTE Pivot for regular counts'!$A$2,"State","GA","Category",2,"Category2","Four-Year")</f>
        <v>10934.505833333335</v>
      </c>
      <c r="D46" s="488">
        <f>+GETPIVOTDATA("Sum of Old-Total Grad FTE",'FTE Pivot for regular counts'!$A$2,"State","GA","Category",3,"Category2","Four-Year")</f>
        <v>7280.875</v>
      </c>
      <c r="E46" s="488">
        <f>+GETPIVOTDATA("Sum of Old-Total Grad FTE",'FTE Pivot for regular counts'!$A$2,"State","GA","Category",4,"Category2","Four-Year")</f>
        <v>5607.666666666667</v>
      </c>
      <c r="F46" s="488">
        <f>+GETPIVOTDATA("Sum of Old-Total Grad FTE",'FTE Pivot for regular counts'!$A$2,"State","GA","Category",5,"Category2","Four-Year")</f>
        <v>393.45833333333337</v>
      </c>
      <c r="G46" s="486">
        <f>+GETPIVOTDATA("Sum of Old-Total Grad FTE",'FTE Pivot for regular counts'!$A$2,"State","GA","Category",6,"Category2","Four-Year")</f>
        <v>0</v>
      </c>
      <c r="H46" s="489">
        <f>+GETPIVOTDATA("Sum of Old-Total Grad FTE",'FTE Pivot for regular counts'!$A$2,"State","GA","Category2","Four-Year")</f>
        <v>44190.472500000003</v>
      </c>
    </row>
    <row r="47" spans="1:14" ht="15" customHeight="1">
      <c r="A47" s="345" t="s">
        <v>866</v>
      </c>
      <c r="B47" s="488">
        <f>+GETPIVOTDATA("Sum of Old-Total Grad FTE",'FTE Pivot for regular counts'!$A$2,"State","KY","Category",1,"Category2","Four-Year")</f>
        <v>6541.7916666666661</v>
      </c>
      <c r="C47" s="488">
        <f>+GETPIVOTDATA("Sum of Old-Total Grad FTE",'FTE Pivot for regular counts'!$A$2,"State","KY","Category",2,"Category2","Four-Year")</f>
        <v>0</v>
      </c>
      <c r="D47" s="488">
        <f>+GETPIVOTDATA("Sum of Old-Total Grad FTE",'FTE Pivot for regular counts'!$A$2,"State","KY","Category",3,"Category2","Four-Year")</f>
        <v>6793.5</v>
      </c>
      <c r="E47" s="488">
        <f>+GETPIVOTDATA("Sum of Old-Total Grad FTE",'FTE Pivot for regular counts'!$A$2,"State","KY","Category",4,"Category2","Four-Year")</f>
        <v>92.041666666666671</v>
      </c>
      <c r="F47" s="488">
        <f>+GETPIVOTDATA("Sum of Old-Total Grad FTE",'FTE Pivot for regular counts'!$A$2,"State","KY","Category",5,"Category2","Four-Year")</f>
        <v>0</v>
      </c>
      <c r="G47" s="486">
        <f>+GETPIVOTDATA("Sum of Old-Total Grad FTE",'FTE Pivot for regular counts'!$A$2,"State","KY","Category",6,"Category2","Four-Year")</f>
        <v>0</v>
      </c>
      <c r="H47" s="489">
        <f>+GETPIVOTDATA("Sum of Old-Total Grad FTE",'FTE Pivot for regular counts'!$A$2,"State","KY","Category2","Four-Year")</f>
        <v>13427.333333333332</v>
      </c>
    </row>
    <row r="48" spans="1:14" ht="15" customHeight="1">
      <c r="A48" s="345" t="s">
        <v>867</v>
      </c>
      <c r="B48" s="488">
        <f>+GETPIVOTDATA("Sum of Old-Total Grad FTE",'FTE Pivot for regular counts'!$A$2,"State","LA","Category",1,"Category2","Four-Year")</f>
        <v>5446.4708333333338</v>
      </c>
      <c r="C48" s="488">
        <f>+GETPIVOTDATA("Sum of Old-Total Grad FTE",'FTE Pivot for regular counts'!$A$2,"State","LA","Category",2,"Category2","Four-Year")</f>
        <v>3609.958333333333</v>
      </c>
      <c r="D48" s="488">
        <f>+GETPIVOTDATA("Sum of Old-Total Grad FTE",'FTE Pivot for regular counts'!$A$2,"State","LA","Category",3,"Category2","Four-Year")</f>
        <v>3643.125</v>
      </c>
      <c r="E48" s="488">
        <f>+GETPIVOTDATA("Sum of Old-Total Grad FTE",'FTE Pivot for regular counts'!$A$2,"State","LA","Category",4,"Category2","Four-Year")</f>
        <v>3409.6666666666665</v>
      </c>
      <c r="F48" s="488">
        <f>+GETPIVOTDATA("Sum of Old-Total Grad FTE",'FTE Pivot for regular counts'!$A$2,"State","LA","Category",5,"Category2","Four-Year")</f>
        <v>311.29166666666669</v>
      </c>
      <c r="G48" s="486">
        <f>+GETPIVOTDATA("Sum of Old-Total Grad FTE",'FTE Pivot for regular counts'!$A$2,"State","LA","Category",6,"Category2","Four-Year")</f>
        <v>0</v>
      </c>
      <c r="H48" s="489">
        <f>+GETPIVOTDATA("Sum of Old-Total Grad FTE",'FTE Pivot for regular counts'!$A$2,"State","LA","Category2","Four-Year")</f>
        <v>16420.512500000001</v>
      </c>
    </row>
    <row r="49" spans="1:10" ht="15" customHeight="1">
      <c r="A49" s="345" t="s">
        <v>868</v>
      </c>
      <c r="B49" s="488">
        <f>+GETPIVOTDATA("Sum of Old-Total Grad FTE",'FTE Pivot for regular counts'!$A$2,"State","MD","Category",1,"Category2","Four-Year")</f>
        <v>6561.340416666666</v>
      </c>
      <c r="C49" s="488">
        <f>+GETPIVOTDATA("Sum of Old-Total Grad FTE",'FTE Pivot for regular counts'!$A$2,"State","MD","Category",2,"Category2","Four-Year")</f>
        <v>2528.7083333333335</v>
      </c>
      <c r="D49" s="488">
        <f>+GETPIVOTDATA("Sum of Old-Total Grad FTE",'FTE Pivot for regular counts'!$A$2,"State","MD","Category",3,"Category2","Four-Year")</f>
        <v>3985.2916666666665</v>
      </c>
      <c r="E49" s="488">
        <f>+GETPIVOTDATA("Sum of Old-Total Grad FTE",'FTE Pivot for regular counts'!$A$2,"State","MD","Category",4,"Category2","Four-Year")</f>
        <v>2711.333333333333</v>
      </c>
      <c r="F49" s="488">
        <f>+GETPIVOTDATA("Sum of Old-Total Grad FTE",'FTE Pivot for regular counts'!$A$2,"State","MD","Category",5,"Category2","Four-Year")</f>
        <v>248</v>
      </c>
      <c r="G49" s="486">
        <f>+GETPIVOTDATA("Sum of Old-Total Grad FTE",'FTE Pivot for regular counts'!$A$2,"State","MD","Category",6,"Category2","Four-Year")</f>
        <v>55.833333333333336</v>
      </c>
      <c r="H49" s="489">
        <f>+GETPIVOTDATA("Sum of Old-Total Grad FTE",'FTE Pivot for regular counts'!$A$2,"State","MD","Category2","Four-Year")</f>
        <v>16090.507083333332</v>
      </c>
    </row>
    <row r="50" spans="1:10" ht="15" customHeight="1">
      <c r="B50" s="488"/>
      <c r="C50" s="488"/>
      <c r="D50" s="488"/>
      <c r="E50" s="488"/>
      <c r="F50" s="488"/>
      <c r="G50" s="486"/>
      <c r="H50" s="489"/>
    </row>
    <row r="51" spans="1:10" ht="15" customHeight="1">
      <c r="A51" s="345" t="s">
        <v>869</v>
      </c>
      <c r="B51" s="488">
        <f>+GETPIVOTDATA("Sum of Old-Total Grad FTE",'FTE Pivot for regular counts'!$A$2,"State","MS","Category",1,"Category2","Four-Year")</f>
        <v>4389.2916666666661</v>
      </c>
      <c r="C51" s="488">
        <f>+GETPIVOTDATA("Sum of Old-Total Grad FTE",'FTE Pivot for regular counts'!$A$2,"State","MS","Category",2,"Category2","Four-Year")</f>
        <v>4150.9375</v>
      </c>
      <c r="D51" s="488">
        <f>+GETPIVOTDATA("Sum of Old-Total Grad FTE",'FTE Pivot for regular counts'!$A$2,"State","MS","Category",3,"Category2","Four-Year")</f>
        <v>0</v>
      </c>
      <c r="E51" s="488">
        <f>+GETPIVOTDATA("Sum of Old-Total Grad FTE",'FTE Pivot for regular counts'!$A$2,"State","MS","Category",4,"Category2","Four-Year")</f>
        <v>1687.8333333333333</v>
      </c>
      <c r="F51" s="488">
        <f>+GETPIVOTDATA("Sum of Old-Total Grad FTE",'FTE Pivot for regular counts'!$A$2,"State","MS","Category",5,"Category2","Four-Year")</f>
        <v>173.08333333333334</v>
      </c>
      <c r="G51" s="486">
        <f>+GETPIVOTDATA("Sum of Old-Total Grad FTE",'FTE Pivot for regular counts'!$A$2,"State","MS","Category",6,"Category2","Four-Year")</f>
        <v>0</v>
      </c>
      <c r="H51" s="489">
        <f>+GETPIVOTDATA("Sum of Old-Total Grad FTE",'FTE Pivot for regular counts'!$A$2,"State","MS","Category2","Four-Year")</f>
        <v>10401.145833333334</v>
      </c>
    </row>
    <row r="52" spans="1:10" ht="15" customHeight="1">
      <c r="A52" s="345" t="s">
        <v>870</v>
      </c>
      <c r="B52" s="488">
        <f>+GETPIVOTDATA("Sum of Old-Total Grad FTE",'FTE Pivot for regular counts'!$A$2,"State","NC","Category",1,"Category2","Four-Year")</f>
        <v>19959.166666666668</v>
      </c>
      <c r="C52" s="488">
        <f>+GETPIVOTDATA("Sum of Old-Total Grad FTE",'FTE Pivot for regular counts'!$A$2,"State","NC","Category",2,"Category2","Four-Year")</f>
        <v>3355.7083333333335</v>
      </c>
      <c r="D52" s="488">
        <f>+GETPIVOTDATA("Sum of Old-Total Grad FTE",'FTE Pivot for regular counts'!$A$2,"State","NC","Category",3,"Category2","Four-Year")</f>
        <v>6499.625</v>
      </c>
      <c r="E52" s="488">
        <f>+GETPIVOTDATA("Sum of Old-Total Grad FTE",'FTE Pivot for regular counts'!$A$2,"State","NC","Category",4,"Category2","Four-Year")</f>
        <v>420.75</v>
      </c>
      <c r="F52" s="488">
        <f>+GETPIVOTDATA("Sum of Old-Total Grad FTE",'FTE Pivot for regular counts'!$A$2,"State","NC","Category",5,"Category2","Four-Year")</f>
        <v>946.66666666666674</v>
      </c>
      <c r="G52" s="486">
        <f>+GETPIVOTDATA("Sum of Old-Total Grad FTE",'FTE Pivot for regular counts'!$A$2,"State","NC","Category",6,"Category2","Four-Year")</f>
        <v>48.208333333333336</v>
      </c>
      <c r="H52" s="489">
        <f>+GETPIVOTDATA("Sum of Old-Total Grad FTE",'FTE Pivot for regular counts'!$A$2,"State","NC","Category2","Four-Year")</f>
        <v>31230.125</v>
      </c>
    </row>
    <row r="53" spans="1:10" ht="15" customHeight="1">
      <c r="A53" s="345" t="s">
        <v>871</v>
      </c>
      <c r="B53" s="488">
        <f>+GETPIVOTDATA("Sum of Old-Total Grad FTE",'FTE Pivot for regular counts'!$A$2,"State","OK","Category",1,"Category2","Four-Year")</f>
        <v>9889.2916666666679</v>
      </c>
      <c r="C53" s="488">
        <f>+GETPIVOTDATA("Sum of Old-Total Grad FTE",'FTE Pivot for regular counts'!$A$2,"State","OK","Category",2,"Category2","Four-Year")</f>
        <v>0</v>
      </c>
      <c r="D53" s="488">
        <f>+GETPIVOTDATA("Sum of Old-Total Grad FTE",'FTE Pivot for regular counts'!$A$2,"State","OK","Category",3,"Category2","Four-Year")</f>
        <v>2049.041666666667</v>
      </c>
      <c r="E53" s="488">
        <f>+GETPIVOTDATA("Sum of Old-Total Grad FTE",'FTE Pivot for regular counts'!$A$2,"State","OK","Category",4,"Category2","Four-Year")</f>
        <v>327.41666666666669</v>
      </c>
      <c r="F53" s="488">
        <f>+GETPIVOTDATA("Sum of Old-Total Grad FTE",'FTE Pivot for regular counts'!$A$2,"State","OK","Category",5,"Category2","Four-Year")</f>
        <v>1724</v>
      </c>
      <c r="G53" s="486">
        <f>+GETPIVOTDATA("Sum of Old-Total Grad FTE",'FTE Pivot for regular counts'!$A$2,"State","OK","Category",6,"Category2","Four-Year")</f>
        <v>10.875</v>
      </c>
      <c r="H53" s="489">
        <f>+GETPIVOTDATA("Sum of Old-Total Grad FTE",'FTE Pivot for regular counts'!$A$2,"State","OK","Category2","Four-Year")</f>
        <v>14000.625000000002</v>
      </c>
    </row>
    <row r="54" spans="1:10" ht="15" customHeight="1">
      <c r="A54" s="345" t="s">
        <v>872</v>
      </c>
      <c r="B54" s="488">
        <f>+GETPIVOTDATA("Sum of Old-Total Grad FTE",'FTE Pivot for regular counts'!$A$2,"State","SC","Category",1,"Category2","Four-Year")</f>
        <v>8741.4166666666679</v>
      </c>
      <c r="C54" s="488">
        <f>+GETPIVOTDATA("Sum of Old-Total Grad FTE",'FTE Pivot for regular counts'!$A$2,"State","SC","Category",2,"Category2","Four-Year")</f>
        <v>0</v>
      </c>
      <c r="D54" s="488">
        <f>+GETPIVOTDATA("Sum of Old-Total Grad FTE",'FTE Pivot for regular counts'!$A$2,"State","SC","Category",3,"Category2","Four-Year")</f>
        <v>1861.3125</v>
      </c>
      <c r="E54" s="488">
        <f>+GETPIVOTDATA("Sum of Old-Total Grad FTE",'FTE Pivot for regular counts'!$A$2,"State","SC","Category",4,"Category2","Four-Year")</f>
        <v>0</v>
      </c>
      <c r="F54" s="488">
        <f>+GETPIVOTDATA("Sum of Old-Total Grad FTE",'FTE Pivot for regular counts'!$A$2,"State","SC","Category",5,"Category2","Four-Year")</f>
        <v>1101.5</v>
      </c>
      <c r="G54" s="486">
        <f>+GETPIVOTDATA("Sum of Old-Total Grad FTE",'FTE Pivot for regular counts'!$A$2,"State","SC","Category",6,"Category2","Four-Year")</f>
        <v>278.16666666666663</v>
      </c>
      <c r="H54" s="489">
        <f>+GETPIVOTDATA("Sum of Old-Total Grad FTE",'FTE Pivot for regular counts'!$A$2,"State","SC","Category2","Four-Year")</f>
        <v>11982.395833333334</v>
      </c>
    </row>
    <row r="55" spans="1:10" ht="15" customHeight="1">
      <c r="B55" s="488"/>
      <c r="C55" s="488"/>
      <c r="D55" s="488"/>
      <c r="E55" s="488"/>
      <c r="F55" s="488"/>
      <c r="G55" s="486"/>
      <c r="H55" s="489"/>
    </row>
    <row r="56" spans="1:10" ht="15" customHeight="1">
      <c r="A56" s="345" t="s">
        <v>873</v>
      </c>
      <c r="B56" s="488">
        <f>+GETPIVOTDATA("Sum of Old-Total Grad FTE",'FTE Pivot for regular counts'!$A$2,"State","TN","Category",1,"Category2","Four-Year")</f>
        <v>7580.0416666666661</v>
      </c>
      <c r="C56" s="488">
        <f>+GETPIVOTDATA("Sum of Old-Total Grad FTE",'FTE Pivot for regular counts'!$A$2,"State","TN","Category",2,"Category2","Four-Year")</f>
        <v>3366.2083333333335</v>
      </c>
      <c r="D56" s="488">
        <f>+GETPIVOTDATA("Sum of Old-Total Grad FTE",'FTE Pivot for regular counts'!$A$2,"State","TN","Category",3,"Category2","Four-Year")</f>
        <v>4103.291666666667</v>
      </c>
      <c r="E56" s="488">
        <f>+GETPIVOTDATA("Sum of Old-Total Grad FTE",'FTE Pivot for regular counts'!$A$2,"State","TN","Category",4,"Category2","Four-Year")</f>
        <v>0</v>
      </c>
      <c r="F56" s="488">
        <f>+GETPIVOTDATA("Sum of Old-Total Grad FTE",'FTE Pivot for regular counts'!$A$2,"State","TN","Category",5,"Category2","Four-Year")</f>
        <v>246.375</v>
      </c>
      <c r="G56" s="486">
        <f>+GETPIVOTDATA("Sum of Old-Total Grad FTE",'FTE Pivot for regular counts'!$A$2,"State","TN","Category",6,"Category2","Four-Year")</f>
        <v>0</v>
      </c>
      <c r="H56" s="489">
        <f>+GETPIVOTDATA("Sum of Old-Total Grad FTE",'FTE Pivot for regular counts'!$A$2,"State","TN","Category2","Four-Year")</f>
        <v>15295.916666666668</v>
      </c>
    </row>
    <row r="57" spans="1:10" ht="15" customHeight="1">
      <c r="A57" s="345" t="s">
        <v>874</v>
      </c>
      <c r="B57" s="488">
        <f>+GETPIVOTDATA("Sum of Old-Total Grad FTE",'FTE Pivot for regular counts'!$A$2,"State","TX","Category",1,"Category2","Four-Year")</f>
        <v>52919.625</v>
      </c>
      <c r="C57" s="488">
        <f>+GETPIVOTDATA("Sum of Old-Total Grad FTE",'FTE Pivot for regular counts'!$A$2,"State","TX","Category",2,"Category2","Four-Year")</f>
        <v>9223.9166666666661</v>
      </c>
      <c r="D57" s="488">
        <f>+GETPIVOTDATA("Sum of Old-Total Grad FTE",'FTE Pivot for regular counts'!$A$2,"State","TX","Category",3,"Category2","Four-Year")</f>
        <v>29826.208333333328</v>
      </c>
      <c r="E57" s="488">
        <f>+GETPIVOTDATA("Sum of Old-Total Grad FTE",'FTE Pivot for regular counts'!$A$2,"State","TX","Category",4,"Category2","Four-Year")</f>
        <v>1479.0833333333335</v>
      </c>
      <c r="F57" s="488">
        <f>+GETPIVOTDATA("Sum of Old-Total Grad FTE",'FTE Pivot for regular counts'!$A$2,"State","TX","Category",5,"Category2","Four-Year")</f>
        <v>1350.6666666666665</v>
      </c>
      <c r="G57" s="486">
        <f>+GETPIVOTDATA("Sum of Old-Total Grad FTE",'FTE Pivot for regular counts'!$A$2,"State","TX","Category",6,"Category2","Four-Year")</f>
        <v>0</v>
      </c>
      <c r="H57" s="489">
        <f>+GETPIVOTDATA("Sum of Old-Total Grad FTE",'FTE Pivot for regular counts'!$A$2,"State","TX","Category2","Four-Year")</f>
        <v>94799.5</v>
      </c>
    </row>
    <row r="58" spans="1:10" ht="15" customHeight="1">
      <c r="A58" s="345" t="s">
        <v>875</v>
      </c>
      <c r="B58" s="488">
        <f>+GETPIVOTDATA("Sum of Old-Total Grad FTE",'FTE Pivot for regular counts'!$A$2,"State","VA","Category",1,"Category2","Four-Year")</f>
        <v>28650.0625</v>
      </c>
      <c r="C58" s="488">
        <f>+GETPIVOTDATA("Sum of Old-Total Grad FTE",'FTE Pivot for regular counts'!$A$2,"State","VA","Category",2,"Category2","Four-Year")</f>
        <v>2279.875</v>
      </c>
      <c r="D58" s="488">
        <f>+GETPIVOTDATA("Sum of Old-Total Grad FTE",'FTE Pivot for regular counts'!$A$2,"State","VA","Category",3,"Category2","Four-Year")</f>
        <v>3638.3916666666664</v>
      </c>
      <c r="E58" s="488">
        <f>+GETPIVOTDATA("Sum of Old-Total Grad FTE",'FTE Pivot for regular counts'!$A$2,"State","VA","Category",4,"Category2","Four-Year")</f>
        <v>0</v>
      </c>
      <c r="F58" s="488">
        <f>+GETPIVOTDATA("Sum of Old-Total Grad FTE",'FTE Pivot for regular counts'!$A$2,"State","VA","Category",5,"Category2","Four-Year")</f>
        <v>136.75</v>
      </c>
      <c r="G58" s="486">
        <f>+GETPIVOTDATA("Sum of Old-Total Grad FTE",'FTE Pivot for regular counts'!$A$2,"State","VA","Category",6,"Category2","Four-Year")</f>
        <v>0</v>
      </c>
      <c r="H58" s="489">
        <f>+GETPIVOTDATA("Sum of Old-Total Grad FTE",'FTE Pivot for regular counts'!$A$2,"State","VA","Category2","Four-Year")</f>
        <v>34705.079166666663</v>
      </c>
    </row>
    <row r="59" spans="1:10" ht="15" customHeight="1">
      <c r="A59" s="461" t="s">
        <v>876</v>
      </c>
      <c r="B59" s="491">
        <f>+GETPIVOTDATA("Sum of Old-Total Grad FTE",'FTE Pivot for regular counts'!$A$2,"State","WV","Category",1,"Category2","Four-Year")</f>
        <v>4333.5</v>
      </c>
      <c r="C59" s="491">
        <f>+GETPIVOTDATA("Sum of Old-Total Grad FTE",'FTE Pivot for regular counts'!$A$2,"State","WV","Category",2,"Category2","Four-Year")</f>
        <v>0</v>
      </c>
      <c r="D59" s="491">
        <f>+GETPIVOTDATA("Sum of Old-Total Grad FTE",'FTE Pivot for regular counts'!$A$2,"State","WV","Category",3,"Category2","Four-Year")</f>
        <v>2911.1666666666665</v>
      </c>
      <c r="E59" s="491">
        <f>+GETPIVOTDATA("Sum of Old-Total Grad FTE",'FTE Pivot for regular counts'!$A$2,"State","WV","Category",4,"Category2","Four-Year")</f>
        <v>0</v>
      </c>
      <c r="F59" s="491">
        <f>+GETPIVOTDATA("Sum of Old-Total Grad FTE",'FTE Pivot for regular counts'!$A$2,"State","WV","Category",5,"Category2","Four-Year")</f>
        <v>784.25</v>
      </c>
      <c r="G59" s="492">
        <f>+GETPIVOTDATA("Sum of Old-Total Grad FTE",'FTE Pivot for regular counts'!$A$2,"State","WV","Category",6,"Category2","Four-Year")</f>
        <v>36.791666666666664</v>
      </c>
      <c r="H59" s="493">
        <f>+GETPIVOTDATA("Sum of Old-Total Grad FTE",'FTE Pivot for regular counts'!$A$2,"State","WV","Category2","Four-Year")</f>
        <v>8065.708333333333</v>
      </c>
    </row>
    <row r="60" spans="1:10" ht="37.5" customHeight="1">
      <c r="A60" s="761" t="s">
        <v>1009</v>
      </c>
      <c r="B60" s="766"/>
      <c r="C60" s="766"/>
      <c r="D60" s="766"/>
      <c r="E60" s="766"/>
      <c r="F60" s="766"/>
      <c r="G60" s="766"/>
      <c r="H60" s="766"/>
    </row>
    <row r="61" spans="1:10">
      <c r="A61" s="497"/>
      <c r="B61" s="473"/>
      <c r="C61" s="473"/>
      <c r="D61" s="473"/>
      <c r="E61" s="473"/>
      <c r="F61" s="473"/>
      <c r="G61" s="473"/>
      <c r="H61" s="498" t="s">
        <v>956</v>
      </c>
    </row>
    <row r="62" spans="1:10">
      <c r="A62" s="497"/>
      <c r="B62" s="473"/>
      <c r="C62" s="473"/>
      <c r="D62" s="473"/>
      <c r="E62" s="473"/>
      <c r="F62" s="473"/>
      <c r="G62" s="473"/>
      <c r="H62" s="498"/>
    </row>
    <row r="63" spans="1:10" ht="18">
      <c r="A63" s="395" t="s">
        <v>881</v>
      </c>
      <c r="B63" s="395"/>
      <c r="C63" s="395"/>
      <c r="D63" s="395"/>
      <c r="E63" s="395"/>
      <c r="F63" s="395"/>
      <c r="G63" s="395"/>
      <c r="H63" s="499"/>
      <c r="J63" s="412"/>
    </row>
    <row r="64" spans="1:10" ht="15.75">
      <c r="A64" s="500"/>
      <c r="B64" s="478"/>
      <c r="C64" s="478"/>
      <c r="D64" s="478"/>
      <c r="E64" s="478"/>
      <c r="F64" s="478"/>
      <c r="G64" s="478"/>
      <c r="H64" s="405"/>
    </row>
    <row r="65" spans="1:8" ht="15.75">
      <c r="A65" s="478" t="s">
        <v>882</v>
      </c>
      <c r="B65" s="478"/>
      <c r="C65" s="478"/>
      <c r="D65" s="478"/>
      <c r="E65" s="478"/>
      <c r="F65" s="478"/>
      <c r="G65" s="478"/>
      <c r="H65" s="405"/>
    </row>
    <row r="66" spans="1:8" ht="15.75">
      <c r="A66" s="405" t="s">
        <v>1016</v>
      </c>
      <c r="B66" s="478"/>
      <c r="C66" s="478"/>
      <c r="D66" s="478"/>
      <c r="E66" s="478"/>
      <c r="F66" s="478"/>
      <c r="G66" s="478"/>
      <c r="H66" s="405"/>
    </row>
    <row r="67" spans="1:8" ht="15.75">
      <c r="A67" s="478"/>
      <c r="B67" s="478"/>
      <c r="C67" s="478"/>
      <c r="D67" s="478"/>
      <c r="E67" s="478"/>
      <c r="F67" s="478"/>
      <c r="G67" s="478"/>
      <c r="H67" s="405"/>
    </row>
    <row r="68" spans="1:8" ht="15" customHeight="1">
      <c r="A68" s="414"/>
      <c r="B68" s="414" t="s">
        <v>833</v>
      </c>
      <c r="C68" s="414"/>
      <c r="D68" s="414"/>
      <c r="E68" s="414"/>
      <c r="F68" s="414"/>
      <c r="G68" s="414"/>
      <c r="H68" s="480"/>
    </row>
    <row r="69" spans="1:8" ht="15" customHeight="1">
      <c r="A69" s="481"/>
      <c r="B69" s="482">
        <v>1</v>
      </c>
      <c r="C69" s="482">
        <v>2</v>
      </c>
      <c r="D69" s="482">
        <v>3</v>
      </c>
      <c r="E69" s="482">
        <v>4</v>
      </c>
      <c r="F69" s="482">
        <v>5</v>
      </c>
      <c r="G69" s="483">
        <v>6</v>
      </c>
      <c r="H69" s="484" t="s">
        <v>845</v>
      </c>
    </row>
    <row r="70" spans="1:8" ht="15" customHeight="1">
      <c r="A70" s="345" t="s">
        <v>853</v>
      </c>
      <c r="B70" s="485">
        <f>+'OLD Tables'!B9+'OLD Tables'!B39</f>
        <v>1218107.3737499998</v>
      </c>
      <c r="C70" s="485">
        <f>+'OLD Tables'!D9+'OLD Tables'!C39</f>
        <v>243263.24800000002</v>
      </c>
      <c r="D70" s="485">
        <f>+'OLD Tables'!F9+'OLD Tables'!D39</f>
        <v>648402.02083333326</v>
      </c>
      <c r="E70" s="485">
        <f>+'OLD Tables'!H9+'OLD Tables'!E39</f>
        <v>154323.10833333337</v>
      </c>
      <c r="F70" s="485">
        <f>+'OLD Tables'!J9+'OLD Tables'!F39</f>
        <v>103609.29166666667</v>
      </c>
      <c r="G70" s="486">
        <f>+'OLD Tables'!L9+'OLD Tables'!G39</f>
        <v>69154.901666666658</v>
      </c>
      <c r="H70" s="487">
        <f>+'OLD Tables'!N9+'OLD Tables'!H39</f>
        <v>2436859.9442500002</v>
      </c>
    </row>
    <row r="71" spans="1:8" ht="15" customHeight="1">
      <c r="B71" s="485"/>
      <c r="C71" s="485"/>
      <c r="D71" s="485"/>
      <c r="E71" s="485"/>
      <c r="F71" s="485"/>
      <c r="G71" s="486"/>
      <c r="H71" s="487"/>
    </row>
    <row r="72" spans="1:8" ht="15" customHeight="1">
      <c r="A72" s="345" t="s">
        <v>861</v>
      </c>
      <c r="B72" s="488">
        <f>+'OLD Tables'!B11+'OLD Tables'!B41</f>
        <v>58512.358333333337</v>
      </c>
      <c r="C72" s="488">
        <f>+'OLD Tables'!D11+'OLD Tables'!C41</f>
        <v>16841.033333333333</v>
      </c>
      <c r="D72" s="488">
        <f>+'OLD Tables'!F11+'OLD Tables'!D41</f>
        <v>37846.500000000007</v>
      </c>
      <c r="E72" s="488">
        <f>+'OLD Tables'!H11+'OLD Tables'!E41</f>
        <v>9623.7833333333328</v>
      </c>
      <c r="F72" s="488">
        <f>+'OLD Tables'!J11+'OLD Tables'!F41</f>
        <v>5844.7333333333327</v>
      </c>
      <c r="G72" s="486">
        <f>+'OLD Tables'!L11+'OLD Tables'!G41</f>
        <v>2347.1999999999998</v>
      </c>
      <c r="H72" s="489">
        <f>+'OLD Tables'!N11+'OLD Tables'!H41</f>
        <v>131015.60833333334</v>
      </c>
    </row>
    <row r="73" spans="1:8" ht="15" customHeight="1">
      <c r="A73" s="270" t="s">
        <v>862</v>
      </c>
      <c r="B73" s="488">
        <f>+'OLD Tables'!B12+'OLD Tables'!B42</f>
        <v>24313.158333333333</v>
      </c>
      <c r="C73" s="488">
        <f>+'OLD Tables'!D12+'OLD Tables'!C42</f>
        <v>8888.4500000000007</v>
      </c>
      <c r="D73" s="488">
        <f>+'OLD Tables'!F12+'OLD Tables'!D42</f>
        <v>31208.35</v>
      </c>
      <c r="E73" s="488">
        <f>+'OLD Tables'!H12+'OLD Tables'!E42</f>
        <v>6692.05</v>
      </c>
      <c r="F73" s="488">
        <f>+'OLD Tables'!J12+'OLD Tables'!F42</f>
        <v>2418.0833333333335</v>
      </c>
      <c r="G73" s="486">
        <f>+'OLD Tables'!L12+'OLD Tables'!G42</f>
        <v>7980.583333333333</v>
      </c>
      <c r="H73" s="489">
        <f>+'OLD Tables'!N12+'OLD Tables'!H42</f>
        <v>81500.675000000003</v>
      </c>
    </row>
    <row r="74" spans="1:8" ht="15" customHeight="1">
      <c r="A74" s="345" t="s">
        <v>863</v>
      </c>
      <c r="B74" s="488">
        <f>+'OLD Tables'!B13+'OLD Tables'!B43</f>
        <v>21165.558333333331</v>
      </c>
      <c r="C74" s="488">
        <f>+'OLD Tables'!D13+'OLD Tables'!C43</f>
        <v>0</v>
      </c>
      <c r="D74" s="488">
        <f>+'OLD Tables'!F13+'OLD Tables'!D43</f>
        <v>4293.2749999999996</v>
      </c>
      <c r="E74" s="345">
        <f>+'OLD Tables'!H13+'OLD Tables'!E43</f>
        <v>0</v>
      </c>
      <c r="F74" s="488">
        <f>+'OLD Tables'!J13+'OLD Tables'!F43</f>
        <v>0</v>
      </c>
      <c r="G74" s="486">
        <f>+'OLD Tables'!L13+'OLD Tables'!G43</f>
        <v>0</v>
      </c>
      <c r="H74" s="345">
        <f>+'OLD Tables'!N13+'OLD Tables'!H43</f>
        <v>25458.833333333332</v>
      </c>
    </row>
    <row r="75" spans="1:8" ht="15" customHeight="1">
      <c r="A75" s="345" t="s">
        <v>864</v>
      </c>
      <c r="B75" s="488">
        <f>+'OLD Tables'!B14+'OLD Tables'!B44</f>
        <v>250021.36666666667</v>
      </c>
      <c r="C75" s="488">
        <f>+'OLD Tables'!D14+'OLD Tables'!C44</f>
        <v>0</v>
      </c>
      <c r="D75" s="488">
        <f>+'OLD Tables'!F14+'OLD Tables'!D44</f>
        <v>33367.133333333331</v>
      </c>
      <c r="E75" s="488">
        <f>+'OLD Tables'!H14+'OLD Tables'!E44</f>
        <v>12456.9</v>
      </c>
      <c r="F75" s="488">
        <f>+'OLD Tables'!J14+'OLD Tables'!F44</f>
        <v>0</v>
      </c>
      <c r="G75" s="486">
        <f>+'OLD Tables'!L14+'OLD Tables'!G44</f>
        <v>974.93333333333328</v>
      </c>
      <c r="H75" s="489">
        <f>+'OLD Tables'!N14+'OLD Tables'!H44</f>
        <v>296820.33333333331</v>
      </c>
    </row>
    <row r="76" spans="1:8" ht="15" customHeight="1">
      <c r="B76" s="488"/>
      <c r="C76" s="488"/>
      <c r="D76" s="488"/>
      <c r="E76" s="488"/>
      <c r="F76" s="488"/>
      <c r="G76" s="486"/>
      <c r="H76" s="489"/>
    </row>
    <row r="77" spans="1:8" ht="15" customHeight="1">
      <c r="A77" s="345" t="s">
        <v>865</v>
      </c>
      <c r="B77" s="488">
        <f>+'OLD Tables'!B16+'OLD Tables'!B46</f>
        <v>68387.399999999994</v>
      </c>
      <c r="C77" s="488">
        <f>+'OLD Tables'!D16+'OLD Tables'!C46</f>
        <v>25388.472166666666</v>
      </c>
      <c r="D77" s="488">
        <f>+'OLD Tables'!F16+'OLD Tables'!D46</f>
        <v>68420.675000000017</v>
      </c>
      <c r="E77" s="488">
        <f>+'OLD Tables'!H16+'OLD Tables'!E46</f>
        <v>51195.73333333333</v>
      </c>
      <c r="F77" s="488">
        <f>+'OLD Tables'!J16+'OLD Tables'!F46</f>
        <v>6766.0250000000005</v>
      </c>
      <c r="G77" s="486">
        <f>+'OLD Tables'!L16+'OLD Tables'!G46</f>
        <v>21806.066666666666</v>
      </c>
      <c r="H77" s="489">
        <f>+'OLD Tables'!N16+'OLD Tables'!H46</f>
        <v>241964.3721666667</v>
      </c>
    </row>
    <row r="78" spans="1:8" ht="15" customHeight="1">
      <c r="A78" s="345" t="s">
        <v>866</v>
      </c>
      <c r="B78" s="488">
        <f>+'OLD Tables'!B17+'OLD Tables'!B47</f>
        <v>40960.891666666663</v>
      </c>
      <c r="C78" s="488">
        <f>+'OLD Tables'!D17+'OLD Tables'!C47</f>
        <v>0</v>
      </c>
      <c r="D78" s="488">
        <f>+'OLD Tables'!F17+'OLD Tables'!D47</f>
        <v>58667.466666666674</v>
      </c>
      <c r="E78" s="488">
        <f>+'OLD Tables'!H17+'OLD Tables'!E47</f>
        <v>1463.9083333333333</v>
      </c>
      <c r="F78" s="488">
        <f>+'OLD Tables'!J17+'OLD Tables'!F47</f>
        <v>0</v>
      </c>
      <c r="G78" s="486">
        <f>+'OLD Tables'!L17+'OLD Tables'!G47</f>
        <v>0</v>
      </c>
      <c r="H78" s="489">
        <f>+'OLD Tables'!N17+'OLD Tables'!H47</f>
        <v>101092.26666666668</v>
      </c>
    </row>
    <row r="79" spans="1:8" ht="15" customHeight="1">
      <c r="A79" s="345" t="s">
        <v>867</v>
      </c>
      <c r="B79" s="488">
        <f>+'OLD Tables'!B18+'OLD Tables'!B48</f>
        <v>30062.870833333334</v>
      </c>
      <c r="C79" s="488">
        <f>+'OLD Tables'!D18+'OLD Tables'!C48</f>
        <v>31546.491666666665</v>
      </c>
      <c r="D79" s="488">
        <f>+'OLD Tables'!F18+'OLD Tables'!D48</f>
        <v>25278.958333333332</v>
      </c>
      <c r="E79" s="488">
        <f>+'OLD Tables'!H18+'OLD Tables'!E48</f>
        <v>27148.500000000004</v>
      </c>
      <c r="F79" s="488">
        <f>+'OLD Tables'!J18+'OLD Tables'!F48</f>
        <v>2317.4250000000002</v>
      </c>
      <c r="G79" s="486">
        <f>+'OLD Tables'!L18+'OLD Tables'!G48</f>
        <v>2026.6</v>
      </c>
      <c r="H79" s="489">
        <f>+'OLD Tables'!N18+'OLD Tables'!H48</f>
        <v>118380.84583333334</v>
      </c>
    </row>
    <row r="80" spans="1:8" ht="15" customHeight="1">
      <c r="A80" s="345" t="s">
        <v>868</v>
      </c>
      <c r="B80" s="488">
        <f>+'OLD Tables'!B19+'OLD Tables'!B49</f>
        <v>33712.807083333333</v>
      </c>
      <c r="C80" s="488">
        <f>+'OLD Tables'!D19+'OLD Tables'!C49</f>
        <v>19306.958333333332</v>
      </c>
      <c r="D80" s="488">
        <f>+'OLD Tables'!F19+'OLD Tables'!D49</f>
        <v>24545.841666666667</v>
      </c>
      <c r="E80" s="488">
        <f>+'OLD Tables'!H19+'OLD Tables'!E49</f>
        <v>22458.149999999998</v>
      </c>
      <c r="F80" s="488">
        <f>+'OLD Tables'!J19+'OLD Tables'!F49</f>
        <v>2584.6666666666665</v>
      </c>
      <c r="G80" s="486">
        <f>+'OLD Tables'!L19+'OLD Tables'!G49</f>
        <v>1841.9833333333333</v>
      </c>
      <c r="H80" s="489">
        <f>+'OLD Tables'!N19+'OLD Tables'!H49</f>
        <v>104450.40708333332</v>
      </c>
    </row>
    <row r="81" spans="1:13" ht="15" customHeight="1">
      <c r="B81" s="488"/>
      <c r="C81" s="488"/>
      <c r="D81" s="488"/>
      <c r="E81" s="488"/>
      <c r="F81" s="488"/>
      <c r="G81" s="486"/>
      <c r="H81" s="489"/>
    </row>
    <row r="82" spans="1:13" ht="15" customHeight="1">
      <c r="A82" s="345" t="s">
        <v>869</v>
      </c>
      <c r="B82" s="488">
        <f>+'OLD Tables'!B21+'OLD Tables'!B51</f>
        <v>30868.758333333331</v>
      </c>
      <c r="C82" s="488">
        <f>+'OLD Tables'!D21+'OLD Tables'!C51</f>
        <v>27504.270833333336</v>
      </c>
      <c r="D82" s="488">
        <f>+'OLD Tables'!F21+'OLD Tables'!D51</f>
        <v>0</v>
      </c>
      <c r="E82" s="488">
        <f>+'OLD Tables'!H21+'OLD Tables'!E51</f>
        <v>8497.9</v>
      </c>
      <c r="F82" s="488">
        <f>+'OLD Tables'!J21+'OLD Tables'!F51</f>
        <v>2495.25</v>
      </c>
      <c r="G82" s="486">
        <f>+'OLD Tables'!L21+'OLD Tables'!G51</f>
        <v>0</v>
      </c>
      <c r="H82" s="489">
        <f>+'OLD Tables'!N21+'OLD Tables'!H51</f>
        <v>69366.179166666669</v>
      </c>
    </row>
    <row r="83" spans="1:13" ht="15" customHeight="1">
      <c r="A83" s="345" t="s">
        <v>870</v>
      </c>
      <c r="B83" s="488">
        <f>+'OLD Tables'!B22+'OLD Tables'!B52</f>
        <v>94903.8</v>
      </c>
      <c r="C83" s="488">
        <f>+'OLD Tables'!D22+'OLD Tables'!C52</f>
        <v>23866.841666666667</v>
      </c>
      <c r="D83" s="488">
        <f>+'OLD Tables'!F22+'OLD Tables'!D52</f>
        <v>58361.158333333333</v>
      </c>
      <c r="E83" s="488">
        <f>+'OLD Tables'!H22+'OLD Tables'!E52</f>
        <v>5466.85</v>
      </c>
      <c r="F83" s="488">
        <f>+'OLD Tables'!J22+'OLD Tables'!F52</f>
        <v>10320.366666666667</v>
      </c>
      <c r="G83" s="486">
        <f>+'OLD Tables'!L22+'OLD Tables'!G52</f>
        <v>5115.8749999999991</v>
      </c>
      <c r="H83" s="489">
        <f>+'OLD Tables'!N22+'OLD Tables'!H52</f>
        <v>198034.89166666666</v>
      </c>
    </row>
    <row r="84" spans="1:13" ht="15" customHeight="1">
      <c r="A84" s="345" t="s">
        <v>871</v>
      </c>
      <c r="B84" s="488">
        <f>+'OLD Tables'!B23+'OLD Tables'!B53</f>
        <v>49915.391666666663</v>
      </c>
      <c r="C84" s="488">
        <f>+'OLD Tables'!D23+'OLD Tables'!C53</f>
        <v>0</v>
      </c>
      <c r="D84" s="488">
        <f>+'OLD Tables'!F23+'OLD Tables'!D53</f>
        <v>19977.641666666666</v>
      </c>
      <c r="E84" s="488">
        <f>+'OLD Tables'!H23+'OLD Tables'!E53</f>
        <v>3138.6499999999996</v>
      </c>
      <c r="F84" s="488">
        <f>+'OLD Tables'!J23+'OLD Tables'!F53</f>
        <v>16365</v>
      </c>
      <c r="G84" s="486">
        <f>+'OLD Tables'!L23+'OLD Tables'!G53</f>
        <v>4878.5083333333332</v>
      </c>
      <c r="H84" s="489">
        <f>+'OLD Tables'!N23+'OLD Tables'!H53</f>
        <v>94275.191666666651</v>
      </c>
    </row>
    <row r="85" spans="1:13" ht="15" customHeight="1">
      <c r="A85" s="345" t="s">
        <v>872</v>
      </c>
      <c r="B85" s="488">
        <f>+'OLD Tables'!B24+'OLD Tables'!B54</f>
        <v>51893.983333333337</v>
      </c>
      <c r="C85" s="488">
        <f>+'OLD Tables'!D24+'OLD Tables'!C54</f>
        <v>0</v>
      </c>
      <c r="D85" s="488">
        <f>+'OLD Tables'!F24+'OLD Tables'!D54</f>
        <v>20010.395833333332</v>
      </c>
      <c r="E85" s="488">
        <f>+'OLD Tables'!H24+'OLD Tables'!E54</f>
        <v>0</v>
      </c>
      <c r="F85" s="488">
        <f>+'OLD Tables'!J24+'OLD Tables'!F54</f>
        <v>16061.833333333332</v>
      </c>
      <c r="G85" s="486">
        <f>+'OLD Tables'!L24+'OLD Tables'!G54</f>
        <v>12491.383333333333</v>
      </c>
      <c r="H85" s="489">
        <f>+'OLD Tables'!N24+'OLD Tables'!H54</f>
        <v>100457.59583333331</v>
      </c>
    </row>
    <row r="86" spans="1:13" ht="15" customHeight="1">
      <c r="B86" s="488"/>
      <c r="C86" s="488"/>
      <c r="D86" s="488"/>
      <c r="E86" s="488"/>
      <c r="F86" s="488"/>
      <c r="G86" s="486"/>
      <c r="H86" s="489"/>
    </row>
    <row r="87" spans="1:13" ht="15" customHeight="1">
      <c r="A87" s="345" t="s">
        <v>873</v>
      </c>
      <c r="B87" s="488">
        <f>+'OLD Tables'!B26+'OLD Tables'!B56</f>
        <v>41771.074999999997</v>
      </c>
      <c r="C87" s="488">
        <f>+'OLD Tables'!D26+'OLD Tables'!C56</f>
        <v>20272.141666666666</v>
      </c>
      <c r="D87" s="488">
        <f>+'OLD Tables'!F26+'OLD Tables'!D56</f>
        <v>48164.224999999999</v>
      </c>
      <c r="E87" s="488">
        <f>+'OLD Tables'!H26+'OLD Tables'!E56</f>
        <v>0</v>
      </c>
      <c r="F87" s="488">
        <f>+'OLD Tables'!J26+'OLD Tables'!F56</f>
        <v>6274.6416666666664</v>
      </c>
      <c r="G87" s="486">
        <f>+'OLD Tables'!L26+'OLD Tables'!G56</f>
        <v>0</v>
      </c>
      <c r="H87" s="489">
        <f>+'OLD Tables'!N26+'OLD Tables'!H56</f>
        <v>116482.08333333333</v>
      </c>
    </row>
    <row r="88" spans="1:13" ht="15" customHeight="1">
      <c r="A88" s="345" t="s">
        <v>874</v>
      </c>
      <c r="B88" s="488">
        <f>+'OLD Tables'!B27+'OLD Tables'!B57</f>
        <v>263622.95833333331</v>
      </c>
      <c r="C88" s="488">
        <f>+'OLD Tables'!D27+'OLD Tables'!C57</f>
        <v>61157.716666666667</v>
      </c>
      <c r="D88" s="488">
        <f>+'OLD Tables'!F27+'OLD Tables'!D57</f>
        <v>157713.40833333333</v>
      </c>
      <c r="E88" s="488">
        <f>+'OLD Tables'!H27+'OLD Tables'!E57</f>
        <v>6180.6833333333343</v>
      </c>
      <c r="F88" s="488">
        <f>+'OLD Tables'!J27+'OLD Tables'!F57</f>
        <v>15409.733333333332</v>
      </c>
      <c r="G88" s="486">
        <f>+'OLD Tables'!L27+'OLD Tables'!G57</f>
        <v>0</v>
      </c>
      <c r="H88" s="489">
        <f>+'OLD Tables'!N27+'OLD Tables'!H57</f>
        <v>504084.49999999994</v>
      </c>
    </row>
    <row r="89" spans="1:13" ht="15" customHeight="1">
      <c r="A89" s="345" t="s">
        <v>875</v>
      </c>
      <c r="B89" s="488">
        <f>+'OLD Tables'!B28+'OLD Tables'!B58</f>
        <v>131923.99583333335</v>
      </c>
      <c r="C89" s="488">
        <f>+'OLD Tables'!D28+'OLD Tables'!C58</f>
        <v>8490.8716666666678</v>
      </c>
      <c r="D89" s="488">
        <f>+'OLD Tables'!F28+'OLD Tables'!D58</f>
        <v>48910.891666666663</v>
      </c>
      <c r="E89" s="488">
        <f>+'OLD Tables'!H28+'OLD Tables'!E58</f>
        <v>0</v>
      </c>
      <c r="F89" s="488">
        <f>+'OLD Tables'!J28+'OLD Tables'!F58</f>
        <v>5063.1166666666668</v>
      </c>
      <c r="G89" s="486">
        <f>+'OLD Tables'!L28+'OLD Tables'!G58</f>
        <v>1733.5333333333333</v>
      </c>
      <c r="H89" s="489">
        <f>+'OLD Tables'!N28+'OLD Tables'!H58</f>
        <v>196122.40916666665</v>
      </c>
    </row>
    <row r="90" spans="1:13" ht="15" customHeight="1">
      <c r="A90" s="461" t="s">
        <v>876</v>
      </c>
      <c r="B90" s="491">
        <f>+'OLD Tables'!B29+'OLD Tables'!B59</f>
        <v>26071</v>
      </c>
      <c r="C90" s="491">
        <f>+'OLD Tables'!D29+'OLD Tables'!C59</f>
        <v>0</v>
      </c>
      <c r="D90" s="491">
        <f>+'OLD Tables'!F29+'OLD Tables'!D59</f>
        <v>11636.099999999999</v>
      </c>
      <c r="E90" s="491">
        <f>+'OLD Tables'!H29+'OLD Tables'!E59</f>
        <v>0</v>
      </c>
      <c r="F90" s="491">
        <f>+'OLD Tables'!J29+'OLD Tables'!F59</f>
        <v>11688.416666666668</v>
      </c>
      <c r="G90" s="492">
        <f>+'OLD Tables'!L29+'OLD Tables'!G59</f>
        <v>7958.2349999999997</v>
      </c>
      <c r="H90" s="493">
        <f>+'OLD Tables'!N29+'OLD Tables'!H59</f>
        <v>57353.751666666671</v>
      </c>
    </row>
    <row r="91" spans="1:13" ht="51.75" customHeight="1">
      <c r="A91" s="761" t="s">
        <v>1010</v>
      </c>
      <c r="B91" s="766"/>
      <c r="C91" s="766"/>
      <c r="D91" s="766"/>
      <c r="E91" s="766"/>
      <c r="F91" s="766"/>
      <c r="G91" s="766"/>
      <c r="H91" s="766"/>
    </row>
    <row r="92" spans="1:13">
      <c r="A92" s="497"/>
      <c r="B92" s="473"/>
      <c r="C92" s="473"/>
      <c r="D92" s="473"/>
      <c r="E92" s="473"/>
      <c r="F92" s="473"/>
      <c r="G92" s="473"/>
      <c r="H92" s="498" t="s">
        <v>956</v>
      </c>
    </row>
    <row r="93" spans="1:13" ht="18">
      <c r="A93" s="758" t="s">
        <v>885</v>
      </c>
      <c r="B93" s="758"/>
      <c r="C93" s="758"/>
      <c r="D93" s="758"/>
      <c r="E93" s="758"/>
      <c r="F93" s="758"/>
      <c r="G93" s="758"/>
      <c r="H93" s="758"/>
      <c r="I93" s="758"/>
      <c r="J93" s="758"/>
      <c r="K93" s="752"/>
      <c r="L93" s="752"/>
      <c r="M93" s="508"/>
    </row>
    <row r="94" spans="1:13" ht="15.75">
      <c r="A94" s="401"/>
      <c r="B94" s="401"/>
      <c r="C94" s="401"/>
      <c r="D94" s="401"/>
      <c r="E94" s="401"/>
      <c r="F94" s="401"/>
      <c r="G94" s="401"/>
      <c r="H94" s="402"/>
      <c r="I94" s="401"/>
      <c r="J94" s="402"/>
      <c r="K94" s="402"/>
      <c r="L94" s="402"/>
      <c r="M94" s="403"/>
    </row>
    <row r="95" spans="1:13" ht="15.75">
      <c r="A95" s="759" t="s">
        <v>886</v>
      </c>
      <c r="B95" s="759"/>
      <c r="C95" s="759"/>
      <c r="D95" s="759"/>
      <c r="E95" s="759"/>
      <c r="F95" s="759"/>
      <c r="G95" s="759"/>
      <c r="H95" s="759"/>
      <c r="I95" s="759"/>
      <c r="J95" s="759"/>
      <c r="K95" s="753"/>
      <c r="L95" s="753"/>
      <c r="M95" s="510"/>
    </row>
    <row r="96" spans="1:13" ht="15.75">
      <c r="A96" s="760" t="s">
        <v>887</v>
      </c>
      <c r="B96" s="760"/>
      <c r="C96" s="760"/>
      <c r="D96" s="760"/>
      <c r="E96" s="760"/>
      <c r="F96" s="760"/>
      <c r="G96" s="760"/>
      <c r="H96" s="760"/>
      <c r="I96" s="760"/>
      <c r="J96" s="760"/>
      <c r="K96" s="753"/>
      <c r="L96" s="753"/>
      <c r="M96" s="510"/>
    </row>
    <row r="97" spans="1:13">
      <c r="B97" s="409"/>
      <c r="C97" s="409"/>
      <c r="D97" s="409"/>
      <c r="E97" s="409"/>
      <c r="F97" s="409"/>
      <c r="G97" s="409"/>
      <c r="H97" s="372"/>
      <c r="I97" s="409"/>
      <c r="J97" s="372"/>
      <c r="K97" s="372"/>
      <c r="L97" s="372"/>
      <c r="M97" s="410"/>
    </row>
    <row r="98" spans="1:13" ht="15" customHeight="1">
      <c r="A98" s="513"/>
      <c r="B98" s="514" t="s">
        <v>889</v>
      </c>
      <c r="C98" s="514"/>
      <c r="D98" s="415"/>
      <c r="E98" s="415"/>
      <c r="F98" s="515"/>
      <c r="G98" s="516" t="s">
        <v>890</v>
      </c>
      <c r="H98" s="416"/>
      <c r="I98" s="517"/>
      <c r="J98" s="407" t="s">
        <v>891</v>
      </c>
      <c r="K98" s="407" t="s">
        <v>891</v>
      </c>
      <c r="L98" s="412"/>
      <c r="M98" s="407"/>
    </row>
    <row r="99" spans="1:13" ht="24">
      <c r="A99" s="419"/>
      <c r="B99" s="522" t="s">
        <v>892</v>
      </c>
      <c r="C99" s="482">
        <v>1</v>
      </c>
      <c r="D99" s="482">
        <v>2</v>
      </c>
      <c r="E99" s="482">
        <v>3</v>
      </c>
      <c r="F99" s="523" t="s">
        <v>845</v>
      </c>
      <c r="G99" s="524">
        <v>1</v>
      </c>
      <c r="H99" s="525">
        <v>2</v>
      </c>
      <c r="I99" s="484" t="s">
        <v>845</v>
      </c>
      <c r="J99" s="526"/>
      <c r="K99" s="526"/>
      <c r="L99" s="526"/>
      <c r="M99" s="526"/>
    </row>
    <row r="100" spans="1:13" ht="15" customHeight="1">
      <c r="A100" s="345" t="s">
        <v>853</v>
      </c>
      <c r="B100" s="452">
        <f>+GETPIVOTDATA("Sum of Old-Total Undg SCH FTE",'FTE Pivot for regular counts'!$A$2,"Category","7","Category2","Two-Year")</f>
        <v>310936.44999999995</v>
      </c>
      <c r="C100" s="494">
        <f>+GETPIVOTDATA("Sum of Old-Total Undg SCH FTE",'FTE Pivot for regular counts'!$A$2,"Category","8","Category2","Two-Year")</f>
        <v>794781.05300000007</v>
      </c>
      <c r="D100" s="452">
        <f>+GETPIVOTDATA("Sum of Old-Total Undg SCH FTE",'FTE Pivot for regular counts'!$A$2,"Category","9","Category2","Two-Year")</f>
        <v>363601.95600000001</v>
      </c>
      <c r="E100" s="452">
        <f>+GETPIVOTDATA("Sum of Old-Total Undg SCH FTE",'FTE Pivot for regular counts'!$A$2,"Category","10","Category2","Two-Year")</f>
        <v>131223.43700000001</v>
      </c>
      <c r="F100" s="529">
        <f>+GETPIVOTDATA("Sum of Old-Total Undg SCH FTE",'FTE Pivot for regular counts'!$A$2,"Category2","Two-Year")</f>
        <v>1600542.8959999999</v>
      </c>
      <c r="G100" s="530">
        <f>+GETPIVOTDATA("Sum of Old-Total Undg SCH FTE",'FTE Pivot for regular counts'!$A$2,"Category","12","Category2","Technical")</f>
        <v>83365.833333333314</v>
      </c>
      <c r="H100" s="495">
        <f>+GETPIVOTDATA("Sum of Old-Total Undg SCH FTE",'FTE Pivot for regular counts'!$A$2,"Category","13","Category2","Technical")</f>
        <v>1774.5</v>
      </c>
      <c r="I100" s="270">
        <f>+GETPIVOTDATA("Sum of Old-Total Undg SCH FTE",'FTE Pivot for regular counts'!$A$2,"Category2","Technical")</f>
        <v>85140.333333333314</v>
      </c>
      <c r="J100" s="269"/>
    </row>
    <row r="101" spans="1:13" ht="15" customHeight="1">
      <c r="B101" s="452"/>
      <c r="C101" s="494"/>
      <c r="D101" s="452"/>
      <c r="E101" s="452"/>
      <c r="F101" s="529"/>
      <c r="G101" s="530"/>
      <c r="H101" s="495"/>
      <c r="I101" s="270"/>
      <c r="J101" s="269"/>
    </row>
    <row r="102" spans="1:13" ht="15" customHeight="1">
      <c r="A102" s="345" t="s">
        <v>861</v>
      </c>
      <c r="B102" s="452">
        <f>+GETPIVOTDATA("Sum of Old-Total Undg SCH FTE",'FTE Pivot for regular counts'!$A$2,"State","AL","Category","7","Category2","Two-Year")</f>
        <v>0</v>
      </c>
      <c r="C102" s="494">
        <f>+GETPIVOTDATA("Sum of Old-Total Undg SCH FTE",'FTE Pivot for regular counts'!$A$2,"State","AL","Category","8","Category2","Two-Year")</f>
        <v>12914.266666666666</v>
      </c>
      <c r="D102" s="452">
        <f>+GETPIVOTDATA("Sum of Old-Total Undg SCH FTE",'FTE Pivot for regular counts'!$A$2,"State","AL","Category","9","Category2","Two-Year")</f>
        <v>35549.866666666669</v>
      </c>
      <c r="E102" s="452">
        <f>+GETPIVOTDATA("Sum of Old-Total Undg SCH FTE",'FTE Pivot for regular counts'!$A$2,"State","AL","Category","10","Category2","Two-Year")</f>
        <v>11250.233333333334</v>
      </c>
      <c r="F102" s="529">
        <f>+GETPIVOTDATA("Sum of Old-Total Undg SCH FTE",'FTE Pivot for regular counts'!$A$2,"State","AL","Category2","Two-Year")</f>
        <v>59714.366666666669</v>
      </c>
      <c r="G102" s="530">
        <f>+GETPIVOTDATA("Sum of Old-Total Undg SCH FTE",'FTE Pivot for regular counts'!$A$2,"State","AL","Category","12","Category2","Technical")</f>
        <v>1202.9000000000001</v>
      </c>
      <c r="H102" s="495">
        <f>+GETPIVOTDATA("Sum of Old-Total Undg SCH FTE",'FTE Pivot for regular counts'!$A$2,"State","AL","Category","13","Category2","Technical")</f>
        <v>1774.5</v>
      </c>
      <c r="I102" s="270">
        <f>+GETPIVOTDATA("Sum of Old-Total Undg SCH FTE",'FTE Pivot for regular counts'!$A$2,"State","AL","Category2","Technical")</f>
        <v>2977.4</v>
      </c>
      <c r="J102" s="269"/>
    </row>
    <row r="103" spans="1:13" ht="15" customHeight="1">
      <c r="A103" s="270" t="s">
        <v>862</v>
      </c>
      <c r="B103" s="494">
        <f>+GETPIVOTDATA("Sum of Old-Total Undg SCH FTE",'FTE Pivot for regular counts'!$A$2,"State","AR","Category","7","Category2","Two-Year")</f>
        <v>0</v>
      </c>
      <c r="C103" s="494">
        <f>+GETPIVOTDATA("Sum of Old-Total Undg SCH FTE",'FTE Pivot for regular counts'!$A$2,"State","AR","Category","8","Category2","Two-Year")</f>
        <v>10656.633333333333</v>
      </c>
      <c r="D103" s="494">
        <f>+GETPIVOTDATA("Sum of Old-Total Undg SCH FTE",'FTE Pivot for regular counts'!$A$2,"State","AR","Category","9","Category2","Two-Year")</f>
        <v>4918.666666666667</v>
      </c>
      <c r="E103" s="494">
        <f>+GETPIVOTDATA("Sum of Old-Total Undg SCH FTE",'FTE Pivot for regular counts'!$A$2,"State","AR","Category","10","Category2","Two-Year")</f>
        <v>19247.333333333336</v>
      </c>
      <c r="F103" s="529">
        <f>+GETPIVOTDATA("Sum of Old-Total Undg SCH FTE",'FTE Pivot for regular counts'!$A$2,"State","AR","Category2","Two-Year")</f>
        <v>34822.633333333331</v>
      </c>
      <c r="G103" s="530">
        <f>+GETPIVOTDATA("Sum of Old-Total Undg SCH FTE",'FTE Pivot for regular counts'!$A$2,"State","AR","Category","12","Category2","Technical")</f>
        <v>0</v>
      </c>
      <c r="H103" s="495">
        <f>+GETPIVOTDATA("Sum of Old-Total Undg SCH FTE",'FTE Pivot for regular counts'!$A$2,"State","AR","Category","13","Category2","Technical")</f>
        <v>0</v>
      </c>
      <c r="I103" s="269">
        <f>+GETPIVOTDATA("Sum of Old-Total Undg SCH FTE",'FTE Pivot for regular counts'!$A$2,"State","AR","Category2","Technical")</f>
        <v>0</v>
      </c>
      <c r="J103" s="269"/>
      <c r="K103" s="269"/>
      <c r="L103" s="269"/>
    </row>
    <row r="104" spans="1:13" ht="15" customHeight="1">
      <c r="A104" s="345" t="s">
        <v>863</v>
      </c>
      <c r="B104" s="494">
        <f>+GETPIVOTDATA("Sum of Old-Total Undg SCH FTE",'FTE Pivot for regular counts'!$A$2,"State","DE","Category","7","Category2","Two-Year")</f>
        <v>0</v>
      </c>
      <c r="C104" s="494">
        <f>+GETPIVOTDATA("Sum of Old-Total Undg SCH FTE",'FTE Pivot for regular counts'!$A$2,"State","DE","Category","8","Category2","Two-Year")</f>
        <v>0</v>
      </c>
      <c r="D104" s="494">
        <f>+GETPIVOTDATA("Sum of Old-Total Undg SCH FTE",'FTE Pivot for regular counts'!$A$2,"State","DE","Category","9","Category2","Two-Year")</f>
        <v>9102</v>
      </c>
      <c r="E104" s="494">
        <f>+GETPIVOTDATA("Sum of Old-Total Undg SCH FTE",'FTE Pivot for regular counts'!$A$2,"State","DE","Category","10","Category2","Two-Year")</f>
        <v>0</v>
      </c>
      <c r="F104" s="529">
        <f>+GETPIVOTDATA("Sum of Old-Total Undg SCH FTE",'FTE Pivot for regular counts'!$A$2,"State","DE","Category2","Two-Year")</f>
        <v>9102</v>
      </c>
      <c r="G104" s="530">
        <f>+GETPIVOTDATA("Sum of Old-Total Undg SCH FTE",'FTE Pivot for regular counts'!$A$2,"State","DE","Category","12","Category2","Technical")</f>
        <v>0</v>
      </c>
      <c r="H104" s="495">
        <f>+GETPIVOTDATA("Sum of Old-Total Undg SCH FTE",'FTE Pivot for regular counts'!$A$2,"State","DE","Category","13","Category2","Technical")</f>
        <v>0</v>
      </c>
      <c r="I104" s="269">
        <f>+GETPIVOTDATA("Sum of Old-Total Undg SCH FTE",'FTE Pivot for regular counts'!$A$2,"State","DE","Category2","Technical")</f>
        <v>0</v>
      </c>
      <c r="J104" s="269"/>
      <c r="K104" s="269"/>
      <c r="L104" s="269"/>
    </row>
    <row r="105" spans="1:13" ht="15" customHeight="1">
      <c r="A105" s="345" t="s">
        <v>864</v>
      </c>
      <c r="B105" s="494">
        <f>+GETPIVOTDATA("Sum of Old-Total Undg SCH FTE",'FTE Pivot for regular counts'!$A$2,"State","FL","Category","7","Category2","Two-Year")</f>
        <v>259778.89999999997</v>
      </c>
      <c r="C105" s="494">
        <f>+GETPIVOTDATA("Sum of Old-Total Undg SCH FTE",'FTE Pivot for regular counts'!$A$2,"State","FL","Category","8","Category2","Two-Year")</f>
        <v>44959.166666666672</v>
      </c>
      <c r="D105" s="494">
        <f>+GETPIVOTDATA("Sum of Old-Total Undg SCH FTE",'FTE Pivot for regular counts'!$A$2,"State","FL","Category","9","Category2","Two-Year")</f>
        <v>4395.3666666666668</v>
      </c>
      <c r="E105" s="494">
        <f>+GETPIVOTDATA("Sum of Old-Total Undg SCH FTE",'FTE Pivot for regular counts'!$A$2,"State","FL","Category","10","Category2","Two-Year")</f>
        <v>1375</v>
      </c>
      <c r="F105" s="529">
        <f>+GETPIVOTDATA("Sum of Old-Total Undg SCH FTE",'FTE Pivot for regular counts'!$A$2,"State","FL","Category2","Two-Year")</f>
        <v>310508.43333333329</v>
      </c>
      <c r="G105" s="530">
        <f>+GETPIVOTDATA("Sum of Old-Total Undg SCH FTE",'FTE Pivot for regular counts'!$A$2,"State","FL","Category","12","Category2","Technical")</f>
        <v>0</v>
      </c>
      <c r="H105" s="495">
        <f>+GETPIVOTDATA("Sum of Old-Total Undg SCH FTE",'FTE Pivot for regular counts'!$A$2,"State","FL","Category","13","Category2","Technical")</f>
        <v>0</v>
      </c>
      <c r="I105" s="269">
        <f>+GETPIVOTDATA("Sum of Old-Total Undg SCH FTE",'FTE Pivot for regular counts'!$A$2,"State","FL","Category2","Technical")</f>
        <v>0</v>
      </c>
      <c r="J105" s="269"/>
      <c r="K105" s="269"/>
      <c r="L105" s="269"/>
    </row>
    <row r="106" spans="1:13" ht="15" customHeight="1">
      <c r="B106" s="494"/>
      <c r="C106" s="494"/>
      <c r="D106" s="494"/>
      <c r="E106" s="494"/>
      <c r="F106" s="529"/>
      <c r="G106" s="530"/>
      <c r="H106" s="495"/>
      <c r="I106" s="269"/>
      <c r="J106" s="269"/>
      <c r="K106" s="269"/>
      <c r="L106" s="269"/>
    </row>
    <row r="107" spans="1:13" ht="15" customHeight="1">
      <c r="A107" s="345" t="s">
        <v>865</v>
      </c>
      <c r="B107" s="494">
        <f>+GETPIVOTDATA("Sum of Old-Total Undg SCH FTE",'FTE Pivot for regular counts'!$A$2,"State","GA","Category","7","Category2","Two-Year")</f>
        <v>17067.55</v>
      </c>
      <c r="C107" s="494">
        <f>+GETPIVOTDATA("Sum of Old-Total Undg SCH FTE",'FTE Pivot for regular counts'!$A$2,"State","GA","Category","8","Category2","Two-Year")</f>
        <v>15173.966666666667</v>
      </c>
      <c r="D107" s="494">
        <f>+GETPIVOTDATA("Sum of Old-Total Undg SCH FTE",'FTE Pivot for regular counts'!$A$2,"State","GA","Category","9","Category2","Two-Year")</f>
        <v>4031.6666666666665</v>
      </c>
      <c r="E107" s="494">
        <f>+GETPIVOTDATA("Sum of Old-Total Undg SCH FTE",'FTE Pivot for regular counts'!$A$2,"State","GA","Category","10","Category2","Two-Year")</f>
        <v>1668.6333333333334</v>
      </c>
      <c r="F107" s="529">
        <f>+GETPIVOTDATA("Sum of Old-Total Undg SCH FTE",'FTE Pivot for regular counts'!$A$2,"State","GA","Category2","Two-Year")</f>
        <v>37941.816666666666</v>
      </c>
      <c r="G107" s="530">
        <f>+GETPIVOTDATA("Sum of Old-Total Undg SCH FTE",'FTE Pivot for regular counts'!$A$2,"State","GA","Category","12","Category2","Technical")</f>
        <v>67506.233333333323</v>
      </c>
      <c r="H107" s="495">
        <f>+GETPIVOTDATA("Sum of Old-Total Undg SCH FTE",'FTE Pivot for regular counts'!$A$2,"State","GA","Category","13","Category2","Technical")</f>
        <v>0</v>
      </c>
      <c r="I107" s="269">
        <f>+GETPIVOTDATA("Sum of Old-Total Undg SCH FTE",'FTE Pivot for regular counts'!$A$2,"State","GA","Category2","Technical")</f>
        <v>67506.233333333323</v>
      </c>
      <c r="J107" s="269"/>
      <c r="K107" s="269"/>
      <c r="L107" s="269"/>
    </row>
    <row r="108" spans="1:13" ht="15" customHeight="1">
      <c r="A108" s="345" t="s">
        <v>866</v>
      </c>
      <c r="B108" s="494">
        <f>+GETPIVOTDATA("Sum of Old-Total Undg SCH FTE",'FTE Pivot for regular counts'!$A$2,"State","KY","Category","7","Category2","Two-Year")</f>
        <v>0</v>
      </c>
      <c r="C108" s="494">
        <f>+GETPIVOTDATA("Sum of Old-Total Undg SCH FTE",'FTE Pivot for regular counts'!$A$2,"State","KY","Category","8","Category2","Two-Year")</f>
        <v>13931.1</v>
      </c>
      <c r="D108" s="494">
        <f>+GETPIVOTDATA("Sum of Old-Total Undg SCH FTE",'FTE Pivot for regular counts'!$A$2,"State","KY","Category","9","Category2","Two-Year")</f>
        <v>25999.066666666666</v>
      </c>
      <c r="E108" s="494">
        <f>+GETPIVOTDATA("Sum of Old-Total Undg SCH FTE",'FTE Pivot for regular counts'!$A$2,"State","KY","Category","10","Category2","Two-Year")</f>
        <v>2858.3333333333335</v>
      </c>
      <c r="F108" s="529">
        <f>+GETPIVOTDATA("Sum of Old-Total Undg SCH FTE",'FTE Pivot for regular counts'!$A$2,"State","KY","Category2","Two-Year")</f>
        <v>42788.5</v>
      </c>
      <c r="G108" s="530">
        <f>+GETPIVOTDATA("Sum of Old-Total Undg SCH FTE",'FTE Pivot for regular counts'!$A$2,"State","KY","Category","12","Category2","Technical")</f>
        <v>4898.7</v>
      </c>
      <c r="H108" s="495">
        <f>+GETPIVOTDATA("Sum of Old-Total Undg SCH FTE",'FTE Pivot for regular counts'!$A$2,"State","KY","Category","13","Category2","Technical")</f>
        <v>0</v>
      </c>
      <c r="I108" s="269">
        <f>+GETPIVOTDATA("Sum of Old-Total Undg SCH FTE",'FTE Pivot for regular counts'!$A$2,"State","KY","Category2","Technical")</f>
        <v>4898.7</v>
      </c>
      <c r="J108" s="269"/>
      <c r="K108" s="269"/>
      <c r="L108" s="269"/>
    </row>
    <row r="109" spans="1:13" ht="15" customHeight="1">
      <c r="A109" s="345" t="s">
        <v>867</v>
      </c>
      <c r="B109" s="494">
        <f>+GETPIVOTDATA("Sum of Old-Total Undg SCH FTE",'FTE Pivot for regular counts'!$A$2,"State","LA","Category","7","Category2","Two-Year")</f>
        <v>0</v>
      </c>
      <c r="C109" s="494">
        <f>+GETPIVOTDATA("Sum of Old-Total Undg SCH FTE",'FTE Pivot for regular counts'!$A$2,"State","LA","Category","8","Category2","Two-Year")</f>
        <v>22957.266666666666</v>
      </c>
      <c r="D109" s="494">
        <f>+GETPIVOTDATA("Sum of Old-Total Undg SCH FTE",'FTE Pivot for regular counts'!$A$2,"State","LA","Category","9","Category2","Two-Year")</f>
        <v>9229.7333333333336</v>
      </c>
      <c r="E109" s="494">
        <f>+GETPIVOTDATA("Sum of Old-Total Undg SCH FTE",'FTE Pivot for regular counts'!$A$2,"State","LA","Category","10","Category2","Two-Year")</f>
        <v>4471.8666666666668</v>
      </c>
      <c r="F109" s="529">
        <f>+GETPIVOTDATA("Sum of Old-Total Undg SCH FTE",'FTE Pivot for regular counts'!$A$2,"State","LA","Category2","Two-Year")</f>
        <v>36658.866666666669</v>
      </c>
      <c r="G109" s="530">
        <f>+GETPIVOTDATA("Sum of Old-Total Undg SCH FTE",'FTE Pivot for regular counts'!$A$2,"State","LA","Category","12","Category2","Technical")</f>
        <v>9758</v>
      </c>
      <c r="H109" s="495">
        <f>+GETPIVOTDATA("Sum of Old-Total Undg SCH FTE",'FTE Pivot for regular counts'!$A$2,"State","LA","Category","13","Category2","Technical")</f>
        <v>0</v>
      </c>
      <c r="I109" s="269">
        <f>+GETPIVOTDATA("Sum of Old-Total Undg SCH FTE",'FTE Pivot for regular counts'!$A$2,"State","LA","Category2","Technical")</f>
        <v>9758</v>
      </c>
      <c r="J109" s="269"/>
      <c r="K109" s="269"/>
      <c r="L109" s="269"/>
    </row>
    <row r="110" spans="1:13" ht="15" customHeight="1">
      <c r="A110" s="345" t="s">
        <v>868</v>
      </c>
      <c r="B110" s="494">
        <f>+GETPIVOTDATA("Sum of Old-Total Undg SCH FTE",'FTE Pivot for regular counts'!$A$2,"State","MD","Category","7","Category2","Two-Year")</f>
        <v>0</v>
      </c>
      <c r="C110" s="494">
        <f>+GETPIVOTDATA("Sum of Old-Total Undg SCH FTE",'FTE Pivot for regular counts'!$A$2,"State","MD","Category","8","Category2","Two-Year")</f>
        <v>67112.533333333326</v>
      </c>
      <c r="D110" s="494">
        <f>+GETPIVOTDATA("Sum of Old-Total Undg SCH FTE",'FTE Pivot for regular counts'!$A$2,"State","MD","Category","9","Category2","Two-Year")</f>
        <v>16717.633333333331</v>
      </c>
      <c r="E110" s="494">
        <f>+GETPIVOTDATA("Sum of Old-Total Undg SCH FTE",'FTE Pivot for regular counts'!$A$2,"State","MD","Category","10","Category2","Two-Year")</f>
        <v>5415.4916666666668</v>
      </c>
      <c r="F110" s="529">
        <f>+GETPIVOTDATA("Sum of Old-Total Undg SCH FTE",'FTE Pivot for regular counts'!$A$2,"State","MD","Category2","Two-Year")</f>
        <v>89245.658333333326</v>
      </c>
      <c r="G110" s="530">
        <f>+GETPIVOTDATA("Sum of Old-Total Undg SCH FTE",'FTE Pivot for regular counts'!$A$2,"State","MD","Category","12","Category2","Technical")</f>
        <v>0</v>
      </c>
      <c r="H110" s="495">
        <f>+GETPIVOTDATA("Sum of Old-Total Undg SCH FTE",'FTE Pivot for regular counts'!$A$2,"State","MD","Category","13","Category2","Technical")</f>
        <v>0</v>
      </c>
      <c r="I110" s="269">
        <f>+GETPIVOTDATA("Sum of Old-Total Undg SCH FTE",'FTE Pivot for regular counts'!$A$2,"State","MD","Category2","Technical")</f>
        <v>0</v>
      </c>
      <c r="J110" s="269"/>
      <c r="K110" s="269"/>
      <c r="L110" s="269"/>
    </row>
    <row r="111" spans="1:13" ht="15" customHeight="1">
      <c r="B111" s="494"/>
      <c r="C111" s="494"/>
      <c r="D111" s="494"/>
      <c r="E111" s="494"/>
      <c r="F111" s="529"/>
      <c r="G111" s="530"/>
      <c r="H111" s="495"/>
      <c r="I111" s="269"/>
      <c r="J111" s="269"/>
      <c r="K111" s="269"/>
      <c r="L111" s="269"/>
    </row>
    <row r="112" spans="1:13" ht="15" customHeight="1">
      <c r="A112" s="345" t="s">
        <v>869</v>
      </c>
      <c r="B112" s="494">
        <f>+GETPIVOTDATA("Sum of Old-Total Undg SCH FTE",'FTE Pivot for regular counts'!$A$2,"State","MS","Category","7","Category2","Two-Year")</f>
        <v>0</v>
      </c>
      <c r="C112" s="494">
        <f>+GETPIVOTDATA("Sum of Old-Total Undg SCH FTE",'FTE Pivot for regular counts'!$A$2,"State","MS","Category","8","Category2","Two-Year")</f>
        <v>29990.933333333331</v>
      </c>
      <c r="D112" s="494">
        <f>+GETPIVOTDATA("Sum of Old-Total Undg SCH FTE",'FTE Pivot for regular counts'!$A$2,"State","MS","Category","9","Category2","Two-Year")</f>
        <v>31231.966666666667</v>
      </c>
      <c r="E112" s="494">
        <f>+GETPIVOTDATA("Sum of Old-Total Undg SCH FTE",'FTE Pivot for regular counts'!$A$2,"State","MS","Category","10","Category2","Two-Year")</f>
        <v>3591.666666666667</v>
      </c>
      <c r="F112" s="529">
        <f>+GETPIVOTDATA("Sum of Old-Total Undg SCH FTE",'FTE Pivot for regular counts'!$A$2,"State","MS","Category2","Two-Year")</f>
        <v>64814.566666666658</v>
      </c>
      <c r="G112" s="530">
        <f>+GETPIVOTDATA("Sum of Old-Total Undg SCH FTE",'FTE Pivot for regular counts'!$A$2,"State","MS","Category","12","Category2","Technical")</f>
        <v>0</v>
      </c>
      <c r="H112" s="495">
        <f>+GETPIVOTDATA("Sum of Old-Total Undg SCH FTE",'FTE Pivot for regular counts'!$A$2,"State","MS","Category","13","Category2","Technical")</f>
        <v>0</v>
      </c>
      <c r="I112" s="269">
        <f>+GETPIVOTDATA("Sum of Old-Total Undg SCH FTE",'FTE Pivot for regular counts'!$A$2,"State","MS","Category2","Technical")</f>
        <v>0</v>
      </c>
      <c r="J112" s="269"/>
      <c r="K112" s="269"/>
      <c r="L112" s="269"/>
    </row>
    <row r="113" spans="1:13" ht="15" customHeight="1">
      <c r="A113" s="345" t="s">
        <v>870</v>
      </c>
      <c r="B113" s="494">
        <f>+GETPIVOTDATA("Sum of Old-Total Undg SCH FTE",'FTE Pivot for regular counts'!$A$2,"State","NC","Category","7","Category2","Two-Year")</f>
        <v>0</v>
      </c>
      <c r="C113" s="494">
        <f>+GETPIVOTDATA("Sum of Old-Total Undg SCH FTE",'FTE Pivot for regular counts'!$A$2,"State","NC","Category","8","Category2","Two-Year")</f>
        <v>72745.736666666664</v>
      </c>
      <c r="D113" s="494">
        <f>+GETPIVOTDATA("Sum of Old-Total Undg SCH FTE",'FTE Pivot for regular counts'!$A$2,"State","NC","Category","9","Category2","Two-Year")</f>
        <v>59930.216666666667</v>
      </c>
      <c r="E113" s="494">
        <f>+GETPIVOTDATA("Sum of Old-Total Undg SCH FTE",'FTE Pivot for regular counts'!$A$2,"State","NC","Category","10","Category2","Two-Year")</f>
        <v>24192.333333333336</v>
      </c>
      <c r="F113" s="529">
        <f>+GETPIVOTDATA("Sum of Old-Total Undg SCH FTE",'FTE Pivot for regular counts'!$A$2,"State","NC","Category2","Two-Year")</f>
        <v>156868.28666666668</v>
      </c>
      <c r="G113" s="530">
        <f>+GETPIVOTDATA("Sum of Old-Total Undg SCH FTE",'FTE Pivot for regular counts'!$A$2,"State","NC","Category","12","Category2","Technical")</f>
        <v>0</v>
      </c>
      <c r="H113" s="495">
        <f>+GETPIVOTDATA("Sum of Old-Total Undg SCH FTE",'FTE Pivot for regular counts'!$A$2,"State","NC","Category","13","Category2","Technical")</f>
        <v>0</v>
      </c>
      <c r="I113" s="269">
        <f>+GETPIVOTDATA("Sum of Old-Total Undg SCH FTE",'FTE Pivot for regular counts'!$A$2,"State","NC","Category2","Technical")</f>
        <v>0</v>
      </c>
      <c r="J113" s="269"/>
      <c r="K113" s="269"/>
      <c r="L113" s="269"/>
    </row>
    <row r="114" spans="1:13" ht="15" customHeight="1">
      <c r="A114" s="345" t="s">
        <v>871</v>
      </c>
      <c r="B114" s="494">
        <f>+GETPIVOTDATA("Sum of Old-Total Undg SCH FTE",'FTE Pivot for regular counts'!$A$2,"State","OK","Category","7","Category2","Two-Year")</f>
        <v>6647.7</v>
      </c>
      <c r="C114" s="494">
        <f>+GETPIVOTDATA("Sum of Old-Total Undg SCH FTE",'FTE Pivot for regular counts'!$A$2,"State","OK","Category","8","Category2","Two-Year")</f>
        <v>19343.533333333333</v>
      </c>
      <c r="D114" s="494">
        <f>+GETPIVOTDATA("Sum of Old-Total Undg SCH FTE",'FTE Pivot for regular counts'!$A$2,"State","OK","Category","9","Category2","Two-Year")</f>
        <v>7302.6666666666661</v>
      </c>
      <c r="E114" s="494">
        <f>+GETPIVOTDATA("Sum of Old-Total Undg SCH FTE",'FTE Pivot for regular counts'!$A$2,"State","OK","Category","10","Category2","Two-Year")</f>
        <v>11579.599999999999</v>
      </c>
      <c r="F114" s="529">
        <f>+GETPIVOTDATA("Sum of Old-Total Undg SCH FTE",'FTE Pivot for regular counts'!$A$2,"State","OK","Category2","Two-Year")</f>
        <v>44873.5</v>
      </c>
      <c r="G114" s="530">
        <f>+GETPIVOTDATA("Sum of Old-Total Undg SCH FTE",'FTE Pivot for regular counts'!$A$2,"State","OK","Category","12","Category2","Technical")</f>
        <v>0</v>
      </c>
      <c r="H114" s="495">
        <f>+GETPIVOTDATA("Sum of Old-Total Undg SCH FTE",'FTE Pivot for regular counts'!$A$2,"State","OK","Category","13","Category2","Technical")</f>
        <v>0</v>
      </c>
      <c r="I114" s="269">
        <f>+GETPIVOTDATA("Sum of Old-Total Undg SCH FTE",'FTE Pivot for regular counts'!$A$2,"State","OK","Category2","Technical")</f>
        <v>0</v>
      </c>
      <c r="J114" s="269"/>
      <c r="K114" s="269"/>
      <c r="L114" s="269"/>
    </row>
    <row r="115" spans="1:13" ht="15" customHeight="1">
      <c r="A115" s="345" t="s">
        <v>872</v>
      </c>
      <c r="B115" s="494">
        <f>+GETPIVOTDATA("Sum of Old-Total Undg SCH FTE",'FTE Pivot for regular counts'!$A$2,"State","SC","Category","7","Category2","Two-Year")</f>
        <v>0</v>
      </c>
      <c r="C115" s="494">
        <f>+GETPIVOTDATA("Sum of Old-Total Undg SCH FTE",'FTE Pivot for regular counts'!$A$2,"State","SC","Category","8","Category2","Two-Year")</f>
        <v>45941.332999999999</v>
      </c>
      <c r="D115" s="494">
        <f>+GETPIVOTDATA("Sum of Old-Total Undg SCH FTE",'FTE Pivot for regular counts'!$A$2,"State","SC","Category","9","Category2","Two-Year")</f>
        <v>16721.939333333336</v>
      </c>
      <c r="E115" s="494">
        <f>+GETPIVOTDATA("Sum of Old-Total Undg SCH FTE",'FTE Pivot for regular counts'!$A$2,"State","SC","Category","10","Category2","Two-Year")</f>
        <v>9016.9219999999987</v>
      </c>
      <c r="F115" s="529">
        <f>+GETPIVOTDATA("Sum of Old-Total Undg SCH FTE",'FTE Pivot for regular counts'!$A$2,"State","SC","Category2","Two-Year")</f>
        <v>71680.194333333333</v>
      </c>
      <c r="G115" s="530">
        <f>+GETPIVOTDATA("Sum of Old-Total Undg SCH FTE",'FTE Pivot for regular counts'!$A$2,"State","SC","Category","12","Category2","Technical")</f>
        <v>0</v>
      </c>
      <c r="H115" s="495">
        <f>+GETPIVOTDATA("Sum of Old-Total Undg SCH FTE",'FTE Pivot for regular counts'!$A$2,"State","SC","Category","13","Category2","Technical")</f>
        <v>0</v>
      </c>
      <c r="I115" s="269">
        <f>+GETPIVOTDATA("Sum of Old-Total Undg SCH FTE",'FTE Pivot for regular counts'!$A$2,"State","SC","Category2","Technical")</f>
        <v>0</v>
      </c>
      <c r="J115" s="269"/>
      <c r="K115" s="269"/>
      <c r="L115" s="269"/>
    </row>
    <row r="116" spans="1:13" ht="15" customHeight="1">
      <c r="B116" s="494"/>
      <c r="C116" s="494"/>
      <c r="D116" s="494"/>
      <c r="E116" s="494"/>
      <c r="F116" s="529"/>
      <c r="G116" s="530"/>
      <c r="H116" s="495"/>
      <c r="I116" s="269"/>
      <c r="J116" s="269"/>
      <c r="K116" s="269"/>
      <c r="L116" s="269"/>
    </row>
    <row r="117" spans="1:13" ht="15" customHeight="1">
      <c r="A117" s="345" t="s">
        <v>873</v>
      </c>
      <c r="B117" s="494">
        <f>+GETPIVOTDATA("Sum of Old-Total Undg SCH FTE",'FTE Pivot for regular counts'!$A$2,"State","TN","Category","7","Category2","Two-Year")</f>
        <v>0</v>
      </c>
      <c r="C117" s="494">
        <f>+GETPIVOTDATA("Sum of Old-Total Undg SCH FTE",'FTE Pivot for regular counts'!$A$2,"State","TN","Category","8","Category2","Two-Year")</f>
        <v>31691.966666666667</v>
      </c>
      <c r="D117" s="494">
        <f>+GETPIVOTDATA("Sum of Old-Total Undg SCH FTE",'FTE Pivot for regular counts'!$A$2,"State","TN","Category","9","Category2","Two-Year")</f>
        <v>24065.633333333335</v>
      </c>
      <c r="E117" s="494">
        <f>+GETPIVOTDATA("Sum of Old-Total Undg SCH FTE",'FTE Pivot for regular counts'!$A$2,"State","TN","Category","10","Category2","Two-Year")</f>
        <v>1657.6333333333334</v>
      </c>
      <c r="F117" s="529">
        <f>+GETPIVOTDATA("Sum of Old-Total Undg SCH FTE",'FTE Pivot for regular counts'!$A$2,"State","TN","Category2","Two-Year")</f>
        <v>57415.233333333337</v>
      </c>
      <c r="G117" s="530">
        <f>+GETPIVOTDATA("Sum of Old-Total Undg SCH FTE",'FTE Pivot for regular counts'!$A$2,"State","TN","Category","12","Category2","Technical")</f>
        <v>0</v>
      </c>
      <c r="H117" s="495">
        <f>+GETPIVOTDATA("Sum of Old-Total Undg SCH FTE",'FTE Pivot for regular counts'!$A$2,"State","TN","Category","13","Category2","Technical")</f>
        <v>0</v>
      </c>
      <c r="I117" s="269">
        <f>+GETPIVOTDATA("Sum of Old-Total Undg SCH FTE",'FTE Pivot for regular counts'!$A$2,"State","TN","Category2","Technical")</f>
        <v>0</v>
      </c>
      <c r="J117" s="269"/>
      <c r="K117" s="269"/>
      <c r="L117" s="269"/>
    </row>
    <row r="118" spans="1:13" ht="15" customHeight="1">
      <c r="A118" s="345" t="s">
        <v>874</v>
      </c>
      <c r="B118" s="494">
        <f>+GETPIVOTDATA("Sum of Old-Total Undg SCH FTE",'FTE Pivot for regular counts'!$A$2,"State","TX","Category","7","Category2","Two-Year")</f>
        <v>26190.566666666666</v>
      </c>
      <c r="C118" s="494">
        <f>+GETPIVOTDATA("Sum of Old-Total Undg SCH FTE",'FTE Pivot for regular counts'!$A$2,"State","TX","Category","8","Category2","Two-Year")</f>
        <v>335776.06666666665</v>
      </c>
      <c r="D118" s="494">
        <f>+GETPIVOTDATA("Sum of Old-Total Undg SCH FTE",'FTE Pivot for regular counts'!$A$2,"State","TX","Category","9","Category2","Two-Year")</f>
        <v>80876.533333333326</v>
      </c>
      <c r="E118" s="494">
        <f>+GETPIVOTDATA("Sum of Old-Total Undg SCH FTE",'FTE Pivot for regular counts'!$A$2,"State","TX","Category","10","Category2","Two-Year")</f>
        <v>13871.066666666668</v>
      </c>
      <c r="F118" s="529">
        <f>+GETPIVOTDATA("Sum of Old-Total Undg SCH FTE",'FTE Pivot for regular counts'!$A$2,"State","TX","Category2","Two-Year")</f>
        <v>456714.23333333328</v>
      </c>
      <c r="G118" s="530">
        <f>+GETPIVOTDATA("Sum of Old-Total Undg SCH FTE",'FTE Pivot for regular counts'!$A$2,"State","TX","Category","12","Category2","Technical")</f>
        <v>0</v>
      </c>
      <c r="H118" s="495">
        <f>+GETPIVOTDATA("Sum of Old-Total Undg SCH FTE",'FTE Pivot for regular counts'!$A$2,"State","TX","Category","13","Category2","Technical")</f>
        <v>0</v>
      </c>
      <c r="I118" s="269">
        <f>+GETPIVOTDATA("Sum of Old-Total Undg SCH FTE",'FTE Pivot for regular counts'!$A$2,"State","TX","Category2","Technical")</f>
        <v>0</v>
      </c>
      <c r="J118" s="269"/>
      <c r="K118" s="269"/>
      <c r="L118" s="269"/>
    </row>
    <row r="119" spans="1:13" ht="15" customHeight="1">
      <c r="A119" s="345" t="s">
        <v>875</v>
      </c>
      <c r="B119" s="494">
        <f>+GETPIVOTDATA("Sum of Old-Total Undg SCH FTE",'FTE Pivot for regular counts'!$A$2,"State","VA","Category","7","Category2","Two-Year")</f>
        <v>0</v>
      </c>
      <c r="C119" s="494">
        <f>+GETPIVOTDATA("Sum of Old-Total Undg SCH FTE",'FTE Pivot for regular counts'!$A$2,"State","VA","Category","8","Category2","Two-Year")</f>
        <v>71586.55</v>
      </c>
      <c r="D119" s="494">
        <f>+GETPIVOTDATA("Sum of Old-Total Undg SCH FTE",'FTE Pivot for regular counts'!$A$2,"State","VA","Category","9","Category2","Two-Year")</f>
        <v>33529</v>
      </c>
      <c r="E119" s="494">
        <f>+GETPIVOTDATA("Sum of Old-Total Undg SCH FTE",'FTE Pivot for regular counts'!$A$2,"State","VA","Category","10","Category2","Two-Year")</f>
        <v>10137.866666666667</v>
      </c>
      <c r="F119" s="529">
        <f>+GETPIVOTDATA("Sum of Old-Total Undg SCH FTE",'FTE Pivot for regular counts'!$A$2,"State","VA","Category2","Two-Year")</f>
        <v>115253.41666666667</v>
      </c>
      <c r="G119" s="530">
        <f>+GETPIVOTDATA("Sum of Old-Total Undg SCH FTE",'FTE Pivot for regular counts'!$A$2,"State","VA","Category","12","Category2","Technical")</f>
        <v>0</v>
      </c>
      <c r="H119" s="495">
        <f>+GETPIVOTDATA("Sum of Old-Total Undg SCH FTE",'FTE Pivot for regular counts'!$A$2,"State","VA","Category","13","Category2","Technical")</f>
        <v>0</v>
      </c>
      <c r="I119" s="269">
        <f>+GETPIVOTDATA("Sum of Old-Total Undg SCH FTE",'FTE Pivot for regular counts'!$A$2,"State","VA","Category2","Technical")</f>
        <v>0</v>
      </c>
      <c r="J119" s="269"/>
      <c r="K119" s="269"/>
      <c r="L119" s="269"/>
    </row>
    <row r="120" spans="1:13" ht="15" customHeight="1">
      <c r="A120" s="461" t="s">
        <v>876</v>
      </c>
      <c r="B120" s="462">
        <f>+GETPIVOTDATA("Sum of Old-Total Undg SCH FTE",'FTE Pivot for regular counts'!$A$2,"State","WV","Category","7","Category2","Two-Year")</f>
        <v>1251.7333333333333</v>
      </c>
      <c r="C120" s="462">
        <f>+GETPIVOTDATA("Sum of Old-Total Undg SCH FTE",'FTE Pivot for regular counts'!$A$2,"State","WV","Category","8","Category2","Two-Year")</f>
        <v>0</v>
      </c>
      <c r="D120" s="462">
        <f>+GETPIVOTDATA("Sum of Old-Total Undg SCH FTE",'FTE Pivot for regular counts'!$A$2,"State","WV","Category","9","Category2","Two-Year")</f>
        <v>0</v>
      </c>
      <c r="E120" s="462">
        <f>+GETPIVOTDATA("Sum of Old-Total Undg SCH FTE",'FTE Pivot for regular counts'!$A$2,"State","WV","Category","10","Category2","Two-Year")</f>
        <v>10889.456666666667</v>
      </c>
      <c r="F120" s="531">
        <f>+GETPIVOTDATA("Sum of Old-Total Undg SCH FTE",'FTE Pivot for regular counts'!$A$2,"State","WV","Category2","Two-Year")</f>
        <v>12141.19</v>
      </c>
      <c r="G120" s="532">
        <f>+GETPIVOTDATA("Sum of Old-Total Undg SCH FTE",'FTE Pivot for regular counts'!$A$2,"State","WV","Category","12","Category2","Technical")</f>
        <v>0</v>
      </c>
      <c r="H120" s="533">
        <f>+GETPIVOTDATA("Sum of Old-Total Undg SCH FTE",'FTE Pivot for regular counts'!$A$2,"State","WV","Category","13","Category2","Technical")</f>
        <v>0</v>
      </c>
      <c r="I120" s="534">
        <f>+GETPIVOTDATA("Sum of Old-Total Undg SCH FTE",'FTE Pivot for regular counts'!$A$2,"State","WV","Category2","Technical")</f>
        <v>0</v>
      </c>
      <c r="J120" s="269"/>
      <c r="K120" s="269"/>
      <c r="L120" s="269"/>
    </row>
    <row r="121" spans="1:13" ht="38.25" customHeight="1">
      <c r="A121" s="757" t="s">
        <v>1008</v>
      </c>
      <c r="B121" s="757"/>
      <c r="C121" s="757"/>
      <c r="D121" s="757"/>
      <c r="E121" s="757"/>
      <c r="F121" s="757"/>
      <c r="G121" s="757"/>
      <c r="H121" s="757"/>
      <c r="I121" s="757"/>
      <c r="J121" s="755"/>
      <c r="K121" s="535"/>
      <c r="L121" s="535"/>
      <c r="M121" s="536"/>
    </row>
    <row r="122" spans="1:13">
      <c r="J122" s="498" t="s">
        <v>956</v>
      </c>
      <c r="K122" s="498"/>
      <c r="L122" s="498"/>
      <c r="M122" s="537"/>
    </row>
    <row r="123" spans="1:13" ht="18">
      <c r="A123" s="758" t="s">
        <v>893</v>
      </c>
      <c r="B123" s="758"/>
      <c r="C123" s="758"/>
      <c r="D123" s="758"/>
      <c r="E123" s="758"/>
      <c r="F123" s="758"/>
      <c r="G123" s="758"/>
      <c r="H123" s="758"/>
      <c r="I123" s="758"/>
      <c r="J123" s="758"/>
      <c r="K123" s="752"/>
      <c r="L123" s="752"/>
      <c r="M123" s="508"/>
    </row>
    <row r="124" spans="1:13" ht="15.75">
      <c r="A124" s="538"/>
      <c r="B124" s="399"/>
      <c r="C124" s="478"/>
      <c r="D124" s="500"/>
      <c r="E124" s="399"/>
      <c r="F124" s="399"/>
      <c r="G124" s="399"/>
      <c r="H124" s="539"/>
      <c r="I124" s="399"/>
      <c r="J124" s="539"/>
      <c r="K124" s="539"/>
      <c r="L124" s="539"/>
    </row>
    <row r="125" spans="1:13" ht="15.75">
      <c r="A125" s="759" t="s">
        <v>894</v>
      </c>
      <c r="B125" s="759"/>
      <c r="C125" s="759"/>
      <c r="D125" s="759"/>
      <c r="E125" s="759"/>
      <c r="F125" s="759"/>
      <c r="G125" s="759"/>
      <c r="H125" s="759"/>
      <c r="I125" s="759"/>
      <c r="J125" s="759"/>
      <c r="K125" s="753"/>
      <c r="L125" s="753"/>
    </row>
    <row r="126" spans="1:13" ht="15.75">
      <c r="A126" s="760" t="s">
        <v>887</v>
      </c>
      <c r="B126" s="760"/>
      <c r="C126" s="760"/>
      <c r="D126" s="760"/>
      <c r="E126" s="760"/>
      <c r="F126" s="760"/>
      <c r="G126" s="760"/>
      <c r="H126" s="760"/>
      <c r="I126" s="760"/>
      <c r="J126" s="760"/>
      <c r="K126" s="753"/>
      <c r="L126" s="753"/>
    </row>
    <row r="127" spans="1:13">
      <c r="A127" s="400"/>
      <c r="B127" s="400"/>
      <c r="C127" s="400"/>
      <c r="D127" s="400"/>
      <c r="E127" s="400"/>
      <c r="F127" s="400"/>
      <c r="G127" s="400"/>
      <c r="H127" s="406"/>
      <c r="I127" s="400"/>
      <c r="J127" s="406"/>
      <c r="K127" s="406"/>
      <c r="L127" s="406"/>
    </row>
    <row r="128" spans="1:13">
      <c r="A128" s="413"/>
      <c r="B128" s="514" t="s">
        <v>889</v>
      </c>
      <c r="C128" s="514"/>
      <c r="D128" s="415"/>
      <c r="E128" s="415"/>
      <c r="F128" s="415"/>
      <c r="G128" s="516" t="s">
        <v>890</v>
      </c>
      <c r="H128" s="416"/>
      <c r="I128" s="517"/>
      <c r="J128" s="407" t="s">
        <v>891</v>
      </c>
      <c r="K128" s="407" t="s">
        <v>891</v>
      </c>
      <c r="L128" s="407"/>
    </row>
    <row r="129" spans="1:12" ht="24">
      <c r="A129" s="419"/>
      <c r="B129" s="522" t="s">
        <v>892</v>
      </c>
      <c r="C129" s="482">
        <v>1</v>
      </c>
      <c r="D129" s="482">
        <v>2</v>
      </c>
      <c r="E129" s="482">
        <v>3</v>
      </c>
      <c r="F129" s="482" t="s">
        <v>845</v>
      </c>
      <c r="G129" s="524">
        <v>1</v>
      </c>
      <c r="H129" s="525">
        <v>2</v>
      </c>
      <c r="I129" s="484" t="s">
        <v>845</v>
      </c>
      <c r="J129" s="526"/>
      <c r="K129" s="526"/>
      <c r="L129" s="526"/>
    </row>
    <row r="130" spans="1:12" ht="15" customHeight="1">
      <c r="A130" s="345" t="s">
        <v>853</v>
      </c>
      <c r="B130" s="548">
        <f>+GETPIVOTDATA("Sum of Old-Total Undg CH FTE",'FTE Pivot for regular counts'!$A$2,"Category","7","Category2","Two-Year")</f>
        <v>17954.125555555554</v>
      </c>
      <c r="C130" s="548">
        <f>+GETPIVOTDATA("Sum of Old-Total Undg CH FTE",'FTE Pivot for regular counts'!$A$2,"Category","8","Category2","Two-Year")</f>
        <v>28319.707777777781</v>
      </c>
      <c r="D130" s="548">
        <f>+GETPIVOTDATA("Sum of Old-Total Undg CH FTE",'FTE Pivot for regular counts'!$A$2,"Category","9","Category2","Two-Year")</f>
        <v>19584.324444444443</v>
      </c>
      <c r="E130" s="548">
        <f>+GETPIVOTDATA("Sum of Old-Total Undg CH FTE",'FTE Pivot for regular counts'!$A$2,"Category","10","Category2","Two-Year")</f>
        <v>8755.0799999999981</v>
      </c>
      <c r="F130" s="549">
        <f>+GETPIVOTDATA("Sum of Old-Total Undg CH FTE",'FTE Pivot for regular counts'!$A$2,"Category2","Two-Year")</f>
        <v>74613.237777777787</v>
      </c>
      <c r="G130" s="548">
        <f>+GETPIVOTDATA("Sum of Old-Total Undg CH FTE",'FTE Pivot for regular counts'!$A$2,"Category","12","Category2","Technical")</f>
        <v>5860.0292111111103</v>
      </c>
      <c r="H130" s="550">
        <f>+GETPIVOTDATA("Sum of Old-Total Undg CH FTE",'FTE Pivot for regular counts'!$A$2,"Category","13","Category2","Technical")</f>
        <v>25295.632422222225</v>
      </c>
      <c r="I130" s="550">
        <f>+GETPIVOTDATA("Sum of Old-Total Undg CH FTE",'FTE Pivot for regular counts'!$A$2,"Category2","Technical")</f>
        <v>31155.661633333337</v>
      </c>
      <c r="J130" s="553"/>
      <c r="K130" s="550"/>
      <c r="L130" s="550"/>
    </row>
    <row r="131" spans="1:12" ht="15" customHeight="1">
      <c r="B131" s="548"/>
      <c r="C131" s="551"/>
      <c r="D131" s="551"/>
      <c r="G131" s="552"/>
      <c r="I131" s="270"/>
      <c r="J131" s="269"/>
    </row>
    <row r="132" spans="1:12" ht="15" customHeight="1">
      <c r="A132" s="345" t="s">
        <v>861</v>
      </c>
      <c r="B132" s="548">
        <f>+GETPIVOTDATA("Sum of Old-Total Undg CH FTE",'FTE Pivot for regular counts'!$A$2,"State","AL","Category","7","Category2","Two-Year")</f>
        <v>0</v>
      </c>
      <c r="C132" s="548">
        <f>+GETPIVOTDATA("Sum of Old-Total Undg CH FTE",'FTE Pivot for regular counts'!$A$2,"State","AL","Category","8","Category2","Two-Year")</f>
        <v>0</v>
      </c>
      <c r="D132" s="548">
        <f>+GETPIVOTDATA("Sum of Old-Total Undg CH FTE",'FTE Pivot for regular counts'!$A$2,"State","AL","Category","9","Category2","Two-Year")</f>
        <v>0</v>
      </c>
      <c r="E132" s="548">
        <f>+GETPIVOTDATA("Sum of Old-Total Undg CH FTE",'FTE Pivot for regular counts'!$A$2,"State","AL","Category","10","Category2","Two-Year")</f>
        <v>0</v>
      </c>
      <c r="F132" s="549">
        <f>+GETPIVOTDATA("Sum of Old-Total Undg CH FTE",'FTE Pivot for regular counts'!$A$2,"State","AL","Category2","Two-Year")</f>
        <v>0</v>
      </c>
      <c r="G132" s="548">
        <f>+GETPIVOTDATA("Sum of Old-Total Undg CH FTE",'FTE Pivot for regular counts'!$A$2,"State","AL","Category","12","Category2","Technical")</f>
        <v>0</v>
      </c>
      <c r="H132" s="550">
        <f>+GETPIVOTDATA("Sum of Old-Total Undg CH FTE",'FTE Pivot for regular counts'!$A$2,"State","AL","Category","13","Category2","Technical")</f>
        <v>0</v>
      </c>
      <c r="I132" s="550">
        <f>+GETPIVOTDATA("Sum of Old-Total Undg CH FTE",'FTE Pivot for regular counts'!$A$2,"State","AL","Category2","Technical")</f>
        <v>0</v>
      </c>
      <c r="J132" s="553"/>
      <c r="K132" s="550"/>
      <c r="L132" s="550"/>
    </row>
    <row r="133" spans="1:12" ht="15" customHeight="1">
      <c r="A133" s="345" t="s">
        <v>862</v>
      </c>
      <c r="B133" s="551">
        <f>+GETPIVOTDATA("Sum of Old-Total Undg CH FTE",'FTE Pivot for regular counts'!$A$2,"State","AR","Category","7","Category2","Two-Year")</f>
        <v>0</v>
      </c>
      <c r="C133" s="551">
        <f>+GETPIVOTDATA("Sum of Old-Total Undg CH FTE",'FTE Pivot for regular counts'!$A$2,"State","AR","Category","8","Category2","Two-Year")</f>
        <v>0</v>
      </c>
      <c r="D133" s="551">
        <f>+GETPIVOTDATA("Sum of Old-Total Undg CH FTE",'FTE Pivot for regular counts'!$A$2,"State","AR","Category","9","Category2","Two-Year")</f>
        <v>0</v>
      </c>
      <c r="E133" s="551">
        <f>+GETPIVOTDATA("Sum of Old-Total Undg CH FTE",'FTE Pivot for regular counts'!$A$2,"State","AR","Category","10","Category2","Two-Year")</f>
        <v>0</v>
      </c>
      <c r="F133" s="549">
        <f>+GETPIVOTDATA("Sum of Old-Total Undg CH FTE",'FTE Pivot for regular counts'!$A$2,"State","AR","Category2","Two-Year")</f>
        <v>0</v>
      </c>
      <c r="G133" s="551">
        <f>+GETPIVOTDATA("Sum of Old-Total Undg CH FTE",'FTE Pivot for regular counts'!$A$2,"State","AR","Category","12","Category2","Technical")</f>
        <v>0</v>
      </c>
      <c r="H133" s="553">
        <f>+GETPIVOTDATA("Sum of Old-Total Undg CH FTE",'FTE Pivot for regular counts'!$A$2,"State","AR","Category","13","Category2","Technical")</f>
        <v>0</v>
      </c>
      <c r="I133" s="553">
        <f>+GETPIVOTDATA("Sum of Old-Total Undg CH FTE",'FTE Pivot for regular counts'!$A$2,"State","AR","Category2","Technical")</f>
        <v>0</v>
      </c>
      <c r="J133" s="553"/>
      <c r="K133" s="553"/>
      <c r="L133" s="553"/>
    </row>
    <row r="134" spans="1:12" ht="15" customHeight="1">
      <c r="A134" s="345" t="s">
        <v>863</v>
      </c>
      <c r="B134" s="551">
        <f>+GETPIVOTDATA("Sum of Old-Total Undg CH FTE",'FTE Pivot for regular counts'!$A$2,"State","DE","Category","7","Category2","Two-Year")</f>
        <v>0</v>
      </c>
      <c r="C134" s="551">
        <f>+GETPIVOTDATA("Sum of Old-Total Undg CH FTE",'FTE Pivot for regular counts'!$A$2,"State","DE","Category","8","Category2","Two-Year")</f>
        <v>0</v>
      </c>
      <c r="D134" s="551">
        <f>+GETPIVOTDATA("Sum of Old-Total Undg CH FTE",'FTE Pivot for regular counts'!$A$2,"State","DE","Category","9","Category2","Two-Year")</f>
        <v>0</v>
      </c>
      <c r="E134" s="551">
        <f>+GETPIVOTDATA("Sum of Old-Total Undg CH FTE",'FTE Pivot for regular counts'!$A$2,"State","DE","Category","10","Category2","Two-Year")</f>
        <v>0</v>
      </c>
      <c r="F134" s="549">
        <f>+GETPIVOTDATA("Sum of Old-Total Undg CH FTE",'FTE Pivot for regular counts'!$A$2,"State","DE","Category2","Two-Year")</f>
        <v>0</v>
      </c>
      <c r="G134" s="551">
        <f>+GETPIVOTDATA("Sum of Old-Total Undg CH FTE",'FTE Pivot for regular counts'!$A$2,"State","DE","Category","12","Category2","Technical")</f>
        <v>0</v>
      </c>
      <c r="H134" s="553">
        <f>+GETPIVOTDATA("Sum of Old-Total Undg CH FTE",'FTE Pivot for regular counts'!$A$2,"State","DE","Category","13","Category2","Technical")</f>
        <v>0</v>
      </c>
      <c r="I134" s="553">
        <f>+GETPIVOTDATA("Sum of Old-Total Undg CH FTE",'FTE Pivot for regular counts'!$A$2,"State","DE","Category2","Technical")</f>
        <v>0</v>
      </c>
      <c r="J134" s="553"/>
      <c r="K134" s="553"/>
      <c r="L134" s="553"/>
    </row>
    <row r="135" spans="1:12" ht="15" customHeight="1">
      <c r="A135" s="345" t="s">
        <v>864</v>
      </c>
      <c r="B135" s="551">
        <f>+GETPIVOTDATA("Sum of Old-Total Undg CH FTE",'FTE Pivot for regular counts'!$A$2,"State","FL","Category","7","Category2","Two-Year")</f>
        <v>16847.675555555554</v>
      </c>
      <c r="C135" s="551">
        <f>+GETPIVOTDATA("Sum of Old-Total Undg CH FTE",'FTE Pivot for regular counts'!$A$2,"State","FL","Category","8","Category2","Two-Year")</f>
        <v>3179.7666666666669</v>
      </c>
      <c r="D135" s="551">
        <f>+GETPIVOTDATA("Sum of Old-Total Undg CH FTE",'FTE Pivot for regular counts'!$A$2,"State","FL","Category","9","Category2","Two-Year")</f>
        <v>677.80444444444436</v>
      </c>
      <c r="E135" s="551">
        <f>+GETPIVOTDATA("Sum of Old-Total Undg CH FTE",'FTE Pivot for regular counts'!$A$2,"State","FL","Category","10","Category2","Two-Year")</f>
        <v>156.45333333333332</v>
      </c>
      <c r="F135" s="549">
        <f>+GETPIVOTDATA("Sum of Old-Total Undg CH FTE",'FTE Pivot for regular counts'!$A$2,"State","FL","Category2","Two-Year")</f>
        <v>20861.7</v>
      </c>
      <c r="G135" s="551">
        <f>+GETPIVOTDATA("Sum of Old-Total Undg CH FTE",'FTE Pivot for regular counts'!$A$2,"State","FL","Category","12","Category2","Technical")</f>
        <v>0</v>
      </c>
      <c r="H135" s="553">
        <f>+GETPIVOTDATA("Sum of Old-Total Undg CH FTE",'FTE Pivot for regular counts'!$A$2,"State","FL","Category","13","Category2","Technical")</f>
        <v>0</v>
      </c>
      <c r="I135" s="553">
        <f>+GETPIVOTDATA("Sum of Old-Total Undg CH FTE",'FTE Pivot for regular counts'!$A$2,"State","FL","Category2","Technical")</f>
        <v>0</v>
      </c>
      <c r="J135" s="553"/>
      <c r="K135" s="553"/>
      <c r="L135" s="553"/>
    </row>
    <row r="136" spans="1:12" ht="15" customHeight="1">
      <c r="B136" s="551"/>
      <c r="C136" s="551"/>
      <c r="D136" s="551"/>
      <c r="E136" s="551"/>
      <c r="F136" s="549"/>
      <c r="G136" s="551"/>
      <c r="H136" s="553"/>
      <c r="I136" s="553"/>
      <c r="J136" s="553"/>
      <c r="K136" s="553"/>
      <c r="L136" s="553"/>
    </row>
    <row r="137" spans="1:12" ht="15" customHeight="1">
      <c r="A137" s="345" t="s">
        <v>865</v>
      </c>
      <c r="B137" s="551">
        <f>+GETPIVOTDATA("Sum of Old-Total Undg CH FTE",'FTE Pivot for regular counts'!$A$2,"State","GA","Category","7","Category2","Two-Year")</f>
        <v>0</v>
      </c>
      <c r="C137" s="551">
        <f>+GETPIVOTDATA("Sum of Old-Total Undg CH FTE",'FTE Pivot for regular counts'!$A$2,"State","GA","Category","8","Category2","Two-Year")</f>
        <v>0</v>
      </c>
      <c r="D137" s="551">
        <f>+GETPIVOTDATA("Sum of Old-Total Undg CH FTE",'FTE Pivot for regular counts'!$A$2,"State","GA","Category","9","Category2","Two-Year")</f>
        <v>0</v>
      </c>
      <c r="E137" s="551">
        <f>+GETPIVOTDATA("Sum of Old-Total Undg CH FTE",'FTE Pivot for regular counts'!$A$2,"State","GA","Category","10","Category2","Two-Year")</f>
        <v>0</v>
      </c>
      <c r="F137" s="549">
        <f>+GETPIVOTDATA("Sum of Old-Total Undg CH FTE",'FTE Pivot for regular counts'!$A$2,"State","GA","Category2","Two-Year")</f>
        <v>0</v>
      </c>
      <c r="G137" s="551">
        <f>+GETPIVOTDATA("Sum of Old-Total Undg CH FTE",'FTE Pivot for regular counts'!$A$2,"State","GA","Category","12","Category2","Technical")</f>
        <v>0</v>
      </c>
      <c r="H137" s="553">
        <f>+GETPIVOTDATA("Sum of Old-Total Undg CH FTE",'FTE Pivot for regular counts'!$A$2,"State","GA","Category","13","Category2","Technical")</f>
        <v>0</v>
      </c>
      <c r="I137" s="553">
        <f>+GETPIVOTDATA("Sum of Old-Total Undg CH FTE",'FTE Pivot for regular counts'!$A$2,"State","GA","Category2","Technical")</f>
        <v>0</v>
      </c>
      <c r="J137" s="553"/>
      <c r="K137" s="553"/>
      <c r="L137" s="553"/>
    </row>
    <row r="138" spans="1:12" ht="15" customHeight="1">
      <c r="A138" s="345" t="s">
        <v>866</v>
      </c>
      <c r="B138" s="551">
        <f>+GETPIVOTDATA("Sum of Old-Total Undg CH FTE",'FTE Pivot for regular counts'!$A$2,"State","KY","Category","7","Category2","Two-Year")</f>
        <v>0</v>
      </c>
      <c r="C138" s="551">
        <f>+GETPIVOTDATA("Sum of Old-Total Undg CH FTE",'FTE Pivot for regular counts'!$A$2,"State","KY","Category","8","Category2","Two-Year")</f>
        <v>0</v>
      </c>
      <c r="D138" s="551">
        <f>+GETPIVOTDATA("Sum of Old-Total Undg CH FTE",'FTE Pivot for regular counts'!$A$2,"State","KY","Category","9","Category2","Two-Year")</f>
        <v>0</v>
      </c>
      <c r="E138" s="551">
        <f>+GETPIVOTDATA("Sum of Old-Total Undg CH FTE",'FTE Pivot for regular counts'!$A$2,"State","KY","Category","10","Category2","Two-Year")</f>
        <v>0</v>
      </c>
      <c r="F138" s="549">
        <f>+GETPIVOTDATA("Sum of Old-Total Undg CH FTE",'FTE Pivot for regular counts'!$A$2,"State","KY","Category2","Two-Year")</f>
        <v>0</v>
      </c>
      <c r="G138" s="551">
        <f>+GETPIVOTDATA("Sum of Old-Total Undg CH FTE",'FTE Pivot for regular counts'!$A$2,"State","KY","Category","12","Category2","Technical")</f>
        <v>0</v>
      </c>
      <c r="H138" s="553">
        <f>+GETPIVOTDATA("Sum of Old-Total Undg CH FTE",'FTE Pivot for regular counts'!$A$2,"State","KY","Category","13","Category2","Technical")</f>
        <v>0</v>
      </c>
      <c r="I138" s="553">
        <f>+GETPIVOTDATA("Sum of Old-Total Undg CH FTE",'FTE Pivot for regular counts'!$A$2,"State","KY","Category2","Technical")</f>
        <v>0</v>
      </c>
      <c r="J138" s="553"/>
      <c r="K138" s="553"/>
      <c r="L138" s="553"/>
    </row>
    <row r="139" spans="1:12" ht="15" customHeight="1">
      <c r="A139" s="345" t="s">
        <v>867</v>
      </c>
      <c r="B139" s="551">
        <f>+GETPIVOTDATA("Sum of Old-Total Undg CH FTE",'FTE Pivot for regular counts'!$A$2,"State","LA","Category","7","Category2","Two-Year")</f>
        <v>0</v>
      </c>
      <c r="C139" s="551">
        <f>+GETPIVOTDATA("Sum of Old-Total Undg CH FTE",'FTE Pivot for regular counts'!$A$2,"State","LA","Category","8","Category2","Two-Year")</f>
        <v>0</v>
      </c>
      <c r="D139" s="554">
        <f>+GETPIVOTDATA("Sum of Old-Total Undg CH FTE",'FTE Pivot for regular counts'!$A$2,"State","LA","Category","9","Category2","Two-Year")</f>
        <v>0</v>
      </c>
      <c r="E139" s="551">
        <f>+GETPIVOTDATA("Sum of Old-Total Undg CH FTE",'FTE Pivot for regular counts'!$A$2,"State","LA","Category","10","Category2","Two-Year")</f>
        <v>0</v>
      </c>
      <c r="F139" s="555">
        <f>+GETPIVOTDATA("Sum of Old-Total Undg CH FTE",'FTE Pivot for regular counts'!$A$2,"State","LA","Category2","Two-Year")</f>
        <v>0</v>
      </c>
      <c r="G139" s="551">
        <f>+GETPIVOTDATA("Sum of Old-Total Undg CH FTE",'FTE Pivot for regular counts'!$A$2,"State","LA","Category","12","Category2","Technical")</f>
        <v>66.081111111111113</v>
      </c>
      <c r="H139" s="553">
        <f>+GETPIVOTDATA("Sum of Old-Total Undg CH FTE",'FTE Pivot for regular counts'!$A$2,"State","LA","Category","13","Category2","Technical")</f>
        <v>0</v>
      </c>
      <c r="I139" s="553">
        <f>+GETPIVOTDATA("Sum of Old-Total Undg CH FTE",'FTE Pivot for regular counts'!$A$2,"State","LA","Category2","Technical")</f>
        <v>66.081111111111113</v>
      </c>
      <c r="J139" s="553"/>
      <c r="K139" s="553"/>
      <c r="L139" s="553"/>
    </row>
    <row r="140" spans="1:12" ht="15" customHeight="1">
      <c r="A140" s="345" t="s">
        <v>868</v>
      </c>
      <c r="B140" s="551">
        <f>+GETPIVOTDATA("Sum of Old-Total Undg CH FTE",'FTE Pivot for regular counts'!$A$2,"State","MD","Category","7","Category2","Two-Year")</f>
        <v>0</v>
      </c>
      <c r="C140" s="551">
        <f>+GETPIVOTDATA("Sum of Old-Total Undg CH FTE",'FTE Pivot for regular counts'!$A$2,"State","MD","Category","8","Category2","Two-Year")</f>
        <v>0</v>
      </c>
      <c r="D140" s="551">
        <f>+GETPIVOTDATA("Sum of Old-Total Undg CH FTE",'FTE Pivot for regular counts'!$A$2,"State","MD","Category","9","Category2","Two-Year")</f>
        <v>0</v>
      </c>
      <c r="E140" s="551">
        <f>+GETPIVOTDATA("Sum of Old-Total Undg CH FTE",'FTE Pivot for regular counts'!$A$2,"State","MD","Category","10","Category2","Two-Year")</f>
        <v>0</v>
      </c>
      <c r="F140" s="549">
        <f>+GETPIVOTDATA("Sum of Old-Total Undg CH FTE",'FTE Pivot for regular counts'!$A$2,"State","MD","Category2","Two-Year")</f>
        <v>0</v>
      </c>
      <c r="G140" s="551">
        <f>+GETPIVOTDATA("Sum of Old-Total Undg CH FTE",'FTE Pivot for regular counts'!$A$2,"State","MD","Category","12","Category2","Technical")</f>
        <v>0</v>
      </c>
      <c r="H140" s="553">
        <f>+GETPIVOTDATA("Sum of Old-Total Undg CH FTE",'FTE Pivot for regular counts'!$A$2,"State","MD","Category","13","Category2","Technical")</f>
        <v>0</v>
      </c>
      <c r="I140" s="553">
        <f>+GETPIVOTDATA("Sum of Old-Total Undg CH FTE",'FTE Pivot for regular counts'!$A$2,"State","MD","Category2","Technical")</f>
        <v>0</v>
      </c>
      <c r="J140" s="553"/>
      <c r="K140" s="553"/>
      <c r="L140" s="553"/>
    </row>
    <row r="141" spans="1:12" ht="15" customHeight="1">
      <c r="B141" s="551"/>
      <c r="C141" s="551"/>
      <c r="D141" s="551"/>
      <c r="E141" s="551"/>
      <c r="F141" s="549"/>
      <c r="G141" s="551"/>
      <c r="H141" s="553"/>
      <c r="I141" s="553"/>
      <c r="J141" s="553"/>
      <c r="K141" s="553"/>
      <c r="L141" s="553"/>
    </row>
    <row r="142" spans="1:12" ht="15" customHeight="1">
      <c r="A142" s="345" t="s">
        <v>869</v>
      </c>
      <c r="B142" s="551">
        <f>+GETPIVOTDATA("Sum of Old-Total Undg CH FTE",'FTE Pivot for regular counts'!$A$2,"State","MS","Category","7","Category2","Two-Year")</f>
        <v>0</v>
      </c>
      <c r="C142" s="551">
        <f>+GETPIVOTDATA("Sum of Old-Total Undg CH FTE",'FTE Pivot for regular counts'!$A$2,"State","MS","Category","8","Category2","Two-Year")</f>
        <v>0</v>
      </c>
      <c r="D142" s="551">
        <f>+GETPIVOTDATA("Sum of Old-Total Undg CH FTE",'FTE Pivot for regular counts'!$A$2,"State","MS","Category","9","Category2","Two-Year")</f>
        <v>0</v>
      </c>
      <c r="E142" s="551">
        <f>+GETPIVOTDATA("Sum of Old-Total Undg CH FTE",'FTE Pivot for regular counts'!$A$2,"State","MS","Category","10","Category2","Two-Year")</f>
        <v>0</v>
      </c>
      <c r="F142" s="549">
        <f>+GETPIVOTDATA("Sum of Old-Total Undg CH FTE",'FTE Pivot for regular counts'!$A$2,"State","MS","Category2","Two-Year")</f>
        <v>0</v>
      </c>
      <c r="G142" s="551">
        <f>+GETPIVOTDATA("Sum of Old-Total Undg CH FTE",'FTE Pivot for regular counts'!$A$2,"State","MS","Category","12","Category2","Technical")</f>
        <v>0</v>
      </c>
      <c r="H142" s="553">
        <f>+GETPIVOTDATA("Sum of Old-Total Undg CH FTE",'FTE Pivot for regular counts'!$A$2,"State","MS","Category","13","Category2","Technical")</f>
        <v>0</v>
      </c>
      <c r="I142" s="553">
        <f>+GETPIVOTDATA("Sum of Old-Total Undg CH FTE",'FTE Pivot for regular counts'!$A$2,"State","MS","Category2","Technical")</f>
        <v>0</v>
      </c>
      <c r="J142" s="553"/>
      <c r="K142" s="553"/>
      <c r="L142" s="553"/>
    </row>
    <row r="143" spans="1:12" ht="15" customHeight="1">
      <c r="A143" s="345" t="s">
        <v>870</v>
      </c>
      <c r="B143" s="551">
        <f>+GETPIVOTDATA("Sum of Old-Total Undg CH FTE",'FTE Pivot for regular counts'!$A$2,"State","NC","Category","7","Category2","Two-Year")</f>
        <v>0</v>
      </c>
      <c r="C143" s="551">
        <f>+GETPIVOTDATA("Sum of Old-Total Undg CH FTE",'FTE Pivot for regular counts'!$A$2,"State","NC","Category","8","Category2","Two-Year")</f>
        <v>11873.295555555556</v>
      </c>
      <c r="D143" s="551">
        <f>+GETPIVOTDATA("Sum of Old-Total Undg CH FTE",'FTE Pivot for regular counts'!$A$2,"State","NC","Category","9","Category2","Two-Year")</f>
        <v>13893.885555555555</v>
      </c>
      <c r="E143" s="551">
        <f>+GETPIVOTDATA("Sum of Old-Total Undg CH FTE",'FTE Pivot for regular counts'!$A$2,"State","NC","Category","10","Category2","Two-Year")</f>
        <v>7821.1166666666659</v>
      </c>
      <c r="F143" s="549">
        <f>+GETPIVOTDATA("Sum of Old-Total Undg CH FTE",'FTE Pivot for regular counts'!$A$2,"State","NC","Category2","Two-Year")</f>
        <v>33588.297777777778</v>
      </c>
      <c r="G143" s="551">
        <f>+GETPIVOTDATA("Sum of Old-Total Undg CH FTE",'FTE Pivot for regular counts'!$A$2,"State","NC","Category","12","Category2","Technical")</f>
        <v>0</v>
      </c>
      <c r="H143" s="553">
        <f>+GETPIVOTDATA("Sum of Old-Total Undg CH FTE",'FTE Pivot for regular counts'!$A$2,"State","NC","Category","13","Category2","Technical")</f>
        <v>0</v>
      </c>
      <c r="I143" s="553">
        <f>+GETPIVOTDATA("Sum of Old-Total Undg CH FTE",'FTE Pivot for regular counts'!$A$2,"State","NC","Category2","Technical")</f>
        <v>0</v>
      </c>
      <c r="J143" s="553"/>
      <c r="K143" s="553"/>
      <c r="L143" s="553"/>
    </row>
    <row r="144" spans="1:12" ht="15" customHeight="1">
      <c r="A144" s="345" t="s">
        <v>871</v>
      </c>
      <c r="B144" s="551">
        <f>+GETPIVOTDATA("Sum of Old-Total Undg CH FTE",'FTE Pivot for regular counts'!$A$2,"State","OK","Category","7","Category2","Two-Year")</f>
        <v>0</v>
      </c>
      <c r="C144" s="551">
        <f>+GETPIVOTDATA("Sum of Old-Total Undg CH FTE",'FTE Pivot for regular counts'!$A$2,"State","OK","Category","8","Category2","Two-Year")</f>
        <v>0</v>
      </c>
      <c r="D144" s="551">
        <f>+GETPIVOTDATA("Sum of Old-Total Undg CH FTE",'FTE Pivot for regular counts'!$A$2,"State","OK","Category","9","Category2","Two-Year")</f>
        <v>0</v>
      </c>
      <c r="E144" s="551">
        <f>+GETPIVOTDATA("Sum of Old-Total Undg CH FTE",'FTE Pivot for regular counts'!$A$2,"State","OK","Category","10","Category2","Two-Year")</f>
        <v>0</v>
      </c>
      <c r="F144" s="549">
        <f>+GETPIVOTDATA("Sum of Old-Total Undg CH FTE",'FTE Pivot for regular counts'!$A$2,"State","OK","Category2","Two-Year")</f>
        <v>0</v>
      </c>
      <c r="G144" s="551">
        <f>+GETPIVOTDATA("Sum of Old-Total Undg CH FTE",'FTE Pivot for regular counts'!$A$2,"State","OK","Category","12","Category2","Technical")</f>
        <v>4789.910322222222</v>
      </c>
      <c r="H144" s="553">
        <f>+GETPIVOTDATA("Sum of Old-Total Undg CH FTE",'FTE Pivot for regular counts'!$A$2,"State","OK","Category","13","Category2","Technical")</f>
        <v>14653.944644444447</v>
      </c>
      <c r="I144" s="553">
        <f>+GETPIVOTDATA("Sum of Old-Total Undg CH FTE",'FTE Pivot for regular counts'!$A$2,"State","OK","Category2","Technical")</f>
        <v>19443.854966666669</v>
      </c>
      <c r="J144" s="553"/>
      <c r="K144" s="553"/>
      <c r="L144" s="553"/>
    </row>
    <row r="145" spans="1:19" ht="15" customHeight="1">
      <c r="A145" s="345" t="s">
        <v>872</v>
      </c>
      <c r="B145" s="551">
        <f>+GETPIVOTDATA("Sum of Old-Total Undg CH FTE",'FTE Pivot for regular counts'!$A$2,"State","SC","Category","7","Category2","Two-Year")</f>
        <v>0</v>
      </c>
      <c r="C145" s="551">
        <f>+GETPIVOTDATA("Sum of Old-Total Undg CH FTE",'FTE Pivot for regular counts'!$A$2,"State","SC","Category","8","Category2","Two-Year")</f>
        <v>0</v>
      </c>
      <c r="D145" s="551">
        <f>+GETPIVOTDATA("Sum of Old-Total Undg CH FTE",'FTE Pivot for regular counts'!$A$2,"State","SC","Category","9","Category2","Two-Year")</f>
        <v>0</v>
      </c>
      <c r="E145" s="551">
        <f>+GETPIVOTDATA("Sum of Old-Total Undg CH FTE",'FTE Pivot for regular counts'!$A$2,"State","SC","Category","10","Category2","Two-Year")</f>
        <v>0</v>
      </c>
      <c r="F145" s="549">
        <f>+GETPIVOTDATA("Sum of Old-Total Undg CH FTE",'FTE Pivot for regular counts'!$A$2,"State","SC","Category2","Two-Year")</f>
        <v>0</v>
      </c>
      <c r="G145" s="551">
        <f>+GETPIVOTDATA("Sum of Old-Total Undg CH FTE",'FTE Pivot for regular counts'!$A$2,"State","SC","Category","12","Category2","Technical")</f>
        <v>0</v>
      </c>
      <c r="H145" s="553">
        <f>+GETPIVOTDATA("Sum of Old-Total Undg CH FTE",'FTE Pivot for regular counts'!$A$2,"State","SC","Category","13","Category2","Technical")</f>
        <v>0</v>
      </c>
      <c r="I145" s="553">
        <f>+GETPIVOTDATA("Sum of Old-Total Undg CH FTE",'FTE Pivot for regular counts'!$A$2,"State","SC","Category2","Technical")</f>
        <v>0</v>
      </c>
      <c r="J145" s="553"/>
      <c r="K145" s="553"/>
      <c r="L145" s="553"/>
    </row>
    <row r="146" spans="1:19" ht="15" customHeight="1">
      <c r="B146" s="551"/>
      <c r="C146" s="551"/>
      <c r="D146" s="551"/>
      <c r="E146" s="551"/>
      <c r="F146" s="549"/>
      <c r="G146" s="551"/>
      <c r="H146" s="553"/>
      <c r="I146" s="553"/>
      <c r="J146" s="553"/>
      <c r="K146" s="553"/>
      <c r="L146" s="553"/>
    </row>
    <row r="147" spans="1:19" ht="15" customHeight="1">
      <c r="A147" s="345" t="s">
        <v>873</v>
      </c>
      <c r="B147" s="551">
        <f>+GETPIVOTDATA("Sum of Old-Total Undg CH FTE",'FTE Pivot for regular counts'!$A$2,"State","TN","Category","7","Category2","Two-Year")</f>
        <v>0</v>
      </c>
      <c r="C147" s="551">
        <f>+GETPIVOTDATA("Sum of Old-Total Undg CH FTE",'FTE Pivot for regular counts'!$A$2,"State","TN","Category","8","Category2","Two-Year")</f>
        <v>0</v>
      </c>
      <c r="D147" s="551">
        <f>+GETPIVOTDATA("Sum of Old-Total Undg CH FTE",'FTE Pivot for regular counts'!$A$2,"State","TN","Category","9","Category2","Two-Year")</f>
        <v>0</v>
      </c>
      <c r="E147" s="551">
        <f>+GETPIVOTDATA("Sum of Old-Total Undg CH FTE",'FTE Pivot for regular counts'!$A$2,"State","TN","Category","10","Category2","Two-Year")</f>
        <v>0</v>
      </c>
      <c r="F147" s="549">
        <f>+GETPIVOTDATA("Sum of Old-Total Undg CH FTE",'FTE Pivot for regular counts'!$A$2,"State","TN","Category2","Two-Year")</f>
        <v>0</v>
      </c>
      <c r="G147" s="551">
        <f>+GETPIVOTDATA("Sum of Old-Total Undg CH FTE",'FTE Pivot for regular counts'!$A$2,"State","TN","Category","12","Category2","Technical")</f>
        <v>1004.0377777777778</v>
      </c>
      <c r="H147" s="553">
        <f>+GETPIVOTDATA("Sum of Old-Total Undg CH FTE",'FTE Pivot for regular counts'!$A$2,"State","TN","Category","13","Category2","Technical")</f>
        <v>10641.687777777777</v>
      </c>
      <c r="I147" s="553">
        <f>+GETPIVOTDATA("Sum of Old-Total Undg CH FTE",'FTE Pivot for regular counts'!$A$2,"State","TN","Category2","Technical")</f>
        <v>11645.725555555555</v>
      </c>
      <c r="J147" s="553"/>
      <c r="K147" s="553"/>
      <c r="L147" s="553"/>
    </row>
    <row r="148" spans="1:19" ht="15" customHeight="1">
      <c r="A148" s="345" t="s">
        <v>874</v>
      </c>
      <c r="B148" s="551">
        <f>+GETPIVOTDATA("Sum of Old-Total Undg CH FTE",'FTE Pivot for regular counts'!$A$2,"State","TX","Category","7","Category2","Two-Year")</f>
        <v>1106.45</v>
      </c>
      <c r="C148" s="551">
        <f>+GETPIVOTDATA("Sum of Old-Total Undg CH FTE",'FTE Pivot for regular counts'!$A$2,"State","TX","Category","8","Category2","Two-Year")</f>
        <v>13266.645555555557</v>
      </c>
      <c r="D148" s="551">
        <f>+GETPIVOTDATA("Sum of Old-Total Undg CH FTE",'FTE Pivot for regular counts'!$A$2,"State","TX","Category","9","Category2","Two-Year")</f>
        <v>5012.6344444444439</v>
      </c>
      <c r="E148" s="551">
        <f>+GETPIVOTDATA("Sum of Old-Total Undg CH FTE",'FTE Pivot for regular counts'!$A$2,"State","TX","Category","10","Category2","Two-Year")</f>
        <v>777.5100000000001</v>
      </c>
      <c r="F148" s="549">
        <f>+GETPIVOTDATA("Sum of Old-Total Undg CH FTE",'FTE Pivot for regular counts'!$A$2,"State","TX","Category2","Two-Year")</f>
        <v>20163.240000000002</v>
      </c>
      <c r="G148" s="551">
        <f>+GETPIVOTDATA("Sum of Old-Total Undg CH FTE",'FTE Pivot for regular counts'!$A$2,"State","TX","Category","12","Category2","Technical")</f>
        <v>0</v>
      </c>
      <c r="H148" s="553">
        <f>+GETPIVOTDATA("Sum of Old-Total Undg CH FTE",'FTE Pivot for regular counts'!$A$2,"State","TX","Category","13","Category2","Technical")</f>
        <v>0</v>
      </c>
      <c r="I148" s="553">
        <f>+GETPIVOTDATA("Sum of Old-Total Undg CH FTE",'FTE Pivot for regular counts'!$A$2,"State","TX","Category2","Technical")</f>
        <v>0</v>
      </c>
      <c r="J148" s="553"/>
      <c r="K148" s="553"/>
      <c r="L148" s="553"/>
    </row>
    <row r="149" spans="1:19" ht="15" customHeight="1">
      <c r="A149" s="345" t="s">
        <v>875</v>
      </c>
      <c r="B149" s="551">
        <f>+GETPIVOTDATA("Sum of Old-Total Undg CH FTE",'FTE Pivot for regular counts'!$A$2,"State","VA","Category","7","Category2","Two-Year")</f>
        <v>0</v>
      </c>
      <c r="C149" s="551">
        <f>+GETPIVOTDATA("Sum of Old-Total Undg CH FTE",'FTE Pivot for regular counts'!$A$2,"State","VA","Category","8","Category2","Two-Year")</f>
        <v>0</v>
      </c>
      <c r="D149" s="551">
        <f>+GETPIVOTDATA("Sum of Old-Total Undg CH FTE",'FTE Pivot for regular counts'!$A$2,"State","VA","Category","9","Category2","Two-Year")</f>
        <v>0</v>
      </c>
      <c r="E149" s="551">
        <f>+GETPIVOTDATA("Sum of Old-Total Undg CH FTE",'FTE Pivot for regular counts'!$A$2,"State","VA","Category","10","Category2","Two-Year")</f>
        <v>0</v>
      </c>
      <c r="F149" s="549">
        <f>+GETPIVOTDATA("Sum of Old-Total Undg CH FTE",'FTE Pivot for regular counts'!$A$2,"State","VA","Category2","Two-Year")</f>
        <v>0</v>
      </c>
      <c r="G149" s="551">
        <f>+GETPIVOTDATA("Sum of Old-Total Undg CH FTE",'FTE Pivot for regular counts'!$A$2,"State","VA","Category","12","Category2","Technical")</f>
        <v>0</v>
      </c>
      <c r="H149" s="553">
        <f>+GETPIVOTDATA("Sum of Old-Total Undg CH FTE",'FTE Pivot for regular counts'!$A$2,"State","VA","Category","13","Category2","Technical")</f>
        <v>0</v>
      </c>
      <c r="I149" s="553">
        <f>+GETPIVOTDATA("Sum of Old-Total Undg CH FTE",'FTE Pivot for regular counts'!$A$2,"State","VA","Category2","Technical")</f>
        <v>0</v>
      </c>
      <c r="J149" s="553"/>
      <c r="K149" s="553"/>
      <c r="L149" s="553"/>
    </row>
    <row r="150" spans="1:19" ht="15" customHeight="1">
      <c r="A150" s="461" t="s">
        <v>876</v>
      </c>
      <c r="B150" s="556">
        <f>+GETPIVOTDATA("Sum of Old-Total Undg CH FTE",'FTE Pivot for regular counts'!$A$2,"State","WV","Category","7","Category2","Two-Year")</f>
        <v>0</v>
      </c>
      <c r="C150" s="556">
        <f>+GETPIVOTDATA("Sum of Old-Total Undg CH FTE",'FTE Pivot for regular counts'!$A$2,"State","WV","Category","8","Category2","Two-Year")</f>
        <v>0</v>
      </c>
      <c r="D150" s="556">
        <f>+GETPIVOTDATA("Sum of Old-Total Undg CH FTE",'FTE Pivot for regular counts'!$A$2,"State","WV","Category","9","Category2","Two-Year")</f>
        <v>0</v>
      </c>
      <c r="E150" s="556">
        <f>+GETPIVOTDATA("Sum of Old-Total Undg CH FTE",'FTE Pivot for regular counts'!$A$2,"State","WV","Category","10","Category2","Two-Year")</f>
        <v>0</v>
      </c>
      <c r="F150" s="557">
        <f>+GETPIVOTDATA("Sum of Old-Total Undg CH FTE",'FTE Pivot for regular counts'!$A$2,"State","WV","Category2","Two-Year")</f>
        <v>0</v>
      </c>
      <c r="G150" s="556">
        <f>+GETPIVOTDATA("Sum of Old-Total Undg CH FTE",'FTE Pivot for regular counts'!$A$2,"State","WV","Category","12","Category2","Technical")</f>
        <v>0</v>
      </c>
      <c r="H150" s="558">
        <f>+GETPIVOTDATA("Sum of Old-Total Undg CH FTE",'FTE Pivot for regular counts'!$A$2,"State","WV","Category","13","Category2","Technical")</f>
        <v>0</v>
      </c>
      <c r="I150" s="558">
        <f>+GETPIVOTDATA("Sum of Old-Total Undg CH FTE",'FTE Pivot for regular counts'!$A$2,"State","WV","Category2","Technical")</f>
        <v>0</v>
      </c>
      <c r="J150" s="553"/>
      <c r="K150" s="553"/>
      <c r="L150" s="553"/>
    </row>
    <row r="151" spans="1:19" ht="34.5" customHeight="1">
      <c r="A151" s="757" t="s">
        <v>1008</v>
      </c>
      <c r="B151" s="757"/>
      <c r="C151" s="757"/>
      <c r="D151" s="757"/>
      <c r="E151" s="757"/>
      <c r="F151" s="757"/>
      <c r="G151" s="757"/>
      <c r="H151" s="757"/>
      <c r="I151" s="757"/>
      <c r="J151" s="755"/>
      <c r="K151" s="535"/>
      <c r="L151" s="535"/>
      <c r="M151" s="345"/>
    </row>
    <row r="152" spans="1:19">
      <c r="J152" s="498" t="s">
        <v>956</v>
      </c>
      <c r="K152" s="498"/>
      <c r="L152" s="498"/>
      <c r="M152" s="345"/>
    </row>
    <row r="153" spans="1:19" s="270" customFormat="1" ht="18">
      <c r="A153" s="499" t="s">
        <v>895</v>
      </c>
      <c r="B153" s="499"/>
      <c r="C153" s="499"/>
      <c r="D153" s="499"/>
      <c r="E153" s="499"/>
      <c r="F153" s="499"/>
      <c r="G153" s="499"/>
      <c r="H153" s="499"/>
      <c r="I153" s="499"/>
      <c r="J153" s="499"/>
      <c r="K153" s="499"/>
      <c r="L153" s="560"/>
      <c r="P153" s="345"/>
      <c r="Q153" s="345"/>
      <c r="R153" s="345"/>
      <c r="S153" s="345"/>
    </row>
    <row r="154" spans="1:19" ht="12" customHeight="1">
      <c r="A154" s="401"/>
      <c r="B154" s="401"/>
      <c r="C154" s="401"/>
      <c r="D154" s="401"/>
      <c r="E154" s="401"/>
      <c r="F154" s="401"/>
      <c r="G154" s="401"/>
      <c r="H154" s="402"/>
      <c r="I154" s="401"/>
      <c r="J154" s="402"/>
      <c r="K154" s="402"/>
      <c r="L154" s="402"/>
      <c r="M154" s="345"/>
    </row>
    <row r="155" spans="1:19" ht="15.75">
      <c r="A155" s="478" t="s">
        <v>882</v>
      </c>
      <c r="B155" s="478"/>
      <c r="C155" s="478"/>
      <c r="D155" s="478"/>
      <c r="E155" s="478"/>
      <c r="F155" s="478"/>
      <c r="G155" s="478"/>
      <c r="H155" s="478"/>
      <c r="I155" s="478"/>
      <c r="J155" s="478"/>
      <c r="K155" s="478"/>
      <c r="L155" s="753"/>
      <c r="M155" s="345"/>
    </row>
    <row r="156" spans="1:19" ht="15.75">
      <c r="A156" s="405" t="s">
        <v>1017</v>
      </c>
      <c r="B156" s="478"/>
      <c r="C156" s="478"/>
      <c r="D156" s="478"/>
      <c r="E156" s="478"/>
      <c r="F156" s="478"/>
      <c r="G156" s="478"/>
      <c r="H156" s="478"/>
      <c r="I156" s="478"/>
      <c r="J156" s="478"/>
      <c r="K156" s="478"/>
      <c r="L156" s="753"/>
      <c r="M156" s="510"/>
    </row>
    <row r="157" spans="1:19">
      <c r="B157" s="409"/>
      <c r="C157" s="409"/>
      <c r="D157" s="409"/>
      <c r="E157" s="562"/>
      <c r="F157" s="409"/>
      <c r="G157" s="562"/>
      <c r="H157" s="563"/>
      <c r="I157" s="562"/>
      <c r="J157" s="563"/>
      <c r="K157" s="563"/>
      <c r="L157" s="410"/>
      <c r="M157" s="410"/>
      <c r="N157" s="460"/>
      <c r="O157" s="460"/>
    </row>
    <row r="158" spans="1:19" ht="15" customHeight="1">
      <c r="A158" s="419"/>
      <c r="B158" s="569" t="s">
        <v>892</v>
      </c>
      <c r="C158" s="422"/>
      <c r="D158" s="570">
        <v>1</v>
      </c>
      <c r="F158" s="571">
        <v>2</v>
      </c>
      <c r="H158" s="571">
        <v>3</v>
      </c>
      <c r="J158" s="571" t="s">
        <v>845</v>
      </c>
      <c r="K158" s="572"/>
      <c r="L158" s="269"/>
      <c r="N158" s="460"/>
      <c r="O158" s="460"/>
    </row>
    <row r="159" spans="1:19" ht="75.75" customHeight="1">
      <c r="A159" s="578"/>
      <c r="B159" s="572" t="s">
        <v>848</v>
      </c>
      <c r="C159" s="430" t="s">
        <v>849</v>
      </c>
      <c r="D159" s="579" t="s">
        <v>848</v>
      </c>
      <c r="E159" s="430" t="s">
        <v>849</v>
      </c>
      <c r="F159" s="579" t="s">
        <v>848</v>
      </c>
      <c r="G159" s="430" t="s">
        <v>849</v>
      </c>
      <c r="H159" s="579" t="s">
        <v>848</v>
      </c>
      <c r="I159" s="430" t="s">
        <v>849</v>
      </c>
      <c r="J159" s="579" t="s">
        <v>848</v>
      </c>
      <c r="K159" s="430" t="s">
        <v>849</v>
      </c>
    </row>
    <row r="160" spans="1:19">
      <c r="A160" s="345" t="s">
        <v>853</v>
      </c>
      <c r="B160" s="550">
        <f>+'OLD Tables'!B100+'OLD Tables'!B130</f>
        <v>328890.57555555552</v>
      </c>
      <c r="D160" s="587">
        <f>+'OLD Tables'!C100+'OLD Tables'!C130</f>
        <v>823100.76077777788</v>
      </c>
      <c r="F160" s="587">
        <f>+'OLD Tables'!D100+'OLD Tables'!D130</f>
        <v>383186.28044444445</v>
      </c>
      <c r="H160" s="588">
        <f>+'OLD Tables'!E100+'OLD Tables'!E130</f>
        <v>139978.51699999999</v>
      </c>
      <c r="J160" s="588">
        <f>+'OLD Tables'!F100+'OLD Tables'!F130</f>
        <v>1675156.1337777777</v>
      </c>
      <c r="K160" s="345"/>
      <c r="L160" s="270" t="s">
        <v>891</v>
      </c>
      <c r="P160" s="593"/>
      <c r="Q160" s="593"/>
      <c r="R160" s="593"/>
      <c r="S160" s="593"/>
    </row>
    <row r="161" spans="1:19" s="593" customFormat="1" ht="10.5" customHeight="1">
      <c r="A161" s="594"/>
      <c r="B161" s="595"/>
      <c r="C161" s="596" t="s">
        <v>903</v>
      </c>
      <c r="D161" s="597" t="s">
        <v>891</v>
      </c>
      <c r="E161" s="596" t="s">
        <v>904</v>
      </c>
      <c r="F161" s="597" t="s">
        <v>891</v>
      </c>
      <c r="G161" s="598" t="s">
        <v>905</v>
      </c>
      <c r="H161" s="599" t="s">
        <v>891</v>
      </c>
      <c r="I161" s="598" t="s">
        <v>906</v>
      </c>
      <c r="J161" s="599" t="s">
        <v>891</v>
      </c>
      <c r="K161" s="596" t="s">
        <v>907</v>
      </c>
      <c r="L161" s="593" t="s">
        <v>891</v>
      </c>
      <c r="P161" s="345"/>
      <c r="Q161" s="345"/>
      <c r="R161" s="345"/>
      <c r="S161" s="345"/>
    </row>
    <row r="162" spans="1:19" ht="15" customHeight="1">
      <c r="A162" s="345" t="s">
        <v>861</v>
      </c>
      <c r="B162" s="548">
        <f>+'OLD Tables'!B102+'OLD Tables'!B132</f>
        <v>0</v>
      </c>
      <c r="C162" s="602">
        <f>+GETPIVOTDATA("Sum of Old-HS % of Total",'Pivot-HS Student % of Undergrad'!$A$3,"State","AL","Category",7,"Category2","Two-Year")</f>
        <v>0</v>
      </c>
      <c r="D162" s="587">
        <f>+'OLD Tables'!C102+'OLD Tables'!C132</f>
        <v>12914.266666666666</v>
      </c>
      <c r="E162" s="602">
        <f>+GETPIVOTDATA("Sum of Old-HS % of Total",'Pivot-HS Student % of Undergrad'!$A$3,"State","AL","Category",8,"Category2","Two-Year")</f>
        <v>4.336031469072963E-2</v>
      </c>
      <c r="F162" s="587">
        <f>+'OLD Tables'!D102+'OLD Tables'!D132</f>
        <v>35549.866666666669</v>
      </c>
      <c r="G162" s="602">
        <f>+GETPIVOTDATA("Sum of Old-HS % of Total",'Pivot-HS Student % of Undergrad'!$A$3,"State","AL","Category",9,"Category2","Two-Year")</f>
        <v>3.9637279464714355E-2</v>
      </c>
      <c r="H162" s="587">
        <f>+'OLD Tables'!E102+'OLD Tables'!E132</f>
        <v>11250.233333333334</v>
      </c>
      <c r="I162" s="602">
        <f>+GETPIVOTDATA("Sum of Old-HS % of Total",'Pivot-HS Student % of Undergrad'!$A$3,"State","AL","Category",10,"Category2","Two-Year")</f>
        <v>4.8324923631213573E-2</v>
      </c>
      <c r="J162" s="587">
        <f>+'OLD Tables'!F102+'OLD Tables'!F132</f>
        <v>59714.366666666669</v>
      </c>
      <c r="K162" s="602">
        <f>+GETPIVOTDATA("Sum of Old-HS % of Total",'Pivot-HS Student % of Undergrad'!$A$3,"State","AL","Category2","Group2")</f>
        <v>4.2079209302507324E-2</v>
      </c>
    </row>
    <row r="163" spans="1:19" ht="15" customHeight="1">
      <c r="A163" s="345" t="s">
        <v>862</v>
      </c>
      <c r="B163" s="551">
        <f>+'OLD Tables'!B103+'OLD Tables'!B133</f>
        <v>0</v>
      </c>
      <c r="C163" s="602">
        <f>+GETPIVOTDATA("Sum of Old-HS % of Total",'Pivot-HS Student % of Undergrad'!$A$3,"State","AR","Category",7,"Category2","Two-Year")</f>
        <v>0</v>
      </c>
      <c r="D163" s="587">
        <f>+'OLD Tables'!C103+'OLD Tables'!C133</f>
        <v>10656.633333333333</v>
      </c>
      <c r="E163" s="602">
        <f>+GETPIVOTDATA("Sum of Old-HS % of Total",'Pivot-HS Student % of Undergrad'!$A$3,"State","AR","Category",8,"Category2","Two-Year")</f>
        <v>6.3400260870381198E-2</v>
      </c>
      <c r="F163" s="587">
        <f>+'OLD Tables'!D103+'OLD Tables'!D133</f>
        <v>4918.666666666667</v>
      </c>
      <c r="G163" s="602">
        <f>+GETPIVOTDATA("Sum of Old-HS % of Total",'Pivot-HS Student % of Undergrad'!$A$3,"State","AR","Category",9,"Category2","Two-Year")</f>
        <v>0.10315803740851179</v>
      </c>
      <c r="H163" s="587">
        <f>+'OLD Tables'!E103+'OLD Tables'!E133</f>
        <v>19247.333333333336</v>
      </c>
      <c r="I163" s="602">
        <f>+GETPIVOTDATA("Sum of Old-HS % of Total",'Pivot-HS Student % of Undergrad'!$A$3,"State","AR","Category",10,"Category2","Two-Year")</f>
        <v>0.13559973676007067</v>
      </c>
      <c r="J163" s="587">
        <f>+'OLD Tables'!F103+'OLD Tables'!F133</f>
        <v>34822.633333333331</v>
      </c>
      <c r="K163" s="602">
        <f>+GETPIVOTDATA("Sum of Old-HS % of Total",'Pivot-HS Student % of Undergrad'!$A$3,"State","AR","Category2","Group2")</f>
        <v>0.10892245369151672</v>
      </c>
    </row>
    <row r="164" spans="1:19" ht="15" customHeight="1">
      <c r="A164" s="345" t="s">
        <v>863</v>
      </c>
      <c r="B164" s="551">
        <f>+'OLD Tables'!B104+'OLD Tables'!B134</f>
        <v>0</v>
      </c>
      <c r="C164" s="602">
        <f>+GETPIVOTDATA("Sum of Old-HS % of Total",'Pivot-HS Student % of Undergrad'!$A$3,"State","DE","Category",7,"Category2","Two-Year")</f>
        <v>0</v>
      </c>
      <c r="D164" s="587">
        <f>+'OLD Tables'!C104+'OLD Tables'!C134</f>
        <v>0</v>
      </c>
      <c r="E164" s="602">
        <f>+GETPIVOTDATA("Sum of Old-HS % of Total",'Pivot-HS Student % of Undergrad'!$A$3,"State","DE","Category",8,"Category2","Two-Year")</f>
        <v>0</v>
      </c>
      <c r="F164" s="587">
        <f>+'OLD Tables'!D104+'OLD Tables'!D134</f>
        <v>9102</v>
      </c>
      <c r="G164" s="602">
        <f>+GETPIVOTDATA("Sum of Old-HS % of Total",'Pivot-HS Student % of Undergrad'!$A$3,"State","DE","Category",9,"Category2","Two-Year")</f>
        <v>0</v>
      </c>
      <c r="H164" s="587">
        <f>+'OLD Tables'!E104+'OLD Tables'!E134</f>
        <v>0</v>
      </c>
      <c r="I164" s="602">
        <f>+GETPIVOTDATA("Sum of Old-HS % of Total",'Pivot-HS Student % of Undergrad'!$A$3,"State","DE","Category",10,"Category2","Two-Year")</f>
        <v>0</v>
      </c>
      <c r="J164" s="587">
        <f>+'OLD Tables'!F104+'OLD Tables'!F134</f>
        <v>9102</v>
      </c>
      <c r="K164" s="602">
        <f>+GETPIVOTDATA("Sum of Old-HS % of Total",'Pivot-HS Student % of Undergrad'!$A$3,"State","DE","Category2","Group2")</f>
        <v>0</v>
      </c>
    </row>
    <row r="165" spans="1:19" ht="15" customHeight="1">
      <c r="A165" s="345" t="s">
        <v>864</v>
      </c>
      <c r="B165" s="551">
        <f>+'OLD Tables'!B105+'OLD Tables'!B135</f>
        <v>276626.57555555552</v>
      </c>
      <c r="C165" s="602">
        <f>+GETPIVOTDATA("Sum of Old-HS % of Total",'Pivot-HS Student % of Undergrad'!$A$3,"State","FL","Category",7,"Category2","Two-Year")</f>
        <v>2.5587905703342548E-2</v>
      </c>
      <c r="D165" s="587">
        <f>+'OLD Tables'!C105+'OLD Tables'!C135</f>
        <v>48138.933333333342</v>
      </c>
      <c r="E165" s="602">
        <f>+GETPIVOTDATA("Sum of Old-HS % of Total",'Pivot-HS Student % of Undergrad'!$A$3,"State","FL","Category",8,"Category2","Two-Year")</f>
        <v>3.5001715921734969E-2</v>
      </c>
      <c r="F165" s="587">
        <f>+'OLD Tables'!D105+'OLD Tables'!D135</f>
        <v>5073.1711111111108</v>
      </c>
      <c r="G165" s="602">
        <f>+GETPIVOTDATA("Sum of Old-HS % of Total",'Pivot-HS Student % of Undergrad'!$A$3,"State","FL","Category",9,"Category2","Two-Year")</f>
        <v>0.10138633346138552</v>
      </c>
      <c r="H165" s="587">
        <f>+'OLD Tables'!E105+'OLD Tables'!E135</f>
        <v>1531.4533333333334</v>
      </c>
      <c r="I165" s="602">
        <f>+GETPIVOTDATA("Sum of Old-HS % of Total",'Pivot-HS Student % of Undergrad'!$A$3,"State","FL","Category",10,"Category2","Two-Year")</f>
        <v>3.4494501752188864E-2</v>
      </c>
      <c r="J165" s="587">
        <f>+'OLD Tables'!F105+'OLD Tables'!F135</f>
        <v>331370.1333333333</v>
      </c>
      <c r="K165" s="602">
        <f>+GETPIVOTDATA("Sum of Old-HS % of Total",'Pivot-HS Student % of Undergrad'!$A$3,"State","FL","Category2","Group2")</f>
        <v>2.9058534965009698E-2</v>
      </c>
    </row>
    <row r="166" spans="1:19" ht="15" customHeight="1">
      <c r="B166" s="551"/>
      <c r="C166" s="602"/>
      <c r="D166" s="587"/>
      <c r="E166" s="602"/>
      <c r="F166" s="587"/>
      <c r="G166" s="602"/>
      <c r="H166" s="587"/>
      <c r="I166" s="602"/>
      <c r="J166" s="587"/>
      <c r="K166" s="602"/>
    </row>
    <row r="167" spans="1:19" ht="15" customHeight="1">
      <c r="A167" s="345" t="s">
        <v>865</v>
      </c>
      <c r="B167" s="551">
        <f>+'OLD Tables'!B107+'OLD Tables'!B137</f>
        <v>17067.55</v>
      </c>
      <c r="C167" s="602">
        <f>+GETPIVOTDATA("Sum of Old-HS % of Total",'Pivot-HS Student % of Undergrad'!$A$3,"State","GA","Category",7,"Category2","Two-Year")</f>
        <v>3.2265908112177791E-2</v>
      </c>
      <c r="D167" s="587">
        <f>+'OLD Tables'!C107+'OLD Tables'!C137</f>
        <v>15173.966666666667</v>
      </c>
      <c r="E167" s="602">
        <f>+GETPIVOTDATA("Sum of Old-HS % of Total",'Pivot-HS Student % of Undergrad'!$A$3,"State","GA","Category",8,"Category2","Two-Year")</f>
        <v>3.5440084882221522E-2</v>
      </c>
      <c r="F167" s="587">
        <f>+'OLD Tables'!D107+'OLD Tables'!D137</f>
        <v>4031.6666666666665</v>
      </c>
      <c r="G167" s="602">
        <f>+GETPIVOTDATA("Sum of Old-HS % of Total",'Pivot-HS Student % of Undergrad'!$A$3,"State","GA","Category",9,"Category2","Two-Year")</f>
        <v>2.3604795369987597E-2</v>
      </c>
      <c r="H167" s="587">
        <f>+'OLD Tables'!E107+'OLD Tables'!E137</f>
        <v>1668.6333333333334</v>
      </c>
      <c r="I167" s="602">
        <f>+GETPIVOTDATA("Sum of Old-HS % of Total",'Pivot-HS Student % of Undergrad'!$A$3,"State","GA","Category",10,"Category2","Two-Year")</f>
        <v>9.3949140014782551E-2</v>
      </c>
      <c r="J167" s="587">
        <f>+'OLD Tables'!F107+'OLD Tables'!F137</f>
        <v>37941.816666666666</v>
      </c>
      <c r="K167" s="602">
        <f>+GETPIVOTDATA("Sum of Old-HS % of Total",'Pivot-HS Student % of Undergrad'!$A$3,"State","GA","Category2","Group2")</f>
        <v>3.5327775993857259E-2</v>
      </c>
    </row>
    <row r="168" spans="1:19" ht="15" customHeight="1">
      <c r="A168" s="345" t="s">
        <v>866</v>
      </c>
      <c r="B168" s="551">
        <f>+'OLD Tables'!B108+'OLD Tables'!B138</f>
        <v>0</v>
      </c>
      <c r="C168" s="602">
        <f>+GETPIVOTDATA("Sum of Old-HS % of Total",'Pivot-HS Student % of Undergrad'!$A$3,"State","KY","Category",7,"Category2","Two-Year")</f>
        <v>0</v>
      </c>
      <c r="D168" s="587">
        <f>+'OLD Tables'!C108+'OLD Tables'!C138</f>
        <v>13931.1</v>
      </c>
      <c r="E168" s="602">
        <f>+GETPIVOTDATA("Sum of Old-HS % of Total",'Pivot-HS Student % of Undergrad'!$A$3,"State","KY","Category",8,"Category2","Two-Year")</f>
        <v>4.6225112637671588E-2</v>
      </c>
      <c r="F168" s="587">
        <f>+'OLD Tables'!D108+'OLD Tables'!D138</f>
        <v>25999.066666666666</v>
      </c>
      <c r="G168" s="602">
        <f>+GETPIVOTDATA("Sum of Old-HS % of Total",'Pivot-HS Student % of Undergrad'!$A$3,"State","KY","Category",9,"Category2","Two-Year")</f>
        <v>6.703573974450365E-2</v>
      </c>
      <c r="H168" s="587">
        <f>+'OLD Tables'!E108+'OLD Tables'!E138</f>
        <v>2858.3333333333335</v>
      </c>
      <c r="I168" s="602">
        <f>+GETPIVOTDATA("Sum of Old-HS % of Total",'Pivot-HS Student % of Undergrad'!$A$3,"State","KY","Category",10,"Category2","Two-Year")</f>
        <v>6.1492711370262389E-2</v>
      </c>
      <c r="J168" s="587">
        <f>+'OLD Tables'!F108+'OLD Tables'!F138</f>
        <v>42788.5</v>
      </c>
      <c r="K168" s="602">
        <f>+GETPIVOTDATA("Sum of Old-HS % of Total",'Pivot-HS Student % of Undergrad'!$A$3,"State","KY","Category2","Group2")</f>
        <v>5.9889923694450613E-2</v>
      </c>
    </row>
    <row r="169" spans="1:19" ht="15" customHeight="1">
      <c r="A169" s="345" t="s">
        <v>867</v>
      </c>
      <c r="B169" s="551">
        <f>+'OLD Tables'!B109+'OLD Tables'!B139</f>
        <v>0</v>
      </c>
      <c r="C169" s="602">
        <f>+GETPIVOTDATA("Sum of Old-HS % of Total",'Pivot-HS Student % of Undergrad'!$A$3,"State","LA","Category",7,"Category2","Two-Year")</f>
        <v>0</v>
      </c>
      <c r="D169" s="587">
        <f>+'OLD Tables'!C109+'OLD Tables'!C139</f>
        <v>22957.266666666666</v>
      </c>
      <c r="E169" s="602">
        <f>+GETPIVOTDATA("Sum of Old-HS % of Total",'Pivot-HS Student % of Undergrad'!$A$3,"State","LA","Category",8,"Category2","Two-Year")</f>
        <v>1.9379484781870085E-2</v>
      </c>
      <c r="F169" s="587">
        <f>+'OLD Tables'!D109+'OLD Tables'!D139</f>
        <v>9229.7333333333336</v>
      </c>
      <c r="G169" s="602">
        <f>+GETPIVOTDATA("Sum of Old-HS % of Total",'Pivot-HS Student % of Undergrad'!$A$3,"State","LA","Category",9,"Category2","Two-Year")</f>
        <v>7.9782008869884291E-2</v>
      </c>
      <c r="H169" s="587">
        <f>+'OLD Tables'!E109+'OLD Tables'!E139</f>
        <v>4471.8666666666668</v>
      </c>
      <c r="I169" s="602">
        <f>+GETPIVOTDATA("Sum of Old-HS % of Total",'Pivot-HS Student % of Undergrad'!$A$3,"State","LA","Category",10,"Category2","Two-Year")</f>
        <v>0.11375562777661827</v>
      </c>
      <c r="J169" s="587">
        <f>+'OLD Tables'!F109+'OLD Tables'!F139</f>
        <v>36658.866666666669</v>
      </c>
      <c r="K169" s="602">
        <f>+GETPIVOTDATA("Sum of Old-HS % of Total",'Pivot-HS Student % of Undergrad'!$A$3,"State","LA","Category2","Group2")</f>
        <v>4.6099806686149603E-2</v>
      </c>
    </row>
    <row r="170" spans="1:19" ht="15" customHeight="1">
      <c r="A170" s="345" t="s">
        <v>868</v>
      </c>
      <c r="B170" s="551">
        <f>+'OLD Tables'!B110+'OLD Tables'!B140</f>
        <v>0</v>
      </c>
      <c r="C170" s="602">
        <f>+GETPIVOTDATA("Sum of Old-HS % of Total",'Pivot-HS Student % of Undergrad'!$A$3,"State","MD","Category",7,"Category2","Two-Year")</f>
        <v>0</v>
      </c>
      <c r="D170" s="587">
        <f>+'OLD Tables'!C110+'OLD Tables'!C140</f>
        <v>67112.533333333326</v>
      </c>
      <c r="E170" s="602">
        <f>+GETPIVOTDATA("Sum of Old-HS % of Total",'Pivot-HS Student % of Undergrad'!$A$3,"State","MD","Category",8,"Category2","Two-Year")</f>
        <v>0</v>
      </c>
      <c r="F170" s="587">
        <f>+'OLD Tables'!D110+'OLD Tables'!D140</f>
        <v>16717.633333333331</v>
      </c>
      <c r="G170" s="602">
        <f>+GETPIVOTDATA("Sum of Old-HS % of Total",'Pivot-HS Student % of Undergrad'!$A$3,"State","MD","Category",9,"Category2","Two-Year")</f>
        <v>0</v>
      </c>
      <c r="H170" s="587">
        <f>+'OLD Tables'!E110+'OLD Tables'!E140</f>
        <v>5415.4916666666668</v>
      </c>
      <c r="I170" s="602">
        <f>+GETPIVOTDATA("Sum of Old-HS % of Total",'Pivot-HS Student % of Undergrad'!$A$3,"State","MD","Category",10,"Category2","Two-Year")</f>
        <v>0</v>
      </c>
      <c r="J170" s="587">
        <f>+'OLD Tables'!F110+'OLD Tables'!F140</f>
        <v>89245.658333333326</v>
      </c>
      <c r="K170" s="602">
        <f>+GETPIVOTDATA("Sum of Old-HS % of Total",'Pivot-HS Student % of Undergrad'!$A$3,"State","MD","Category2","Group2")</f>
        <v>0</v>
      </c>
    </row>
    <row r="171" spans="1:19" ht="15" customHeight="1">
      <c r="B171" s="551"/>
      <c r="C171" s="602"/>
      <c r="D171" s="587"/>
      <c r="E171" s="602"/>
      <c r="F171" s="587"/>
      <c r="G171" s="602"/>
      <c r="H171" s="587"/>
      <c r="I171" s="602"/>
      <c r="J171" s="587"/>
      <c r="K171" s="602"/>
    </row>
    <row r="172" spans="1:19" ht="15" customHeight="1">
      <c r="A172" s="345" t="s">
        <v>869</v>
      </c>
      <c r="B172" s="551">
        <f>+'OLD Tables'!B112+'OLD Tables'!B142</f>
        <v>0</v>
      </c>
      <c r="C172" s="602">
        <f>+GETPIVOTDATA("Sum of Old-HS % of Total",'Pivot-HS Student % of Undergrad'!$A$3,"State","MS","Category",7,"Category2","Two-Year")</f>
        <v>0</v>
      </c>
      <c r="D172" s="587">
        <f>+'OLD Tables'!C112+'OLD Tables'!C142</f>
        <v>29990.933333333331</v>
      </c>
      <c r="E172" s="602">
        <f>+GETPIVOTDATA("Sum of Old-HS % of Total",'Pivot-HS Student % of Undergrad'!$A$3,"State","MS","Category",8,"Category2","Two-Year")</f>
        <v>3.1039380790638949E-2</v>
      </c>
      <c r="F172" s="587">
        <f>+'OLD Tables'!D112+'OLD Tables'!D142</f>
        <v>31231.966666666667</v>
      </c>
      <c r="G172" s="602">
        <f>+GETPIVOTDATA("Sum of Old-HS % of Total",'Pivot-HS Student % of Undergrad'!$A$3,"State","MS","Category",9,"Category2","Two-Year")</f>
        <v>3.0755881527366725E-2</v>
      </c>
      <c r="H172" s="587">
        <f>+'OLD Tables'!E112+'OLD Tables'!E142</f>
        <v>3591.666666666667</v>
      </c>
      <c r="I172" s="602">
        <f>+GETPIVOTDATA("Sum of Old-HS % of Total",'Pivot-HS Student % of Undergrad'!$A$3,"State","MS","Category",10,"Category2","Two-Year")</f>
        <v>3.129466357308585E-2</v>
      </c>
      <c r="J172" s="587">
        <f>+'OLD Tables'!F112+'OLD Tables'!F142</f>
        <v>64814.566666666658</v>
      </c>
      <c r="K172" s="602">
        <f>+GETPIVOTDATA("Sum of Old-HS % of Total",'Pivot-HS Student % of Undergrad'!$A$3,"State","MS","Category2","Group2")</f>
        <v>3.091691836763032E-2</v>
      </c>
    </row>
    <row r="173" spans="1:19" ht="15" customHeight="1">
      <c r="A173" s="345" t="s">
        <v>870</v>
      </c>
      <c r="B173" s="551">
        <f>+'OLD Tables'!B113+'OLD Tables'!B143</f>
        <v>0</v>
      </c>
      <c r="C173" s="602">
        <f>+GETPIVOTDATA("Sum of Old-HS % of Total",'Pivot-HS Student % of Undergrad'!$A$3,"State","NC","Category",7,"Category2","Two-Year")</f>
        <v>0</v>
      </c>
      <c r="D173" s="587">
        <f>+'OLD Tables'!C113+'OLD Tables'!C143</f>
        <v>84619.032222222217</v>
      </c>
      <c r="E173" s="602">
        <f>+GETPIVOTDATA("Sum of Old-HS % of Total",'Pivot-HS Student % of Undergrad'!$A$3,"State","NC","Category",8,"Category2","Two-Year")</f>
        <v>3.4255432426028541E-2</v>
      </c>
      <c r="F173" s="587">
        <f>+'OLD Tables'!D113+'OLD Tables'!D143</f>
        <v>73824.102222222224</v>
      </c>
      <c r="G173" s="602">
        <f>+GETPIVOTDATA("Sum of Old-HS % of Total",'Pivot-HS Student % of Undergrad'!$A$3,"State","NC","Category",9,"Category2","Two-Year")</f>
        <v>0.10514701404105274</v>
      </c>
      <c r="H173" s="587">
        <f>+'OLD Tables'!E113+'OLD Tables'!E143</f>
        <v>32013.45</v>
      </c>
      <c r="I173" s="602">
        <f>+GETPIVOTDATA("Sum of Old-HS % of Total",'Pivot-HS Student % of Undergrad'!$A$3,"State","NC","Category",10,"Category2","Two-Year")</f>
        <v>0.15374636592859997</v>
      </c>
      <c r="J173" s="587">
        <f>+'OLD Tables'!F113+'OLD Tables'!F143</f>
        <v>190456.58444444445</v>
      </c>
      <c r="K173" s="602">
        <f>+GETPIVOTDATA("Sum of Old-HS % of Total",'Pivot-HS Student % of Undergrad'!$A$3,"State","NC","Category2","Group2")</f>
        <v>7.9766940783399479E-2</v>
      </c>
    </row>
    <row r="174" spans="1:19" ht="15" customHeight="1">
      <c r="A174" s="345" t="s">
        <v>871</v>
      </c>
      <c r="B174" s="553">
        <f>+'OLD Tables'!B114+'OLD Tables'!B144</f>
        <v>6647.7</v>
      </c>
      <c r="C174" s="602">
        <f>+GETPIVOTDATA("Sum of Old-HS % of Total",'Pivot-HS Student % of Undergrad'!$A$3,"State","OK","Category",7,"Category2","Two-Year")</f>
        <v>3.6157869137696745E-2</v>
      </c>
      <c r="D174" s="587">
        <f>+'OLD Tables'!C114+'OLD Tables'!C144</f>
        <v>19343.533333333333</v>
      </c>
      <c r="E174" s="602">
        <f>+GETPIVOTDATA("Sum of Old-HS % of Total",'Pivot-HS Student % of Undergrad'!$A$3,"State","OK","Category",8,"Category2","Two-Year")</f>
        <v>4.9515255744383133E-2</v>
      </c>
      <c r="F174" s="587">
        <f>+'OLD Tables'!D114+'OLD Tables'!D144</f>
        <v>7302.6666666666661</v>
      </c>
      <c r="G174" s="602">
        <f>+GETPIVOTDATA("Sum of Old-HS % of Total",'Pivot-HS Student % of Undergrad'!$A$3,"State","OK","Category",9,"Category2","Two-Year")</f>
        <v>2.5716633193354026E-2</v>
      </c>
      <c r="H174" s="587">
        <f>+'OLD Tables'!E114+'OLD Tables'!E144</f>
        <v>11579.599999999999</v>
      </c>
      <c r="I174" s="602">
        <f>+GETPIVOTDATA("Sum of Old-HS % of Total",'Pivot-HS Student % of Undergrad'!$A$3,"State","OK","Category",10,"Category2","Two-Year")</f>
        <v>9.0328393611754002E-2</v>
      </c>
      <c r="J174" s="588">
        <f>+'OLD Tables'!F114+'OLD Tables'!F144</f>
        <v>44873.5</v>
      </c>
      <c r="K174" s="602">
        <f>+GETPIVOTDATA("Sum of Old-HS % of Total",'Pivot-HS Student % of Undergrad'!$A$3,"State","OK","Category2","Group2")</f>
        <v>5.4195312006715173E-2</v>
      </c>
    </row>
    <row r="175" spans="1:19" ht="15" customHeight="1">
      <c r="A175" s="345" t="s">
        <v>872</v>
      </c>
      <c r="B175" s="551">
        <f>+'OLD Tables'!B115+'OLD Tables'!B145</f>
        <v>0</v>
      </c>
      <c r="C175" s="602">
        <f>+GETPIVOTDATA("Sum of Old-HS % of Total",'Pivot-HS Student % of Undergrad'!$A$3,"State","SC","Category",7,"Category2","Two-Year")</f>
        <v>0</v>
      </c>
      <c r="D175" s="587">
        <f>+'OLD Tables'!C115+'OLD Tables'!C145</f>
        <v>45941.332999999999</v>
      </c>
      <c r="E175" s="602">
        <f>+GETPIVOTDATA("Sum of Old-HS % of Total",'Pivot-HS Student % of Undergrad'!$A$3,"State","SC","Category",8,"Category2","Two-Year")</f>
        <v>3.8005717712486349E-2</v>
      </c>
      <c r="F175" s="587">
        <f>+'OLD Tables'!D115+'OLD Tables'!D145</f>
        <v>16721.939333333336</v>
      </c>
      <c r="G175" s="602">
        <f>+GETPIVOTDATA("Sum of Old-HS % of Total",'Pivot-HS Student % of Undergrad'!$A$3,"State","SC","Category",9,"Category2","Two-Year")</f>
        <v>6.8157963655650938E-2</v>
      </c>
      <c r="H175" s="587">
        <f>+'OLD Tables'!E115+'OLD Tables'!E145</f>
        <v>9016.9219999999987</v>
      </c>
      <c r="I175" s="602">
        <f>+GETPIVOTDATA("Sum of Old-HS % of Total",'Pivot-HS Student % of Undergrad'!$A$3,"State","SC","Category",10,"Category2","Two-Year")</f>
        <v>4.0952686097894674E-2</v>
      </c>
      <c r="J175" s="587">
        <f>+'OLD Tables'!F115+'OLD Tables'!F145</f>
        <v>71680.194333333333</v>
      </c>
      <c r="K175" s="602">
        <f>+GETPIVOTDATA("Sum of Old-HS % of Total",'Pivot-HS Student % of Undergrad'!$A$3,"State","SC","Category2","Group2")</f>
        <v>4.5626288640380236E-2</v>
      </c>
    </row>
    <row r="176" spans="1:19" ht="15" customHeight="1">
      <c r="B176" s="551"/>
      <c r="C176" s="602"/>
      <c r="D176" s="587"/>
      <c r="E176" s="602"/>
      <c r="F176" s="587"/>
      <c r="G176" s="602"/>
      <c r="H176" s="587"/>
      <c r="I176" s="602"/>
      <c r="J176" s="587"/>
      <c r="K176" s="602"/>
    </row>
    <row r="177" spans="1:19" ht="15" customHeight="1">
      <c r="A177" s="345" t="s">
        <v>873</v>
      </c>
      <c r="B177" s="551">
        <f>+'OLD Tables'!B117+'OLD Tables'!B147</f>
        <v>0</v>
      </c>
      <c r="C177" s="602">
        <f>+GETPIVOTDATA("Sum of Old-HS % of Total",'Pivot-HS Student % of Undergrad'!$A$3,"State","TN","Category",7,"Category2","Two-Year")</f>
        <v>0</v>
      </c>
      <c r="D177" s="587">
        <f>+'OLD Tables'!C117+'OLD Tables'!C147</f>
        <v>31691.966666666667</v>
      </c>
      <c r="E177" s="602">
        <f>+GETPIVOTDATA("Sum of Old-HS % of Total",'Pivot-HS Student % of Undergrad'!$A$3,"State","TN","Category",8,"Category2","Two-Year")</f>
        <v>5.2875649875520507E-2</v>
      </c>
      <c r="F177" s="587">
        <f>+'OLD Tables'!D117+'OLD Tables'!D147</f>
        <v>24065.633333333335</v>
      </c>
      <c r="G177" s="602">
        <f>+GETPIVOTDATA("Sum of Old-HS % of Total",'Pivot-HS Student % of Undergrad'!$A$3,"State","TN","Category",9,"Category2","Two-Year")</f>
        <v>8.9086927555061229E-2</v>
      </c>
      <c r="H177" s="587">
        <f>+'OLD Tables'!E117+'OLD Tables'!E147</f>
        <v>1657.6333333333334</v>
      </c>
      <c r="I177" s="602">
        <f>+GETPIVOTDATA("Sum of Old-HS % of Total",'Pivot-HS Student % of Undergrad'!$A$3,"State","TN","Category",10,"Category2","Two-Year")</f>
        <v>0.14603149067948279</v>
      </c>
      <c r="J177" s="587">
        <f>+'OLD Tables'!F117+'OLD Tables'!F147</f>
        <v>57415.233333333337</v>
      </c>
      <c r="K177" s="602">
        <f>+GETPIVOTDATA("Sum of Old-HS % of Total",'Pivot-HS Student % of Undergrad'!$A$3,"State","TN","Category2","Group2")</f>
        <v>7.074313030746196E-2</v>
      </c>
    </row>
    <row r="178" spans="1:19" ht="15" customHeight="1">
      <c r="A178" s="345" t="s">
        <v>874</v>
      </c>
      <c r="B178" s="551">
        <f>+'OLD Tables'!B118+'OLD Tables'!B148</f>
        <v>27297.016666666666</v>
      </c>
      <c r="C178" s="608">
        <f>+GETPIVOTDATA("Sum of Old-HS % of Total",'Pivot-HS Student % of Undergrad'!$A$3,"State","TX","Category",7,"Category2","Two-Year")</f>
        <v>0.26116909777948039</v>
      </c>
      <c r="D178" s="587">
        <f>+'OLD Tables'!C118+'OLD Tables'!C148</f>
        <v>349042.71222222218</v>
      </c>
      <c r="E178" s="608">
        <f>+GETPIVOTDATA("Sum of Old-HS % of Total",'Pivot-HS Student % of Undergrad'!$A$3,"State","TX","Category",8,"Category2","Two-Year")</f>
        <v>8.5016382942520619E-2</v>
      </c>
      <c r="F178" s="587">
        <f>+'OLD Tables'!D118+'OLD Tables'!D148</f>
        <v>85889.167777777766</v>
      </c>
      <c r="G178" s="608">
        <f>+GETPIVOTDATA("Sum of Old-HS % of Total",'Pivot-HS Student % of Undergrad'!$A$3,"State","TX","Category",9,"Category2","Two-Year")</f>
        <v>0.12355994487070003</v>
      </c>
      <c r="H178" s="587">
        <f>+'OLD Tables'!E118+'OLD Tables'!E148</f>
        <v>14648.576666666668</v>
      </c>
      <c r="I178" s="608">
        <f>+GETPIVOTDATA("Sum of Old-HS % of Total",'Pivot-HS Student % of Undergrad'!$A$3,"State","TX","Category",10,"Category2","Two-Year")</f>
        <v>0.11897186469677891</v>
      </c>
      <c r="J178" s="587">
        <f>+'OLD Tables'!F118+'OLD Tables'!F148</f>
        <v>476877.47333333327</v>
      </c>
      <c r="K178" s="608">
        <f>+GETPIVOTDATA("Sum of Old-HS % of Total",'Pivot-HS Student % of Undergrad'!$A$3,"State","TX","Category2","Group2")</f>
        <v>0.10297467555751674</v>
      </c>
    </row>
    <row r="179" spans="1:19" ht="15" customHeight="1">
      <c r="A179" s="345" t="s">
        <v>875</v>
      </c>
      <c r="B179" s="551">
        <f>+'OLD Tables'!B119+'OLD Tables'!B149</f>
        <v>0</v>
      </c>
      <c r="C179" s="608">
        <f>+GETPIVOTDATA("Sum of Old-HS % of Total",'Pivot-HS Student % of Undergrad'!$A$3,"State","VA","Category",7,"Category2","Two-Year")</f>
        <v>0</v>
      </c>
      <c r="D179" s="587">
        <f>+'OLD Tables'!C119+'OLD Tables'!C149</f>
        <v>71586.55</v>
      </c>
      <c r="E179" s="608">
        <f>+GETPIVOTDATA("Sum of Old-HS % of Total",'Pivot-HS Student % of Undergrad'!$A$3,"State","VA","Category",8,"Category2","Two-Year")</f>
        <v>7.7827003350024085E-2</v>
      </c>
      <c r="F179" s="587">
        <f>+'OLD Tables'!D119+'OLD Tables'!D149</f>
        <v>33529</v>
      </c>
      <c r="G179" s="608">
        <f>+GETPIVOTDATA("Sum of Old-HS % of Total",'Pivot-HS Student % of Undergrad'!$A$3,"State","VA","Category",9,"Category2","Two-Year")</f>
        <v>0.39542187360195652</v>
      </c>
      <c r="H179" s="587">
        <f>+'OLD Tables'!E119+'OLD Tables'!E149</f>
        <v>10137.866666666667</v>
      </c>
      <c r="I179" s="608">
        <f>+GETPIVOTDATA("Sum of Old-HS % of Total",'Pivot-HS Student % of Undergrad'!$A$3,"State","VA","Category",10,"Category2","Two-Year")</f>
        <v>0.46675171633742801</v>
      </c>
      <c r="J179" s="587">
        <f>+'OLD Tables'!F119+'OLD Tables'!F149</f>
        <v>115253.41666666667</v>
      </c>
      <c r="K179" s="608">
        <f>+GETPIVOTDATA("Sum of Old-HS % of Total",'Pivot-HS Student % of Undergrad'!$A$3,"State","VA","Category2","Group2")</f>
        <v>0.20443067125269604</v>
      </c>
    </row>
    <row r="180" spans="1:19" ht="15" customHeight="1">
      <c r="A180" s="461" t="s">
        <v>876</v>
      </c>
      <c r="B180" s="556">
        <f>+'OLD Tables'!B120+'OLD Tables'!B150</f>
        <v>1251.7333333333333</v>
      </c>
      <c r="C180" s="612">
        <f>+GETPIVOTDATA("Sum of Old-HS % of Total",'Pivot-HS Student % of Undergrad'!$A$3,"State","WV","Category",7,"Category2","Two-Year")</f>
        <v>6.8092245419684699E-2</v>
      </c>
      <c r="D180" s="613">
        <f>+'OLD Tables'!C120+'OLD Tables'!C150</f>
        <v>0</v>
      </c>
      <c r="E180" s="612">
        <f>+GETPIVOTDATA("Sum of Old-HS % of Total",'Pivot-HS Student % of Undergrad'!$A$3,"State","WV","Category",8,"Category2","Two-Year")</f>
        <v>0</v>
      </c>
      <c r="F180" s="613">
        <f>+'OLD Tables'!D120+'OLD Tables'!D150</f>
        <v>0</v>
      </c>
      <c r="G180" s="612">
        <f>+GETPIVOTDATA("Sum of Old-HS % of Total",'Pivot-HS Student % of Undergrad'!$A$3,"State","WV","Category",9,"Category2","Two-Year")</f>
        <v>0</v>
      </c>
      <c r="H180" s="613">
        <f>+'OLD Tables'!E120+'OLD Tables'!E150</f>
        <v>10889.456666666667</v>
      </c>
      <c r="I180" s="612">
        <f>+GETPIVOTDATA("Sum of Old-HS % of Total",'Pivot-HS Student % of Undergrad'!$A$3,"State","WV","Category",10,"Category2","Two-Year")</f>
        <v>5.0266970773258673E-2</v>
      </c>
      <c r="J180" s="613">
        <f>+'OLD Tables'!F120+'OLD Tables'!F150</f>
        <v>12141.19</v>
      </c>
      <c r="K180" s="612">
        <f>+GETPIVOTDATA("Sum of Old-HS % of Total",'Pivot-HS Student % of Undergrad'!$A$3,"State","WV","Category2","Group2")</f>
        <v>5.2104722299324321E-2</v>
      </c>
      <c r="P180" s="460"/>
      <c r="Q180" s="460"/>
      <c r="R180" s="460"/>
      <c r="S180" s="460"/>
    </row>
    <row r="181" spans="1:19" s="460" customFormat="1" ht="37.5" customHeight="1">
      <c r="A181" s="757" t="s">
        <v>1011</v>
      </c>
      <c r="B181" s="767"/>
      <c r="C181" s="767"/>
      <c r="D181" s="767"/>
      <c r="E181" s="767"/>
      <c r="F181" s="767"/>
      <c r="G181" s="767"/>
      <c r="H181" s="767"/>
      <c r="I181" s="767"/>
      <c r="J181" s="767"/>
      <c r="K181" s="768"/>
      <c r="L181" s="495"/>
      <c r="M181" s="495"/>
    </row>
    <row r="182" spans="1:19">
      <c r="J182" s="345"/>
      <c r="K182" s="498" t="s">
        <v>956</v>
      </c>
      <c r="L182" s="345"/>
      <c r="M182" s="537"/>
    </row>
    <row r="183" spans="1:19" ht="18">
      <c r="A183" s="499" t="s">
        <v>914</v>
      </c>
      <c r="B183" s="400"/>
      <c r="C183" s="400"/>
      <c r="D183" s="400"/>
      <c r="E183" s="400"/>
      <c r="F183" s="400"/>
      <c r="G183" s="400"/>
      <c r="H183" s="406"/>
      <c r="I183" s="400"/>
      <c r="J183" s="345"/>
      <c r="K183" s="345"/>
      <c r="L183" s="345"/>
      <c r="M183" s="537"/>
    </row>
    <row r="184" spans="1:19" ht="15.75">
      <c r="A184" s="401"/>
      <c r="B184" s="400"/>
      <c r="C184" s="400"/>
      <c r="D184" s="400"/>
      <c r="E184" s="400"/>
      <c r="F184" s="400"/>
      <c r="G184" s="400"/>
      <c r="H184" s="406"/>
      <c r="I184" s="400"/>
      <c r="J184" s="345"/>
      <c r="K184" s="345"/>
      <c r="L184" s="345"/>
      <c r="M184" s="537"/>
    </row>
    <row r="185" spans="1:19" ht="15.75">
      <c r="A185" s="478" t="s">
        <v>882</v>
      </c>
      <c r="B185" s="400"/>
      <c r="C185" s="400"/>
      <c r="D185" s="400"/>
      <c r="E185" s="400"/>
      <c r="F185" s="400"/>
      <c r="G185" s="400"/>
      <c r="H185" s="406"/>
      <c r="I185" s="400"/>
      <c r="J185" s="345"/>
      <c r="K185" s="345"/>
      <c r="L185" s="345"/>
      <c r="M185" s="537"/>
    </row>
    <row r="186" spans="1:19" ht="15.75">
      <c r="A186" s="405" t="s">
        <v>915</v>
      </c>
      <c r="B186" s="400"/>
      <c r="C186" s="400"/>
      <c r="D186" s="400"/>
      <c r="E186" s="400"/>
      <c r="F186" s="400"/>
      <c r="G186" s="400"/>
      <c r="H186" s="406"/>
      <c r="I186" s="400"/>
      <c r="J186" s="345"/>
      <c r="K186" s="345"/>
      <c r="L186" s="345"/>
      <c r="M186" s="537"/>
    </row>
    <row r="187" spans="1:19">
      <c r="C187" s="461"/>
      <c r="D187" s="461"/>
      <c r="E187" s="461"/>
      <c r="F187" s="461"/>
      <c r="G187" s="461"/>
      <c r="H187" s="269"/>
      <c r="I187" s="460"/>
      <c r="J187" s="345"/>
      <c r="K187" s="345"/>
      <c r="L187" s="345"/>
      <c r="M187" s="537"/>
    </row>
    <row r="188" spans="1:19" ht="28.5" customHeight="1">
      <c r="A188" s="419"/>
      <c r="B188" s="621">
        <v>1</v>
      </c>
      <c r="D188" s="622">
        <v>2</v>
      </c>
      <c r="F188" s="623" t="s">
        <v>845</v>
      </c>
      <c r="H188" s="460"/>
      <c r="I188" s="460"/>
      <c r="J188" s="345"/>
      <c r="K188" s="537"/>
      <c r="L188" s="345"/>
      <c r="M188" s="345"/>
    </row>
    <row r="189" spans="1:19" ht="78" customHeight="1">
      <c r="A189" s="578"/>
      <c r="B189" s="572" t="s">
        <v>848</v>
      </c>
      <c r="C189" s="430" t="s">
        <v>849</v>
      </c>
      <c r="D189" s="579" t="s">
        <v>848</v>
      </c>
      <c r="E189" s="430" t="s">
        <v>849</v>
      </c>
      <c r="F189" s="579" t="s">
        <v>848</v>
      </c>
      <c r="G189" s="430" t="s">
        <v>849</v>
      </c>
      <c r="H189" s="345"/>
      <c r="J189" s="345"/>
      <c r="K189" s="537"/>
      <c r="L189" s="345"/>
      <c r="M189" s="345"/>
    </row>
    <row r="190" spans="1:19">
      <c r="A190" s="345" t="s">
        <v>853</v>
      </c>
      <c r="B190" s="551">
        <f>+'OLD Tables'!G100+'OLD Tables'!G130</f>
        <v>89225.862544444419</v>
      </c>
      <c r="D190" s="588">
        <f>+'OLD Tables'!H100+'OLD Tables'!H130</f>
        <v>27070.132422222225</v>
      </c>
      <c r="F190" s="588">
        <f>+'OLD Tables'!I100+'OLD Tables'!I130</f>
        <v>116295.99496666665</v>
      </c>
      <c r="H190" s="345"/>
      <c r="J190" s="345"/>
      <c r="K190" s="537"/>
      <c r="L190" s="345"/>
      <c r="M190" s="345"/>
    </row>
    <row r="191" spans="1:19">
      <c r="A191" s="594"/>
      <c r="B191" s="636"/>
      <c r="C191" s="596" t="s">
        <v>1012</v>
      </c>
      <c r="D191" s="637" t="s">
        <v>891</v>
      </c>
      <c r="E191" s="596" t="s">
        <v>1013</v>
      </c>
      <c r="F191" s="637" t="s">
        <v>891</v>
      </c>
      <c r="G191" s="596" t="s">
        <v>1014</v>
      </c>
      <c r="H191" s="345" t="s">
        <v>891</v>
      </c>
      <c r="J191" s="345"/>
      <c r="K191" s="537"/>
      <c r="L191" s="345"/>
      <c r="M191" s="345"/>
    </row>
    <row r="192" spans="1:19">
      <c r="A192" s="345" t="s">
        <v>861</v>
      </c>
      <c r="B192" s="551">
        <f>+'OLD Tables'!G102+'OLD Tables'!G132</f>
        <v>1202.9000000000001</v>
      </c>
      <c r="C192" s="602">
        <f>+GETPIVOTDATA("Sum of Old-HS % of Total",'Pivot-HS Student % of Undergrad'!$A$3,"State","AL","Category",12,"Category2","Technical")</f>
        <v>3.0481890985673513E-2</v>
      </c>
      <c r="D192" s="588">
        <f>+'OLD Tables'!H102+'OLD Tables'!H132</f>
        <v>1774.5</v>
      </c>
      <c r="E192" s="602">
        <f>+GETPIVOTDATA("Sum of Old-HS % of Total",'Pivot-HS Student % of Undergrad'!$A$3,"State","AL","Category",13,"Category2","Technical")</f>
        <v>4.5834507372968909E-2</v>
      </c>
      <c r="F192" s="588">
        <f>+'OLD Tables'!I102+'OLD Tables'!I132</f>
        <v>2977.4</v>
      </c>
      <c r="G192" s="602">
        <f>+GETPIVOTDATA("Sum of Old-HS % of Total",'Pivot-HS Student % of Undergrad'!$A$3,"State","AL","Category2","Group3")</f>
        <v>3.9631893598441596E-2</v>
      </c>
      <c r="H192" s="345"/>
      <c r="J192" s="345"/>
      <c r="K192" s="537"/>
      <c r="L192" s="345"/>
      <c r="M192" s="345"/>
    </row>
    <row r="193" spans="1:13">
      <c r="A193" s="345" t="s">
        <v>862</v>
      </c>
      <c r="B193" s="551">
        <f>+'OLD Tables'!G103+'OLD Tables'!G133</f>
        <v>0</v>
      </c>
      <c r="C193" s="602">
        <f>+GETPIVOTDATA("Sum of Old-HS % of Total",'Pivot-HS Student % of Undergrad'!$A$3,"State","AR","Category",12,"Category2","Technical")</f>
        <v>0</v>
      </c>
      <c r="D193" s="588">
        <f>+'OLD Tables'!H103+'OLD Tables'!H133</f>
        <v>0</v>
      </c>
      <c r="E193" s="602">
        <f>+GETPIVOTDATA("Sum of Old-HS % of Total",'Pivot-HS Student % of Undergrad'!$A$3,"State","AR","Category",13,"Category2","Technical")</f>
        <v>0</v>
      </c>
      <c r="F193" s="588">
        <f>+'OLD Tables'!I103+'OLD Tables'!I133</f>
        <v>0</v>
      </c>
      <c r="G193" s="602">
        <f>+GETPIVOTDATA("Sum of Old-HS % of Total",'Pivot-HS Student % of Undergrad'!$A$3,"State","AR","Category2","Group3")</f>
        <v>0</v>
      </c>
      <c r="H193" s="345"/>
      <c r="J193" s="345"/>
      <c r="K193" s="537"/>
      <c r="L193" s="345"/>
      <c r="M193" s="345"/>
    </row>
    <row r="194" spans="1:13">
      <c r="A194" s="345" t="s">
        <v>863</v>
      </c>
      <c r="B194" s="551">
        <f>+'OLD Tables'!G104+'OLD Tables'!G134</f>
        <v>0</v>
      </c>
      <c r="C194" s="602">
        <f>+GETPIVOTDATA("Sum of Old-HS % of Total",'Pivot-HS Student % of Undergrad'!$A$3,"State","DE","Category",12,"Category2","Technical")</f>
        <v>0</v>
      </c>
      <c r="D194" s="588">
        <f>+'OLD Tables'!H104+'OLD Tables'!H134</f>
        <v>0</v>
      </c>
      <c r="E194" s="602">
        <f>+GETPIVOTDATA("Sum of Old-HS % of Total",'Pivot-HS Student % of Undergrad'!$A$3,"State","DE","Category",13,"Category2","Technical")</f>
        <v>0</v>
      </c>
      <c r="F194" s="588">
        <f>+'OLD Tables'!I104+'OLD Tables'!I134</f>
        <v>0</v>
      </c>
      <c r="G194" s="602">
        <f>+GETPIVOTDATA("Sum of Old-HS % of Total",'Pivot-HS Student % of Undergrad'!$A$3,"State","DE","Category2","Group3")</f>
        <v>0</v>
      </c>
      <c r="H194" s="345"/>
      <c r="J194" s="345"/>
      <c r="K194" s="537"/>
      <c r="L194" s="345"/>
      <c r="M194" s="345"/>
    </row>
    <row r="195" spans="1:13">
      <c r="A195" s="345" t="s">
        <v>864</v>
      </c>
      <c r="B195" s="551">
        <f>+'OLD Tables'!G105+'OLD Tables'!G135</f>
        <v>0</v>
      </c>
      <c r="C195" s="602">
        <f>+GETPIVOTDATA("Sum of Old-HS % of Total",'Pivot-HS Student % of Undergrad'!$A$3,"State","FL","Category",12,"Category2","Technical")</f>
        <v>0</v>
      </c>
      <c r="D195" s="588">
        <f>+'OLD Tables'!H105+'OLD Tables'!H135</f>
        <v>0</v>
      </c>
      <c r="E195" s="602">
        <f>+GETPIVOTDATA("Sum of Old-HS % of Total",'Pivot-HS Student % of Undergrad'!$A$3,"State","FL","Category",13,"Category2","Technical")</f>
        <v>0</v>
      </c>
      <c r="F195" s="588">
        <f>+'OLD Tables'!I105+'OLD Tables'!I135</f>
        <v>0</v>
      </c>
      <c r="G195" s="602">
        <f>+GETPIVOTDATA("Sum of Old-HS % of Total",'Pivot-HS Student % of Undergrad'!$A$3,"State","FL","Category2","Group3")</f>
        <v>0</v>
      </c>
      <c r="H195" s="345"/>
      <c r="J195" s="345"/>
      <c r="K195" s="537"/>
      <c r="L195" s="345"/>
      <c r="M195" s="345"/>
    </row>
    <row r="196" spans="1:13">
      <c r="B196" s="551"/>
      <c r="C196" s="602"/>
      <c r="D196" s="588"/>
      <c r="E196" s="602"/>
      <c r="F196" s="588"/>
      <c r="G196" s="602"/>
      <c r="H196" s="345"/>
      <c r="J196" s="345"/>
      <c r="K196" s="537"/>
      <c r="L196" s="345"/>
      <c r="M196" s="345"/>
    </row>
    <row r="197" spans="1:13">
      <c r="A197" s="345" t="s">
        <v>865</v>
      </c>
      <c r="B197" s="551">
        <f>+'OLD Tables'!G107+'OLD Tables'!G137</f>
        <v>67506.233333333323</v>
      </c>
      <c r="C197" s="602">
        <f>+GETPIVOTDATA("Sum of Old-HS % of Total",'Pivot-HS Student % of Undergrad'!$A$3,"State","GA","Category",12,"Category2","Technical")</f>
        <v>6.6908339822446025E-2</v>
      </c>
      <c r="D197" s="588">
        <f>+'OLD Tables'!H107+'OLD Tables'!H137</f>
        <v>0</v>
      </c>
      <c r="E197" s="602">
        <f>+GETPIVOTDATA("Sum of Old-HS % of Total",'Pivot-HS Student % of Undergrad'!$A$3,"State","GA","Category",13,"Category2","Technical")</f>
        <v>0</v>
      </c>
      <c r="F197" s="588">
        <f>+'OLD Tables'!I107+'OLD Tables'!I137</f>
        <v>67506.233333333323</v>
      </c>
      <c r="G197" s="602">
        <f>+GETPIVOTDATA("Sum of Old-HS % of Total",'Pivot-HS Student % of Undergrad'!$A$3,"State","GA","Category2","Group3")</f>
        <v>6.6908339822446025E-2</v>
      </c>
      <c r="H197" s="345"/>
      <c r="J197" s="345"/>
      <c r="K197" s="537"/>
      <c r="L197" s="345"/>
      <c r="M197" s="345"/>
    </row>
    <row r="198" spans="1:13">
      <c r="A198" s="345" t="s">
        <v>866</v>
      </c>
      <c r="B198" s="551">
        <f>+'OLD Tables'!G108+'OLD Tables'!G138</f>
        <v>4898.7</v>
      </c>
      <c r="C198" s="602">
        <f>+GETPIVOTDATA("Sum of Old-HS % of Total",'Pivot-HS Student % of Undergrad'!$A$3,"State","KY","Category",12,"Category2","Technical")</f>
        <v>7.4917835344070871E-2</v>
      </c>
      <c r="D198" s="588">
        <f>+'OLD Tables'!H108+'OLD Tables'!H138</f>
        <v>0</v>
      </c>
      <c r="E198" s="602">
        <f>+GETPIVOTDATA("Sum of Old-HS % of Total",'Pivot-HS Student % of Undergrad'!$A$3,"State","KY","Category",13,"Category2","Technical")</f>
        <v>0</v>
      </c>
      <c r="F198" s="588">
        <f>+'OLD Tables'!I108+'OLD Tables'!I138</f>
        <v>4898.7</v>
      </c>
      <c r="G198" s="602">
        <f>+GETPIVOTDATA("Sum of Old-HS % of Total",'Pivot-HS Student % of Undergrad'!$A$3,"State","KY","Category2","Group3")</f>
        <v>7.4917835344070871E-2</v>
      </c>
      <c r="H198" s="345"/>
      <c r="J198" s="345"/>
      <c r="K198" s="537"/>
      <c r="L198" s="345"/>
      <c r="M198" s="345"/>
    </row>
    <row r="199" spans="1:13">
      <c r="A199" s="345" t="s">
        <v>867</v>
      </c>
      <c r="B199" s="551">
        <f>+'OLD Tables'!G109+'OLD Tables'!G139</f>
        <v>9824.0811111111107</v>
      </c>
      <c r="C199" s="602">
        <f>+GETPIVOTDATA("Sum of Old-HS % of Total",'Pivot-HS Student % of Undergrad'!$A$3,"State","LA","Category",12,"Category2","Technical")</f>
        <v>0.15245576279292206</v>
      </c>
      <c r="D199" s="588">
        <f>+'OLD Tables'!H109+'OLD Tables'!H139</f>
        <v>0</v>
      </c>
      <c r="E199" s="602">
        <f>+GETPIVOTDATA("Sum of Old-HS % of Total",'Pivot-HS Student % of Undergrad'!$A$3,"State","LA","Category",13,"Category2","Technical")</f>
        <v>0</v>
      </c>
      <c r="F199" s="588">
        <f>+'OLD Tables'!I109+'OLD Tables'!I139</f>
        <v>9824.0811111111107</v>
      </c>
      <c r="G199" s="602">
        <f>+GETPIVOTDATA("Sum of Old-HS % of Total",'Pivot-HS Student % of Undergrad'!$A$3,"State","LA","Category2","Group3")</f>
        <v>0.15245576279292206</v>
      </c>
      <c r="H199" s="345"/>
      <c r="J199" s="345"/>
      <c r="K199" s="537"/>
      <c r="L199" s="345"/>
      <c r="M199" s="345"/>
    </row>
    <row r="200" spans="1:13">
      <c r="A200" s="345" t="s">
        <v>868</v>
      </c>
      <c r="B200" s="551">
        <f>+'OLD Tables'!G110+'OLD Tables'!G140</f>
        <v>0</v>
      </c>
      <c r="C200" s="602">
        <f>+GETPIVOTDATA("Sum of Old-HS % of Total",'Pivot-HS Student % of Undergrad'!$A$3,"State","MD","Category",12,"Category2","Technical")</f>
        <v>0</v>
      </c>
      <c r="D200" s="588">
        <f>+'OLD Tables'!H110+'OLD Tables'!H140</f>
        <v>0</v>
      </c>
      <c r="E200" s="602">
        <f>+GETPIVOTDATA("Sum of Old-HS % of Total",'Pivot-HS Student % of Undergrad'!$A$3,"State","MD","Category",13,"Category2","Technical")</f>
        <v>0</v>
      </c>
      <c r="F200" s="588">
        <f>+'OLD Tables'!I110+'OLD Tables'!I140</f>
        <v>0</v>
      </c>
      <c r="G200" s="602">
        <f>+GETPIVOTDATA("Sum of Old-HS % of Total",'Pivot-HS Student % of Undergrad'!$A$3,"State","MD","Category2","Group3")</f>
        <v>0</v>
      </c>
      <c r="H200" s="345"/>
      <c r="J200" s="345"/>
      <c r="K200" s="537"/>
      <c r="L200" s="345"/>
      <c r="M200" s="345"/>
    </row>
    <row r="201" spans="1:13">
      <c r="B201" s="551"/>
      <c r="C201" s="602"/>
      <c r="D201" s="588"/>
      <c r="E201" s="602"/>
      <c r="F201" s="588"/>
      <c r="G201" s="602"/>
      <c r="H201" s="345"/>
      <c r="J201" s="345"/>
      <c r="K201" s="537"/>
      <c r="L201" s="345"/>
      <c r="M201" s="345"/>
    </row>
    <row r="202" spans="1:13">
      <c r="A202" s="345" t="s">
        <v>869</v>
      </c>
      <c r="B202" s="551">
        <f>+'OLD Tables'!G112+'OLD Tables'!G142</f>
        <v>0</v>
      </c>
      <c r="C202" s="602">
        <f>+GETPIVOTDATA("Sum of Old-HS % of Total",'Pivot-HS Student % of Undergrad'!$A$3,"State","MS","Category",12,"Category2","Technical")</f>
        <v>0</v>
      </c>
      <c r="D202" s="588">
        <f>+'OLD Tables'!H112+'OLD Tables'!H142</f>
        <v>0</v>
      </c>
      <c r="E202" s="602">
        <f>+GETPIVOTDATA("Sum of Old-HS % of Total",'Pivot-HS Student % of Undergrad'!$A$3,"State","MS","Category",13,"Category2","Technical")</f>
        <v>0</v>
      </c>
      <c r="F202" s="588">
        <f>+'OLD Tables'!I112+'OLD Tables'!I142</f>
        <v>0</v>
      </c>
      <c r="G202" s="602">
        <f>+GETPIVOTDATA("Sum of Old-HS % of Total",'Pivot-HS Student % of Undergrad'!$A$3,"State","MS","Category2","Group3")</f>
        <v>0</v>
      </c>
      <c r="H202" s="345"/>
      <c r="J202" s="345"/>
      <c r="K202" s="537"/>
      <c r="L202" s="345"/>
      <c r="M202" s="345"/>
    </row>
    <row r="203" spans="1:13">
      <c r="A203" s="345" t="s">
        <v>870</v>
      </c>
      <c r="B203" s="551">
        <f>+'OLD Tables'!G113+'OLD Tables'!G143</f>
        <v>0</v>
      </c>
      <c r="C203" s="602">
        <f>+GETPIVOTDATA("Sum of Old-HS % of Total",'Pivot-HS Student % of Undergrad'!$A$3,"State","NC","Category",12,"Category2","Technical")</f>
        <v>0</v>
      </c>
      <c r="D203" s="588">
        <f>+'OLD Tables'!H113+'OLD Tables'!H143</f>
        <v>0</v>
      </c>
      <c r="E203" s="602">
        <f>+GETPIVOTDATA("Sum of Old-HS % of Total",'Pivot-HS Student % of Undergrad'!$A$3,"State","NC","Category",13,"Category2","Technical")</f>
        <v>0</v>
      </c>
      <c r="F203" s="588">
        <f>+'OLD Tables'!I113+'OLD Tables'!I143</f>
        <v>0</v>
      </c>
      <c r="G203" s="602">
        <f>+GETPIVOTDATA("Sum of Old-HS % of Total",'Pivot-HS Student % of Undergrad'!$A$3,"State","NC","Category2","Group3")</f>
        <v>0</v>
      </c>
      <c r="H203" s="345"/>
      <c r="J203" s="345"/>
      <c r="K203" s="537"/>
      <c r="L203" s="345"/>
      <c r="M203" s="345"/>
    </row>
    <row r="204" spans="1:13">
      <c r="A204" s="345" t="s">
        <v>871</v>
      </c>
      <c r="B204" s="551">
        <f>+'OLD Tables'!G114+'OLD Tables'!G144</f>
        <v>4789.910322222222</v>
      </c>
      <c r="C204" s="602">
        <f>+GETPIVOTDATA("Sum of Old-HS % of Total",'Pivot-HS Student % of Undergrad'!$A$3,"State","OK","Category",12,"Category2","Technical")</f>
        <v>0</v>
      </c>
      <c r="D204" s="588">
        <f>+'OLD Tables'!H114+'OLD Tables'!H144</f>
        <v>14653.944644444447</v>
      </c>
      <c r="E204" s="602">
        <f>+GETPIVOTDATA("Sum of Old-HS % of Total",'Pivot-HS Student % of Undergrad'!$A$3,"State","OK","Category",13,"Category2","Technical")</f>
        <v>0</v>
      </c>
      <c r="F204" s="588">
        <f>+'OLD Tables'!I114+'OLD Tables'!I144</f>
        <v>19443.854966666669</v>
      </c>
      <c r="G204" s="602">
        <f>+GETPIVOTDATA("Sum of Old-HS % of Total",'Pivot-HS Student % of Undergrad'!$A$3,"State","OK","Category2","Group3")</f>
        <v>0</v>
      </c>
      <c r="H204" s="345"/>
      <c r="J204" s="345"/>
      <c r="K204" s="537"/>
      <c r="L204" s="345"/>
      <c r="M204" s="345"/>
    </row>
    <row r="205" spans="1:13">
      <c r="A205" s="345" t="s">
        <v>872</v>
      </c>
      <c r="B205" s="551">
        <f>+'OLD Tables'!G115+'OLD Tables'!G145</f>
        <v>0</v>
      </c>
      <c r="C205" s="602">
        <f>+GETPIVOTDATA("Sum of Old-HS % of Total",'Pivot-HS Student % of Undergrad'!$A$3,"State","SC","Category",12,"Category2","Technical")</f>
        <v>0</v>
      </c>
      <c r="D205" s="588">
        <f>+'OLD Tables'!H115+'OLD Tables'!H145</f>
        <v>0</v>
      </c>
      <c r="E205" s="602">
        <f>+GETPIVOTDATA("Sum of Old-HS % of Total",'Pivot-HS Student % of Undergrad'!$A$3,"State","SC","Category",13,"Category2","Technical")</f>
        <v>0</v>
      </c>
      <c r="F205" s="588">
        <f>+'OLD Tables'!I115+'OLD Tables'!I145</f>
        <v>0</v>
      </c>
      <c r="G205" s="602">
        <f>+GETPIVOTDATA("Sum of Old-HS % of Total",'Pivot-HS Student % of Undergrad'!$A$3,"State","SC","Category2","Group3")</f>
        <v>0</v>
      </c>
      <c r="H205" s="345"/>
      <c r="J205" s="345"/>
      <c r="K205" s="537"/>
      <c r="L205" s="345"/>
      <c r="M205" s="345"/>
    </row>
    <row r="206" spans="1:13">
      <c r="B206" s="551"/>
      <c r="C206" s="602"/>
      <c r="D206" s="588"/>
      <c r="E206" s="602"/>
      <c r="F206" s="588"/>
      <c r="G206" s="602"/>
      <c r="H206" s="345"/>
      <c r="J206" s="345"/>
      <c r="K206" s="537"/>
      <c r="L206" s="345"/>
      <c r="M206" s="345"/>
    </row>
    <row r="207" spans="1:13">
      <c r="A207" s="345" t="s">
        <v>873</v>
      </c>
      <c r="B207" s="551">
        <f>+'OLD Tables'!G117+'OLD Tables'!G147</f>
        <v>1004.0377777777778</v>
      </c>
      <c r="C207" s="602">
        <f>+GETPIVOTDATA("Sum of Old-HS % of Total",'Pivot-HS Student % of Undergrad'!$A$3,"State","TN","Category",12,"Category2","Technical")</f>
        <v>0</v>
      </c>
      <c r="D207" s="588">
        <f>+'OLD Tables'!H117+'OLD Tables'!H147</f>
        <v>10641.687777777777</v>
      </c>
      <c r="E207" s="602">
        <f>+GETPIVOTDATA("Sum of Old-HS % of Total",'Pivot-HS Student % of Undergrad'!$A$3,"State","TN","Category",13,"Category2","Technical")</f>
        <v>0</v>
      </c>
      <c r="F207" s="588">
        <f>+'OLD Tables'!I117+'OLD Tables'!I147</f>
        <v>11645.725555555555</v>
      </c>
      <c r="G207" s="602">
        <f>+GETPIVOTDATA("Sum of Old-HS % of Total",'Pivot-HS Student % of Undergrad'!$A$3,"State","TN","Category2","Group3")</f>
        <v>0</v>
      </c>
      <c r="H207" s="345"/>
      <c r="J207" s="345"/>
      <c r="K207" s="537"/>
      <c r="L207" s="345"/>
      <c r="M207" s="345"/>
    </row>
    <row r="208" spans="1:13">
      <c r="A208" s="345" t="s">
        <v>874</v>
      </c>
      <c r="B208" s="551">
        <f>+'OLD Tables'!G118+'OLD Tables'!G148</f>
        <v>0</v>
      </c>
      <c r="C208" s="608">
        <f>+GETPIVOTDATA("Sum of Old-HS % of Total",'Pivot-HS Student % of Undergrad'!$A$3,"State","TX","Category",12,"Category2","Technical")</f>
        <v>0</v>
      </c>
      <c r="D208" s="588">
        <f>+'OLD Tables'!H118+'OLD Tables'!H148</f>
        <v>0</v>
      </c>
      <c r="E208" s="608">
        <f>+GETPIVOTDATA("Sum of Old-HS % of Total",'Pivot-HS Student % of Undergrad'!$A$3,"State","TX","Category",13,"Category2","Technical")</f>
        <v>0</v>
      </c>
      <c r="F208" s="588">
        <f>+'OLD Tables'!I118+'OLD Tables'!I148</f>
        <v>0</v>
      </c>
      <c r="G208" s="602">
        <f>+GETPIVOTDATA("Sum of Old-HS % of Total",'Pivot-HS Student % of Undergrad'!$A$3,"State","TX","Category2","Group3")</f>
        <v>0</v>
      </c>
      <c r="H208" s="345"/>
      <c r="J208" s="345"/>
      <c r="K208" s="537"/>
      <c r="L208" s="345"/>
      <c r="M208" s="345"/>
    </row>
    <row r="209" spans="1:13">
      <c r="A209" s="345" t="s">
        <v>875</v>
      </c>
      <c r="B209" s="551">
        <f>+'OLD Tables'!G119+'OLD Tables'!G149</f>
        <v>0</v>
      </c>
      <c r="C209" s="608">
        <f>+GETPIVOTDATA("Sum of Old-HS % of Total",'Pivot-HS Student % of Undergrad'!$A$3,"State","VA","Category",12,"Category2","Technical")</f>
        <v>0</v>
      </c>
      <c r="D209" s="588">
        <f>+'OLD Tables'!H119+'OLD Tables'!H149</f>
        <v>0</v>
      </c>
      <c r="E209" s="608">
        <f>+GETPIVOTDATA("Sum of Old-HS % of Total",'Pivot-HS Student % of Undergrad'!$A$3,"State","VA","Category",13,"Category2","Technical")</f>
        <v>0</v>
      </c>
      <c r="F209" s="588">
        <f>+'OLD Tables'!I119+'OLD Tables'!I149</f>
        <v>0</v>
      </c>
      <c r="G209" s="602">
        <f>+GETPIVOTDATA("Sum of Old-HS % of Total",'Pivot-HS Student % of Undergrad'!$A$3,"State","VA","Category2","Group3")</f>
        <v>0</v>
      </c>
      <c r="H209" s="345"/>
      <c r="J209" s="345"/>
      <c r="K209" s="537"/>
      <c r="L209" s="345"/>
      <c r="M209" s="345"/>
    </row>
    <row r="210" spans="1:13">
      <c r="A210" s="461" t="s">
        <v>876</v>
      </c>
      <c r="B210" s="556">
        <f>+'OLD Tables'!G120+'OLD Tables'!G150</f>
        <v>0</v>
      </c>
      <c r="C210" s="612">
        <f>+GETPIVOTDATA("Sum of Old-HS % of Total",'Pivot-HS Student % of Undergrad'!$A$3,"State","WV","Category",12,"Category2","Technical")</f>
        <v>0</v>
      </c>
      <c r="D210" s="642">
        <f>+'OLD Tables'!H120+'OLD Tables'!H150</f>
        <v>0</v>
      </c>
      <c r="E210" s="612">
        <f>+GETPIVOTDATA("Sum of Old-HS % of Total",'Pivot-HS Student % of Undergrad'!$A$3,"State","WV","Category",13,"Category2","Technical")</f>
        <v>0</v>
      </c>
      <c r="F210" s="642">
        <f>+'OLD Tables'!I120+'OLD Tables'!I150</f>
        <v>0</v>
      </c>
      <c r="G210" s="612">
        <f>+GETPIVOTDATA("Sum of Old-HS % of Total",'Pivot-HS Student % of Undergrad'!$A$3,"State","WV","Category2","Group3")</f>
        <v>0</v>
      </c>
      <c r="H210" s="345"/>
      <c r="J210" s="345"/>
      <c r="K210" s="537"/>
      <c r="L210" s="345"/>
      <c r="M210" s="345"/>
    </row>
    <row r="211" spans="1:13" ht="58.5" customHeight="1">
      <c r="A211" s="761" t="s">
        <v>1011</v>
      </c>
      <c r="B211" s="761"/>
      <c r="C211" s="761"/>
      <c r="D211" s="761"/>
      <c r="E211" s="761"/>
      <c r="F211" s="761"/>
      <c r="G211" s="761"/>
      <c r="H211" s="755"/>
      <c r="I211" s="755"/>
      <c r="J211" s="345"/>
      <c r="K211" s="345"/>
      <c r="L211" s="345"/>
      <c r="M211" s="537"/>
    </row>
    <row r="212" spans="1:13" ht="10.5" customHeight="1">
      <c r="A212" s="535"/>
      <c r="B212" s="535"/>
      <c r="C212" s="535"/>
      <c r="D212" s="535"/>
      <c r="E212" s="535"/>
      <c r="F212" s="535"/>
      <c r="G212" s="535"/>
      <c r="H212" s="535"/>
      <c r="I212" s="498" t="s">
        <v>956</v>
      </c>
      <c r="J212" s="345"/>
      <c r="K212" s="345"/>
      <c r="L212" s="345"/>
      <c r="M212" s="537"/>
    </row>
    <row r="213" spans="1:13" ht="18">
      <c r="A213" s="756" t="s">
        <v>1015</v>
      </c>
      <c r="B213" s="396"/>
      <c r="C213" s="396"/>
      <c r="D213" s="648"/>
      <c r="E213" s="399"/>
      <c r="F213" s="400"/>
      <c r="G213" s="400"/>
      <c r="H213" s="406"/>
    </row>
    <row r="214" spans="1:13" ht="9.75" customHeight="1">
      <c r="A214" s="401"/>
      <c r="B214" s="401"/>
      <c r="C214" s="401"/>
      <c r="D214" s="649"/>
      <c r="E214" s="399"/>
      <c r="F214" s="400"/>
      <c r="G214" s="400"/>
      <c r="H214" s="406"/>
    </row>
    <row r="215" spans="1:13" ht="15.75">
      <c r="A215" s="478" t="s">
        <v>882</v>
      </c>
      <c r="B215" s="478"/>
      <c r="C215" s="478"/>
      <c r="D215" s="650"/>
      <c r="E215" s="399"/>
      <c r="F215" s="400"/>
      <c r="G215" s="400"/>
      <c r="H215" s="406"/>
    </row>
    <row r="216" spans="1:13" ht="15.75">
      <c r="A216" s="478" t="s">
        <v>923</v>
      </c>
      <c r="B216" s="478"/>
      <c r="C216" s="478"/>
      <c r="D216" s="650"/>
      <c r="E216" s="399"/>
      <c r="F216" s="400"/>
      <c r="G216" s="400"/>
      <c r="H216" s="406"/>
    </row>
    <row r="217" spans="1:13" ht="15.75">
      <c r="A217" s="478" t="s">
        <v>924</v>
      </c>
      <c r="B217" s="478"/>
      <c r="C217" s="478"/>
      <c r="D217" s="650"/>
      <c r="E217" s="399"/>
      <c r="F217" s="400"/>
      <c r="G217" s="400"/>
      <c r="H217" s="406"/>
      <c r="I217" s="460"/>
    </row>
    <row r="218" spans="1:13" ht="13.5" customHeight="1">
      <c r="B218" s="409"/>
      <c r="C218" s="409"/>
      <c r="D218" s="651"/>
      <c r="I218" s="460"/>
    </row>
    <row r="219" spans="1:13" ht="63" customHeight="1">
      <c r="A219" s="657"/>
      <c r="B219" s="658" t="s">
        <v>833</v>
      </c>
      <c r="C219" s="425"/>
      <c r="D219" s="658" t="s">
        <v>889</v>
      </c>
      <c r="E219" s="422" t="s">
        <v>891</v>
      </c>
      <c r="F219" s="422" t="s">
        <v>890</v>
      </c>
      <c r="G219" s="659" t="s">
        <v>891</v>
      </c>
      <c r="H219" s="432" t="s">
        <v>6</v>
      </c>
      <c r="I219" s="660"/>
    </row>
    <row r="220" spans="1:13" ht="15" customHeight="1">
      <c r="A220" s="345" t="s">
        <v>853</v>
      </c>
      <c r="B220" s="665">
        <f>+GETPIVOTDATA("Sum of Old Grand Total FTE",'FTE Pivot for regular counts'!$A$2,"Category2","Four-Year")</f>
        <v>2436859.9442499997</v>
      </c>
      <c r="D220" s="494">
        <f>+GETPIVOTDATA("Sum of Old Grand Total FTE",'FTE Pivot for regular counts'!$A$2,"Category2","Two-Year")</f>
        <v>1675156.1337777774</v>
      </c>
      <c r="F220" s="666">
        <f>+GETPIVOTDATA("Sum of Old Grand Total FTE",'FTE Pivot for regular counts'!$A$2,"Category2","Technical")</f>
        <v>116295.99496666665</v>
      </c>
      <c r="G220" s="667"/>
      <c r="H220" s="668">
        <f>+F220+D220+B220</f>
        <v>4228312.0729944436</v>
      </c>
      <c r="I220" s="460"/>
    </row>
    <row r="221" spans="1:13" ht="13.5" customHeight="1">
      <c r="B221" s="494"/>
      <c r="D221" s="494"/>
      <c r="F221" s="666"/>
      <c r="G221" s="667"/>
      <c r="H221" s="668"/>
      <c r="I221" s="460"/>
    </row>
    <row r="222" spans="1:13" ht="15" customHeight="1">
      <c r="A222" s="345" t="s">
        <v>861</v>
      </c>
      <c r="B222" s="494">
        <f>+GETPIVOTDATA("Sum of Old Grand Total FTE",'FTE Pivot for regular counts'!$A$2,"State","AL","Category2","Four-Year")</f>
        <v>131015.60833333332</v>
      </c>
      <c r="D222" s="494">
        <f>+GETPIVOTDATA("Sum of Old Grand Total FTE",'FTE Pivot for regular counts'!$A$2,"State","AL","Category2","Two-Year")</f>
        <v>59714.366666666669</v>
      </c>
      <c r="F222" s="666">
        <f>+GETPIVOTDATA("Sum of Old Grand Total FTE",'FTE Pivot for regular counts'!$A$2,"State","AL","Category2","Technical")</f>
        <v>2977.4</v>
      </c>
      <c r="G222" s="667"/>
      <c r="H222" s="668">
        <f t="shared" ref="H222:H237" si="0">+F222+D222+B222</f>
        <v>193707.375</v>
      </c>
      <c r="I222" s="460"/>
    </row>
    <row r="223" spans="1:13" ht="15" customHeight="1">
      <c r="A223" s="270" t="s">
        <v>862</v>
      </c>
      <c r="B223" s="494">
        <f>+GETPIVOTDATA("Sum of Old Grand Total FTE",'FTE Pivot for regular counts'!$A$2,"State","AR","Category2","Four-Year")</f>
        <v>81500.674999999988</v>
      </c>
      <c r="D223" s="494">
        <f>+GETPIVOTDATA("Sum of Old Grand Total FTE",'FTE Pivot for regular counts'!$A$2,"State","AR","Category2","Two-Year")</f>
        <v>34822.633333333331</v>
      </c>
      <c r="F223" s="666">
        <f>+GETPIVOTDATA("Sum of Old Grand Total FTE",'FTE Pivot for regular counts'!$A$2,"State","AR","Category2","Technical")</f>
        <v>0</v>
      </c>
      <c r="G223" s="667"/>
      <c r="H223" s="668">
        <f t="shared" si="0"/>
        <v>116323.30833333332</v>
      </c>
      <c r="I223" s="460"/>
    </row>
    <row r="224" spans="1:13" ht="15" customHeight="1">
      <c r="A224" s="345" t="s">
        <v>863</v>
      </c>
      <c r="B224" s="495">
        <f>+GETPIVOTDATA("Sum of Old Grand Total FTE",'FTE Pivot for regular counts'!$A$2,"State","DE","Category2","Four-Year")</f>
        <v>25458.833333333328</v>
      </c>
      <c r="D224" s="494">
        <f>+GETPIVOTDATA("Sum of Old Grand Total FTE",'FTE Pivot for regular counts'!$A$2,"State","DE","Category2","Two-Year")</f>
        <v>9102</v>
      </c>
      <c r="F224" s="666">
        <f>+GETPIVOTDATA("Sum of Old Grand Total FTE",'FTE Pivot for regular counts'!$A$2,"State","DE","Category2","Technical")</f>
        <v>0</v>
      </c>
      <c r="G224" s="667"/>
      <c r="H224" s="668">
        <f t="shared" si="0"/>
        <v>34560.833333333328</v>
      </c>
      <c r="I224" s="460"/>
    </row>
    <row r="225" spans="1:13" ht="15" customHeight="1">
      <c r="A225" s="345" t="s">
        <v>864</v>
      </c>
      <c r="B225" s="494">
        <f>+GETPIVOTDATA("Sum of Old Grand Total FTE",'FTE Pivot for regular counts'!$A$2,"State","FL","Category2","Four-Year")</f>
        <v>296820.33333333337</v>
      </c>
      <c r="D225" s="494">
        <f>+GETPIVOTDATA("Sum of Old Grand Total FTE",'FTE Pivot for regular counts'!$A$2,"State","FL","Category2","Two-Year")</f>
        <v>331370.13333333336</v>
      </c>
      <c r="F225" s="666">
        <f>+GETPIVOTDATA("Sum of Old Grand Total FTE",'FTE Pivot for regular counts'!$A$2,"State","FL","Category2","Technical")</f>
        <v>0</v>
      </c>
      <c r="G225" s="667"/>
      <c r="H225" s="668">
        <f t="shared" si="0"/>
        <v>628190.46666666679</v>
      </c>
      <c r="I225" s="460"/>
    </row>
    <row r="226" spans="1:13" ht="15" customHeight="1">
      <c r="A226" s="345" t="s">
        <v>865</v>
      </c>
      <c r="B226" s="494">
        <f>+GETPIVOTDATA("Sum of Old Grand Total FTE",'FTE Pivot for regular counts'!$A$2,"State","GA","Category2","Four-Year")</f>
        <v>241964.37216666667</v>
      </c>
      <c r="D226" s="494">
        <f>+GETPIVOTDATA("Sum of Old Grand Total FTE",'FTE Pivot for regular counts'!$A$2,"State","GA","Category2","Two-Year")</f>
        <v>37941.816666666666</v>
      </c>
      <c r="F226" s="666">
        <f>+GETPIVOTDATA("Sum of Old Grand Total FTE",'FTE Pivot for regular counts'!$A$2,"State","GA","Category2","Technical")</f>
        <v>67506.233333333323</v>
      </c>
      <c r="G226" s="667"/>
      <c r="H226" s="668">
        <f t="shared" si="0"/>
        <v>347412.42216666666</v>
      </c>
      <c r="I226" s="460"/>
    </row>
    <row r="227" spans="1:13" ht="15" customHeight="1">
      <c r="A227" s="345" t="s">
        <v>866</v>
      </c>
      <c r="B227" s="494">
        <f>+GETPIVOTDATA("Sum of Old Grand Total FTE",'FTE Pivot for regular counts'!$A$2,"State","KY","Category2","Four-Year")</f>
        <v>101092.26666666668</v>
      </c>
      <c r="D227" s="494">
        <f>+GETPIVOTDATA("Sum of Old Grand Total FTE",'FTE Pivot for regular counts'!$A$2,"State","KY","Category2","Two-Year")</f>
        <v>42788.5</v>
      </c>
      <c r="F227" s="666">
        <f>+GETPIVOTDATA("Sum of Old Grand Total FTE",'FTE Pivot for regular counts'!$A$2,"State","KY","Category2","Technical")</f>
        <v>4898.7</v>
      </c>
      <c r="G227" s="667"/>
      <c r="H227" s="668">
        <f t="shared" si="0"/>
        <v>148779.46666666667</v>
      </c>
      <c r="I227" s="460"/>
    </row>
    <row r="228" spans="1:13" ht="15" customHeight="1">
      <c r="A228" s="345" t="s">
        <v>867</v>
      </c>
      <c r="B228" s="494">
        <f>+GETPIVOTDATA("Sum of Old Grand Total FTE",'FTE Pivot for regular counts'!$A$2,"State","LA","Category2","Four-Year")</f>
        <v>118380.84583333334</v>
      </c>
      <c r="D228" s="494">
        <f>+GETPIVOTDATA("Sum of Old Grand Total FTE",'FTE Pivot for regular counts'!$A$2,"State","LA","Category2","Two-Year")</f>
        <v>36658.866666666669</v>
      </c>
      <c r="F228" s="666">
        <f>+GETPIVOTDATA("Sum of Old Grand Total FTE",'FTE Pivot for regular counts'!$A$2,"State","LA","Category2","Technical")</f>
        <v>9824.0811111111107</v>
      </c>
      <c r="G228" s="667"/>
      <c r="H228" s="668">
        <f t="shared" si="0"/>
        <v>164863.79361111112</v>
      </c>
      <c r="I228" s="460"/>
    </row>
    <row r="229" spans="1:13" ht="15" customHeight="1">
      <c r="A229" s="345" t="s">
        <v>868</v>
      </c>
      <c r="B229" s="494">
        <f>+GETPIVOTDATA("Sum of Old Grand Total FTE",'FTE Pivot for regular counts'!$A$2,"State","MD","Category2","Four-Year")</f>
        <v>104450.40708333334</v>
      </c>
      <c r="D229" s="494">
        <f>+GETPIVOTDATA("Sum of Old Grand Total FTE",'FTE Pivot for regular counts'!$A$2,"State","MD","Category2","Two-Year")</f>
        <v>89245.658333333326</v>
      </c>
      <c r="F229" s="666">
        <f>+GETPIVOTDATA("Sum of Old Grand Total FTE",'FTE Pivot for regular counts'!$A$2,"State","MD","Category2","Technical")</f>
        <v>0</v>
      </c>
      <c r="G229" s="667"/>
      <c r="H229" s="668">
        <f t="shared" si="0"/>
        <v>193696.06541666668</v>
      </c>
      <c r="I229" s="460"/>
    </row>
    <row r="230" spans="1:13" ht="12" customHeight="1">
      <c r="A230" s="345" t="s">
        <v>869</v>
      </c>
      <c r="B230" s="494">
        <f>+GETPIVOTDATA("Sum of Old Grand Total FTE",'FTE Pivot for regular counts'!$A$2,"State","MS","Category2","Four-Year")</f>
        <v>69366.179166666669</v>
      </c>
      <c r="D230" s="494">
        <f>+GETPIVOTDATA("Sum of Old Grand Total FTE",'FTE Pivot for regular counts'!$A$2,"State","MS","Category2","Two-Year")</f>
        <v>64814.566666666658</v>
      </c>
      <c r="F230" s="666">
        <f>+GETPIVOTDATA("Sum of Old Grand Total FTE",'FTE Pivot for regular counts'!$A$2,"State","MS","Category2","Technical")</f>
        <v>0</v>
      </c>
      <c r="G230" s="667"/>
      <c r="H230" s="668">
        <f t="shared" si="0"/>
        <v>134180.74583333332</v>
      </c>
      <c r="I230" s="460"/>
    </row>
    <row r="231" spans="1:13" ht="15" customHeight="1">
      <c r="A231" s="345" t="s">
        <v>870</v>
      </c>
      <c r="B231" s="494">
        <f>+GETPIVOTDATA("Sum of Old Grand Total FTE",'FTE Pivot for regular counts'!$A$2,"State","NC","Category2","Four-Year")</f>
        <v>198034.89166666666</v>
      </c>
      <c r="D231" s="494">
        <f>+GETPIVOTDATA("Sum of Old Grand Total FTE",'FTE Pivot for regular counts'!$A$2,"State","NC","Category2","Two-Year")</f>
        <v>190456.58444444442</v>
      </c>
      <c r="F231" s="666">
        <f>+GETPIVOTDATA("Sum of Old Grand Total FTE",'FTE Pivot for regular counts'!$A$2,"State","NC","Category2","Technical")</f>
        <v>0</v>
      </c>
      <c r="G231" s="667"/>
      <c r="H231" s="668">
        <f t="shared" si="0"/>
        <v>388491.47611111111</v>
      </c>
      <c r="I231" s="460"/>
    </row>
    <row r="232" spans="1:13" ht="15" customHeight="1">
      <c r="A232" s="345" t="s">
        <v>871</v>
      </c>
      <c r="B232" s="494">
        <f>+GETPIVOTDATA("Sum of Old Grand Total FTE",'FTE Pivot for regular counts'!$A$2,"State","OK","Category2","Four-Year")</f>
        <v>94275.191666666651</v>
      </c>
      <c r="D232" s="494">
        <f>+GETPIVOTDATA("Sum of Old Grand Total FTE",'FTE Pivot for regular counts'!$A$2,"State","OK","Category2","Two-Year")</f>
        <v>44873.5</v>
      </c>
      <c r="F232" s="666">
        <f>+GETPIVOTDATA("Sum of Old Grand Total FTE",'FTE Pivot for regular counts'!$A$2,"State","OK","Category2","Technical")</f>
        <v>19443.854966666669</v>
      </c>
      <c r="G232" s="667"/>
      <c r="H232" s="668">
        <f t="shared" si="0"/>
        <v>158592.54663333332</v>
      </c>
      <c r="I232" s="460"/>
    </row>
    <row r="233" spans="1:13" ht="15" customHeight="1">
      <c r="A233" s="345" t="s">
        <v>872</v>
      </c>
      <c r="B233" s="494">
        <f>+GETPIVOTDATA("Sum of Old Grand Total FTE",'FTE Pivot for regular counts'!$A$2,"State","SC","Category2","Four-Year")</f>
        <v>100457.59583333335</v>
      </c>
      <c r="D233" s="494">
        <f>+GETPIVOTDATA("Sum of Old Grand Total FTE",'FTE Pivot for regular counts'!$A$2,"State","SC","Category2","Two-Year")</f>
        <v>71680.194333333333</v>
      </c>
      <c r="F233" s="666">
        <f>+GETPIVOTDATA("Sum of Old Grand Total FTE",'FTE Pivot for regular counts'!$A$2,"State","SC","Category2","Technical")</f>
        <v>0</v>
      </c>
      <c r="G233" s="667"/>
      <c r="H233" s="668">
        <f t="shared" si="0"/>
        <v>172137.79016666667</v>
      </c>
      <c r="I233" s="460"/>
    </row>
    <row r="234" spans="1:13" ht="15" customHeight="1">
      <c r="A234" s="345" t="s">
        <v>873</v>
      </c>
      <c r="B234" s="494">
        <f>+GETPIVOTDATA("Sum of Old Grand Total FTE",'FTE Pivot for regular counts'!$A$2,"State","TN","Category2","Four-Year")</f>
        <v>116482.08333333331</v>
      </c>
      <c r="D234" s="494">
        <f>+GETPIVOTDATA("Sum of Old Grand Total FTE",'FTE Pivot for regular counts'!$A$2,"State","TN","Category2","Two-Year")</f>
        <v>57415.233333333337</v>
      </c>
      <c r="F234" s="666">
        <f>+GETPIVOTDATA("Sum of Old Grand Total FTE",'FTE Pivot for regular counts'!$A$2,"State","TN","Category2","Technical")</f>
        <v>11645.725555555555</v>
      </c>
      <c r="G234" s="667"/>
      <c r="H234" s="668">
        <f t="shared" si="0"/>
        <v>185543.0422222222</v>
      </c>
      <c r="I234" s="460"/>
    </row>
    <row r="235" spans="1:13" ht="15" customHeight="1">
      <c r="A235" s="345" t="s">
        <v>874</v>
      </c>
      <c r="B235" s="494">
        <f>+GETPIVOTDATA("Sum of Old Grand Total FTE",'FTE Pivot for regular counts'!$A$2,"State","TX","Category2","Four-Year")</f>
        <v>504084.50000000006</v>
      </c>
      <c r="D235" s="494">
        <f>+GETPIVOTDATA("Sum of Old Grand Total FTE",'FTE Pivot for regular counts'!$A$2,"State","TX","Category2","Two-Year")</f>
        <v>476877.47333333327</v>
      </c>
      <c r="F235" s="666">
        <f>+GETPIVOTDATA("Sum of Old Grand Total FTE",'FTE Pivot for regular counts'!$A$2,"State","TX","Category2","Technical")</f>
        <v>0</v>
      </c>
      <c r="G235" s="667"/>
      <c r="H235" s="668">
        <f t="shared" si="0"/>
        <v>980961.97333333339</v>
      </c>
      <c r="I235" s="460"/>
    </row>
    <row r="236" spans="1:13" ht="15" customHeight="1">
      <c r="A236" s="345" t="s">
        <v>875</v>
      </c>
      <c r="B236" s="494">
        <f>+GETPIVOTDATA("Sum of Old Grand Total FTE",'FTE Pivot for regular counts'!$A$2,"State","VA","Category2","Four-Year")</f>
        <v>196122.40916666671</v>
      </c>
      <c r="D236" s="494">
        <f>+GETPIVOTDATA("Sum of Old Grand Total FTE",'FTE Pivot for regular counts'!$A$2,"State","VA","Category2","Two-Year")</f>
        <v>115253.41666666667</v>
      </c>
      <c r="F236" s="666">
        <f>+GETPIVOTDATA("Sum of Old Grand Total FTE",'FTE Pivot for regular counts'!$A$2,"State","VA","Category2","Technical")</f>
        <v>0</v>
      </c>
      <c r="G236" s="667"/>
      <c r="H236" s="668">
        <f t="shared" si="0"/>
        <v>311375.82583333337</v>
      </c>
      <c r="I236" s="460"/>
    </row>
    <row r="237" spans="1:13" ht="15" customHeight="1">
      <c r="A237" s="461" t="s">
        <v>876</v>
      </c>
      <c r="B237" s="462">
        <f>+GETPIVOTDATA("Sum of Old Grand Total FTE",'FTE Pivot for regular counts'!$A$2,"State","WV","Category2","Four-Year")</f>
        <v>57353.751666666663</v>
      </c>
      <c r="C237" s="461"/>
      <c r="D237" s="462">
        <f>+GETPIVOTDATA("Sum of Old Grand Total FTE",'FTE Pivot for regular counts'!$A$2,"State","WV","Category2","Two-Year")</f>
        <v>12141.19</v>
      </c>
      <c r="E237" s="461"/>
      <c r="F237" s="677">
        <f>+GETPIVOTDATA("Sum of Old Grand Total FTE",'FTE Pivot for regular counts'!$A$2,"State","WV","Category2","Technical")</f>
        <v>0</v>
      </c>
      <c r="G237" s="678"/>
      <c r="H237" s="668">
        <f t="shared" si="0"/>
        <v>69494.941666666666</v>
      </c>
      <c r="I237" s="460"/>
    </row>
    <row r="238" spans="1:13" s="460" customFormat="1" ht="20.25" customHeight="1">
      <c r="A238" s="624"/>
      <c r="B238" s="685"/>
      <c r="C238" s="685"/>
      <c r="D238" s="685"/>
      <c r="E238" s="685"/>
      <c r="F238" s="685"/>
      <c r="G238" s="685"/>
      <c r="H238" s="686"/>
      <c r="I238" s="494"/>
      <c r="J238" s="495"/>
      <c r="K238" s="495"/>
      <c r="L238" s="495"/>
      <c r="M238" s="495"/>
    </row>
    <row r="239" spans="1:13" ht="71.25" customHeight="1">
      <c r="A239" s="769" t="s">
        <v>1011</v>
      </c>
      <c r="B239" s="770"/>
      <c r="C239" s="770"/>
      <c r="D239" s="770"/>
      <c r="E239" s="770"/>
      <c r="F239" s="770"/>
      <c r="G239" s="770"/>
      <c r="H239" s="770"/>
      <c r="I239" s="460"/>
    </row>
    <row r="240" spans="1:13">
      <c r="H240" s="498"/>
    </row>
    <row r="255" spans="14:15">
      <c r="N255" s="460"/>
      <c r="O255" s="460"/>
    </row>
    <row r="256" spans="14:15">
      <c r="N256" s="460"/>
      <c r="O256" s="460"/>
    </row>
    <row r="257" spans="14:15">
      <c r="N257" s="460"/>
      <c r="O257" s="460"/>
    </row>
    <row r="258" spans="14:15">
      <c r="N258" s="460"/>
      <c r="O258" s="460"/>
    </row>
    <row r="259" spans="14:15">
      <c r="N259" s="460"/>
      <c r="O259" s="460"/>
    </row>
    <row r="260" spans="14:15">
      <c r="N260" s="460"/>
      <c r="O260" s="460"/>
    </row>
    <row r="261" spans="14:15">
      <c r="N261" s="460"/>
      <c r="O261" s="460"/>
    </row>
    <row r="262" spans="14:15">
      <c r="N262" s="460"/>
      <c r="O262" s="460"/>
    </row>
    <row r="263" spans="14:15">
      <c r="N263" s="460"/>
      <c r="O263" s="460"/>
    </row>
  </sheetData>
  <mergeCells count="15">
    <mergeCell ref="A181:K181"/>
    <mergeCell ref="A211:G211"/>
    <mergeCell ref="A239:H239"/>
    <mergeCell ref="A96:J96"/>
    <mergeCell ref="A121:I121"/>
    <mergeCell ref="A123:J123"/>
    <mergeCell ref="A125:J125"/>
    <mergeCell ref="A126:J126"/>
    <mergeCell ref="A151:I151"/>
    <mergeCell ref="A95:J95"/>
    <mergeCell ref="B6:G6"/>
    <mergeCell ref="A30:O30"/>
    <mergeCell ref="A60:H60"/>
    <mergeCell ref="A91:H91"/>
    <mergeCell ref="A93:J93"/>
  </mergeCells>
  <printOptions horizontalCentered="1"/>
  <pageMargins left="0.5" right="0.44" top="1" bottom="0.85" header="0.75" footer="0.5"/>
  <pageSetup scale="89" firstPageNumber="80" fitToHeight="7" orientation="landscape" useFirstPageNumber="1" r:id="rId1"/>
  <headerFooter alignWithMargins="0">
    <oddHeader>&amp;RSREB-State Data Exchange</oddHeader>
    <oddFooter>&amp;CC-&amp;P</oddFooter>
  </headerFooter>
  <rowBreaks count="6" manualBreakCount="6">
    <brk id="31" max="14" man="1"/>
    <brk id="62" max="14" man="1"/>
    <brk id="92" max="14" man="1"/>
    <brk id="122" max="14" man="1"/>
    <brk id="152" max="14" man="1"/>
    <brk id="182" max="14"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A1:AK220"/>
  <sheetViews>
    <sheetView workbookViewId="0">
      <pane xSplit="2" ySplit="4" topLeftCell="C20" activePane="bottomRight" state="frozen"/>
      <selection pane="topRight" activeCell="C1" sqref="C1"/>
      <selection pane="bottomLeft" activeCell="A5" sqref="A5"/>
      <selection pane="bottomRight" activeCell="H43" sqref="H43"/>
    </sheetView>
  </sheetViews>
  <sheetFormatPr defaultRowHeight="12.75"/>
  <cols>
    <col min="1" max="1" width="7.5" style="342" customWidth="1"/>
    <col min="2" max="2" width="46.6640625" style="269" customWidth="1"/>
    <col min="3" max="8" width="16.1640625" style="269" customWidth="1"/>
    <col min="9" max="9" width="17.5" style="269" customWidth="1"/>
    <col min="10" max="13" width="14.33203125" style="269" customWidth="1"/>
    <col min="14" max="14" width="17" style="269" customWidth="1"/>
    <col min="15" max="15" width="13.83203125" style="269" customWidth="1"/>
    <col min="16" max="16" width="13.83203125" style="269" hidden="1" customWidth="1"/>
    <col min="17" max="18" width="14.5" style="269" customWidth="1"/>
    <col min="19" max="19" width="11.6640625" style="269" customWidth="1"/>
    <col min="20" max="20" width="8.5" style="269" customWidth="1"/>
    <col min="21" max="21" width="10.83203125" style="269" customWidth="1"/>
    <col min="22" max="22" width="9.83203125" style="269" customWidth="1"/>
    <col min="23" max="23" width="12.1640625" style="269" customWidth="1"/>
    <col min="24" max="24" width="9.83203125" style="269" customWidth="1"/>
    <col min="25" max="25" width="12.1640625" style="269" customWidth="1"/>
    <col min="26" max="26" width="8.6640625" style="269" customWidth="1"/>
    <col min="27" max="27" width="12.1640625" style="269" customWidth="1"/>
    <col min="28" max="29" width="1.5" style="269" customWidth="1"/>
    <col min="30" max="30" width="2.1640625" style="269" customWidth="1"/>
    <col min="31" max="31" width="14.5" style="269" customWidth="1"/>
    <col min="32" max="32" width="13.6640625" style="269" customWidth="1"/>
    <col min="33" max="33" width="12.6640625" style="269" customWidth="1"/>
    <col min="34" max="34" width="16" style="269" customWidth="1"/>
    <col min="35" max="35" width="16.5" style="269" customWidth="1"/>
    <col min="36" max="36" width="14.6640625" style="269" customWidth="1"/>
    <col min="37" max="37" width="14" style="269" customWidth="1"/>
    <col min="38" max="16384" width="9.33203125" style="269"/>
  </cols>
  <sheetData>
    <row r="1" spans="1:31">
      <c r="A1" s="269"/>
      <c r="E1" s="270"/>
      <c r="F1" s="270"/>
      <c r="G1" s="270"/>
      <c r="H1" s="270"/>
      <c r="I1" s="270"/>
      <c r="J1" s="270"/>
      <c r="K1" s="270"/>
      <c r="L1" s="270"/>
      <c r="M1" s="271"/>
      <c r="N1" s="270"/>
      <c r="T1" s="272"/>
      <c r="U1" s="272"/>
      <c r="V1" s="272"/>
      <c r="W1" s="272"/>
      <c r="X1" s="272"/>
      <c r="Y1" s="272"/>
      <c r="Z1" s="272"/>
      <c r="AA1" s="272"/>
    </row>
    <row r="2" spans="1:31">
      <c r="A2" s="269"/>
      <c r="C2" s="269" t="s">
        <v>811</v>
      </c>
      <c r="E2" s="273"/>
      <c r="F2" s="273"/>
      <c r="G2" s="273"/>
      <c r="H2" s="273"/>
      <c r="I2" s="273"/>
      <c r="J2" s="274"/>
      <c r="K2" s="273"/>
      <c r="L2" s="273"/>
      <c r="M2" s="275"/>
      <c r="N2" s="276"/>
      <c r="O2" s="274"/>
      <c r="P2" s="273"/>
      <c r="Q2" s="273"/>
      <c r="R2" s="273"/>
      <c r="S2" s="273"/>
      <c r="T2" s="277"/>
      <c r="U2" s="277"/>
      <c r="V2" s="277"/>
      <c r="W2" s="277"/>
      <c r="X2" s="277"/>
      <c r="Y2" s="277"/>
      <c r="Z2" s="277"/>
      <c r="AA2" s="278"/>
      <c r="AB2" s="279"/>
      <c r="AC2" s="280"/>
      <c r="AD2" s="281"/>
      <c r="AE2" s="282"/>
    </row>
    <row r="3" spans="1:31">
      <c r="A3" s="283"/>
      <c r="B3" s="284"/>
      <c r="C3" s="285" t="s">
        <v>833</v>
      </c>
      <c r="D3" s="273"/>
      <c r="E3" s="273"/>
      <c r="F3" s="273"/>
      <c r="G3" s="273"/>
      <c r="H3" s="273"/>
      <c r="I3" s="286" t="s">
        <v>832</v>
      </c>
      <c r="J3" s="285" t="s">
        <v>834</v>
      </c>
      <c r="K3" s="273"/>
      <c r="L3" s="273"/>
      <c r="M3" s="273"/>
      <c r="N3" s="286" t="s">
        <v>835</v>
      </c>
      <c r="O3" s="285">
        <v>11</v>
      </c>
      <c r="P3" s="273" t="s">
        <v>939</v>
      </c>
      <c r="Q3" s="286" t="s">
        <v>836</v>
      </c>
      <c r="R3" s="285"/>
      <c r="S3" s="285" t="s">
        <v>837</v>
      </c>
      <c r="T3" s="287">
        <v>99</v>
      </c>
      <c r="U3" s="287" t="s">
        <v>805</v>
      </c>
      <c r="V3" s="287" t="s">
        <v>751</v>
      </c>
      <c r="W3" s="287" t="s">
        <v>806</v>
      </c>
      <c r="X3" s="287" t="s">
        <v>752</v>
      </c>
      <c r="Y3" s="287" t="s">
        <v>807</v>
      </c>
      <c r="Z3" s="287" t="s">
        <v>753</v>
      </c>
      <c r="AA3" s="288" t="s">
        <v>808</v>
      </c>
      <c r="AB3" s="289" t="s">
        <v>6</v>
      </c>
      <c r="AC3" s="290"/>
      <c r="AD3" s="281"/>
      <c r="AE3" s="282"/>
    </row>
    <row r="4" spans="1:31">
      <c r="A4" s="283" t="s">
        <v>802</v>
      </c>
      <c r="B4" s="291" t="s">
        <v>838</v>
      </c>
      <c r="C4" s="292">
        <v>1</v>
      </c>
      <c r="D4" s="293">
        <v>2</v>
      </c>
      <c r="E4" s="293">
        <v>3</v>
      </c>
      <c r="F4" s="293">
        <v>4</v>
      </c>
      <c r="G4" s="293">
        <v>5</v>
      </c>
      <c r="H4" s="293">
        <v>6</v>
      </c>
      <c r="I4" s="294"/>
      <c r="J4" s="295">
        <v>7</v>
      </c>
      <c r="K4" s="296">
        <v>8</v>
      </c>
      <c r="L4" s="296">
        <v>9</v>
      </c>
      <c r="M4" s="296">
        <v>10</v>
      </c>
      <c r="N4" s="294"/>
      <c r="O4" s="295">
        <v>11</v>
      </c>
      <c r="P4" s="296"/>
      <c r="Q4" s="294">
        <v>12</v>
      </c>
      <c r="R4" s="285">
        <v>13</v>
      </c>
      <c r="S4" s="297"/>
      <c r="T4" s="287">
        <v>99</v>
      </c>
      <c r="U4" s="298"/>
      <c r="V4" s="299" t="s">
        <v>751</v>
      </c>
      <c r="W4" s="300"/>
      <c r="X4" s="299" t="s">
        <v>752</v>
      </c>
      <c r="Y4" s="300"/>
      <c r="Z4" s="287" t="s">
        <v>753</v>
      </c>
      <c r="AA4" s="301"/>
      <c r="AB4" s="289"/>
      <c r="AC4" s="302"/>
      <c r="AD4" s="281"/>
      <c r="AE4" s="282"/>
    </row>
    <row r="5" spans="1:31">
      <c r="A5" s="303" t="s">
        <v>73</v>
      </c>
      <c r="B5" s="291" t="s">
        <v>803</v>
      </c>
      <c r="C5" s="285">
        <v>50237.733333333337</v>
      </c>
      <c r="D5" s="276">
        <v>13900.866666666667</v>
      </c>
      <c r="E5" s="276">
        <v>33433.666666666672</v>
      </c>
      <c r="F5" s="276">
        <v>8550.0333333333328</v>
      </c>
      <c r="G5" s="276">
        <v>4135.8999999999996</v>
      </c>
      <c r="H5" s="276">
        <v>2347.1999999999998</v>
      </c>
      <c r="I5" s="285">
        <v>112605.40000000001</v>
      </c>
      <c r="J5" s="285"/>
      <c r="K5" s="276">
        <v>12914.266666666666</v>
      </c>
      <c r="L5" s="276">
        <v>35549.866666666669</v>
      </c>
      <c r="M5" s="276">
        <v>11250.233333333334</v>
      </c>
      <c r="N5" s="285">
        <v>59714.366666666669</v>
      </c>
      <c r="O5" s="285"/>
      <c r="P5" s="276"/>
      <c r="Q5" s="285">
        <v>1202.9000000000001</v>
      </c>
      <c r="R5" s="285">
        <v>1774.5</v>
      </c>
      <c r="S5" s="285">
        <v>2977.4</v>
      </c>
      <c r="T5" s="287"/>
      <c r="U5" s="287"/>
      <c r="V5" s="287"/>
      <c r="W5" s="287"/>
      <c r="X5" s="287"/>
      <c r="Y5" s="287"/>
      <c r="Z5" s="287"/>
      <c r="AA5" s="304"/>
      <c r="AB5" s="289">
        <v>175297.16666666666</v>
      </c>
      <c r="AC5" s="290"/>
      <c r="AD5" s="281"/>
      <c r="AE5" s="282"/>
    </row>
    <row r="6" spans="1:31">
      <c r="A6" s="305"/>
      <c r="B6" s="306" t="s">
        <v>804</v>
      </c>
      <c r="C6" s="307">
        <v>52050.3</v>
      </c>
      <c r="D6" s="308">
        <v>14661.933333333334</v>
      </c>
      <c r="E6" s="308">
        <v>34757.300000000003</v>
      </c>
      <c r="F6" s="308">
        <v>8400.3666666666668</v>
      </c>
      <c r="G6" s="308">
        <v>4094.9666666666667</v>
      </c>
      <c r="H6" s="308">
        <v>2317.2666666666669</v>
      </c>
      <c r="I6" s="307">
        <v>116282.13333333333</v>
      </c>
      <c r="J6" s="307"/>
      <c r="K6" s="308">
        <v>12526.7</v>
      </c>
      <c r="L6" s="308">
        <v>34915.133333333331</v>
      </c>
      <c r="M6" s="308">
        <v>10938.733333333334</v>
      </c>
      <c r="N6" s="307">
        <v>58380.566666666666</v>
      </c>
      <c r="O6" s="307"/>
      <c r="P6" s="308"/>
      <c r="Q6" s="307">
        <v>1285.2</v>
      </c>
      <c r="R6" s="307">
        <v>1678.6999999999998</v>
      </c>
      <c r="S6" s="307">
        <v>2963.8999999999996</v>
      </c>
      <c r="T6" s="309"/>
      <c r="U6" s="309"/>
      <c r="V6" s="309"/>
      <c r="W6" s="309"/>
      <c r="X6" s="309"/>
      <c r="Y6" s="309"/>
      <c r="Z6" s="309"/>
      <c r="AA6" s="310"/>
      <c r="AB6" s="311">
        <v>177626.60000000003</v>
      </c>
      <c r="AC6" s="312"/>
      <c r="AD6" s="281"/>
      <c r="AE6" s="282"/>
    </row>
    <row r="7" spans="1:31">
      <c r="A7" s="305"/>
      <c r="B7" s="313" t="s">
        <v>824</v>
      </c>
      <c r="C7" s="314">
        <v>3.6079785977605125E-2</v>
      </c>
      <c r="D7" s="315">
        <v>5.4749583958794E-2</v>
      </c>
      <c r="E7" s="315">
        <v>3.9589834597860377E-2</v>
      </c>
      <c r="F7" s="315">
        <v>-1.7504805049492915E-2</v>
      </c>
      <c r="G7" s="315">
        <v>-9.89708003900794E-3</v>
      </c>
      <c r="H7" s="315">
        <v>-1.2752783458304764E-2</v>
      </c>
      <c r="I7" s="314">
        <v>3.2651483262199882E-2</v>
      </c>
      <c r="J7" s="314">
        <v>0</v>
      </c>
      <c r="K7" s="315">
        <v>-3.001073747896376E-2</v>
      </c>
      <c r="L7" s="315">
        <v>-1.785473175708124E-2</v>
      </c>
      <c r="M7" s="315">
        <v>-2.7688314612733956E-2</v>
      </c>
      <c r="N7" s="314">
        <v>-2.2336333355847848E-2</v>
      </c>
      <c r="O7" s="316">
        <v>0</v>
      </c>
      <c r="P7" s="315">
        <v>0</v>
      </c>
      <c r="Q7" s="314">
        <v>6.8417989857843503E-2</v>
      </c>
      <c r="R7" s="314">
        <v>-5.3987038602423321E-2</v>
      </c>
      <c r="S7" s="314">
        <v>-4.5341573184659277E-3</v>
      </c>
      <c r="T7" s="317">
        <v>0</v>
      </c>
      <c r="U7" s="317">
        <v>0</v>
      </c>
      <c r="V7" s="317">
        <v>0</v>
      </c>
      <c r="W7" s="317">
        <v>0</v>
      </c>
      <c r="X7" s="317">
        <v>0</v>
      </c>
      <c r="Y7" s="317">
        <v>0</v>
      </c>
      <c r="Z7" s="317">
        <v>0</v>
      </c>
      <c r="AA7" s="318">
        <v>0</v>
      </c>
      <c r="AB7" s="319">
        <v>1.3288482510175503E-2</v>
      </c>
      <c r="AC7" s="320"/>
      <c r="AD7" s="321"/>
      <c r="AE7" s="282"/>
    </row>
    <row r="8" spans="1:31">
      <c r="A8" s="305"/>
      <c r="B8" s="306" t="s">
        <v>812</v>
      </c>
      <c r="C8" s="307">
        <v>0</v>
      </c>
      <c r="D8" s="308">
        <v>0</v>
      </c>
      <c r="E8" s="308">
        <v>0</v>
      </c>
      <c r="F8" s="308">
        <v>0</v>
      </c>
      <c r="G8" s="308">
        <v>0</v>
      </c>
      <c r="H8" s="308">
        <v>0</v>
      </c>
      <c r="I8" s="307">
        <v>0</v>
      </c>
      <c r="J8" s="307"/>
      <c r="K8" s="308">
        <v>0</v>
      </c>
      <c r="L8" s="308">
        <v>0</v>
      </c>
      <c r="M8" s="308">
        <v>0</v>
      </c>
      <c r="N8" s="307">
        <v>0</v>
      </c>
      <c r="O8" s="322"/>
      <c r="P8" s="308"/>
      <c r="Q8" s="307">
        <v>0</v>
      </c>
      <c r="R8" s="307">
        <v>0</v>
      </c>
      <c r="S8" s="307">
        <v>0</v>
      </c>
      <c r="T8" s="309"/>
      <c r="U8" s="309"/>
      <c r="V8" s="309"/>
      <c r="W8" s="309"/>
      <c r="X8" s="309"/>
      <c r="Y8" s="309"/>
      <c r="Z8" s="309"/>
      <c r="AA8" s="323"/>
      <c r="AB8" s="311">
        <v>0</v>
      </c>
      <c r="AC8" s="312"/>
      <c r="AD8" s="281"/>
      <c r="AE8" s="282"/>
    </row>
    <row r="9" spans="1:31">
      <c r="A9" s="305"/>
      <c r="B9" s="306" t="s">
        <v>814</v>
      </c>
      <c r="C9" s="307">
        <v>0</v>
      </c>
      <c r="D9" s="308">
        <v>0</v>
      </c>
      <c r="E9" s="308">
        <v>0</v>
      </c>
      <c r="F9" s="308">
        <v>0</v>
      </c>
      <c r="G9" s="308">
        <v>0</v>
      </c>
      <c r="H9" s="308">
        <v>0</v>
      </c>
      <c r="I9" s="307">
        <v>0</v>
      </c>
      <c r="J9" s="307"/>
      <c r="K9" s="308">
        <v>0</v>
      </c>
      <c r="L9" s="308">
        <v>0</v>
      </c>
      <c r="M9" s="308">
        <v>0</v>
      </c>
      <c r="N9" s="307">
        <v>0</v>
      </c>
      <c r="O9" s="322"/>
      <c r="P9" s="308"/>
      <c r="Q9" s="307">
        <v>0</v>
      </c>
      <c r="R9" s="307">
        <v>0</v>
      </c>
      <c r="S9" s="307">
        <v>0</v>
      </c>
      <c r="T9" s="309"/>
      <c r="U9" s="309"/>
      <c r="V9" s="309"/>
      <c r="W9" s="309"/>
      <c r="X9" s="309"/>
      <c r="Y9" s="309"/>
      <c r="Z9" s="309"/>
      <c r="AA9" s="323"/>
      <c r="AB9" s="311">
        <v>0</v>
      </c>
      <c r="AC9" s="312"/>
      <c r="AD9" s="281"/>
      <c r="AE9" s="282"/>
    </row>
    <row r="10" spans="1:31">
      <c r="A10" s="305"/>
      <c r="B10" s="313" t="s">
        <v>826</v>
      </c>
      <c r="C10" s="314">
        <v>0</v>
      </c>
      <c r="D10" s="315">
        <v>0</v>
      </c>
      <c r="E10" s="315">
        <v>0</v>
      </c>
      <c r="F10" s="315">
        <v>0</v>
      </c>
      <c r="G10" s="315">
        <v>0</v>
      </c>
      <c r="H10" s="315">
        <v>0</v>
      </c>
      <c r="I10" s="314">
        <v>0</v>
      </c>
      <c r="J10" s="314">
        <v>0</v>
      </c>
      <c r="K10" s="315">
        <v>0</v>
      </c>
      <c r="L10" s="315">
        <v>0</v>
      </c>
      <c r="M10" s="315">
        <v>0</v>
      </c>
      <c r="N10" s="314">
        <v>0</v>
      </c>
      <c r="O10" s="316">
        <v>0</v>
      </c>
      <c r="P10" s="315">
        <v>0</v>
      </c>
      <c r="Q10" s="314">
        <v>0</v>
      </c>
      <c r="R10" s="314">
        <v>0</v>
      </c>
      <c r="S10" s="314">
        <v>0</v>
      </c>
      <c r="T10" s="317">
        <v>0</v>
      </c>
      <c r="U10" s="317">
        <v>0</v>
      </c>
      <c r="V10" s="317">
        <v>0</v>
      </c>
      <c r="W10" s="317">
        <v>0</v>
      </c>
      <c r="X10" s="317">
        <v>0</v>
      </c>
      <c r="Y10" s="317">
        <v>0</v>
      </c>
      <c r="Z10" s="317">
        <v>0</v>
      </c>
      <c r="AA10" s="318">
        <v>0</v>
      </c>
      <c r="AB10" s="319">
        <v>0</v>
      </c>
      <c r="AC10" s="320"/>
      <c r="AD10" s="321"/>
      <c r="AE10" s="282"/>
    </row>
    <row r="11" spans="1:31">
      <c r="A11" s="305"/>
      <c r="B11" s="306" t="s">
        <v>816</v>
      </c>
      <c r="C11" s="307">
        <v>8274.625</v>
      </c>
      <c r="D11" s="308">
        <v>2940.1666666666665</v>
      </c>
      <c r="E11" s="308">
        <v>4412.833333333333</v>
      </c>
      <c r="F11" s="308">
        <v>1073.75</v>
      </c>
      <c r="G11" s="308">
        <v>1708.8333333333333</v>
      </c>
      <c r="H11" s="308">
        <v>0</v>
      </c>
      <c r="I11" s="307">
        <v>18410.208333333332</v>
      </c>
      <c r="J11" s="307"/>
      <c r="K11" s="308">
        <v>0</v>
      </c>
      <c r="L11" s="308">
        <v>0</v>
      </c>
      <c r="M11" s="308">
        <v>0</v>
      </c>
      <c r="N11" s="307">
        <v>0</v>
      </c>
      <c r="O11" s="322"/>
      <c r="P11" s="308"/>
      <c r="Q11" s="307">
        <v>0</v>
      </c>
      <c r="R11" s="307">
        <v>0</v>
      </c>
      <c r="S11" s="307">
        <v>0</v>
      </c>
      <c r="T11" s="309"/>
      <c r="U11" s="309"/>
      <c r="V11" s="309"/>
      <c r="W11" s="309"/>
      <c r="X11" s="309"/>
      <c r="Y11" s="309"/>
      <c r="Z11" s="309"/>
      <c r="AA11" s="323"/>
      <c r="AB11" s="311">
        <v>18410.208333333332</v>
      </c>
      <c r="AC11" s="312"/>
      <c r="AD11" s="281"/>
      <c r="AE11" s="282"/>
    </row>
    <row r="12" spans="1:31">
      <c r="A12" s="305"/>
      <c r="B12" s="306" t="s">
        <v>818</v>
      </c>
      <c r="C12" s="307">
        <v>8348</v>
      </c>
      <c r="D12" s="308">
        <v>3034.8333333333335</v>
      </c>
      <c r="E12" s="308">
        <v>4441.166666666667</v>
      </c>
      <c r="F12" s="308">
        <v>1005.75</v>
      </c>
      <c r="G12" s="308">
        <v>1817.4166666666667</v>
      </c>
      <c r="H12" s="308">
        <v>12.875</v>
      </c>
      <c r="I12" s="307">
        <v>18660.041666666668</v>
      </c>
      <c r="J12" s="307"/>
      <c r="K12" s="308">
        <v>0</v>
      </c>
      <c r="L12" s="308">
        <v>0</v>
      </c>
      <c r="M12" s="308">
        <v>0</v>
      </c>
      <c r="N12" s="307">
        <v>0</v>
      </c>
      <c r="O12" s="322"/>
      <c r="P12" s="308"/>
      <c r="Q12" s="307">
        <v>0</v>
      </c>
      <c r="R12" s="307">
        <v>0</v>
      </c>
      <c r="S12" s="307">
        <v>0</v>
      </c>
      <c r="T12" s="309"/>
      <c r="U12" s="309"/>
      <c r="V12" s="309"/>
      <c r="W12" s="309"/>
      <c r="X12" s="309"/>
      <c r="Y12" s="309"/>
      <c r="Z12" s="309"/>
      <c r="AA12" s="323"/>
      <c r="AB12" s="311">
        <v>18660.041666666668</v>
      </c>
      <c r="AC12" s="312"/>
      <c r="AD12" s="281"/>
      <c r="AE12" s="282"/>
    </row>
    <row r="13" spans="1:31">
      <c r="A13" s="305"/>
      <c r="B13" s="313" t="s">
        <v>828</v>
      </c>
      <c r="C13" s="314">
        <v>8.8674713355590129E-3</v>
      </c>
      <c r="D13" s="315">
        <v>3.2197721217618151E-2</v>
      </c>
      <c r="E13" s="315">
        <v>6.4206669939949257E-3</v>
      </c>
      <c r="F13" s="315">
        <v>-6.3329452852153661E-2</v>
      </c>
      <c r="G13" s="315">
        <v>6.3542377840632103E-2</v>
      </c>
      <c r="H13" s="315">
        <v>0</v>
      </c>
      <c r="I13" s="314">
        <v>1.357036969978153E-2</v>
      </c>
      <c r="J13" s="314">
        <v>0</v>
      </c>
      <c r="K13" s="315">
        <v>0</v>
      </c>
      <c r="L13" s="315">
        <v>0</v>
      </c>
      <c r="M13" s="315">
        <v>0</v>
      </c>
      <c r="N13" s="314">
        <v>0</v>
      </c>
      <c r="O13" s="316">
        <v>0</v>
      </c>
      <c r="P13" s="315">
        <v>0</v>
      </c>
      <c r="Q13" s="314">
        <v>0</v>
      </c>
      <c r="R13" s="314">
        <v>0</v>
      </c>
      <c r="S13" s="314">
        <v>0</v>
      </c>
      <c r="T13" s="317">
        <v>0</v>
      </c>
      <c r="U13" s="317">
        <v>0</v>
      </c>
      <c r="V13" s="317">
        <v>0</v>
      </c>
      <c r="W13" s="317">
        <v>0</v>
      </c>
      <c r="X13" s="317">
        <v>0</v>
      </c>
      <c r="Y13" s="317">
        <v>0</v>
      </c>
      <c r="Z13" s="317">
        <v>0</v>
      </c>
      <c r="AA13" s="318">
        <v>0</v>
      </c>
      <c r="AB13" s="319">
        <v>1.357036969978153E-2</v>
      </c>
      <c r="AC13" s="320"/>
      <c r="AD13" s="321"/>
      <c r="AE13" s="282"/>
    </row>
    <row r="14" spans="1:31">
      <c r="A14" s="305"/>
      <c r="B14" s="306" t="s">
        <v>820</v>
      </c>
      <c r="C14" s="307">
        <v>58512.358333333337</v>
      </c>
      <c r="D14" s="308">
        <v>16841.033333333333</v>
      </c>
      <c r="E14" s="308">
        <v>37846.5</v>
      </c>
      <c r="F14" s="308">
        <v>9623.7833333333328</v>
      </c>
      <c r="G14" s="308">
        <v>5844.7333333333336</v>
      </c>
      <c r="H14" s="308">
        <v>2347.1999999999998</v>
      </c>
      <c r="I14" s="307">
        <v>131015.60833333332</v>
      </c>
      <c r="J14" s="307"/>
      <c r="K14" s="308">
        <v>12914.266666666666</v>
      </c>
      <c r="L14" s="308">
        <v>35549.866666666669</v>
      </c>
      <c r="M14" s="308">
        <v>11250.233333333334</v>
      </c>
      <c r="N14" s="307">
        <v>59714.366666666669</v>
      </c>
      <c r="O14" s="322"/>
      <c r="P14" s="308"/>
      <c r="Q14" s="307">
        <v>1202.9000000000001</v>
      </c>
      <c r="R14" s="307">
        <v>1774.5</v>
      </c>
      <c r="S14" s="307">
        <v>2977.4</v>
      </c>
      <c r="T14" s="309"/>
      <c r="U14" s="309"/>
      <c r="V14" s="309"/>
      <c r="W14" s="309"/>
      <c r="X14" s="309"/>
      <c r="Y14" s="309"/>
      <c r="Z14" s="309"/>
      <c r="AA14" s="323"/>
      <c r="AB14" s="311">
        <v>193707.375</v>
      </c>
      <c r="AC14" s="312"/>
      <c r="AD14" s="281"/>
      <c r="AE14" s="282"/>
    </row>
    <row r="15" spans="1:31">
      <c r="A15" s="305"/>
      <c r="B15" s="306" t="s">
        <v>822</v>
      </c>
      <c r="C15" s="307">
        <v>60398.3</v>
      </c>
      <c r="D15" s="308">
        <v>17696.766666666666</v>
      </c>
      <c r="E15" s="308">
        <v>39198.466666666667</v>
      </c>
      <c r="F15" s="308">
        <v>9406.1166666666668</v>
      </c>
      <c r="G15" s="308">
        <v>5912.3833333333332</v>
      </c>
      <c r="H15" s="308">
        <v>2330.1416666666669</v>
      </c>
      <c r="I15" s="307">
        <v>134942.17499999999</v>
      </c>
      <c r="J15" s="307"/>
      <c r="K15" s="308">
        <v>12526.7</v>
      </c>
      <c r="L15" s="308">
        <v>34915.133333333331</v>
      </c>
      <c r="M15" s="308">
        <v>10938.733333333334</v>
      </c>
      <c r="N15" s="307">
        <v>58380.566666666666</v>
      </c>
      <c r="O15" s="322"/>
      <c r="P15" s="308"/>
      <c r="Q15" s="307">
        <v>1285.2</v>
      </c>
      <c r="R15" s="307">
        <v>1678.6999999999998</v>
      </c>
      <c r="S15" s="307">
        <v>2963.8999999999996</v>
      </c>
      <c r="T15" s="309"/>
      <c r="U15" s="309"/>
      <c r="V15" s="309"/>
      <c r="W15" s="309"/>
      <c r="X15" s="309"/>
      <c r="Y15" s="309"/>
      <c r="Z15" s="309"/>
      <c r="AA15" s="323"/>
      <c r="AB15" s="311">
        <v>196286.64166666669</v>
      </c>
      <c r="AC15" s="312"/>
      <c r="AD15" s="281"/>
      <c r="AE15" s="282"/>
    </row>
    <row r="16" spans="1:31">
      <c r="A16" s="324"/>
      <c r="B16" s="325" t="s">
        <v>830</v>
      </c>
      <c r="C16" s="314">
        <v>3.2231510067032829E-2</v>
      </c>
      <c r="D16" s="315">
        <v>5.0812400664250627E-2</v>
      </c>
      <c r="E16" s="315">
        <v>3.5722369747973187E-2</v>
      </c>
      <c r="F16" s="315">
        <v>-2.2617577633189934E-2</v>
      </c>
      <c r="G16" s="315">
        <v>1.1574522932326477E-2</v>
      </c>
      <c r="H16" s="315">
        <v>-7.2675244262665906E-3</v>
      </c>
      <c r="I16" s="314">
        <v>2.9970220469278681E-2</v>
      </c>
      <c r="J16" s="314">
        <v>0</v>
      </c>
      <c r="K16" s="315">
        <v>-3.001073747896376E-2</v>
      </c>
      <c r="L16" s="315">
        <v>-1.785473175708124E-2</v>
      </c>
      <c r="M16" s="315">
        <v>-2.7688314612733956E-2</v>
      </c>
      <c r="N16" s="314">
        <v>-2.2336333355847848E-2</v>
      </c>
      <c r="O16" s="316">
        <v>0</v>
      </c>
      <c r="P16" s="315">
        <v>0</v>
      </c>
      <c r="Q16" s="314">
        <v>6.8417989857843503E-2</v>
      </c>
      <c r="R16" s="314">
        <v>-5.3987038602423321E-2</v>
      </c>
      <c r="S16" s="314">
        <v>-4.5341573184659277E-3</v>
      </c>
      <c r="T16" s="317">
        <v>0</v>
      </c>
      <c r="U16" s="317">
        <v>0</v>
      </c>
      <c r="V16" s="317">
        <v>0</v>
      </c>
      <c r="W16" s="317">
        <v>0</v>
      </c>
      <c r="X16" s="317">
        <v>0</v>
      </c>
      <c r="Y16" s="317">
        <v>0</v>
      </c>
      <c r="Z16" s="317">
        <v>0</v>
      </c>
      <c r="AA16" s="318">
        <v>0</v>
      </c>
      <c r="AB16" s="311">
        <v>1.3315273446179495E-2</v>
      </c>
      <c r="AC16" s="312"/>
      <c r="AD16" s="321"/>
      <c r="AE16" s="282"/>
    </row>
    <row r="17" spans="1:31">
      <c r="A17" s="303" t="s">
        <v>115</v>
      </c>
      <c r="B17" s="291" t="s">
        <v>803</v>
      </c>
      <c r="C17" s="285">
        <v>20970.033333333333</v>
      </c>
      <c r="D17" s="276">
        <v>7088.8666666666668</v>
      </c>
      <c r="E17" s="276">
        <v>25630.266666666666</v>
      </c>
      <c r="F17" s="276">
        <v>5846.1333333333332</v>
      </c>
      <c r="G17" s="276">
        <v>2271.8333333333335</v>
      </c>
      <c r="H17" s="276">
        <v>7900.333333333333</v>
      </c>
      <c r="I17" s="285">
        <v>69707.466666666674</v>
      </c>
      <c r="J17" s="285"/>
      <c r="K17" s="276">
        <v>10656.633333333333</v>
      </c>
      <c r="L17" s="276">
        <v>4918.666666666667</v>
      </c>
      <c r="M17" s="276">
        <v>19247.333333333336</v>
      </c>
      <c r="N17" s="285">
        <v>34822.633333333331</v>
      </c>
      <c r="O17" s="285"/>
      <c r="P17" s="276"/>
      <c r="Q17" s="285"/>
      <c r="R17" s="285"/>
      <c r="S17" s="285"/>
      <c r="T17" s="287"/>
      <c r="U17" s="287"/>
      <c r="V17" s="287"/>
      <c r="W17" s="287"/>
      <c r="X17" s="287"/>
      <c r="Y17" s="287"/>
      <c r="Z17" s="287"/>
      <c r="AA17" s="304"/>
      <c r="AB17" s="289">
        <v>104530.1</v>
      </c>
      <c r="AC17" s="290"/>
      <c r="AD17" s="281"/>
      <c r="AE17" s="282"/>
    </row>
    <row r="18" spans="1:31">
      <c r="A18" s="305"/>
      <c r="B18" s="306" t="s">
        <v>804</v>
      </c>
      <c r="C18" s="307">
        <v>21291.066666666666</v>
      </c>
      <c r="D18" s="308">
        <v>6964.666666666667</v>
      </c>
      <c r="E18" s="308">
        <v>25422.199999999997</v>
      </c>
      <c r="F18" s="308">
        <v>6016.7333333333336</v>
      </c>
      <c r="G18" s="308">
        <v>2255.9333333333334</v>
      </c>
      <c r="H18" s="308">
        <v>7792.3666666666668</v>
      </c>
      <c r="I18" s="307">
        <v>69742.966666666674</v>
      </c>
      <c r="J18" s="307"/>
      <c r="K18" s="308">
        <v>9710.2999999999993</v>
      </c>
      <c r="L18" s="308">
        <v>4742.6333333333332</v>
      </c>
      <c r="M18" s="308">
        <v>18856.633333333335</v>
      </c>
      <c r="N18" s="307">
        <v>33309.566666666666</v>
      </c>
      <c r="O18" s="307"/>
      <c r="P18" s="308"/>
      <c r="Q18" s="307"/>
      <c r="R18" s="307"/>
      <c r="S18" s="307"/>
      <c r="T18" s="309"/>
      <c r="U18" s="309"/>
      <c r="V18" s="309"/>
      <c r="W18" s="309"/>
      <c r="X18" s="309"/>
      <c r="Y18" s="309"/>
      <c r="Z18" s="309"/>
      <c r="AA18" s="310"/>
      <c r="AB18" s="311">
        <v>103052.53333333334</v>
      </c>
      <c r="AC18" s="312"/>
      <c r="AD18" s="281"/>
      <c r="AE18" s="282"/>
    </row>
    <row r="19" spans="1:31">
      <c r="A19" s="305"/>
      <c r="B19" s="313" t="s">
        <v>824</v>
      </c>
      <c r="C19" s="314">
        <v>1.5309147497778553E-2</v>
      </c>
      <c r="D19" s="315">
        <v>-1.7520431098530062E-2</v>
      </c>
      <c r="E19" s="315">
        <v>-8.1180063154500676E-3</v>
      </c>
      <c r="F19" s="315">
        <v>2.9181681339232834E-2</v>
      </c>
      <c r="G19" s="315">
        <v>-6.9987528427848684E-3</v>
      </c>
      <c r="H19" s="315">
        <v>-1.3666090038394951E-2</v>
      </c>
      <c r="I19" s="314">
        <v>5.0927112542681384E-4</v>
      </c>
      <c r="J19" s="314">
        <v>0</v>
      </c>
      <c r="K19" s="315">
        <v>-8.8802279644290466E-2</v>
      </c>
      <c r="L19" s="315">
        <v>-3.5788831661697024E-2</v>
      </c>
      <c r="M19" s="315">
        <v>-2.0298915867133144E-2</v>
      </c>
      <c r="N19" s="314">
        <v>-4.3450667621345862E-2</v>
      </c>
      <c r="O19" s="316">
        <v>0</v>
      </c>
      <c r="P19" s="315">
        <v>0</v>
      </c>
      <c r="Q19" s="314">
        <v>0</v>
      </c>
      <c r="R19" s="314">
        <v>0</v>
      </c>
      <c r="S19" s="314">
        <v>0</v>
      </c>
      <c r="T19" s="317">
        <v>0</v>
      </c>
      <c r="U19" s="317">
        <v>0</v>
      </c>
      <c r="V19" s="317">
        <v>0</v>
      </c>
      <c r="W19" s="317">
        <v>0</v>
      </c>
      <c r="X19" s="317">
        <v>0</v>
      </c>
      <c r="Y19" s="317">
        <v>0</v>
      </c>
      <c r="Z19" s="317">
        <v>0</v>
      </c>
      <c r="AA19" s="318">
        <v>0</v>
      </c>
      <c r="AB19" s="319">
        <v>-1.4135322425470699E-2</v>
      </c>
      <c r="AC19" s="320"/>
      <c r="AD19" s="321"/>
      <c r="AE19" s="282"/>
    </row>
    <row r="20" spans="1:31">
      <c r="A20" s="305"/>
      <c r="B20" s="306" t="s">
        <v>812</v>
      </c>
      <c r="C20" s="307">
        <v>0</v>
      </c>
      <c r="D20" s="308">
        <v>0</v>
      </c>
      <c r="E20" s="308">
        <v>0</v>
      </c>
      <c r="F20" s="308">
        <v>0</v>
      </c>
      <c r="G20" s="308">
        <v>0</v>
      </c>
      <c r="H20" s="308">
        <v>0</v>
      </c>
      <c r="I20" s="307">
        <v>0</v>
      </c>
      <c r="J20" s="307"/>
      <c r="K20" s="308">
        <v>0</v>
      </c>
      <c r="L20" s="308">
        <v>0</v>
      </c>
      <c r="M20" s="308">
        <v>0</v>
      </c>
      <c r="N20" s="307">
        <v>0</v>
      </c>
      <c r="O20" s="322"/>
      <c r="P20" s="308"/>
      <c r="Q20" s="307"/>
      <c r="R20" s="307"/>
      <c r="S20" s="307"/>
      <c r="T20" s="309"/>
      <c r="U20" s="309"/>
      <c r="V20" s="309"/>
      <c r="W20" s="309"/>
      <c r="X20" s="309"/>
      <c r="Y20" s="309"/>
      <c r="Z20" s="309"/>
      <c r="AA20" s="323"/>
      <c r="AB20" s="311">
        <v>0</v>
      </c>
      <c r="AC20" s="312"/>
      <c r="AD20" s="281"/>
      <c r="AE20" s="282"/>
    </row>
    <row r="21" spans="1:31">
      <c r="A21" s="305"/>
      <c r="B21" s="306" t="s">
        <v>814</v>
      </c>
      <c r="C21" s="307">
        <v>0</v>
      </c>
      <c r="D21" s="308">
        <v>0</v>
      </c>
      <c r="E21" s="308">
        <v>0</v>
      </c>
      <c r="F21" s="308">
        <v>0</v>
      </c>
      <c r="G21" s="308">
        <v>0</v>
      </c>
      <c r="H21" s="308">
        <v>0</v>
      </c>
      <c r="I21" s="307">
        <v>0</v>
      </c>
      <c r="J21" s="307"/>
      <c r="K21" s="308">
        <v>0</v>
      </c>
      <c r="L21" s="308">
        <v>0</v>
      </c>
      <c r="M21" s="308">
        <v>0</v>
      </c>
      <c r="N21" s="307">
        <v>0</v>
      </c>
      <c r="O21" s="322"/>
      <c r="P21" s="308"/>
      <c r="Q21" s="307"/>
      <c r="R21" s="307"/>
      <c r="S21" s="307"/>
      <c r="T21" s="309"/>
      <c r="U21" s="309"/>
      <c r="V21" s="309"/>
      <c r="W21" s="309"/>
      <c r="X21" s="309"/>
      <c r="Y21" s="309"/>
      <c r="Z21" s="309"/>
      <c r="AA21" s="323"/>
      <c r="AB21" s="311">
        <v>0</v>
      </c>
      <c r="AC21" s="312"/>
      <c r="AD21" s="281"/>
      <c r="AE21" s="282"/>
    </row>
    <row r="22" spans="1:31">
      <c r="A22" s="305"/>
      <c r="B22" s="313" t="s">
        <v>826</v>
      </c>
      <c r="C22" s="314">
        <v>0</v>
      </c>
      <c r="D22" s="315">
        <v>0</v>
      </c>
      <c r="E22" s="315">
        <v>0</v>
      </c>
      <c r="F22" s="315">
        <v>0</v>
      </c>
      <c r="G22" s="315">
        <v>0</v>
      </c>
      <c r="H22" s="315">
        <v>0</v>
      </c>
      <c r="I22" s="314">
        <v>0</v>
      </c>
      <c r="J22" s="314">
        <v>0</v>
      </c>
      <c r="K22" s="315">
        <v>0</v>
      </c>
      <c r="L22" s="315">
        <v>0</v>
      </c>
      <c r="M22" s="315">
        <v>0</v>
      </c>
      <c r="N22" s="314">
        <v>0</v>
      </c>
      <c r="O22" s="316">
        <v>0</v>
      </c>
      <c r="P22" s="315">
        <v>0</v>
      </c>
      <c r="Q22" s="314">
        <v>0</v>
      </c>
      <c r="R22" s="314">
        <v>0</v>
      </c>
      <c r="S22" s="314">
        <v>0</v>
      </c>
      <c r="T22" s="317">
        <v>0</v>
      </c>
      <c r="U22" s="317">
        <v>0</v>
      </c>
      <c r="V22" s="317">
        <v>0</v>
      </c>
      <c r="W22" s="317">
        <v>0</v>
      </c>
      <c r="X22" s="317">
        <v>0</v>
      </c>
      <c r="Y22" s="317">
        <v>0</v>
      </c>
      <c r="Z22" s="317">
        <v>0</v>
      </c>
      <c r="AA22" s="318">
        <v>0</v>
      </c>
      <c r="AB22" s="319">
        <v>0</v>
      </c>
      <c r="AC22" s="320"/>
      <c r="AD22" s="321"/>
      <c r="AE22" s="282"/>
    </row>
    <row r="23" spans="1:31">
      <c r="A23" s="305"/>
      <c r="B23" s="306" t="s">
        <v>816</v>
      </c>
      <c r="C23" s="307">
        <v>3343.125</v>
      </c>
      <c r="D23" s="308">
        <v>1799.5833333333333</v>
      </c>
      <c r="E23" s="308">
        <v>5578.0833333333339</v>
      </c>
      <c r="F23" s="308">
        <v>845.91666666666674</v>
      </c>
      <c r="G23" s="308">
        <v>146.25</v>
      </c>
      <c r="H23" s="308">
        <v>80.25</v>
      </c>
      <c r="I23" s="307">
        <v>11793.208333333334</v>
      </c>
      <c r="J23" s="307"/>
      <c r="K23" s="308">
        <v>0</v>
      </c>
      <c r="L23" s="308">
        <v>0</v>
      </c>
      <c r="M23" s="308">
        <v>0</v>
      </c>
      <c r="N23" s="307">
        <v>0</v>
      </c>
      <c r="O23" s="322"/>
      <c r="P23" s="308"/>
      <c r="Q23" s="307"/>
      <c r="R23" s="307"/>
      <c r="S23" s="307"/>
      <c r="T23" s="309"/>
      <c r="U23" s="309"/>
      <c r="V23" s="309"/>
      <c r="W23" s="309"/>
      <c r="X23" s="309"/>
      <c r="Y23" s="309"/>
      <c r="Z23" s="309"/>
      <c r="AA23" s="323"/>
      <c r="AB23" s="311">
        <v>11793.208333333334</v>
      </c>
      <c r="AC23" s="312"/>
      <c r="AD23" s="281"/>
      <c r="AE23" s="282"/>
    </row>
    <row r="24" spans="1:31">
      <c r="A24" s="305"/>
      <c r="B24" s="306" t="s">
        <v>818</v>
      </c>
      <c r="C24" s="307">
        <v>3383.0833333333335</v>
      </c>
      <c r="D24" s="308">
        <v>1780</v>
      </c>
      <c r="E24" s="308">
        <v>6042.9166666666661</v>
      </c>
      <c r="F24" s="308">
        <v>1532.9583333333333</v>
      </c>
      <c r="G24" s="308">
        <v>189.04166666666666</v>
      </c>
      <c r="H24" s="308">
        <v>72.375</v>
      </c>
      <c r="I24" s="307">
        <v>13000.375</v>
      </c>
      <c r="J24" s="307"/>
      <c r="K24" s="308">
        <v>0</v>
      </c>
      <c r="L24" s="308">
        <v>0</v>
      </c>
      <c r="M24" s="308">
        <v>0</v>
      </c>
      <c r="N24" s="307">
        <v>0</v>
      </c>
      <c r="O24" s="322"/>
      <c r="P24" s="308"/>
      <c r="Q24" s="307"/>
      <c r="R24" s="307"/>
      <c r="S24" s="307"/>
      <c r="T24" s="309"/>
      <c r="U24" s="309"/>
      <c r="V24" s="309"/>
      <c r="W24" s="309"/>
      <c r="X24" s="309"/>
      <c r="Y24" s="309"/>
      <c r="Z24" s="309"/>
      <c r="AA24" s="323"/>
      <c r="AB24" s="311">
        <v>13000.375</v>
      </c>
      <c r="AC24" s="312"/>
      <c r="AD24" s="281"/>
      <c r="AE24" s="282"/>
    </row>
    <row r="25" spans="1:31">
      <c r="A25" s="305"/>
      <c r="B25" s="313" t="s">
        <v>828</v>
      </c>
      <c r="C25" s="314">
        <v>1.1952389854801565E-2</v>
      </c>
      <c r="D25" s="315">
        <v>-1.0882148645519755E-2</v>
      </c>
      <c r="E25" s="315">
        <v>8.3332088381612338E-2</v>
      </c>
      <c r="F25" s="315">
        <v>0.81218599152792803</v>
      </c>
      <c r="G25" s="315">
        <v>0.29259259259259252</v>
      </c>
      <c r="H25" s="315">
        <v>-9.8130841121495324E-2</v>
      </c>
      <c r="I25" s="314">
        <v>0.10236117539402986</v>
      </c>
      <c r="J25" s="314">
        <v>0</v>
      </c>
      <c r="K25" s="315">
        <v>0</v>
      </c>
      <c r="L25" s="315">
        <v>0</v>
      </c>
      <c r="M25" s="315">
        <v>0</v>
      </c>
      <c r="N25" s="314">
        <v>0</v>
      </c>
      <c r="O25" s="316">
        <v>0</v>
      </c>
      <c r="P25" s="315">
        <v>0</v>
      </c>
      <c r="Q25" s="314">
        <v>0</v>
      </c>
      <c r="R25" s="314">
        <v>0</v>
      </c>
      <c r="S25" s="314">
        <v>0</v>
      </c>
      <c r="T25" s="317">
        <v>0</v>
      </c>
      <c r="U25" s="317">
        <v>0</v>
      </c>
      <c r="V25" s="317">
        <v>0</v>
      </c>
      <c r="W25" s="317">
        <v>0</v>
      </c>
      <c r="X25" s="317">
        <v>0</v>
      </c>
      <c r="Y25" s="317">
        <v>0</v>
      </c>
      <c r="Z25" s="317">
        <v>0</v>
      </c>
      <c r="AA25" s="318">
        <v>0</v>
      </c>
      <c r="AB25" s="319">
        <v>0.10236117539402986</v>
      </c>
      <c r="AC25" s="320"/>
      <c r="AD25" s="321"/>
      <c r="AE25" s="282"/>
    </row>
    <row r="26" spans="1:31">
      <c r="A26" s="305"/>
      <c r="B26" s="306" t="s">
        <v>820</v>
      </c>
      <c r="C26" s="307">
        <v>24313.158333333333</v>
      </c>
      <c r="D26" s="308">
        <v>8888.4500000000007</v>
      </c>
      <c r="E26" s="308">
        <v>31208.35</v>
      </c>
      <c r="F26" s="308">
        <v>6692.0499999999993</v>
      </c>
      <c r="G26" s="308">
        <v>2418.0833333333335</v>
      </c>
      <c r="H26" s="308">
        <v>7980.583333333333</v>
      </c>
      <c r="I26" s="307">
        <v>81500.674999999988</v>
      </c>
      <c r="J26" s="307"/>
      <c r="K26" s="308">
        <v>10656.633333333333</v>
      </c>
      <c r="L26" s="308">
        <v>4918.666666666667</v>
      </c>
      <c r="M26" s="308">
        <v>19247.333333333336</v>
      </c>
      <c r="N26" s="307">
        <v>34822.633333333331</v>
      </c>
      <c r="O26" s="322"/>
      <c r="P26" s="308"/>
      <c r="Q26" s="307"/>
      <c r="R26" s="307"/>
      <c r="S26" s="307"/>
      <c r="T26" s="309"/>
      <c r="U26" s="309"/>
      <c r="V26" s="309"/>
      <c r="W26" s="309"/>
      <c r="X26" s="309"/>
      <c r="Y26" s="309"/>
      <c r="Z26" s="309"/>
      <c r="AA26" s="323"/>
      <c r="AB26" s="311">
        <v>116323.30833333332</v>
      </c>
      <c r="AC26" s="312"/>
      <c r="AD26" s="281"/>
      <c r="AE26" s="282"/>
    </row>
    <row r="27" spans="1:31">
      <c r="A27" s="305"/>
      <c r="B27" s="306" t="s">
        <v>822</v>
      </c>
      <c r="C27" s="307">
        <v>24674.149999999998</v>
      </c>
      <c r="D27" s="308">
        <v>8744.6666666666679</v>
      </c>
      <c r="E27" s="308">
        <v>31465.116666666665</v>
      </c>
      <c r="F27" s="308">
        <v>7549.6916666666675</v>
      </c>
      <c r="G27" s="308">
        <v>2444.9749999999999</v>
      </c>
      <c r="H27" s="308">
        <v>7864.7416666666668</v>
      </c>
      <c r="I27" s="307">
        <v>82743.341666666674</v>
      </c>
      <c r="J27" s="307"/>
      <c r="K27" s="308">
        <v>9710.2999999999993</v>
      </c>
      <c r="L27" s="308">
        <v>4742.6333333333332</v>
      </c>
      <c r="M27" s="308">
        <v>18856.633333333335</v>
      </c>
      <c r="N27" s="307">
        <v>33309.566666666666</v>
      </c>
      <c r="O27" s="322"/>
      <c r="P27" s="308"/>
      <c r="Q27" s="307"/>
      <c r="R27" s="307"/>
      <c r="S27" s="307"/>
      <c r="T27" s="309"/>
      <c r="U27" s="309"/>
      <c r="V27" s="309"/>
      <c r="W27" s="309"/>
      <c r="X27" s="309"/>
      <c r="Y27" s="309"/>
      <c r="Z27" s="309"/>
      <c r="AA27" s="323"/>
      <c r="AB27" s="311">
        <v>116052.90833333334</v>
      </c>
      <c r="AC27" s="312"/>
      <c r="AD27" s="281"/>
      <c r="AE27" s="282"/>
    </row>
    <row r="28" spans="1:31">
      <c r="A28" s="324"/>
      <c r="B28" s="325" t="s">
        <v>830</v>
      </c>
      <c r="C28" s="314">
        <v>1.4847584247076016E-2</v>
      </c>
      <c r="D28" s="315">
        <v>-1.6176423710920672E-2</v>
      </c>
      <c r="E28" s="315">
        <v>8.2274989439257897E-3</v>
      </c>
      <c r="F28" s="315">
        <v>0.12815828732102544</v>
      </c>
      <c r="G28" s="315">
        <v>1.1121066960747047E-2</v>
      </c>
      <c r="H28" s="315">
        <v>-1.451543851222232E-2</v>
      </c>
      <c r="I28" s="314">
        <v>1.5247317481317264E-2</v>
      </c>
      <c r="J28" s="314">
        <v>0</v>
      </c>
      <c r="K28" s="315">
        <v>-8.8802279644290466E-2</v>
      </c>
      <c r="L28" s="315">
        <v>-3.5788831661697024E-2</v>
      </c>
      <c r="M28" s="315">
        <v>-2.0298915867133144E-2</v>
      </c>
      <c r="N28" s="314">
        <v>-4.3450667621345862E-2</v>
      </c>
      <c r="O28" s="316">
        <v>0</v>
      </c>
      <c r="P28" s="315">
        <v>0</v>
      </c>
      <c r="Q28" s="314">
        <v>0</v>
      </c>
      <c r="R28" s="314">
        <v>0</v>
      </c>
      <c r="S28" s="314">
        <v>0</v>
      </c>
      <c r="T28" s="317">
        <v>0</v>
      </c>
      <c r="U28" s="317">
        <v>0</v>
      </c>
      <c r="V28" s="317">
        <v>0</v>
      </c>
      <c r="W28" s="317">
        <v>0</v>
      </c>
      <c r="X28" s="317">
        <v>0</v>
      </c>
      <c r="Y28" s="317">
        <v>0</v>
      </c>
      <c r="Z28" s="317">
        <v>0</v>
      </c>
      <c r="AA28" s="318">
        <v>0</v>
      </c>
      <c r="AB28" s="311">
        <v>-2.3245556189407149E-3</v>
      </c>
      <c r="AC28" s="312"/>
      <c r="AD28" s="321"/>
      <c r="AE28" s="282"/>
    </row>
    <row r="29" spans="1:31">
      <c r="A29" s="303" t="s">
        <v>540</v>
      </c>
      <c r="B29" s="291" t="s">
        <v>803</v>
      </c>
      <c r="C29" s="285">
        <v>18911.099999999999</v>
      </c>
      <c r="D29" s="276"/>
      <c r="E29" s="276">
        <v>4065.0666666666666</v>
      </c>
      <c r="F29" s="276"/>
      <c r="G29" s="276"/>
      <c r="H29" s="276"/>
      <c r="I29" s="285">
        <v>22976.166666666664</v>
      </c>
      <c r="J29" s="285"/>
      <c r="K29" s="276"/>
      <c r="L29" s="276">
        <v>9102</v>
      </c>
      <c r="M29" s="276"/>
      <c r="N29" s="285">
        <v>9102</v>
      </c>
      <c r="O29" s="285"/>
      <c r="P29" s="276"/>
      <c r="Q29" s="285"/>
      <c r="R29" s="285"/>
      <c r="S29" s="285"/>
      <c r="T29" s="287"/>
      <c r="U29" s="287"/>
      <c r="V29" s="287"/>
      <c r="W29" s="287"/>
      <c r="X29" s="287"/>
      <c r="Y29" s="287"/>
      <c r="Z29" s="287"/>
      <c r="AA29" s="304"/>
      <c r="AB29" s="289">
        <v>32078.166666666664</v>
      </c>
      <c r="AC29" s="290"/>
      <c r="AD29" s="281"/>
      <c r="AE29" s="282"/>
    </row>
    <row r="30" spans="1:31">
      <c r="A30" s="305"/>
      <c r="B30" s="306" t="s">
        <v>804</v>
      </c>
      <c r="C30" s="307">
        <v>19261.599999999999</v>
      </c>
      <c r="D30" s="308"/>
      <c r="E30" s="308">
        <v>4408.5666666666666</v>
      </c>
      <c r="F30" s="308"/>
      <c r="G30" s="308"/>
      <c r="H30" s="308"/>
      <c r="I30" s="307">
        <v>23670.166666666664</v>
      </c>
      <c r="J30" s="307"/>
      <c r="K30" s="308"/>
      <c r="L30" s="308">
        <v>9201.9</v>
      </c>
      <c r="M30" s="308"/>
      <c r="N30" s="307">
        <v>9201.9</v>
      </c>
      <c r="O30" s="307"/>
      <c r="P30" s="308"/>
      <c r="Q30" s="307"/>
      <c r="R30" s="307"/>
      <c r="S30" s="307"/>
      <c r="T30" s="309"/>
      <c r="U30" s="309"/>
      <c r="V30" s="309"/>
      <c r="W30" s="309"/>
      <c r="X30" s="309"/>
      <c r="Y30" s="309"/>
      <c r="Z30" s="309"/>
      <c r="AA30" s="310"/>
      <c r="AB30" s="311">
        <v>32872.066666666666</v>
      </c>
      <c r="AC30" s="312"/>
      <c r="AD30" s="281"/>
      <c r="AE30" s="282"/>
    </row>
    <row r="31" spans="1:31">
      <c r="A31" s="305"/>
      <c r="B31" s="313" t="s">
        <v>824</v>
      </c>
      <c r="C31" s="314">
        <v>1.8534088445410369E-2</v>
      </c>
      <c r="D31" s="315">
        <v>0</v>
      </c>
      <c r="E31" s="315">
        <v>8.4500459197061145E-2</v>
      </c>
      <c r="F31" s="315">
        <v>0</v>
      </c>
      <c r="G31" s="315">
        <v>0</v>
      </c>
      <c r="H31" s="315">
        <v>0</v>
      </c>
      <c r="I31" s="314">
        <v>3.0205212647888759E-2</v>
      </c>
      <c r="J31" s="314">
        <v>0</v>
      </c>
      <c r="K31" s="315">
        <v>0</v>
      </c>
      <c r="L31" s="315">
        <v>1.097560975609752E-2</v>
      </c>
      <c r="M31" s="315">
        <v>0</v>
      </c>
      <c r="N31" s="314">
        <v>1.097560975609752E-2</v>
      </c>
      <c r="O31" s="316">
        <v>0</v>
      </c>
      <c r="P31" s="315">
        <v>0</v>
      </c>
      <c r="Q31" s="314">
        <v>0</v>
      </c>
      <c r="R31" s="314">
        <v>0</v>
      </c>
      <c r="S31" s="314">
        <v>0</v>
      </c>
      <c r="T31" s="317">
        <v>0</v>
      </c>
      <c r="U31" s="317">
        <v>0</v>
      </c>
      <c r="V31" s="317">
        <v>0</v>
      </c>
      <c r="W31" s="317">
        <v>0</v>
      </c>
      <c r="X31" s="317">
        <v>0</v>
      </c>
      <c r="Y31" s="317">
        <v>0</v>
      </c>
      <c r="Z31" s="317">
        <v>0</v>
      </c>
      <c r="AA31" s="318">
        <v>0</v>
      </c>
      <c r="AB31" s="319">
        <v>2.4748920605396241E-2</v>
      </c>
      <c r="AC31" s="320"/>
      <c r="AD31" s="321"/>
      <c r="AE31" s="282"/>
    </row>
    <row r="32" spans="1:31">
      <c r="A32" s="305"/>
      <c r="B32" s="306" t="s">
        <v>812</v>
      </c>
      <c r="C32" s="307">
        <v>0</v>
      </c>
      <c r="D32" s="308"/>
      <c r="E32" s="308">
        <v>0</v>
      </c>
      <c r="F32" s="308"/>
      <c r="G32" s="308"/>
      <c r="H32" s="308"/>
      <c r="I32" s="307">
        <v>0</v>
      </c>
      <c r="J32" s="307"/>
      <c r="K32" s="308"/>
      <c r="L32" s="308">
        <v>0</v>
      </c>
      <c r="M32" s="308"/>
      <c r="N32" s="307">
        <v>0</v>
      </c>
      <c r="O32" s="322"/>
      <c r="P32" s="308"/>
      <c r="Q32" s="307"/>
      <c r="R32" s="307"/>
      <c r="S32" s="307"/>
      <c r="T32" s="309"/>
      <c r="U32" s="309"/>
      <c r="V32" s="309"/>
      <c r="W32" s="309"/>
      <c r="X32" s="309"/>
      <c r="Y32" s="309"/>
      <c r="Z32" s="309"/>
      <c r="AA32" s="323"/>
      <c r="AB32" s="311">
        <v>0</v>
      </c>
      <c r="AC32" s="312"/>
      <c r="AD32" s="281"/>
      <c r="AE32" s="282"/>
    </row>
    <row r="33" spans="1:31">
      <c r="A33" s="305"/>
      <c r="B33" s="306" t="s">
        <v>814</v>
      </c>
      <c r="C33" s="307">
        <v>0</v>
      </c>
      <c r="D33" s="308"/>
      <c r="E33" s="308">
        <v>0</v>
      </c>
      <c r="F33" s="308"/>
      <c r="G33" s="308"/>
      <c r="H33" s="308"/>
      <c r="I33" s="307">
        <v>0</v>
      </c>
      <c r="J33" s="307"/>
      <c r="K33" s="308"/>
      <c r="L33" s="308">
        <v>0</v>
      </c>
      <c r="M33" s="308"/>
      <c r="N33" s="307">
        <v>0</v>
      </c>
      <c r="O33" s="322"/>
      <c r="P33" s="308"/>
      <c r="Q33" s="307"/>
      <c r="R33" s="307"/>
      <c r="S33" s="307"/>
      <c r="T33" s="309"/>
      <c r="U33" s="309"/>
      <c r="V33" s="309"/>
      <c r="W33" s="309"/>
      <c r="X33" s="309"/>
      <c r="Y33" s="309"/>
      <c r="Z33" s="309"/>
      <c r="AA33" s="323"/>
      <c r="AB33" s="311">
        <v>0</v>
      </c>
      <c r="AC33" s="312"/>
      <c r="AD33" s="281"/>
      <c r="AE33" s="282"/>
    </row>
    <row r="34" spans="1:31">
      <c r="A34" s="305"/>
      <c r="B34" s="313" t="s">
        <v>826</v>
      </c>
      <c r="C34" s="314">
        <v>0</v>
      </c>
      <c r="D34" s="315">
        <v>0</v>
      </c>
      <c r="E34" s="315">
        <v>0</v>
      </c>
      <c r="F34" s="315">
        <v>0</v>
      </c>
      <c r="G34" s="315">
        <v>0</v>
      </c>
      <c r="H34" s="315">
        <v>0</v>
      </c>
      <c r="I34" s="314">
        <v>0</v>
      </c>
      <c r="J34" s="314">
        <v>0</v>
      </c>
      <c r="K34" s="315">
        <v>0</v>
      </c>
      <c r="L34" s="315">
        <v>0</v>
      </c>
      <c r="M34" s="315">
        <v>0</v>
      </c>
      <c r="N34" s="314">
        <v>0</v>
      </c>
      <c r="O34" s="316">
        <v>0</v>
      </c>
      <c r="P34" s="315">
        <v>0</v>
      </c>
      <c r="Q34" s="314">
        <v>0</v>
      </c>
      <c r="R34" s="314">
        <v>0</v>
      </c>
      <c r="S34" s="314">
        <v>0</v>
      </c>
      <c r="T34" s="317">
        <v>0</v>
      </c>
      <c r="U34" s="317">
        <v>0</v>
      </c>
      <c r="V34" s="317">
        <v>0</v>
      </c>
      <c r="W34" s="317">
        <v>0</v>
      </c>
      <c r="X34" s="317">
        <v>0</v>
      </c>
      <c r="Y34" s="317">
        <v>0</v>
      </c>
      <c r="Z34" s="317">
        <v>0</v>
      </c>
      <c r="AA34" s="318">
        <v>0</v>
      </c>
      <c r="AB34" s="319">
        <v>0</v>
      </c>
      <c r="AC34" s="320"/>
      <c r="AD34" s="321"/>
      <c r="AE34" s="282"/>
    </row>
    <row r="35" spans="1:31">
      <c r="A35" s="305"/>
      <c r="B35" s="306" t="s">
        <v>816</v>
      </c>
      <c r="C35" s="307">
        <v>2254.4583333333335</v>
      </c>
      <c r="D35" s="308"/>
      <c r="E35" s="308">
        <v>228.20833333333334</v>
      </c>
      <c r="F35" s="308"/>
      <c r="G35" s="308"/>
      <c r="H35" s="308"/>
      <c r="I35" s="307">
        <v>2482.666666666667</v>
      </c>
      <c r="J35" s="307"/>
      <c r="K35" s="308"/>
      <c r="L35" s="308">
        <v>0</v>
      </c>
      <c r="M35" s="308"/>
      <c r="N35" s="307">
        <v>0</v>
      </c>
      <c r="O35" s="322"/>
      <c r="P35" s="308"/>
      <c r="Q35" s="307"/>
      <c r="R35" s="307"/>
      <c r="S35" s="307"/>
      <c r="T35" s="309"/>
      <c r="U35" s="309"/>
      <c r="V35" s="309"/>
      <c r="W35" s="309"/>
      <c r="X35" s="309"/>
      <c r="Y35" s="309"/>
      <c r="Z35" s="309"/>
      <c r="AA35" s="323"/>
      <c r="AB35" s="311">
        <v>2482.666666666667</v>
      </c>
      <c r="AC35" s="312"/>
      <c r="AD35" s="281"/>
      <c r="AE35" s="282"/>
    </row>
    <row r="36" spans="1:31">
      <c r="A36" s="305"/>
      <c r="B36" s="306" t="s">
        <v>818</v>
      </c>
      <c r="C36" s="307">
        <v>2412.875</v>
      </c>
      <c r="D36" s="308"/>
      <c r="E36" s="308">
        <v>256.33333333333331</v>
      </c>
      <c r="F36" s="308"/>
      <c r="G36" s="308"/>
      <c r="H36" s="308"/>
      <c r="I36" s="307">
        <v>2669.2083333333335</v>
      </c>
      <c r="J36" s="307"/>
      <c r="K36" s="308"/>
      <c r="L36" s="308">
        <v>0</v>
      </c>
      <c r="M36" s="308"/>
      <c r="N36" s="307">
        <v>0</v>
      </c>
      <c r="O36" s="322"/>
      <c r="P36" s="308"/>
      <c r="Q36" s="307"/>
      <c r="R36" s="307"/>
      <c r="S36" s="307"/>
      <c r="T36" s="309"/>
      <c r="U36" s="309"/>
      <c r="V36" s="309"/>
      <c r="W36" s="309"/>
      <c r="X36" s="309"/>
      <c r="Y36" s="309"/>
      <c r="Z36" s="309"/>
      <c r="AA36" s="323"/>
      <c r="AB36" s="311">
        <v>2669.2083333333335</v>
      </c>
      <c r="AC36" s="312"/>
      <c r="AD36" s="281"/>
      <c r="AE36" s="282"/>
    </row>
    <row r="37" spans="1:31">
      <c r="A37" s="305"/>
      <c r="B37" s="313" t="s">
        <v>828</v>
      </c>
      <c r="C37" s="314">
        <v>7.0268172325207393E-2</v>
      </c>
      <c r="D37" s="315">
        <v>0</v>
      </c>
      <c r="E37" s="315">
        <v>0.12324265108636101</v>
      </c>
      <c r="F37" s="315">
        <v>0</v>
      </c>
      <c r="G37" s="315">
        <v>0</v>
      </c>
      <c r="H37" s="315">
        <v>0</v>
      </c>
      <c r="I37" s="314">
        <v>7.5137620837808741E-2</v>
      </c>
      <c r="J37" s="314">
        <v>0</v>
      </c>
      <c r="K37" s="315">
        <v>0</v>
      </c>
      <c r="L37" s="315">
        <v>0</v>
      </c>
      <c r="M37" s="315">
        <v>0</v>
      </c>
      <c r="N37" s="314">
        <v>0</v>
      </c>
      <c r="O37" s="316">
        <v>0</v>
      </c>
      <c r="P37" s="315">
        <v>0</v>
      </c>
      <c r="Q37" s="314">
        <v>0</v>
      </c>
      <c r="R37" s="314">
        <v>0</v>
      </c>
      <c r="S37" s="314">
        <v>0</v>
      </c>
      <c r="T37" s="317">
        <v>0</v>
      </c>
      <c r="U37" s="317">
        <v>0</v>
      </c>
      <c r="V37" s="317">
        <v>0</v>
      </c>
      <c r="W37" s="317">
        <v>0</v>
      </c>
      <c r="X37" s="317">
        <v>0</v>
      </c>
      <c r="Y37" s="317">
        <v>0</v>
      </c>
      <c r="Z37" s="317">
        <v>0</v>
      </c>
      <c r="AA37" s="318">
        <v>0</v>
      </c>
      <c r="AB37" s="319">
        <v>7.5137620837808741E-2</v>
      </c>
      <c r="AC37" s="320"/>
      <c r="AD37" s="321"/>
      <c r="AE37" s="282"/>
    </row>
    <row r="38" spans="1:31">
      <c r="A38" s="305"/>
      <c r="B38" s="306" t="s">
        <v>820</v>
      </c>
      <c r="C38" s="307">
        <v>21165.558333333331</v>
      </c>
      <c r="D38" s="308"/>
      <c r="E38" s="308">
        <v>4293.2749999999996</v>
      </c>
      <c r="F38" s="308"/>
      <c r="G38" s="308"/>
      <c r="H38" s="308"/>
      <c r="I38" s="307">
        <v>25458.833333333328</v>
      </c>
      <c r="J38" s="307"/>
      <c r="K38" s="308"/>
      <c r="L38" s="308">
        <v>9102</v>
      </c>
      <c r="M38" s="308"/>
      <c r="N38" s="307">
        <v>9102</v>
      </c>
      <c r="O38" s="322"/>
      <c r="P38" s="308"/>
      <c r="Q38" s="307"/>
      <c r="R38" s="307"/>
      <c r="S38" s="307"/>
      <c r="T38" s="309"/>
      <c r="U38" s="309"/>
      <c r="V38" s="309"/>
      <c r="W38" s="309"/>
      <c r="X38" s="309"/>
      <c r="Y38" s="309"/>
      <c r="Z38" s="309"/>
      <c r="AA38" s="323"/>
      <c r="AB38" s="311">
        <v>34560.833333333328</v>
      </c>
      <c r="AC38" s="312"/>
      <c r="AD38" s="281"/>
      <c r="AE38" s="282"/>
    </row>
    <row r="39" spans="1:31">
      <c r="A39" s="305"/>
      <c r="B39" s="306" t="s">
        <v>822</v>
      </c>
      <c r="C39" s="307">
        <v>21674.474999999999</v>
      </c>
      <c r="D39" s="308"/>
      <c r="E39" s="308">
        <v>4664.8999999999996</v>
      </c>
      <c r="F39" s="308"/>
      <c r="G39" s="308"/>
      <c r="H39" s="308"/>
      <c r="I39" s="307">
        <v>26339.375</v>
      </c>
      <c r="J39" s="307"/>
      <c r="K39" s="308"/>
      <c r="L39" s="308">
        <v>9201.9</v>
      </c>
      <c r="M39" s="308"/>
      <c r="N39" s="307">
        <v>9201.9</v>
      </c>
      <c r="O39" s="322"/>
      <c r="P39" s="308"/>
      <c r="Q39" s="307"/>
      <c r="R39" s="307"/>
      <c r="S39" s="307"/>
      <c r="T39" s="309"/>
      <c r="U39" s="309"/>
      <c r="V39" s="309"/>
      <c r="W39" s="309"/>
      <c r="X39" s="309"/>
      <c r="Y39" s="309"/>
      <c r="Z39" s="309"/>
      <c r="AA39" s="323"/>
      <c r="AB39" s="311">
        <v>35541.275000000001</v>
      </c>
      <c r="AC39" s="312"/>
      <c r="AD39" s="281"/>
      <c r="AE39" s="282"/>
    </row>
    <row r="40" spans="1:31">
      <c r="A40" s="324"/>
      <c r="B40" s="325" t="s">
        <v>830</v>
      </c>
      <c r="C40" s="314">
        <v>2.4044566113107558E-2</v>
      </c>
      <c r="D40" s="315">
        <v>0</v>
      </c>
      <c r="E40" s="315">
        <v>8.6559794096581294E-2</v>
      </c>
      <c r="F40" s="315">
        <v>0</v>
      </c>
      <c r="G40" s="315">
        <v>0</v>
      </c>
      <c r="H40" s="315">
        <v>0</v>
      </c>
      <c r="I40" s="314">
        <v>3.4586882090695631E-2</v>
      </c>
      <c r="J40" s="314">
        <v>0</v>
      </c>
      <c r="K40" s="315">
        <v>0</v>
      </c>
      <c r="L40" s="315">
        <v>1.097560975609752E-2</v>
      </c>
      <c r="M40" s="315">
        <v>0</v>
      </c>
      <c r="N40" s="314">
        <v>1.097560975609752E-2</v>
      </c>
      <c r="O40" s="316">
        <v>0</v>
      </c>
      <c r="P40" s="315">
        <v>0</v>
      </c>
      <c r="Q40" s="314">
        <v>0</v>
      </c>
      <c r="R40" s="314">
        <v>0</v>
      </c>
      <c r="S40" s="314">
        <v>0</v>
      </c>
      <c r="T40" s="317">
        <v>0</v>
      </c>
      <c r="U40" s="317">
        <v>0</v>
      </c>
      <c r="V40" s="317">
        <v>0</v>
      </c>
      <c r="W40" s="317">
        <v>0</v>
      </c>
      <c r="X40" s="317">
        <v>0</v>
      </c>
      <c r="Y40" s="317">
        <v>0</v>
      </c>
      <c r="Z40" s="317">
        <v>0</v>
      </c>
      <c r="AA40" s="318">
        <v>0</v>
      </c>
      <c r="AB40" s="311">
        <v>2.8368577146577478E-2</v>
      </c>
      <c r="AC40" s="312"/>
      <c r="AD40" s="321"/>
      <c r="AE40" s="282"/>
    </row>
    <row r="41" spans="1:31">
      <c r="A41" s="303" t="s">
        <v>148</v>
      </c>
      <c r="B41" s="291" t="s">
        <v>803</v>
      </c>
      <c r="C41" s="285">
        <v>203155.76666666666</v>
      </c>
      <c r="D41" s="276"/>
      <c r="E41" s="276">
        <v>28570.133333333331</v>
      </c>
      <c r="F41" s="276">
        <v>11631.4</v>
      </c>
      <c r="G41" s="276"/>
      <c r="H41" s="276">
        <v>974.93333333333328</v>
      </c>
      <c r="I41" s="285">
        <v>244332.23333333331</v>
      </c>
      <c r="J41" s="285">
        <v>259778.89999999997</v>
      </c>
      <c r="K41" s="276">
        <v>44959.166666666672</v>
      </c>
      <c r="L41" s="276">
        <v>4395.3666666666668</v>
      </c>
      <c r="M41" s="276">
        <v>1375</v>
      </c>
      <c r="N41" s="285">
        <v>310508.43333333329</v>
      </c>
      <c r="O41" s="285"/>
      <c r="P41" s="276"/>
      <c r="Q41" s="285"/>
      <c r="R41" s="285"/>
      <c r="S41" s="285"/>
      <c r="T41" s="287"/>
      <c r="U41" s="287"/>
      <c r="V41" s="287"/>
      <c r="W41" s="287"/>
      <c r="X41" s="287"/>
      <c r="Y41" s="287"/>
      <c r="Z41" s="287"/>
      <c r="AA41" s="304"/>
      <c r="AB41" s="289">
        <v>554840.66666666663</v>
      </c>
      <c r="AC41" s="290"/>
      <c r="AD41" s="281"/>
      <c r="AE41" s="282"/>
    </row>
    <row r="42" spans="1:31">
      <c r="A42" s="305"/>
      <c r="B42" s="306" t="s">
        <v>804</v>
      </c>
      <c r="C42" s="307">
        <v>207134.76666666666</v>
      </c>
      <c r="D42" s="308"/>
      <c r="E42" s="308">
        <v>28325.799999999996</v>
      </c>
      <c r="F42" s="308">
        <v>11815.633333333333</v>
      </c>
      <c r="G42" s="308"/>
      <c r="H42" s="308">
        <v>953.6</v>
      </c>
      <c r="I42" s="307">
        <v>248229.8</v>
      </c>
      <c r="J42" s="307">
        <v>255157.13333333336</v>
      </c>
      <c r="K42" s="308">
        <v>45127.366666666669</v>
      </c>
      <c r="L42" s="308">
        <v>4463.0666666666666</v>
      </c>
      <c r="M42" s="308">
        <v>1388.8333333333335</v>
      </c>
      <c r="N42" s="307">
        <v>306136.39999999997</v>
      </c>
      <c r="O42" s="307"/>
      <c r="P42" s="308"/>
      <c r="Q42" s="307"/>
      <c r="R42" s="307"/>
      <c r="S42" s="307"/>
      <c r="T42" s="309"/>
      <c r="U42" s="309"/>
      <c r="V42" s="309"/>
      <c r="W42" s="309"/>
      <c r="X42" s="309"/>
      <c r="Y42" s="309"/>
      <c r="Z42" s="309"/>
      <c r="AA42" s="310"/>
      <c r="AB42" s="311">
        <v>554366.20000000007</v>
      </c>
      <c r="AC42" s="312"/>
      <c r="AD42" s="281"/>
      <c r="AE42" s="282"/>
    </row>
    <row r="43" spans="1:31">
      <c r="A43" s="305"/>
      <c r="B43" s="313" t="s">
        <v>824</v>
      </c>
      <c r="C43" s="314">
        <v>1.9585956457385E-2</v>
      </c>
      <c r="D43" s="315">
        <v>0</v>
      </c>
      <c r="E43" s="315">
        <v>-8.5520543597977297E-3</v>
      </c>
      <c r="F43" s="315">
        <v>1.5839308538381759E-2</v>
      </c>
      <c r="G43" s="315">
        <v>0</v>
      </c>
      <c r="H43" s="315">
        <v>-2.1881838074398172E-2</v>
      </c>
      <c r="I43" s="314">
        <v>1.5951913562503136E-2</v>
      </c>
      <c r="J43" s="314">
        <v>-1.7791154965497987E-2</v>
      </c>
      <c r="K43" s="315">
        <v>3.7411725454578504E-3</v>
      </c>
      <c r="L43" s="315">
        <v>1.5402583023031787E-2</v>
      </c>
      <c r="M43" s="315">
        <v>1.0060606060606171E-2</v>
      </c>
      <c r="N43" s="314">
        <v>-1.4080240225359211E-2</v>
      </c>
      <c r="O43" s="316">
        <v>0</v>
      </c>
      <c r="P43" s="315">
        <v>0</v>
      </c>
      <c r="Q43" s="314">
        <v>0</v>
      </c>
      <c r="R43" s="314">
        <v>0</v>
      </c>
      <c r="S43" s="314">
        <v>0</v>
      </c>
      <c r="T43" s="317">
        <v>0</v>
      </c>
      <c r="U43" s="317">
        <v>0</v>
      </c>
      <c r="V43" s="317">
        <v>0</v>
      </c>
      <c r="W43" s="317">
        <v>0</v>
      </c>
      <c r="X43" s="317">
        <v>0</v>
      </c>
      <c r="Y43" s="317">
        <v>0</v>
      </c>
      <c r="Z43" s="317">
        <v>0</v>
      </c>
      <c r="AA43" s="318">
        <v>0</v>
      </c>
      <c r="AB43" s="319">
        <v>-8.5514039465986219E-4</v>
      </c>
      <c r="AC43" s="320"/>
      <c r="AD43" s="321"/>
      <c r="AE43" s="282"/>
    </row>
    <row r="44" spans="1:31">
      <c r="A44" s="305"/>
      <c r="B44" s="306" t="s">
        <v>812</v>
      </c>
      <c r="C44" s="307">
        <v>0</v>
      </c>
      <c r="D44" s="308"/>
      <c r="E44" s="308">
        <v>0</v>
      </c>
      <c r="F44" s="308">
        <v>0</v>
      </c>
      <c r="G44" s="308"/>
      <c r="H44" s="308">
        <v>0</v>
      </c>
      <c r="I44" s="307">
        <v>0</v>
      </c>
      <c r="J44" s="307">
        <v>16847.675555555554</v>
      </c>
      <c r="K44" s="308">
        <v>3179.7666666666669</v>
      </c>
      <c r="L44" s="308">
        <v>677.80444444444436</v>
      </c>
      <c r="M44" s="308">
        <v>156.45333333333332</v>
      </c>
      <c r="N44" s="307">
        <v>20861.7</v>
      </c>
      <c r="O44" s="322"/>
      <c r="P44" s="308"/>
      <c r="Q44" s="307"/>
      <c r="R44" s="307"/>
      <c r="S44" s="307"/>
      <c r="T44" s="309"/>
      <c r="U44" s="309"/>
      <c r="V44" s="309"/>
      <c r="W44" s="309"/>
      <c r="X44" s="309"/>
      <c r="Y44" s="309"/>
      <c r="Z44" s="309"/>
      <c r="AA44" s="323"/>
      <c r="AB44" s="311">
        <v>20861.7</v>
      </c>
      <c r="AC44" s="312"/>
      <c r="AD44" s="281"/>
      <c r="AE44" s="282"/>
    </row>
    <row r="45" spans="1:31">
      <c r="A45" s="305"/>
      <c r="B45" s="306" t="s">
        <v>814</v>
      </c>
      <c r="C45" s="307">
        <v>0</v>
      </c>
      <c r="D45" s="308"/>
      <c r="E45" s="308">
        <v>0</v>
      </c>
      <c r="F45" s="308">
        <v>0</v>
      </c>
      <c r="G45" s="308"/>
      <c r="H45" s="308">
        <v>0</v>
      </c>
      <c r="I45" s="307">
        <v>0</v>
      </c>
      <c r="J45" s="307">
        <v>15602.833333333334</v>
      </c>
      <c r="K45" s="308">
        <v>3173.8288888888892</v>
      </c>
      <c r="L45" s="308">
        <v>662.53222222222223</v>
      </c>
      <c r="M45" s="308">
        <v>159.88</v>
      </c>
      <c r="N45" s="307">
        <v>19599.074444444446</v>
      </c>
      <c r="O45" s="322"/>
      <c r="P45" s="308"/>
      <c r="Q45" s="307"/>
      <c r="R45" s="307"/>
      <c r="S45" s="307"/>
      <c r="T45" s="309"/>
      <c r="U45" s="309"/>
      <c r="V45" s="309"/>
      <c r="W45" s="309"/>
      <c r="X45" s="309"/>
      <c r="Y45" s="309"/>
      <c r="Z45" s="309"/>
      <c r="AA45" s="323"/>
      <c r="AB45" s="311">
        <v>19599.074444444446</v>
      </c>
      <c r="AC45" s="312"/>
      <c r="AD45" s="281"/>
      <c r="AE45" s="282"/>
    </row>
    <row r="46" spans="1:31">
      <c r="A46" s="305"/>
      <c r="B46" s="313" t="s">
        <v>826</v>
      </c>
      <c r="C46" s="314">
        <v>0</v>
      </c>
      <c r="D46" s="315">
        <v>0</v>
      </c>
      <c r="E46" s="315">
        <v>0</v>
      </c>
      <c r="F46" s="315">
        <v>0</v>
      </c>
      <c r="G46" s="315">
        <v>0</v>
      </c>
      <c r="H46" s="315">
        <v>0</v>
      </c>
      <c r="I46" s="314">
        <v>0</v>
      </c>
      <c r="J46" s="314">
        <v>-7.3888069491683125E-2</v>
      </c>
      <c r="K46" s="315">
        <v>-1.8673627345122856E-3</v>
      </c>
      <c r="L46" s="315">
        <v>-2.2531900384247038E-2</v>
      </c>
      <c r="M46" s="315">
        <v>2.1902164649735874E-2</v>
      </c>
      <c r="N46" s="314">
        <v>-6.0523617708793991E-2</v>
      </c>
      <c r="O46" s="316">
        <v>0</v>
      </c>
      <c r="P46" s="315">
        <v>0</v>
      </c>
      <c r="Q46" s="314">
        <v>0</v>
      </c>
      <c r="R46" s="314">
        <v>0</v>
      </c>
      <c r="S46" s="314">
        <v>0</v>
      </c>
      <c r="T46" s="317">
        <v>0</v>
      </c>
      <c r="U46" s="317">
        <v>0</v>
      </c>
      <c r="V46" s="317">
        <v>0</v>
      </c>
      <c r="W46" s="317">
        <v>0</v>
      </c>
      <c r="X46" s="317">
        <v>0</v>
      </c>
      <c r="Y46" s="317">
        <v>0</v>
      </c>
      <c r="Z46" s="317">
        <v>0</v>
      </c>
      <c r="AA46" s="318">
        <v>0</v>
      </c>
      <c r="AB46" s="319">
        <v>-6.0523617708793991E-2</v>
      </c>
      <c r="AC46" s="320"/>
      <c r="AD46" s="321"/>
      <c r="AE46" s="282"/>
    </row>
    <row r="47" spans="1:31">
      <c r="A47" s="305"/>
      <c r="B47" s="306" t="s">
        <v>816</v>
      </c>
      <c r="C47" s="307">
        <v>46865.599999999999</v>
      </c>
      <c r="D47" s="308"/>
      <c r="E47" s="308">
        <v>4797</v>
      </c>
      <c r="F47" s="308">
        <v>825.5</v>
      </c>
      <c r="G47" s="308"/>
      <c r="H47" s="308">
        <v>0</v>
      </c>
      <c r="I47" s="307">
        <v>52488.1</v>
      </c>
      <c r="J47" s="307">
        <v>0</v>
      </c>
      <c r="K47" s="308">
        <v>0</v>
      </c>
      <c r="L47" s="308">
        <v>0</v>
      </c>
      <c r="M47" s="308">
        <v>0</v>
      </c>
      <c r="N47" s="307">
        <v>0</v>
      </c>
      <c r="O47" s="322"/>
      <c r="P47" s="308"/>
      <c r="Q47" s="307"/>
      <c r="R47" s="307"/>
      <c r="S47" s="307"/>
      <c r="T47" s="309"/>
      <c r="U47" s="309"/>
      <c r="V47" s="309"/>
      <c r="W47" s="309"/>
      <c r="X47" s="309"/>
      <c r="Y47" s="309"/>
      <c r="Z47" s="309"/>
      <c r="AA47" s="323"/>
      <c r="AB47" s="311">
        <v>52488.1</v>
      </c>
      <c r="AC47" s="312"/>
      <c r="AD47" s="281"/>
      <c r="AE47" s="282"/>
    </row>
    <row r="48" spans="1:31">
      <c r="A48" s="305"/>
      <c r="B48" s="306" t="s">
        <v>818</v>
      </c>
      <c r="C48" s="307">
        <v>48145.958333333336</v>
      </c>
      <c r="D48" s="308"/>
      <c r="E48" s="308">
        <v>5217.375</v>
      </c>
      <c r="F48" s="308">
        <v>829.125</v>
      </c>
      <c r="G48" s="308"/>
      <c r="H48" s="308">
        <v>10.458333333333334</v>
      </c>
      <c r="I48" s="307">
        <v>54202.916666666672</v>
      </c>
      <c r="J48" s="307">
        <v>0</v>
      </c>
      <c r="K48" s="308">
        <v>0</v>
      </c>
      <c r="L48" s="308">
        <v>0</v>
      </c>
      <c r="M48" s="308">
        <v>0</v>
      </c>
      <c r="N48" s="307">
        <v>0</v>
      </c>
      <c r="O48" s="322"/>
      <c r="P48" s="308"/>
      <c r="Q48" s="307"/>
      <c r="R48" s="307"/>
      <c r="S48" s="307"/>
      <c r="T48" s="309"/>
      <c r="U48" s="309"/>
      <c r="V48" s="309"/>
      <c r="W48" s="309"/>
      <c r="X48" s="309"/>
      <c r="Y48" s="309"/>
      <c r="Z48" s="309"/>
      <c r="AA48" s="323"/>
      <c r="AB48" s="311">
        <v>54202.916666666672</v>
      </c>
      <c r="AC48" s="312"/>
      <c r="AD48" s="281"/>
      <c r="AE48" s="282"/>
    </row>
    <row r="49" spans="1:31">
      <c r="A49" s="305"/>
      <c r="B49" s="313" t="s">
        <v>828</v>
      </c>
      <c r="C49" s="314">
        <v>2.7319789639593587E-2</v>
      </c>
      <c r="D49" s="315">
        <v>0</v>
      </c>
      <c r="E49" s="315">
        <v>8.7632895559724824E-2</v>
      </c>
      <c r="F49" s="315">
        <v>4.3912780133252578E-3</v>
      </c>
      <c r="G49" s="315">
        <v>0</v>
      </c>
      <c r="H49" s="315">
        <v>0</v>
      </c>
      <c r="I49" s="314">
        <v>3.2670579934626576E-2</v>
      </c>
      <c r="J49" s="314">
        <v>0</v>
      </c>
      <c r="K49" s="315">
        <v>0</v>
      </c>
      <c r="L49" s="315">
        <v>0</v>
      </c>
      <c r="M49" s="315">
        <v>0</v>
      </c>
      <c r="N49" s="314">
        <v>0</v>
      </c>
      <c r="O49" s="316">
        <v>0</v>
      </c>
      <c r="P49" s="315">
        <v>0</v>
      </c>
      <c r="Q49" s="314">
        <v>0</v>
      </c>
      <c r="R49" s="314">
        <v>0</v>
      </c>
      <c r="S49" s="314">
        <v>0</v>
      </c>
      <c r="T49" s="317">
        <v>0</v>
      </c>
      <c r="U49" s="317">
        <v>0</v>
      </c>
      <c r="V49" s="317">
        <v>0</v>
      </c>
      <c r="W49" s="317">
        <v>0</v>
      </c>
      <c r="X49" s="317">
        <v>0</v>
      </c>
      <c r="Y49" s="317">
        <v>0</v>
      </c>
      <c r="Z49" s="317">
        <v>0</v>
      </c>
      <c r="AA49" s="318">
        <v>0</v>
      </c>
      <c r="AB49" s="319">
        <v>3.2670579934626576E-2</v>
      </c>
      <c r="AC49" s="320"/>
      <c r="AD49" s="321"/>
      <c r="AE49" s="282"/>
    </row>
    <row r="50" spans="1:31">
      <c r="A50" s="305"/>
      <c r="B50" s="306" t="s">
        <v>820</v>
      </c>
      <c r="C50" s="307">
        <v>250021.36666666664</v>
      </c>
      <c r="D50" s="308"/>
      <c r="E50" s="308">
        <v>33367.133333333331</v>
      </c>
      <c r="F50" s="308">
        <v>12456.9</v>
      </c>
      <c r="G50" s="308"/>
      <c r="H50" s="308">
        <v>974.93333333333328</v>
      </c>
      <c r="I50" s="307">
        <v>296820.33333333337</v>
      </c>
      <c r="J50" s="307">
        <v>276626.57555555558</v>
      </c>
      <c r="K50" s="308">
        <v>48138.933333333327</v>
      </c>
      <c r="L50" s="308">
        <v>5073.1711111111108</v>
      </c>
      <c r="M50" s="308">
        <v>1531.4533333333334</v>
      </c>
      <c r="N50" s="307">
        <v>331370.13333333336</v>
      </c>
      <c r="O50" s="322"/>
      <c r="P50" s="308"/>
      <c r="Q50" s="307"/>
      <c r="R50" s="307"/>
      <c r="S50" s="307"/>
      <c r="T50" s="309"/>
      <c r="U50" s="309"/>
      <c r="V50" s="309"/>
      <c r="W50" s="309"/>
      <c r="X50" s="309"/>
      <c r="Y50" s="309"/>
      <c r="Z50" s="309"/>
      <c r="AA50" s="323"/>
      <c r="AB50" s="311">
        <v>628190.46666666679</v>
      </c>
      <c r="AC50" s="312"/>
      <c r="AD50" s="281"/>
      <c r="AE50" s="282"/>
    </row>
    <row r="51" spans="1:31">
      <c r="A51" s="305"/>
      <c r="B51" s="306" t="s">
        <v>822</v>
      </c>
      <c r="C51" s="307">
        <v>255280.72499999998</v>
      </c>
      <c r="D51" s="308"/>
      <c r="E51" s="308">
        <v>33543.174999999996</v>
      </c>
      <c r="F51" s="308">
        <v>12644.758333333333</v>
      </c>
      <c r="G51" s="308"/>
      <c r="H51" s="308">
        <v>964.05833333333339</v>
      </c>
      <c r="I51" s="307">
        <v>302432.71666666667</v>
      </c>
      <c r="J51" s="307">
        <v>270759.96666666667</v>
      </c>
      <c r="K51" s="308">
        <v>48301.195555555561</v>
      </c>
      <c r="L51" s="308">
        <v>5125.5988888888887</v>
      </c>
      <c r="M51" s="308">
        <v>1548.7133333333334</v>
      </c>
      <c r="N51" s="307">
        <v>325735.47444444447</v>
      </c>
      <c r="O51" s="322"/>
      <c r="P51" s="308"/>
      <c r="Q51" s="307"/>
      <c r="R51" s="307"/>
      <c r="S51" s="307"/>
      <c r="T51" s="309"/>
      <c r="U51" s="309"/>
      <c r="V51" s="309"/>
      <c r="W51" s="309"/>
      <c r="X51" s="309"/>
      <c r="Y51" s="309"/>
      <c r="Z51" s="309"/>
      <c r="AA51" s="323"/>
      <c r="AB51" s="311">
        <v>628168.19111111108</v>
      </c>
      <c r="AC51" s="312"/>
      <c r="AD51" s="281"/>
      <c r="AE51" s="282"/>
    </row>
    <row r="52" spans="1:31">
      <c r="A52" s="324"/>
      <c r="B52" s="325" t="s">
        <v>830</v>
      </c>
      <c r="C52" s="314">
        <v>2.1035635487687002E-2</v>
      </c>
      <c r="D52" s="315">
        <v>0</v>
      </c>
      <c r="E52" s="315">
        <v>5.2759002371594475E-3</v>
      </c>
      <c r="F52" s="315">
        <v>1.508066479889327E-2</v>
      </c>
      <c r="G52" s="315">
        <v>0</v>
      </c>
      <c r="H52" s="315">
        <v>-1.1154608862144304E-2</v>
      </c>
      <c r="I52" s="314">
        <v>1.8908351966004214E-2</v>
      </c>
      <c r="J52" s="314">
        <v>-2.1207683596946025E-2</v>
      </c>
      <c r="K52" s="315">
        <v>3.3707066398556353E-3</v>
      </c>
      <c r="L52" s="315">
        <v>1.0334320808330737E-2</v>
      </c>
      <c r="M52" s="315">
        <v>1.1270340156191497E-2</v>
      </c>
      <c r="N52" s="314">
        <v>-1.7004124156297786E-2</v>
      </c>
      <c r="O52" s="316">
        <v>0</v>
      </c>
      <c r="P52" s="315">
        <v>0</v>
      </c>
      <c r="Q52" s="314">
        <v>0</v>
      </c>
      <c r="R52" s="314">
        <v>0</v>
      </c>
      <c r="S52" s="314">
        <v>0</v>
      </c>
      <c r="T52" s="317">
        <v>0</v>
      </c>
      <c r="U52" s="317">
        <v>0</v>
      </c>
      <c r="V52" s="317">
        <v>0</v>
      </c>
      <c r="W52" s="317">
        <v>0</v>
      </c>
      <c r="X52" s="317">
        <v>0</v>
      </c>
      <c r="Y52" s="317">
        <v>0</v>
      </c>
      <c r="Z52" s="317">
        <v>0</v>
      </c>
      <c r="AA52" s="318">
        <v>0</v>
      </c>
      <c r="AB52" s="311">
        <v>-3.5459875209173222E-5</v>
      </c>
      <c r="AC52" s="312"/>
      <c r="AD52" s="321"/>
      <c r="AE52" s="282"/>
    </row>
    <row r="53" spans="1:31">
      <c r="A53" s="303" t="s">
        <v>188</v>
      </c>
      <c r="B53" s="291" t="s">
        <v>803</v>
      </c>
      <c r="C53" s="285">
        <v>48413.433333333334</v>
      </c>
      <c r="D53" s="276">
        <v>14453.966333333334</v>
      </c>
      <c r="E53" s="276">
        <v>61139.80000000001</v>
      </c>
      <c r="F53" s="276">
        <v>45588.066666666666</v>
      </c>
      <c r="G53" s="276">
        <v>6372.5666666666675</v>
      </c>
      <c r="H53" s="276">
        <v>21806.066666666666</v>
      </c>
      <c r="I53" s="285">
        <v>197773.89966666669</v>
      </c>
      <c r="J53" s="285">
        <v>17067.55</v>
      </c>
      <c r="K53" s="276">
        <v>15173.966666666667</v>
      </c>
      <c r="L53" s="276">
        <v>4031.6666666666665</v>
      </c>
      <c r="M53" s="276">
        <v>1668.6333333333334</v>
      </c>
      <c r="N53" s="285">
        <v>37941.816666666666</v>
      </c>
      <c r="O53" s="285"/>
      <c r="P53" s="276"/>
      <c r="Q53" s="285">
        <v>67506.233333333323</v>
      </c>
      <c r="R53" s="285"/>
      <c r="S53" s="285">
        <v>67506.233333333323</v>
      </c>
      <c r="T53" s="287"/>
      <c r="U53" s="287"/>
      <c r="V53" s="287"/>
      <c r="W53" s="287"/>
      <c r="X53" s="287"/>
      <c r="Y53" s="287"/>
      <c r="Z53" s="287"/>
      <c r="AA53" s="304"/>
      <c r="AB53" s="289">
        <v>303221.94966666668</v>
      </c>
      <c r="AC53" s="290"/>
      <c r="AD53" s="281"/>
      <c r="AE53" s="282"/>
    </row>
    <row r="54" spans="1:31">
      <c r="A54" s="305"/>
      <c r="B54" s="306" t="s">
        <v>804</v>
      </c>
      <c r="C54" s="307">
        <v>54951.796666666662</v>
      </c>
      <c r="D54" s="308">
        <v>14588.166666666666</v>
      </c>
      <c r="E54" s="308">
        <v>62812.678</v>
      </c>
      <c r="F54" s="308">
        <v>46193.04</v>
      </c>
      <c r="G54" s="308">
        <v>6478.9360000000006</v>
      </c>
      <c r="H54" s="308">
        <v>22561.338666666667</v>
      </c>
      <c r="I54" s="307">
        <v>207585.95600000001</v>
      </c>
      <c r="J54" s="307">
        <v>16079.240000000002</v>
      </c>
      <c r="K54" s="308">
        <v>8258.9216666666671</v>
      </c>
      <c r="L54" s="308">
        <v>4284.1679999999997</v>
      </c>
      <c r="M54" s="308">
        <v>1716.0013333333334</v>
      </c>
      <c r="N54" s="307">
        <v>30338.330999999998</v>
      </c>
      <c r="O54" s="307"/>
      <c r="P54" s="308"/>
      <c r="Q54" s="307">
        <v>65049.509999999995</v>
      </c>
      <c r="R54" s="307"/>
      <c r="S54" s="307">
        <v>65049.509999999995</v>
      </c>
      <c r="T54" s="309"/>
      <c r="U54" s="309"/>
      <c r="V54" s="309"/>
      <c r="W54" s="309"/>
      <c r="X54" s="309"/>
      <c r="Y54" s="309"/>
      <c r="Z54" s="309"/>
      <c r="AA54" s="310"/>
      <c r="AB54" s="311">
        <v>302973.79699999996</v>
      </c>
      <c r="AC54" s="312"/>
      <c r="AD54" s="281"/>
      <c r="AE54" s="282"/>
    </row>
    <row r="55" spans="1:31">
      <c r="A55" s="305"/>
      <c r="B55" s="313" t="s">
        <v>824</v>
      </c>
      <c r="C55" s="314">
        <v>0.13505266788900863</v>
      </c>
      <c r="D55" s="315">
        <v>9.2846717806338904E-3</v>
      </c>
      <c r="E55" s="315">
        <v>2.7361522281721389E-2</v>
      </c>
      <c r="F55" s="315">
        <v>1.3270431882027648E-2</v>
      </c>
      <c r="G55" s="315">
        <v>1.6691756853596366E-2</v>
      </c>
      <c r="H55" s="315">
        <v>3.4635865859959501E-2</v>
      </c>
      <c r="I55" s="314">
        <v>4.9612493609474451E-2</v>
      </c>
      <c r="J55" s="314">
        <v>-5.7905791985375626E-2</v>
      </c>
      <c r="K55" s="315">
        <v>-0.45571768753061714</v>
      </c>
      <c r="L55" s="315">
        <v>6.2629516329061552E-2</v>
      </c>
      <c r="M55" s="315">
        <v>2.8387302982480635E-2</v>
      </c>
      <c r="N55" s="314">
        <v>-0.20039856640145068</v>
      </c>
      <c r="O55" s="316">
        <v>0</v>
      </c>
      <c r="P55" s="315">
        <v>0</v>
      </c>
      <c r="Q55" s="314">
        <v>-3.639254054070061E-2</v>
      </c>
      <c r="R55" s="314">
        <v>0</v>
      </c>
      <c r="S55" s="314">
        <v>-3.639254054070061E-2</v>
      </c>
      <c r="T55" s="317">
        <v>0</v>
      </c>
      <c r="U55" s="317">
        <v>0</v>
      </c>
      <c r="V55" s="317">
        <v>0</v>
      </c>
      <c r="W55" s="317">
        <v>0</v>
      </c>
      <c r="X55" s="317">
        <v>0</v>
      </c>
      <c r="Y55" s="317">
        <v>0</v>
      </c>
      <c r="Z55" s="317">
        <v>0</v>
      </c>
      <c r="AA55" s="318">
        <v>0</v>
      </c>
      <c r="AB55" s="319">
        <v>-8.1838622480812074E-4</v>
      </c>
      <c r="AC55" s="320"/>
      <c r="AD55" s="321"/>
      <c r="AE55" s="282"/>
    </row>
    <row r="56" spans="1:31">
      <c r="A56" s="305"/>
      <c r="B56" s="306" t="s">
        <v>812</v>
      </c>
      <c r="C56" s="307">
        <v>0</v>
      </c>
      <c r="D56" s="308">
        <v>0</v>
      </c>
      <c r="E56" s="308">
        <v>0</v>
      </c>
      <c r="F56" s="308">
        <v>0</v>
      </c>
      <c r="G56" s="308">
        <v>0</v>
      </c>
      <c r="H56" s="308">
        <v>0</v>
      </c>
      <c r="I56" s="307">
        <v>0</v>
      </c>
      <c r="J56" s="307">
        <v>0</v>
      </c>
      <c r="K56" s="308">
        <v>0</v>
      </c>
      <c r="L56" s="308">
        <v>0</v>
      </c>
      <c r="M56" s="308">
        <v>0</v>
      </c>
      <c r="N56" s="307">
        <v>0</v>
      </c>
      <c r="O56" s="322"/>
      <c r="P56" s="308"/>
      <c r="Q56" s="307">
        <v>0</v>
      </c>
      <c r="R56" s="307"/>
      <c r="S56" s="307">
        <v>0</v>
      </c>
      <c r="T56" s="309"/>
      <c r="U56" s="309"/>
      <c r="V56" s="309"/>
      <c r="W56" s="309"/>
      <c r="X56" s="309"/>
      <c r="Y56" s="309"/>
      <c r="Z56" s="309"/>
      <c r="AA56" s="323"/>
      <c r="AB56" s="311">
        <v>0</v>
      </c>
      <c r="AC56" s="312"/>
      <c r="AD56" s="281"/>
      <c r="AE56" s="282"/>
    </row>
    <row r="57" spans="1:31">
      <c r="A57" s="305"/>
      <c r="B57" s="306" t="s">
        <v>814</v>
      </c>
      <c r="C57" s="307">
        <v>0</v>
      </c>
      <c r="D57" s="308">
        <v>0</v>
      </c>
      <c r="E57" s="308">
        <v>0</v>
      </c>
      <c r="F57" s="308">
        <v>0</v>
      </c>
      <c r="G57" s="308">
        <v>0</v>
      </c>
      <c r="H57" s="308">
        <v>0</v>
      </c>
      <c r="I57" s="307">
        <v>0</v>
      </c>
      <c r="J57" s="307">
        <v>0</v>
      </c>
      <c r="K57" s="308">
        <v>0</v>
      </c>
      <c r="L57" s="308">
        <v>0</v>
      </c>
      <c r="M57" s="308">
        <v>0</v>
      </c>
      <c r="N57" s="307">
        <v>0</v>
      </c>
      <c r="O57" s="322"/>
      <c r="P57" s="308"/>
      <c r="Q57" s="307">
        <v>0</v>
      </c>
      <c r="R57" s="307"/>
      <c r="S57" s="307">
        <v>0</v>
      </c>
      <c r="T57" s="309"/>
      <c r="U57" s="309"/>
      <c r="V57" s="309"/>
      <c r="W57" s="309"/>
      <c r="X57" s="309"/>
      <c r="Y57" s="309"/>
      <c r="Z57" s="309"/>
      <c r="AA57" s="323"/>
      <c r="AB57" s="311">
        <v>0</v>
      </c>
      <c r="AC57" s="312"/>
      <c r="AD57" s="281"/>
      <c r="AE57" s="282"/>
    </row>
    <row r="58" spans="1:31">
      <c r="A58" s="305"/>
      <c r="B58" s="313" t="s">
        <v>826</v>
      </c>
      <c r="C58" s="314">
        <v>0</v>
      </c>
      <c r="D58" s="315">
        <v>0</v>
      </c>
      <c r="E58" s="315">
        <v>0</v>
      </c>
      <c r="F58" s="315">
        <v>0</v>
      </c>
      <c r="G58" s="315">
        <v>0</v>
      </c>
      <c r="H58" s="315">
        <v>0</v>
      </c>
      <c r="I58" s="314">
        <v>0</v>
      </c>
      <c r="J58" s="314">
        <v>0</v>
      </c>
      <c r="K58" s="315">
        <v>0</v>
      </c>
      <c r="L58" s="315">
        <v>0</v>
      </c>
      <c r="M58" s="315">
        <v>0</v>
      </c>
      <c r="N58" s="314">
        <v>0</v>
      </c>
      <c r="O58" s="316">
        <v>0</v>
      </c>
      <c r="P58" s="315">
        <v>0</v>
      </c>
      <c r="Q58" s="314">
        <v>0</v>
      </c>
      <c r="R58" s="314">
        <v>0</v>
      </c>
      <c r="S58" s="314">
        <v>0</v>
      </c>
      <c r="T58" s="317">
        <v>0</v>
      </c>
      <c r="U58" s="317">
        <v>0</v>
      </c>
      <c r="V58" s="317">
        <v>0</v>
      </c>
      <c r="W58" s="317">
        <v>0</v>
      </c>
      <c r="X58" s="317">
        <v>0</v>
      </c>
      <c r="Y58" s="317">
        <v>0</v>
      </c>
      <c r="Z58" s="317">
        <v>0</v>
      </c>
      <c r="AA58" s="318">
        <v>0</v>
      </c>
      <c r="AB58" s="319">
        <v>0</v>
      </c>
      <c r="AC58" s="320"/>
      <c r="AD58" s="321"/>
      <c r="AE58" s="282"/>
    </row>
    <row r="59" spans="1:31">
      <c r="A59" s="305"/>
      <c r="B59" s="306" t="s">
        <v>816</v>
      </c>
      <c r="C59" s="307">
        <v>19973.966666666667</v>
      </c>
      <c r="D59" s="308">
        <v>10934.505833333335</v>
      </c>
      <c r="E59" s="308">
        <v>7280.875</v>
      </c>
      <c r="F59" s="308">
        <v>5607.666666666667</v>
      </c>
      <c r="G59" s="308">
        <v>393.45833333333337</v>
      </c>
      <c r="H59" s="308">
        <v>0</v>
      </c>
      <c r="I59" s="307">
        <v>44190.472500000003</v>
      </c>
      <c r="J59" s="307">
        <v>0</v>
      </c>
      <c r="K59" s="308">
        <v>0</v>
      </c>
      <c r="L59" s="308">
        <v>0</v>
      </c>
      <c r="M59" s="308">
        <v>0</v>
      </c>
      <c r="N59" s="307">
        <v>0</v>
      </c>
      <c r="O59" s="322"/>
      <c r="P59" s="308"/>
      <c r="Q59" s="307">
        <v>0</v>
      </c>
      <c r="R59" s="307"/>
      <c r="S59" s="307">
        <v>0</v>
      </c>
      <c r="T59" s="309"/>
      <c r="U59" s="309"/>
      <c r="V59" s="309"/>
      <c r="W59" s="309"/>
      <c r="X59" s="309"/>
      <c r="Y59" s="309"/>
      <c r="Z59" s="309"/>
      <c r="AA59" s="323"/>
      <c r="AB59" s="311">
        <v>44190.472500000003</v>
      </c>
      <c r="AC59" s="312"/>
      <c r="AD59" s="281"/>
      <c r="AE59" s="282"/>
    </row>
    <row r="60" spans="1:31">
      <c r="A60" s="305"/>
      <c r="B60" s="306" t="s">
        <v>818</v>
      </c>
      <c r="C60" s="307">
        <v>20319.45</v>
      </c>
      <c r="D60" s="308">
        <v>11607.729166666666</v>
      </c>
      <c r="E60" s="308">
        <v>7467.708333333333</v>
      </c>
      <c r="F60" s="308">
        <v>5766</v>
      </c>
      <c r="G60" s="308">
        <v>522.54166666666674</v>
      </c>
      <c r="H60" s="308">
        <v>50.125</v>
      </c>
      <c r="I60" s="307">
        <v>45733.554166666669</v>
      </c>
      <c r="J60" s="307">
        <v>0</v>
      </c>
      <c r="K60" s="308">
        <v>0</v>
      </c>
      <c r="L60" s="308">
        <v>0</v>
      </c>
      <c r="M60" s="308">
        <v>0</v>
      </c>
      <c r="N60" s="307">
        <v>0</v>
      </c>
      <c r="O60" s="322"/>
      <c r="P60" s="308"/>
      <c r="Q60" s="307">
        <v>0</v>
      </c>
      <c r="R60" s="307"/>
      <c r="S60" s="307">
        <v>0</v>
      </c>
      <c r="T60" s="309"/>
      <c r="U60" s="309"/>
      <c r="V60" s="309"/>
      <c r="W60" s="309"/>
      <c r="X60" s="309"/>
      <c r="Y60" s="309"/>
      <c r="Z60" s="309"/>
      <c r="AA60" s="323"/>
      <c r="AB60" s="311">
        <v>45733.554166666669</v>
      </c>
      <c r="AC60" s="312"/>
      <c r="AD60" s="281"/>
      <c r="AE60" s="282"/>
    </row>
    <row r="61" spans="1:31">
      <c r="A61" s="305"/>
      <c r="B61" s="313" t="s">
        <v>828</v>
      </c>
      <c r="C61" s="314">
        <v>1.7296681180002649E-2</v>
      </c>
      <c r="D61" s="315">
        <v>6.1568702197866261E-2</v>
      </c>
      <c r="E61" s="315">
        <v>2.5660835178921905E-2</v>
      </c>
      <c r="F61" s="315">
        <v>2.8235154253105813E-2</v>
      </c>
      <c r="G61" s="315">
        <v>0.32807370539023623</v>
      </c>
      <c r="H61" s="315">
        <v>0</v>
      </c>
      <c r="I61" s="314">
        <v>3.491887683859151E-2</v>
      </c>
      <c r="J61" s="314">
        <v>0</v>
      </c>
      <c r="K61" s="315">
        <v>0</v>
      </c>
      <c r="L61" s="315">
        <v>0</v>
      </c>
      <c r="M61" s="315">
        <v>0</v>
      </c>
      <c r="N61" s="314">
        <v>0</v>
      </c>
      <c r="O61" s="316">
        <v>0</v>
      </c>
      <c r="P61" s="315">
        <v>0</v>
      </c>
      <c r="Q61" s="314">
        <v>0</v>
      </c>
      <c r="R61" s="314">
        <v>0</v>
      </c>
      <c r="S61" s="314">
        <v>0</v>
      </c>
      <c r="T61" s="317">
        <v>0</v>
      </c>
      <c r="U61" s="317">
        <v>0</v>
      </c>
      <c r="V61" s="317">
        <v>0</v>
      </c>
      <c r="W61" s="317">
        <v>0</v>
      </c>
      <c r="X61" s="317">
        <v>0</v>
      </c>
      <c r="Y61" s="317">
        <v>0</v>
      </c>
      <c r="Z61" s="317">
        <v>0</v>
      </c>
      <c r="AA61" s="318">
        <v>0</v>
      </c>
      <c r="AB61" s="319">
        <v>3.491887683859151E-2</v>
      </c>
      <c r="AC61" s="320"/>
      <c r="AD61" s="321"/>
      <c r="AE61" s="282"/>
    </row>
    <row r="62" spans="1:31">
      <c r="A62" s="305"/>
      <c r="B62" s="306" t="s">
        <v>820</v>
      </c>
      <c r="C62" s="307">
        <v>68387.399999999994</v>
      </c>
      <c r="D62" s="308">
        <v>25388.472166666666</v>
      </c>
      <c r="E62" s="308">
        <v>68420.675000000003</v>
      </c>
      <c r="F62" s="308">
        <v>51195.733333333337</v>
      </c>
      <c r="G62" s="308">
        <v>6766.0249999999996</v>
      </c>
      <c r="H62" s="308">
        <v>21806.066666666666</v>
      </c>
      <c r="I62" s="307">
        <v>241964.37216666667</v>
      </c>
      <c r="J62" s="307">
        <v>17067.55</v>
      </c>
      <c r="K62" s="308">
        <v>15173.966666666667</v>
      </c>
      <c r="L62" s="308">
        <v>4031.6666666666665</v>
      </c>
      <c r="M62" s="308">
        <v>1668.6333333333334</v>
      </c>
      <c r="N62" s="307">
        <v>37941.816666666666</v>
      </c>
      <c r="O62" s="322"/>
      <c r="P62" s="308"/>
      <c r="Q62" s="307">
        <v>67506.233333333323</v>
      </c>
      <c r="R62" s="307"/>
      <c r="S62" s="307">
        <v>67506.233333333323</v>
      </c>
      <c r="T62" s="309"/>
      <c r="U62" s="309"/>
      <c r="V62" s="309"/>
      <c r="W62" s="309"/>
      <c r="X62" s="309"/>
      <c r="Y62" s="309"/>
      <c r="Z62" s="309"/>
      <c r="AA62" s="323"/>
      <c r="AB62" s="311">
        <v>347412.42216666671</v>
      </c>
      <c r="AC62" s="312"/>
      <c r="AD62" s="281"/>
      <c r="AE62" s="282"/>
    </row>
    <row r="63" spans="1:31">
      <c r="A63" s="305"/>
      <c r="B63" s="306" t="s">
        <v>822</v>
      </c>
      <c r="C63" s="307">
        <v>75271.246666666659</v>
      </c>
      <c r="D63" s="308">
        <v>26195.895833333332</v>
      </c>
      <c r="E63" s="308">
        <v>70280.386333333343</v>
      </c>
      <c r="F63" s="308">
        <v>51959.040000000008</v>
      </c>
      <c r="G63" s="308">
        <v>7001.4776666666676</v>
      </c>
      <c r="H63" s="308">
        <v>22611.463666666667</v>
      </c>
      <c r="I63" s="307">
        <v>253319.5101666667</v>
      </c>
      <c r="J63" s="307">
        <v>16079.240000000002</v>
      </c>
      <c r="K63" s="308">
        <v>8258.9216666666671</v>
      </c>
      <c r="L63" s="308">
        <v>4284.1679999999997</v>
      </c>
      <c r="M63" s="308">
        <v>1716.0013333333334</v>
      </c>
      <c r="N63" s="307">
        <v>30338.330999999998</v>
      </c>
      <c r="O63" s="322"/>
      <c r="P63" s="308"/>
      <c r="Q63" s="307">
        <v>65049.509999999995</v>
      </c>
      <c r="R63" s="307"/>
      <c r="S63" s="307">
        <v>65049.509999999995</v>
      </c>
      <c r="T63" s="309"/>
      <c r="U63" s="309"/>
      <c r="V63" s="309"/>
      <c r="W63" s="309"/>
      <c r="X63" s="309"/>
      <c r="Y63" s="309"/>
      <c r="Z63" s="309"/>
      <c r="AA63" s="323"/>
      <c r="AB63" s="311">
        <v>348707.35116666672</v>
      </c>
      <c r="AC63" s="312"/>
      <c r="AD63" s="281"/>
      <c r="AE63" s="282"/>
    </row>
    <row r="64" spans="1:31">
      <c r="A64" s="324"/>
      <c r="B64" s="325" t="s">
        <v>830</v>
      </c>
      <c r="C64" s="314">
        <v>0.10065957569181845</v>
      </c>
      <c r="D64" s="315">
        <v>3.1802767073426261E-2</v>
      </c>
      <c r="E64" s="315">
        <v>2.7180546425964666E-2</v>
      </c>
      <c r="F64" s="315">
        <v>1.4909575797983247E-2</v>
      </c>
      <c r="G64" s="315">
        <v>3.4799260521010185E-2</v>
      </c>
      <c r="H64" s="315">
        <v>3.6934538094903296E-2</v>
      </c>
      <c r="I64" s="314">
        <v>4.6928966848798923E-2</v>
      </c>
      <c r="J64" s="314">
        <v>-5.7905791985375626E-2</v>
      </c>
      <c r="K64" s="315">
        <v>-0.45571768753061714</v>
      </c>
      <c r="L64" s="315">
        <v>6.2629516329061552E-2</v>
      </c>
      <c r="M64" s="315">
        <v>2.8387302982480635E-2</v>
      </c>
      <c r="N64" s="314">
        <v>-0.20039856640145068</v>
      </c>
      <c r="O64" s="316">
        <v>0</v>
      </c>
      <c r="P64" s="315">
        <v>0</v>
      </c>
      <c r="Q64" s="314">
        <v>-3.639254054070061E-2</v>
      </c>
      <c r="R64" s="314">
        <v>0</v>
      </c>
      <c r="S64" s="314">
        <v>-3.639254054070061E-2</v>
      </c>
      <c r="T64" s="317">
        <v>0</v>
      </c>
      <c r="U64" s="317">
        <v>0</v>
      </c>
      <c r="V64" s="317">
        <v>0</v>
      </c>
      <c r="W64" s="317">
        <v>0</v>
      </c>
      <c r="X64" s="317">
        <v>0</v>
      </c>
      <c r="Y64" s="317">
        <v>0</v>
      </c>
      <c r="Z64" s="317">
        <v>0</v>
      </c>
      <c r="AA64" s="318">
        <v>0</v>
      </c>
      <c r="AB64" s="311">
        <v>3.7273537656595441E-3</v>
      </c>
      <c r="AC64" s="312"/>
      <c r="AD64" s="321"/>
      <c r="AE64" s="282"/>
    </row>
    <row r="65" spans="1:31">
      <c r="A65" s="303" t="s">
        <v>268</v>
      </c>
      <c r="B65" s="291" t="s">
        <v>803</v>
      </c>
      <c r="C65" s="285">
        <v>34419.1</v>
      </c>
      <c r="D65" s="276"/>
      <c r="E65" s="276">
        <v>51873.966666666674</v>
      </c>
      <c r="F65" s="276">
        <v>1371.8666666666666</v>
      </c>
      <c r="G65" s="276"/>
      <c r="H65" s="276"/>
      <c r="I65" s="285">
        <v>87664.933333333349</v>
      </c>
      <c r="J65" s="285"/>
      <c r="K65" s="276">
        <v>13931.1</v>
      </c>
      <c r="L65" s="276">
        <v>25999.066666666666</v>
      </c>
      <c r="M65" s="276">
        <v>2858.3333333333335</v>
      </c>
      <c r="N65" s="285">
        <v>42788.5</v>
      </c>
      <c r="O65" s="285"/>
      <c r="P65" s="276"/>
      <c r="Q65" s="285">
        <v>4898.7</v>
      </c>
      <c r="R65" s="285"/>
      <c r="S65" s="285">
        <v>4898.7</v>
      </c>
      <c r="T65" s="287"/>
      <c r="U65" s="287"/>
      <c r="V65" s="287"/>
      <c r="W65" s="287"/>
      <c r="X65" s="287"/>
      <c r="Y65" s="287"/>
      <c r="Z65" s="287"/>
      <c r="AA65" s="304"/>
      <c r="AB65" s="289">
        <v>135352.13333333336</v>
      </c>
      <c r="AC65" s="290"/>
      <c r="AD65" s="281"/>
      <c r="AE65" s="282"/>
    </row>
    <row r="66" spans="1:31">
      <c r="A66" s="305"/>
      <c r="B66" s="306" t="s">
        <v>804</v>
      </c>
      <c r="C66" s="307">
        <v>34076.533333333333</v>
      </c>
      <c r="D66" s="308"/>
      <c r="E66" s="308">
        <v>51321.266666666663</v>
      </c>
      <c r="F66" s="308">
        <v>1260.4666666666667</v>
      </c>
      <c r="G66" s="308"/>
      <c r="H66" s="308"/>
      <c r="I66" s="307">
        <v>86658.266666666648</v>
      </c>
      <c r="J66" s="307"/>
      <c r="K66" s="308">
        <v>13015.433333333332</v>
      </c>
      <c r="L66" s="308">
        <v>25291.333333333332</v>
      </c>
      <c r="M66" s="308">
        <v>2770.666666666667</v>
      </c>
      <c r="N66" s="307">
        <v>41077.433333333327</v>
      </c>
      <c r="O66" s="307"/>
      <c r="P66" s="308"/>
      <c r="Q66" s="307">
        <v>4880.8666666666668</v>
      </c>
      <c r="R66" s="307"/>
      <c r="S66" s="307">
        <v>4880.8666666666668</v>
      </c>
      <c r="T66" s="309"/>
      <c r="U66" s="309"/>
      <c r="V66" s="309"/>
      <c r="W66" s="309"/>
      <c r="X66" s="309"/>
      <c r="Y66" s="309"/>
      <c r="Z66" s="309"/>
      <c r="AA66" s="310"/>
      <c r="AB66" s="311">
        <v>132616.56666666665</v>
      </c>
      <c r="AC66" s="312"/>
      <c r="AD66" s="281"/>
      <c r="AE66" s="282"/>
    </row>
    <row r="67" spans="1:31">
      <c r="A67" s="305"/>
      <c r="B67" s="313" t="s">
        <v>824</v>
      </c>
      <c r="C67" s="314">
        <v>-9.9528072107250252E-3</v>
      </c>
      <c r="D67" s="315">
        <v>0</v>
      </c>
      <c r="E67" s="315">
        <v>-1.065467006893011E-2</v>
      </c>
      <c r="F67" s="315">
        <v>-8.1203226747011276E-2</v>
      </c>
      <c r="G67" s="315">
        <v>0</v>
      </c>
      <c r="H67" s="315">
        <v>0</v>
      </c>
      <c r="I67" s="314">
        <v>-1.1483116776453429E-2</v>
      </c>
      <c r="J67" s="314">
        <v>0</v>
      </c>
      <c r="K67" s="315">
        <v>-6.5728238736831104E-2</v>
      </c>
      <c r="L67" s="315">
        <v>-2.7221490002205216E-2</v>
      </c>
      <c r="M67" s="315">
        <v>-3.0670553935860004E-2</v>
      </c>
      <c r="N67" s="314">
        <v>-3.9988937837659014E-2</v>
      </c>
      <c r="O67" s="316">
        <v>0</v>
      </c>
      <c r="P67" s="315">
        <v>0</v>
      </c>
      <c r="Q67" s="314">
        <v>-3.6404216084538819E-3</v>
      </c>
      <c r="R67" s="314">
        <v>0</v>
      </c>
      <c r="S67" s="314">
        <v>-3.6404216084538819E-3</v>
      </c>
      <c r="T67" s="317">
        <v>0</v>
      </c>
      <c r="U67" s="317">
        <v>0</v>
      </c>
      <c r="V67" s="317">
        <v>0</v>
      </c>
      <c r="W67" s="317">
        <v>0</v>
      </c>
      <c r="X67" s="317">
        <v>0</v>
      </c>
      <c r="Y67" s="317">
        <v>0</v>
      </c>
      <c r="Z67" s="317">
        <v>0</v>
      </c>
      <c r="AA67" s="318">
        <v>0</v>
      </c>
      <c r="AB67" s="319">
        <v>-2.0210739197806121E-2</v>
      </c>
      <c r="AC67" s="320"/>
      <c r="AD67" s="321"/>
      <c r="AE67" s="282"/>
    </row>
    <row r="68" spans="1:31">
      <c r="A68" s="305"/>
      <c r="B68" s="306" t="s">
        <v>812</v>
      </c>
      <c r="C68" s="307">
        <v>0</v>
      </c>
      <c r="D68" s="308"/>
      <c r="E68" s="308">
        <v>0</v>
      </c>
      <c r="F68" s="308">
        <v>0</v>
      </c>
      <c r="G68" s="308"/>
      <c r="H68" s="308"/>
      <c r="I68" s="307">
        <v>0</v>
      </c>
      <c r="J68" s="307"/>
      <c r="K68" s="308">
        <v>0</v>
      </c>
      <c r="L68" s="308">
        <v>0</v>
      </c>
      <c r="M68" s="308">
        <v>0</v>
      </c>
      <c r="N68" s="307">
        <v>0</v>
      </c>
      <c r="O68" s="322"/>
      <c r="P68" s="308"/>
      <c r="Q68" s="307">
        <v>0</v>
      </c>
      <c r="R68" s="307"/>
      <c r="S68" s="307">
        <v>0</v>
      </c>
      <c r="T68" s="309"/>
      <c r="U68" s="309"/>
      <c r="V68" s="309"/>
      <c r="W68" s="309"/>
      <c r="X68" s="309"/>
      <c r="Y68" s="309"/>
      <c r="Z68" s="309"/>
      <c r="AA68" s="323"/>
      <c r="AB68" s="311">
        <v>0</v>
      </c>
      <c r="AC68" s="312"/>
      <c r="AD68" s="281"/>
      <c r="AE68" s="282"/>
    </row>
    <row r="69" spans="1:31">
      <c r="A69" s="305"/>
      <c r="B69" s="306" t="s">
        <v>814</v>
      </c>
      <c r="C69" s="307">
        <v>0</v>
      </c>
      <c r="D69" s="308"/>
      <c r="E69" s="308">
        <v>0</v>
      </c>
      <c r="F69" s="308">
        <v>0</v>
      </c>
      <c r="G69" s="308"/>
      <c r="H69" s="308"/>
      <c r="I69" s="307">
        <v>0</v>
      </c>
      <c r="J69" s="307"/>
      <c r="K69" s="308">
        <v>0</v>
      </c>
      <c r="L69" s="308">
        <v>0</v>
      </c>
      <c r="M69" s="308">
        <v>0</v>
      </c>
      <c r="N69" s="307">
        <v>0</v>
      </c>
      <c r="O69" s="322"/>
      <c r="P69" s="308"/>
      <c r="Q69" s="307">
        <v>0</v>
      </c>
      <c r="R69" s="307"/>
      <c r="S69" s="307">
        <v>0</v>
      </c>
      <c r="T69" s="309"/>
      <c r="U69" s="309"/>
      <c r="V69" s="309"/>
      <c r="W69" s="309"/>
      <c r="X69" s="309"/>
      <c r="Y69" s="309"/>
      <c r="Z69" s="309"/>
      <c r="AA69" s="323"/>
      <c r="AB69" s="311">
        <v>0</v>
      </c>
      <c r="AC69" s="312"/>
      <c r="AD69" s="281"/>
      <c r="AE69" s="282"/>
    </row>
    <row r="70" spans="1:31">
      <c r="A70" s="305"/>
      <c r="B70" s="313" t="s">
        <v>826</v>
      </c>
      <c r="C70" s="314">
        <v>0</v>
      </c>
      <c r="D70" s="315">
        <v>0</v>
      </c>
      <c r="E70" s="315">
        <v>0</v>
      </c>
      <c r="F70" s="315">
        <v>0</v>
      </c>
      <c r="G70" s="315">
        <v>0</v>
      </c>
      <c r="H70" s="315">
        <v>0</v>
      </c>
      <c r="I70" s="314">
        <v>0</v>
      </c>
      <c r="J70" s="314">
        <v>0</v>
      </c>
      <c r="K70" s="315">
        <v>0</v>
      </c>
      <c r="L70" s="315">
        <v>0</v>
      </c>
      <c r="M70" s="315">
        <v>0</v>
      </c>
      <c r="N70" s="314">
        <v>0</v>
      </c>
      <c r="O70" s="316">
        <v>0</v>
      </c>
      <c r="P70" s="315">
        <v>0</v>
      </c>
      <c r="Q70" s="314">
        <v>0</v>
      </c>
      <c r="R70" s="314">
        <v>0</v>
      </c>
      <c r="S70" s="314">
        <v>0</v>
      </c>
      <c r="T70" s="317">
        <v>0</v>
      </c>
      <c r="U70" s="317">
        <v>0</v>
      </c>
      <c r="V70" s="317">
        <v>0</v>
      </c>
      <c r="W70" s="317">
        <v>0</v>
      </c>
      <c r="X70" s="317">
        <v>0</v>
      </c>
      <c r="Y70" s="317">
        <v>0</v>
      </c>
      <c r="Z70" s="317">
        <v>0</v>
      </c>
      <c r="AA70" s="318">
        <v>0</v>
      </c>
      <c r="AB70" s="319">
        <v>0</v>
      </c>
      <c r="AC70" s="320"/>
      <c r="AD70" s="321"/>
      <c r="AE70" s="282"/>
    </row>
    <row r="71" spans="1:31">
      <c r="A71" s="305"/>
      <c r="B71" s="306" t="s">
        <v>816</v>
      </c>
      <c r="C71" s="307">
        <v>6541.7916666666661</v>
      </c>
      <c r="D71" s="308"/>
      <c r="E71" s="308">
        <v>6793.5</v>
      </c>
      <c r="F71" s="308">
        <v>92.041666666666671</v>
      </c>
      <c r="G71" s="308"/>
      <c r="H71" s="308"/>
      <c r="I71" s="307">
        <v>13427.333333333332</v>
      </c>
      <c r="J71" s="307"/>
      <c r="K71" s="308">
        <v>0</v>
      </c>
      <c r="L71" s="308">
        <v>0</v>
      </c>
      <c r="M71" s="308">
        <v>0</v>
      </c>
      <c r="N71" s="307">
        <v>0</v>
      </c>
      <c r="O71" s="322"/>
      <c r="P71" s="308"/>
      <c r="Q71" s="307">
        <v>0</v>
      </c>
      <c r="R71" s="307"/>
      <c r="S71" s="307">
        <v>0</v>
      </c>
      <c r="T71" s="309"/>
      <c r="U71" s="309"/>
      <c r="V71" s="309"/>
      <c r="W71" s="309"/>
      <c r="X71" s="309"/>
      <c r="Y71" s="309"/>
      <c r="Z71" s="309"/>
      <c r="AA71" s="323"/>
      <c r="AB71" s="311">
        <v>13427.333333333332</v>
      </c>
      <c r="AC71" s="312"/>
      <c r="AD71" s="281"/>
      <c r="AE71" s="282"/>
    </row>
    <row r="72" spans="1:31">
      <c r="A72" s="305"/>
      <c r="B72" s="306" t="s">
        <v>818</v>
      </c>
      <c r="C72" s="307">
        <v>6492.2083333333339</v>
      </c>
      <c r="D72" s="308"/>
      <c r="E72" s="308">
        <v>6771.708333333333</v>
      </c>
      <c r="F72" s="308">
        <v>96.375</v>
      </c>
      <c r="G72" s="308"/>
      <c r="H72" s="308"/>
      <c r="I72" s="307">
        <v>13360.291666666668</v>
      </c>
      <c r="J72" s="307"/>
      <c r="K72" s="308">
        <v>0</v>
      </c>
      <c r="L72" s="308">
        <v>0</v>
      </c>
      <c r="M72" s="308">
        <v>0</v>
      </c>
      <c r="N72" s="307">
        <v>0</v>
      </c>
      <c r="O72" s="322"/>
      <c r="P72" s="308"/>
      <c r="Q72" s="307">
        <v>0</v>
      </c>
      <c r="R72" s="307"/>
      <c r="S72" s="307">
        <v>0</v>
      </c>
      <c r="T72" s="309"/>
      <c r="U72" s="309"/>
      <c r="V72" s="309"/>
      <c r="W72" s="309"/>
      <c r="X72" s="309"/>
      <c r="Y72" s="309"/>
      <c r="Z72" s="309"/>
      <c r="AA72" s="323"/>
      <c r="AB72" s="311">
        <v>13360.291666666668</v>
      </c>
      <c r="AC72" s="312"/>
      <c r="AD72" s="281"/>
      <c r="AE72" s="282"/>
    </row>
    <row r="73" spans="1:31">
      <c r="A73" s="305"/>
      <c r="B73" s="313" t="s">
        <v>828</v>
      </c>
      <c r="C73" s="314">
        <v>-7.5794730037003818E-3</v>
      </c>
      <c r="D73" s="315">
        <v>0</v>
      </c>
      <c r="E73" s="315">
        <v>-3.2077230686195584E-3</v>
      </c>
      <c r="F73" s="315">
        <v>4.7080126754187358E-2</v>
      </c>
      <c r="G73" s="315">
        <v>0</v>
      </c>
      <c r="H73" s="315">
        <v>0</v>
      </c>
      <c r="I73" s="314">
        <v>-4.9929248795986484E-3</v>
      </c>
      <c r="J73" s="314">
        <v>0</v>
      </c>
      <c r="K73" s="315">
        <v>0</v>
      </c>
      <c r="L73" s="315">
        <v>0</v>
      </c>
      <c r="M73" s="315">
        <v>0</v>
      </c>
      <c r="N73" s="314">
        <v>0</v>
      </c>
      <c r="O73" s="316">
        <v>0</v>
      </c>
      <c r="P73" s="315">
        <v>0</v>
      </c>
      <c r="Q73" s="314">
        <v>0</v>
      </c>
      <c r="R73" s="314">
        <v>0</v>
      </c>
      <c r="S73" s="314">
        <v>0</v>
      </c>
      <c r="T73" s="317">
        <v>0</v>
      </c>
      <c r="U73" s="317">
        <v>0</v>
      </c>
      <c r="V73" s="317">
        <v>0</v>
      </c>
      <c r="W73" s="317">
        <v>0</v>
      </c>
      <c r="X73" s="317">
        <v>0</v>
      </c>
      <c r="Y73" s="317">
        <v>0</v>
      </c>
      <c r="Z73" s="317">
        <v>0</v>
      </c>
      <c r="AA73" s="318">
        <v>0</v>
      </c>
      <c r="AB73" s="319">
        <v>-4.9929248795986484E-3</v>
      </c>
      <c r="AC73" s="320"/>
      <c r="AD73" s="321"/>
      <c r="AE73" s="282"/>
    </row>
    <row r="74" spans="1:31">
      <c r="A74" s="305"/>
      <c r="B74" s="306" t="s">
        <v>820</v>
      </c>
      <c r="C74" s="307">
        <v>40960.891666666663</v>
      </c>
      <c r="D74" s="308"/>
      <c r="E74" s="308">
        <v>58667.466666666667</v>
      </c>
      <c r="F74" s="308">
        <v>1463.9083333333333</v>
      </c>
      <c r="G74" s="308"/>
      <c r="H74" s="308"/>
      <c r="I74" s="307">
        <v>101092.26666666668</v>
      </c>
      <c r="J74" s="307"/>
      <c r="K74" s="308">
        <v>13931.1</v>
      </c>
      <c r="L74" s="308">
        <v>25999.066666666666</v>
      </c>
      <c r="M74" s="308">
        <v>2858.3333333333335</v>
      </c>
      <c r="N74" s="307">
        <v>42788.5</v>
      </c>
      <c r="O74" s="322"/>
      <c r="P74" s="308"/>
      <c r="Q74" s="307">
        <v>4898.7</v>
      </c>
      <c r="R74" s="307"/>
      <c r="S74" s="307">
        <v>4898.7</v>
      </c>
      <c r="T74" s="309"/>
      <c r="U74" s="309"/>
      <c r="V74" s="309"/>
      <c r="W74" s="309"/>
      <c r="X74" s="309"/>
      <c r="Y74" s="309"/>
      <c r="Z74" s="309"/>
      <c r="AA74" s="323"/>
      <c r="AB74" s="311">
        <v>148779.4666666667</v>
      </c>
      <c r="AC74" s="312"/>
      <c r="AD74" s="281"/>
      <c r="AE74" s="282"/>
    </row>
    <row r="75" spans="1:31">
      <c r="A75" s="305"/>
      <c r="B75" s="306" t="s">
        <v>822</v>
      </c>
      <c r="C75" s="307">
        <v>40568.741666666669</v>
      </c>
      <c r="D75" s="308"/>
      <c r="E75" s="308">
        <v>58092.975000000006</v>
      </c>
      <c r="F75" s="308">
        <v>1356.8416666666667</v>
      </c>
      <c r="G75" s="308"/>
      <c r="H75" s="308"/>
      <c r="I75" s="307">
        <v>100018.55833333333</v>
      </c>
      <c r="J75" s="307"/>
      <c r="K75" s="308">
        <v>13015.433333333332</v>
      </c>
      <c r="L75" s="308">
        <v>25291.333333333332</v>
      </c>
      <c r="M75" s="308">
        <v>2770.666666666667</v>
      </c>
      <c r="N75" s="307">
        <v>41077.433333333327</v>
      </c>
      <c r="O75" s="322"/>
      <c r="P75" s="308"/>
      <c r="Q75" s="307">
        <v>4880.8666666666668</v>
      </c>
      <c r="R75" s="307"/>
      <c r="S75" s="307">
        <v>4880.8666666666668</v>
      </c>
      <c r="T75" s="309"/>
      <c r="U75" s="309"/>
      <c r="V75" s="309"/>
      <c r="W75" s="309"/>
      <c r="X75" s="309"/>
      <c r="Y75" s="309"/>
      <c r="Z75" s="309"/>
      <c r="AA75" s="323"/>
      <c r="AB75" s="311">
        <v>145976.85833333334</v>
      </c>
      <c r="AC75" s="312"/>
      <c r="AD75" s="281"/>
      <c r="AE75" s="282"/>
    </row>
    <row r="76" spans="1:31">
      <c r="A76" s="324"/>
      <c r="B76" s="325" t="s">
        <v>830</v>
      </c>
      <c r="C76" s="314">
        <v>-9.5737661960889325E-3</v>
      </c>
      <c r="D76" s="315">
        <v>0</v>
      </c>
      <c r="E76" s="315">
        <v>-9.7923380590263769E-3</v>
      </c>
      <c r="F76" s="315">
        <v>-7.3137548457610585E-2</v>
      </c>
      <c r="G76" s="315">
        <v>0</v>
      </c>
      <c r="H76" s="315">
        <v>0</v>
      </c>
      <c r="I76" s="314">
        <v>-1.0621072894464678E-2</v>
      </c>
      <c r="J76" s="314">
        <v>0</v>
      </c>
      <c r="K76" s="315">
        <v>-6.5728238736831104E-2</v>
      </c>
      <c r="L76" s="315">
        <v>-2.7221490002205216E-2</v>
      </c>
      <c r="M76" s="315">
        <v>-3.0670553935860004E-2</v>
      </c>
      <c r="N76" s="314">
        <v>-3.9988937837659014E-2</v>
      </c>
      <c r="O76" s="316">
        <v>0</v>
      </c>
      <c r="P76" s="315">
        <v>0</v>
      </c>
      <c r="Q76" s="314">
        <v>-3.6404216084538819E-3</v>
      </c>
      <c r="R76" s="314">
        <v>0</v>
      </c>
      <c r="S76" s="314">
        <v>-3.6404216084538819E-3</v>
      </c>
      <c r="T76" s="317">
        <v>0</v>
      </c>
      <c r="U76" s="317">
        <v>0</v>
      </c>
      <c r="V76" s="317">
        <v>0</v>
      </c>
      <c r="W76" s="317">
        <v>0</v>
      </c>
      <c r="X76" s="317">
        <v>0</v>
      </c>
      <c r="Y76" s="317">
        <v>0</v>
      </c>
      <c r="Z76" s="317">
        <v>0</v>
      </c>
      <c r="AA76" s="318">
        <v>0</v>
      </c>
      <c r="AB76" s="311">
        <v>-1.8837332839836542E-2</v>
      </c>
      <c r="AC76" s="312"/>
      <c r="AD76" s="321"/>
      <c r="AE76" s="282"/>
    </row>
    <row r="77" spans="1:31">
      <c r="A77" s="303" t="s">
        <v>547</v>
      </c>
      <c r="B77" s="291" t="s">
        <v>803</v>
      </c>
      <c r="C77" s="285">
        <v>24616.400000000001</v>
      </c>
      <c r="D77" s="276">
        <v>27936.533333333333</v>
      </c>
      <c r="E77" s="276">
        <v>21635.833333333332</v>
      </c>
      <c r="F77" s="276">
        <v>23738.833333333336</v>
      </c>
      <c r="G77" s="276">
        <v>2006.1333333333334</v>
      </c>
      <c r="H77" s="276">
        <v>2026.6</v>
      </c>
      <c r="I77" s="285">
        <v>101960.33333333334</v>
      </c>
      <c r="J77" s="285"/>
      <c r="K77" s="276">
        <v>22957.266666666666</v>
      </c>
      <c r="L77" s="276">
        <v>9229.7333333333336</v>
      </c>
      <c r="M77" s="276">
        <v>4471.8666666666668</v>
      </c>
      <c r="N77" s="285">
        <v>36658.866666666669</v>
      </c>
      <c r="O77" s="285"/>
      <c r="P77" s="276"/>
      <c r="Q77" s="285">
        <v>9758</v>
      </c>
      <c r="R77" s="285"/>
      <c r="S77" s="285">
        <v>9758</v>
      </c>
      <c r="T77" s="287"/>
      <c r="U77" s="287"/>
      <c r="V77" s="287"/>
      <c r="W77" s="287"/>
      <c r="X77" s="287"/>
      <c r="Y77" s="287"/>
      <c r="Z77" s="287"/>
      <c r="AA77" s="304"/>
      <c r="AB77" s="289">
        <v>148377.20000000001</v>
      </c>
      <c r="AC77" s="290"/>
      <c r="AD77" s="281"/>
      <c r="AE77" s="282"/>
    </row>
    <row r="78" spans="1:31">
      <c r="A78" s="305"/>
      <c r="B78" s="306" t="s">
        <v>804</v>
      </c>
      <c r="C78" s="307">
        <v>24329.599999999999</v>
      </c>
      <c r="D78" s="308">
        <v>28394.899999999998</v>
      </c>
      <c r="E78" s="308">
        <v>21819.166666666664</v>
      </c>
      <c r="F78" s="308">
        <v>24011.73333333333</v>
      </c>
      <c r="G78" s="308">
        <v>1576.2666666666667</v>
      </c>
      <c r="H78" s="308">
        <v>2303.4333333333334</v>
      </c>
      <c r="I78" s="307">
        <v>102435.09999999999</v>
      </c>
      <c r="J78" s="307"/>
      <c r="K78" s="308">
        <v>19628.5</v>
      </c>
      <c r="L78" s="308">
        <v>9008.8333333333321</v>
      </c>
      <c r="M78" s="308">
        <v>4525.583333333333</v>
      </c>
      <c r="N78" s="307">
        <v>33162.916666666664</v>
      </c>
      <c r="O78" s="307"/>
      <c r="P78" s="308"/>
      <c r="Q78" s="307">
        <v>9003.1333333333332</v>
      </c>
      <c r="R78" s="307"/>
      <c r="S78" s="307">
        <v>9003.1333333333332</v>
      </c>
      <c r="T78" s="309"/>
      <c r="U78" s="309"/>
      <c r="V78" s="309"/>
      <c r="W78" s="309"/>
      <c r="X78" s="309"/>
      <c r="Y78" s="309"/>
      <c r="Z78" s="309"/>
      <c r="AA78" s="310"/>
      <c r="AB78" s="311">
        <v>144601.15</v>
      </c>
      <c r="AC78" s="312"/>
      <c r="AD78" s="281"/>
      <c r="AE78" s="282"/>
    </row>
    <row r="79" spans="1:31">
      <c r="A79" s="305"/>
      <c r="B79" s="313" t="s">
        <v>824</v>
      </c>
      <c r="C79" s="314">
        <v>-1.1650769405762131E-2</v>
      </c>
      <c r="D79" s="315">
        <v>1.6407428265974244E-2</v>
      </c>
      <c r="E79" s="315">
        <v>8.4735970419442495E-3</v>
      </c>
      <c r="F79" s="315">
        <v>1.1495931420386882E-2</v>
      </c>
      <c r="G79" s="315">
        <v>-0.21427621959324741</v>
      </c>
      <c r="H79" s="315">
        <v>0.13659988815421567</v>
      </c>
      <c r="I79" s="314">
        <v>4.6563859801690057E-3</v>
      </c>
      <c r="J79" s="314">
        <v>0</v>
      </c>
      <c r="K79" s="315">
        <v>-0.14499838830987427</v>
      </c>
      <c r="L79" s="315">
        <v>-2.393351920604439E-2</v>
      </c>
      <c r="M79" s="315">
        <v>1.2012135126270813E-2</v>
      </c>
      <c r="N79" s="314">
        <v>-9.5364377513034504E-2</v>
      </c>
      <c r="O79" s="316">
        <v>0</v>
      </c>
      <c r="P79" s="315">
        <v>0</v>
      </c>
      <c r="Q79" s="314">
        <v>-7.7358748377399755E-2</v>
      </c>
      <c r="R79" s="314">
        <v>0</v>
      </c>
      <c r="S79" s="314">
        <v>-7.7358748377399755E-2</v>
      </c>
      <c r="T79" s="317">
        <v>0</v>
      </c>
      <c r="U79" s="317">
        <v>0</v>
      </c>
      <c r="V79" s="317">
        <v>0</v>
      </c>
      <c r="W79" s="317">
        <v>0</v>
      </c>
      <c r="X79" s="317">
        <v>0</v>
      </c>
      <c r="Y79" s="317">
        <v>0</v>
      </c>
      <c r="Z79" s="317">
        <v>0</v>
      </c>
      <c r="AA79" s="318">
        <v>0</v>
      </c>
      <c r="AB79" s="319">
        <v>-2.5448990815300197E-2</v>
      </c>
      <c r="AC79" s="320"/>
      <c r="AD79" s="321"/>
      <c r="AE79" s="282"/>
    </row>
    <row r="80" spans="1:31">
      <c r="A80" s="305"/>
      <c r="B80" s="306" t="s">
        <v>812</v>
      </c>
      <c r="C80" s="307">
        <v>0</v>
      </c>
      <c r="D80" s="308">
        <v>0</v>
      </c>
      <c r="E80" s="308">
        <v>0</v>
      </c>
      <c r="F80" s="308">
        <v>0</v>
      </c>
      <c r="G80" s="308">
        <v>0</v>
      </c>
      <c r="H80" s="308">
        <v>0</v>
      </c>
      <c r="I80" s="307">
        <v>0</v>
      </c>
      <c r="J80" s="307"/>
      <c r="K80" s="308">
        <v>0</v>
      </c>
      <c r="L80" s="326">
        <v>0</v>
      </c>
      <c r="M80" s="308">
        <v>0</v>
      </c>
      <c r="N80" s="327">
        <v>0</v>
      </c>
      <c r="O80" s="322"/>
      <c r="P80" s="308"/>
      <c r="Q80" s="307">
        <v>66.081111111111113</v>
      </c>
      <c r="R80" s="307"/>
      <c r="S80" s="307">
        <v>66.081111111111113</v>
      </c>
      <c r="T80" s="309"/>
      <c r="U80" s="309"/>
      <c r="V80" s="309"/>
      <c r="W80" s="309"/>
      <c r="X80" s="309"/>
      <c r="Y80" s="309"/>
      <c r="Z80" s="309"/>
      <c r="AA80" s="323"/>
      <c r="AB80" s="311">
        <v>66.081111111111113</v>
      </c>
      <c r="AC80" s="312"/>
      <c r="AD80" s="281"/>
      <c r="AE80" s="282"/>
    </row>
    <row r="81" spans="1:31">
      <c r="A81" s="305"/>
      <c r="B81" s="306" t="s">
        <v>814</v>
      </c>
      <c r="C81" s="307">
        <v>0</v>
      </c>
      <c r="D81" s="308">
        <v>0</v>
      </c>
      <c r="E81" s="308">
        <v>0</v>
      </c>
      <c r="F81" s="308">
        <v>0</v>
      </c>
      <c r="G81" s="308">
        <v>0</v>
      </c>
      <c r="H81" s="308">
        <v>0</v>
      </c>
      <c r="I81" s="307">
        <v>0</v>
      </c>
      <c r="J81" s="307"/>
      <c r="K81" s="308">
        <v>0</v>
      </c>
      <c r="L81" s="308">
        <v>0</v>
      </c>
      <c r="M81" s="308">
        <v>0</v>
      </c>
      <c r="N81" s="307">
        <v>0</v>
      </c>
      <c r="O81" s="322"/>
      <c r="P81" s="308"/>
      <c r="Q81" s="307">
        <v>31.704444444444444</v>
      </c>
      <c r="R81" s="307"/>
      <c r="S81" s="307">
        <v>31.704444444444444</v>
      </c>
      <c r="T81" s="309"/>
      <c r="U81" s="309"/>
      <c r="V81" s="309"/>
      <c r="W81" s="309"/>
      <c r="X81" s="309"/>
      <c r="Y81" s="309"/>
      <c r="Z81" s="309"/>
      <c r="AA81" s="323"/>
      <c r="AB81" s="311">
        <v>31.704444444444444</v>
      </c>
      <c r="AC81" s="312"/>
      <c r="AD81" s="281"/>
      <c r="AE81" s="282"/>
    </row>
    <row r="82" spans="1:31">
      <c r="A82" s="305"/>
      <c r="B82" s="313" t="s">
        <v>826</v>
      </c>
      <c r="C82" s="314">
        <v>0</v>
      </c>
      <c r="D82" s="315">
        <v>0</v>
      </c>
      <c r="E82" s="315">
        <v>0</v>
      </c>
      <c r="F82" s="315">
        <v>0</v>
      </c>
      <c r="G82" s="315">
        <v>0</v>
      </c>
      <c r="H82" s="315">
        <v>0</v>
      </c>
      <c r="I82" s="314">
        <v>0</v>
      </c>
      <c r="J82" s="314">
        <v>0</v>
      </c>
      <c r="K82" s="315">
        <v>0</v>
      </c>
      <c r="L82" s="315">
        <v>0</v>
      </c>
      <c r="M82" s="315">
        <v>0</v>
      </c>
      <c r="N82" s="314">
        <v>0</v>
      </c>
      <c r="O82" s="316">
        <v>0</v>
      </c>
      <c r="P82" s="315">
        <v>0</v>
      </c>
      <c r="Q82" s="314">
        <v>-0.52021925915961864</v>
      </c>
      <c r="R82" s="314">
        <v>0</v>
      </c>
      <c r="S82" s="314">
        <v>-0.52021925915961864</v>
      </c>
      <c r="T82" s="317">
        <v>0</v>
      </c>
      <c r="U82" s="317">
        <v>0</v>
      </c>
      <c r="V82" s="317">
        <v>0</v>
      </c>
      <c r="W82" s="317">
        <v>0</v>
      </c>
      <c r="X82" s="317">
        <v>0</v>
      </c>
      <c r="Y82" s="317">
        <v>0</v>
      </c>
      <c r="Z82" s="317">
        <v>0</v>
      </c>
      <c r="AA82" s="318">
        <v>0</v>
      </c>
      <c r="AB82" s="319">
        <v>-0.52021925915961864</v>
      </c>
      <c r="AC82" s="320"/>
      <c r="AD82" s="321"/>
      <c r="AE82" s="282"/>
    </row>
    <row r="83" spans="1:31">
      <c r="A83" s="305"/>
      <c r="B83" s="306" t="s">
        <v>816</v>
      </c>
      <c r="C83" s="307">
        <v>5446.4708333333338</v>
      </c>
      <c r="D83" s="308">
        <v>3609.958333333333</v>
      </c>
      <c r="E83" s="308">
        <v>3643.125</v>
      </c>
      <c r="F83" s="308">
        <v>3409.6666666666665</v>
      </c>
      <c r="G83" s="308">
        <v>311.29166666666669</v>
      </c>
      <c r="H83" s="308">
        <v>0</v>
      </c>
      <c r="I83" s="307">
        <v>16420.512500000001</v>
      </c>
      <c r="J83" s="307"/>
      <c r="K83" s="308">
        <v>0</v>
      </c>
      <c r="L83" s="308">
        <v>0</v>
      </c>
      <c r="M83" s="308">
        <v>0</v>
      </c>
      <c r="N83" s="307">
        <v>0</v>
      </c>
      <c r="O83" s="322"/>
      <c r="P83" s="308"/>
      <c r="Q83" s="307">
        <v>0</v>
      </c>
      <c r="R83" s="307"/>
      <c r="S83" s="307">
        <v>0</v>
      </c>
      <c r="T83" s="309"/>
      <c r="U83" s="309"/>
      <c r="V83" s="309"/>
      <c r="W83" s="309"/>
      <c r="X83" s="309"/>
      <c r="Y83" s="309"/>
      <c r="Z83" s="309"/>
      <c r="AA83" s="323"/>
      <c r="AB83" s="311">
        <v>16420.512500000001</v>
      </c>
      <c r="AC83" s="312"/>
      <c r="AD83" s="281"/>
      <c r="AE83" s="282"/>
    </row>
    <row r="84" spans="1:31">
      <c r="A84" s="305"/>
      <c r="B84" s="306" t="s">
        <v>818</v>
      </c>
      <c r="C84" s="307">
        <v>5385.541666666667</v>
      </c>
      <c r="D84" s="308">
        <v>3135.9166666666665</v>
      </c>
      <c r="E84" s="308">
        <v>3463.291666666667</v>
      </c>
      <c r="F84" s="308">
        <v>3822.916666666667</v>
      </c>
      <c r="G84" s="308">
        <v>415.58333333333331</v>
      </c>
      <c r="H84" s="308">
        <v>0</v>
      </c>
      <c r="I84" s="307">
        <v>16223.250000000002</v>
      </c>
      <c r="J84" s="307"/>
      <c r="K84" s="308">
        <v>0</v>
      </c>
      <c r="L84" s="308">
        <v>0</v>
      </c>
      <c r="M84" s="308">
        <v>0</v>
      </c>
      <c r="N84" s="307">
        <v>0</v>
      </c>
      <c r="O84" s="322"/>
      <c r="P84" s="308"/>
      <c r="Q84" s="307">
        <v>0</v>
      </c>
      <c r="R84" s="307"/>
      <c r="S84" s="307">
        <v>0</v>
      </c>
      <c r="T84" s="309"/>
      <c r="U84" s="309"/>
      <c r="V84" s="309"/>
      <c r="W84" s="309"/>
      <c r="X84" s="309"/>
      <c r="Y84" s="309"/>
      <c r="Z84" s="309"/>
      <c r="AA84" s="323"/>
      <c r="AB84" s="311">
        <v>16223.250000000002</v>
      </c>
      <c r="AC84" s="312"/>
      <c r="AD84" s="281"/>
      <c r="AE84" s="282"/>
    </row>
    <row r="85" spans="1:31">
      <c r="A85" s="305"/>
      <c r="B85" s="313" t="s">
        <v>828</v>
      </c>
      <c r="C85" s="314">
        <v>-1.1186907730005614E-2</v>
      </c>
      <c r="D85" s="315">
        <v>-0.13131499671048832</v>
      </c>
      <c r="E85" s="315">
        <v>-4.9362383484874393E-2</v>
      </c>
      <c r="F85" s="315">
        <v>0.1211995307459186</v>
      </c>
      <c r="G85" s="315">
        <v>0.33502877794137315</v>
      </c>
      <c r="H85" s="315">
        <v>0</v>
      </c>
      <c r="I85" s="314">
        <v>-1.2013175593636467E-2</v>
      </c>
      <c r="J85" s="314">
        <v>0</v>
      </c>
      <c r="K85" s="315">
        <v>0</v>
      </c>
      <c r="L85" s="315">
        <v>0</v>
      </c>
      <c r="M85" s="315">
        <v>0</v>
      </c>
      <c r="N85" s="314">
        <v>0</v>
      </c>
      <c r="O85" s="316">
        <v>0</v>
      </c>
      <c r="P85" s="315">
        <v>0</v>
      </c>
      <c r="Q85" s="314">
        <v>0</v>
      </c>
      <c r="R85" s="314">
        <v>0</v>
      </c>
      <c r="S85" s="314">
        <v>0</v>
      </c>
      <c r="T85" s="317">
        <v>0</v>
      </c>
      <c r="U85" s="317">
        <v>0</v>
      </c>
      <c r="V85" s="317">
        <v>0</v>
      </c>
      <c r="W85" s="317">
        <v>0</v>
      </c>
      <c r="X85" s="317">
        <v>0</v>
      </c>
      <c r="Y85" s="317">
        <v>0</v>
      </c>
      <c r="Z85" s="317">
        <v>0</v>
      </c>
      <c r="AA85" s="318">
        <v>0</v>
      </c>
      <c r="AB85" s="319">
        <v>-1.2013175593636467E-2</v>
      </c>
      <c r="AC85" s="320"/>
      <c r="AD85" s="321"/>
      <c r="AE85" s="282"/>
    </row>
    <row r="86" spans="1:31">
      <c r="A86" s="305"/>
      <c r="B86" s="306" t="s">
        <v>820</v>
      </c>
      <c r="C86" s="307">
        <v>30062.870833333334</v>
      </c>
      <c r="D86" s="308">
        <v>31546.491666666669</v>
      </c>
      <c r="E86" s="308">
        <v>25278.958333333332</v>
      </c>
      <c r="F86" s="308">
        <v>27148.5</v>
      </c>
      <c r="G86" s="308">
        <v>2317.4250000000002</v>
      </c>
      <c r="H86" s="308">
        <v>2026.6</v>
      </c>
      <c r="I86" s="307">
        <v>118380.84583333334</v>
      </c>
      <c r="J86" s="307"/>
      <c r="K86" s="308">
        <v>22957.266666666666</v>
      </c>
      <c r="L86" s="308">
        <v>9229.7333333333336</v>
      </c>
      <c r="M86" s="308">
        <v>4471.8666666666668</v>
      </c>
      <c r="N86" s="307">
        <v>36658.866666666669</v>
      </c>
      <c r="O86" s="322"/>
      <c r="P86" s="308"/>
      <c r="Q86" s="307">
        <v>9824.0811111111107</v>
      </c>
      <c r="R86" s="307"/>
      <c r="S86" s="307">
        <v>9824.0811111111107</v>
      </c>
      <c r="T86" s="309"/>
      <c r="U86" s="309"/>
      <c r="V86" s="309"/>
      <c r="W86" s="309"/>
      <c r="X86" s="309"/>
      <c r="Y86" s="309"/>
      <c r="Z86" s="309"/>
      <c r="AA86" s="323"/>
      <c r="AB86" s="311">
        <v>164863.79361111112</v>
      </c>
      <c r="AC86" s="312"/>
      <c r="AD86" s="281"/>
      <c r="AE86" s="282"/>
    </row>
    <row r="87" spans="1:31">
      <c r="A87" s="305"/>
      <c r="B87" s="306" t="s">
        <v>822</v>
      </c>
      <c r="C87" s="307">
        <v>29715.141666666666</v>
      </c>
      <c r="D87" s="308">
        <v>31530.816666666669</v>
      </c>
      <c r="E87" s="308">
        <v>25282.458333333332</v>
      </c>
      <c r="F87" s="308">
        <v>27834.65</v>
      </c>
      <c r="G87" s="308">
        <v>1991.85</v>
      </c>
      <c r="H87" s="308">
        <v>2303.4333333333334</v>
      </c>
      <c r="I87" s="307">
        <v>118658.35000000002</v>
      </c>
      <c r="J87" s="307"/>
      <c r="K87" s="308">
        <v>19628.5</v>
      </c>
      <c r="L87" s="308">
        <v>9008.8333333333321</v>
      </c>
      <c r="M87" s="308">
        <v>4525.583333333333</v>
      </c>
      <c r="N87" s="307">
        <v>33162.916666666664</v>
      </c>
      <c r="O87" s="322"/>
      <c r="P87" s="308"/>
      <c r="Q87" s="307">
        <v>9034.8377777777769</v>
      </c>
      <c r="R87" s="307"/>
      <c r="S87" s="307">
        <v>9034.8377777777769</v>
      </c>
      <c r="T87" s="309"/>
      <c r="U87" s="309"/>
      <c r="V87" s="309"/>
      <c r="W87" s="309"/>
      <c r="X87" s="309"/>
      <c r="Y87" s="309"/>
      <c r="Z87" s="309"/>
      <c r="AA87" s="323"/>
      <c r="AB87" s="311">
        <v>160856.1044444445</v>
      </c>
      <c r="AC87" s="312"/>
      <c r="AD87" s="281"/>
      <c r="AE87" s="282"/>
    </row>
    <row r="88" spans="1:31">
      <c r="A88" s="324"/>
      <c r="B88" s="325" t="s">
        <v>830</v>
      </c>
      <c r="C88" s="314">
        <v>-1.1566731886467414E-2</v>
      </c>
      <c r="D88" s="315">
        <v>-4.9688568115997909E-4</v>
      </c>
      <c r="E88" s="315">
        <v>1.3845507215322361E-4</v>
      </c>
      <c r="F88" s="315">
        <v>2.5273956203841888E-2</v>
      </c>
      <c r="G88" s="315">
        <v>-0.14048998349461159</v>
      </c>
      <c r="H88" s="315">
        <v>0.13659988815421567</v>
      </c>
      <c r="I88" s="314">
        <v>2.3441644187722713E-3</v>
      </c>
      <c r="J88" s="314">
        <v>0</v>
      </c>
      <c r="K88" s="315">
        <v>-0.14499838830987427</v>
      </c>
      <c r="L88" s="315">
        <v>-2.393351920604439E-2</v>
      </c>
      <c r="M88" s="315">
        <v>1.2012135126270813E-2</v>
      </c>
      <c r="N88" s="314">
        <v>-9.5364377513034504E-2</v>
      </c>
      <c r="O88" s="316">
        <v>0</v>
      </c>
      <c r="P88" s="315">
        <v>0</v>
      </c>
      <c r="Q88" s="314">
        <v>-8.0337623886339207E-2</v>
      </c>
      <c r="R88" s="314">
        <v>0</v>
      </c>
      <c r="S88" s="314">
        <v>-8.0337623886339207E-2</v>
      </c>
      <c r="T88" s="317">
        <v>0</v>
      </c>
      <c r="U88" s="317">
        <v>0</v>
      </c>
      <c r="V88" s="317">
        <v>0</v>
      </c>
      <c r="W88" s="317">
        <v>0</v>
      </c>
      <c r="X88" s="317">
        <v>0</v>
      </c>
      <c r="Y88" s="317">
        <v>0</v>
      </c>
      <c r="Z88" s="317">
        <v>0</v>
      </c>
      <c r="AA88" s="318">
        <v>0</v>
      </c>
      <c r="AB88" s="311">
        <v>-2.4309092244475718E-2</v>
      </c>
      <c r="AC88" s="312"/>
      <c r="AD88" s="321"/>
      <c r="AE88" s="282"/>
    </row>
    <row r="89" spans="1:31">
      <c r="A89" s="303" t="s">
        <v>578</v>
      </c>
      <c r="B89" s="291" t="s">
        <v>803</v>
      </c>
      <c r="C89" s="285">
        <v>27151.466666666667</v>
      </c>
      <c r="D89" s="276">
        <v>16778.25</v>
      </c>
      <c r="E89" s="276">
        <v>20560.55</v>
      </c>
      <c r="F89" s="276">
        <v>19746.816666666666</v>
      </c>
      <c r="G89" s="276">
        <v>2336.6666666666665</v>
      </c>
      <c r="H89" s="276">
        <v>1786.15</v>
      </c>
      <c r="I89" s="285">
        <v>88359.9</v>
      </c>
      <c r="J89" s="285"/>
      <c r="K89" s="276">
        <v>67112.533333333326</v>
      </c>
      <c r="L89" s="276">
        <v>16717.633333333331</v>
      </c>
      <c r="M89" s="276">
        <v>5415.4916666666668</v>
      </c>
      <c r="N89" s="285">
        <v>89245.658333333326</v>
      </c>
      <c r="O89" s="285"/>
      <c r="P89" s="276"/>
      <c r="Q89" s="285"/>
      <c r="R89" s="285"/>
      <c r="S89" s="285"/>
      <c r="T89" s="287"/>
      <c r="U89" s="287"/>
      <c r="V89" s="287"/>
      <c r="W89" s="287"/>
      <c r="X89" s="287"/>
      <c r="Y89" s="287"/>
      <c r="Z89" s="287"/>
      <c r="AA89" s="304"/>
      <c r="AB89" s="289">
        <v>177605.55833333332</v>
      </c>
      <c r="AC89" s="290"/>
      <c r="AD89" s="281"/>
      <c r="AE89" s="282"/>
    </row>
    <row r="90" spans="1:31">
      <c r="A90" s="305"/>
      <c r="B90" s="306" t="s">
        <v>804</v>
      </c>
      <c r="C90" s="307">
        <v>27675.9</v>
      </c>
      <c r="D90" s="308">
        <v>16738.900000000001</v>
      </c>
      <c r="E90" s="308">
        <v>20516.666666666668</v>
      </c>
      <c r="F90" s="308">
        <v>19686.733333333334</v>
      </c>
      <c r="G90" s="308">
        <v>2220.3333333333335</v>
      </c>
      <c r="H90" s="308">
        <v>1708.1</v>
      </c>
      <c r="I90" s="307">
        <v>88546.633333333346</v>
      </c>
      <c r="J90" s="307"/>
      <c r="K90" s="308">
        <v>64854.499999999993</v>
      </c>
      <c r="L90" s="308">
        <v>17050.633333333331</v>
      </c>
      <c r="M90" s="308">
        <v>5252.6</v>
      </c>
      <c r="N90" s="307">
        <v>87157.733333333337</v>
      </c>
      <c r="O90" s="307"/>
      <c r="P90" s="308"/>
      <c r="Q90" s="307"/>
      <c r="R90" s="307"/>
      <c r="S90" s="307"/>
      <c r="T90" s="309"/>
      <c r="U90" s="309"/>
      <c r="V90" s="309"/>
      <c r="W90" s="309"/>
      <c r="X90" s="309"/>
      <c r="Y90" s="309"/>
      <c r="Z90" s="309"/>
      <c r="AA90" s="310"/>
      <c r="AB90" s="311">
        <v>175704.36666666667</v>
      </c>
      <c r="AC90" s="312"/>
      <c r="AD90" s="281"/>
      <c r="AE90" s="282"/>
    </row>
    <row r="91" spans="1:31">
      <c r="A91" s="305"/>
      <c r="B91" s="313" t="s">
        <v>824</v>
      </c>
      <c r="C91" s="314">
        <v>1.9315101455538348E-2</v>
      </c>
      <c r="D91" s="315">
        <v>-2.3452982283610354E-3</v>
      </c>
      <c r="E91" s="315">
        <v>-2.1343462764046388E-3</v>
      </c>
      <c r="F91" s="315">
        <v>-3.0426845170824389E-3</v>
      </c>
      <c r="G91" s="315">
        <v>-4.9786019971469204E-2</v>
      </c>
      <c r="H91" s="315">
        <v>-4.3697337849564803E-2</v>
      </c>
      <c r="I91" s="314">
        <v>2.1133266711861063E-3</v>
      </c>
      <c r="J91" s="314">
        <v>0</v>
      </c>
      <c r="K91" s="315">
        <v>-3.364547903620585E-2</v>
      </c>
      <c r="L91" s="315">
        <v>1.9919087430637115E-2</v>
      </c>
      <c r="M91" s="315">
        <v>-3.0078832485200591E-2</v>
      </c>
      <c r="N91" s="314">
        <v>-2.3395255735596511E-2</v>
      </c>
      <c r="O91" s="316">
        <v>0</v>
      </c>
      <c r="P91" s="315">
        <v>0</v>
      </c>
      <c r="Q91" s="314">
        <v>0</v>
      </c>
      <c r="R91" s="314">
        <v>0</v>
      </c>
      <c r="S91" s="314">
        <v>0</v>
      </c>
      <c r="T91" s="317">
        <v>0</v>
      </c>
      <c r="U91" s="317">
        <v>0</v>
      </c>
      <c r="V91" s="317">
        <v>0</v>
      </c>
      <c r="W91" s="317">
        <v>0</v>
      </c>
      <c r="X91" s="317">
        <v>0</v>
      </c>
      <c r="Y91" s="317">
        <v>0</v>
      </c>
      <c r="Z91" s="317">
        <v>0</v>
      </c>
      <c r="AA91" s="318">
        <v>0</v>
      </c>
      <c r="AB91" s="319">
        <v>-1.0704573012847484E-2</v>
      </c>
      <c r="AC91" s="320"/>
      <c r="AD91" s="321"/>
      <c r="AE91" s="282"/>
    </row>
    <row r="92" spans="1:31">
      <c r="A92" s="305"/>
      <c r="B92" s="306" t="s">
        <v>812</v>
      </c>
      <c r="C92" s="307">
        <v>0</v>
      </c>
      <c r="D92" s="308">
        <v>0</v>
      </c>
      <c r="E92" s="308">
        <v>0</v>
      </c>
      <c r="F92" s="308">
        <v>0</v>
      </c>
      <c r="G92" s="308">
        <v>0</v>
      </c>
      <c r="H92" s="308">
        <v>0</v>
      </c>
      <c r="I92" s="307">
        <v>0</v>
      </c>
      <c r="J92" s="307"/>
      <c r="K92" s="308">
        <v>0</v>
      </c>
      <c r="L92" s="308">
        <v>0</v>
      </c>
      <c r="M92" s="308">
        <v>0</v>
      </c>
      <c r="N92" s="307">
        <v>0</v>
      </c>
      <c r="O92" s="322"/>
      <c r="P92" s="308"/>
      <c r="Q92" s="307"/>
      <c r="R92" s="307"/>
      <c r="S92" s="307"/>
      <c r="T92" s="309"/>
      <c r="U92" s="309"/>
      <c r="V92" s="309"/>
      <c r="W92" s="309"/>
      <c r="X92" s="309"/>
      <c r="Y92" s="309"/>
      <c r="Z92" s="309"/>
      <c r="AA92" s="323"/>
      <c r="AB92" s="311">
        <v>0</v>
      </c>
      <c r="AC92" s="312"/>
      <c r="AD92" s="281"/>
      <c r="AE92" s="282"/>
    </row>
    <row r="93" spans="1:31">
      <c r="A93" s="305"/>
      <c r="B93" s="306" t="s">
        <v>814</v>
      </c>
      <c r="C93" s="307">
        <v>0</v>
      </c>
      <c r="D93" s="308">
        <v>0</v>
      </c>
      <c r="E93" s="308">
        <v>0</v>
      </c>
      <c r="F93" s="308">
        <v>0</v>
      </c>
      <c r="G93" s="308">
        <v>0</v>
      </c>
      <c r="H93" s="308">
        <v>0</v>
      </c>
      <c r="I93" s="307">
        <v>0</v>
      </c>
      <c r="J93" s="307"/>
      <c r="K93" s="308">
        <v>0</v>
      </c>
      <c r="L93" s="308">
        <v>0</v>
      </c>
      <c r="M93" s="308">
        <v>0</v>
      </c>
      <c r="N93" s="307">
        <v>0</v>
      </c>
      <c r="O93" s="322"/>
      <c r="P93" s="308"/>
      <c r="Q93" s="307"/>
      <c r="R93" s="307"/>
      <c r="S93" s="307"/>
      <c r="T93" s="309"/>
      <c r="U93" s="309"/>
      <c r="V93" s="309"/>
      <c r="W93" s="309"/>
      <c r="X93" s="309"/>
      <c r="Y93" s="309"/>
      <c r="Z93" s="309"/>
      <c r="AA93" s="323"/>
      <c r="AB93" s="311">
        <v>0</v>
      </c>
      <c r="AC93" s="312"/>
      <c r="AD93" s="281"/>
      <c r="AE93" s="282"/>
    </row>
    <row r="94" spans="1:31">
      <c r="A94" s="305"/>
      <c r="B94" s="313" t="s">
        <v>826</v>
      </c>
      <c r="C94" s="314">
        <v>0</v>
      </c>
      <c r="D94" s="315">
        <v>0</v>
      </c>
      <c r="E94" s="315">
        <v>0</v>
      </c>
      <c r="F94" s="315">
        <v>0</v>
      </c>
      <c r="G94" s="315">
        <v>0</v>
      </c>
      <c r="H94" s="315">
        <v>0</v>
      </c>
      <c r="I94" s="314">
        <v>0</v>
      </c>
      <c r="J94" s="314">
        <v>0</v>
      </c>
      <c r="K94" s="315">
        <v>0</v>
      </c>
      <c r="L94" s="315">
        <v>0</v>
      </c>
      <c r="M94" s="315">
        <v>0</v>
      </c>
      <c r="N94" s="314">
        <v>0</v>
      </c>
      <c r="O94" s="316">
        <v>0</v>
      </c>
      <c r="P94" s="315">
        <v>0</v>
      </c>
      <c r="Q94" s="314">
        <v>0</v>
      </c>
      <c r="R94" s="314">
        <v>0</v>
      </c>
      <c r="S94" s="314">
        <v>0</v>
      </c>
      <c r="T94" s="317">
        <v>0</v>
      </c>
      <c r="U94" s="317">
        <v>0</v>
      </c>
      <c r="V94" s="317">
        <v>0</v>
      </c>
      <c r="W94" s="317">
        <v>0</v>
      </c>
      <c r="X94" s="317">
        <v>0</v>
      </c>
      <c r="Y94" s="317">
        <v>0</v>
      </c>
      <c r="Z94" s="317">
        <v>0</v>
      </c>
      <c r="AA94" s="318">
        <v>0</v>
      </c>
      <c r="AB94" s="319">
        <v>0</v>
      </c>
      <c r="AC94" s="320"/>
      <c r="AD94" s="321"/>
      <c r="AE94" s="282"/>
    </row>
    <row r="95" spans="1:31">
      <c r="A95" s="305"/>
      <c r="B95" s="306" t="s">
        <v>816</v>
      </c>
      <c r="C95" s="307">
        <v>6561.340416666666</v>
      </c>
      <c r="D95" s="308">
        <v>2528.7083333333335</v>
      </c>
      <c r="E95" s="308">
        <v>3985.2916666666665</v>
      </c>
      <c r="F95" s="308">
        <v>2711.333333333333</v>
      </c>
      <c r="G95" s="308">
        <v>248</v>
      </c>
      <c r="H95" s="308">
        <v>55.833333333333336</v>
      </c>
      <c r="I95" s="307">
        <v>16090.507083333332</v>
      </c>
      <c r="J95" s="307"/>
      <c r="K95" s="308">
        <v>0</v>
      </c>
      <c r="L95" s="308">
        <v>0</v>
      </c>
      <c r="M95" s="308">
        <v>0</v>
      </c>
      <c r="N95" s="307">
        <v>0</v>
      </c>
      <c r="O95" s="322"/>
      <c r="P95" s="308"/>
      <c r="Q95" s="307"/>
      <c r="R95" s="307"/>
      <c r="S95" s="307"/>
      <c r="T95" s="309"/>
      <c r="U95" s="309"/>
      <c r="V95" s="309"/>
      <c r="W95" s="309"/>
      <c r="X95" s="309"/>
      <c r="Y95" s="309"/>
      <c r="Z95" s="309"/>
      <c r="AA95" s="323"/>
      <c r="AB95" s="311">
        <v>16090.507083333332</v>
      </c>
      <c r="AC95" s="312"/>
      <c r="AD95" s="281"/>
      <c r="AE95" s="282"/>
    </row>
    <row r="96" spans="1:31">
      <c r="A96" s="305"/>
      <c r="B96" s="306" t="s">
        <v>818</v>
      </c>
      <c r="C96" s="307">
        <v>6564.875</v>
      </c>
      <c r="D96" s="308">
        <v>2494.625</v>
      </c>
      <c r="E96" s="308">
        <v>3849.791666666667</v>
      </c>
      <c r="F96" s="308">
        <v>2494.875</v>
      </c>
      <c r="G96" s="308">
        <v>245.08333333333334</v>
      </c>
      <c r="H96" s="308">
        <v>56.5</v>
      </c>
      <c r="I96" s="307">
        <v>15705.750000000002</v>
      </c>
      <c r="J96" s="307"/>
      <c r="K96" s="308">
        <v>0</v>
      </c>
      <c r="L96" s="308">
        <v>0</v>
      </c>
      <c r="M96" s="308">
        <v>0</v>
      </c>
      <c r="N96" s="307">
        <v>0</v>
      </c>
      <c r="O96" s="322"/>
      <c r="P96" s="308"/>
      <c r="Q96" s="307"/>
      <c r="R96" s="307"/>
      <c r="S96" s="307"/>
      <c r="T96" s="309"/>
      <c r="U96" s="309"/>
      <c r="V96" s="309"/>
      <c r="W96" s="309"/>
      <c r="X96" s="309"/>
      <c r="Y96" s="309"/>
      <c r="Z96" s="309"/>
      <c r="AA96" s="323"/>
      <c r="AB96" s="311">
        <v>15705.750000000002</v>
      </c>
      <c r="AC96" s="312"/>
      <c r="AD96" s="281"/>
      <c r="AE96" s="282"/>
    </row>
    <row r="97" spans="1:31">
      <c r="A97" s="305"/>
      <c r="B97" s="313" t="s">
        <v>828</v>
      </c>
      <c r="C97" s="314">
        <v>5.3869836174872234E-4</v>
      </c>
      <c r="D97" s="315">
        <v>-1.3478554598032651E-2</v>
      </c>
      <c r="E97" s="315">
        <v>-3.4000020910221848E-2</v>
      </c>
      <c r="F97" s="315">
        <v>-7.9834644701253898E-2</v>
      </c>
      <c r="G97" s="315">
        <v>-1.1760752688172005E-2</v>
      </c>
      <c r="H97" s="315">
        <v>1.1940298507462643E-2</v>
      </c>
      <c r="I97" s="314">
        <v>-2.3912054563641833E-2</v>
      </c>
      <c r="J97" s="314">
        <v>0</v>
      </c>
      <c r="K97" s="315">
        <v>0</v>
      </c>
      <c r="L97" s="315">
        <v>0</v>
      </c>
      <c r="M97" s="315">
        <v>0</v>
      </c>
      <c r="N97" s="314">
        <v>0</v>
      </c>
      <c r="O97" s="316">
        <v>0</v>
      </c>
      <c r="P97" s="315">
        <v>0</v>
      </c>
      <c r="Q97" s="314">
        <v>0</v>
      </c>
      <c r="R97" s="314">
        <v>0</v>
      </c>
      <c r="S97" s="314">
        <v>0</v>
      </c>
      <c r="T97" s="317">
        <v>0</v>
      </c>
      <c r="U97" s="317">
        <v>0</v>
      </c>
      <c r="V97" s="317">
        <v>0</v>
      </c>
      <c r="W97" s="317">
        <v>0</v>
      </c>
      <c r="X97" s="317">
        <v>0</v>
      </c>
      <c r="Y97" s="317">
        <v>0</v>
      </c>
      <c r="Z97" s="317">
        <v>0</v>
      </c>
      <c r="AA97" s="318">
        <v>0</v>
      </c>
      <c r="AB97" s="319">
        <v>-2.3912054563641833E-2</v>
      </c>
      <c r="AC97" s="320"/>
      <c r="AD97" s="321"/>
      <c r="AE97" s="282"/>
    </row>
    <row r="98" spans="1:31">
      <c r="A98" s="305"/>
      <c r="B98" s="306" t="s">
        <v>820</v>
      </c>
      <c r="C98" s="307">
        <v>33712.807083333333</v>
      </c>
      <c r="D98" s="308">
        <v>19306.958333333336</v>
      </c>
      <c r="E98" s="308">
        <v>24545.841666666667</v>
      </c>
      <c r="F98" s="308">
        <v>22458.15</v>
      </c>
      <c r="G98" s="308">
        <v>2584.6666666666665</v>
      </c>
      <c r="H98" s="308">
        <v>1841.9833333333333</v>
      </c>
      <c r="I98" s="307">
        <v>104450.40708333334</v>
      </c>
      <c r="J98" s="307"/>
      <c r="K98" s="308">
        <v>67112.533333333326</v>
      </c>
      <c r="L98" s="308">
        <v>16717.633333333331</v>
      </c>
      <c r="M98" s="308">
        <v>5415.4916666666668</v>
      </c>
      <c r="N98" s="307">
        <v>89245.658333333326</v>
      </c>
      <c r="O98" s="322"/>
      <c r="P98" s="308"/>
      <c r="Q98" s="307"/>
      <c r="R98" s="307"/>
      <c r="S98" s="307"/>
      <c r="T98" s="309"/>
      <c r="U98" s="309"/>
      <c r="V98" s="309"/>
      <c r="W98" s="309"/>
      <c r="X98" s="309"/>
      <c r="Y98" s="309"/>
      <c r="Z98" s="309"/>
      <c r="AA98" s="323"/>
      <c r="AB98" s="311">
        <v>193696.06541666668</v>
      </c>
      <c r="AC98" s="312"/>
      <c r="AD98" s="281"/>
      <c r="AE98" s="282"/>
    </row>
    <row r="99" spans="1:31">
      <c r="A99" s="305"/>
      <c r="B99" s="306" t="s">
        <v>822</v>
      </c>
      <c r="C99" s="307">
        <v>34240.775000000001</v>
      </c>
      <c r="D99" s="308">
        <v>19233.525000000001</v>
      </c>
      <c r="E99" s="308">
        <v>24366.458333333336</v>
      </c>
      <c r="F99" s="308">
        <v>22181.608333333337</v>
      </c>
      <c r="G99" s="308">
        <v>2465.416666666667</v>
      </c>
      <c r="H99" s="308">
        <v>1764.6</v>
      </c>
      <c r="I99" s="307">
        <v>104252.38333333335</v>
      </c>
      <c r="J99" s="307"/>
      <c r="K99" s="308">
        <v>64854.499999999993</v>
      </c>
      <c r="L99" s="308">
        <v>17050.633333333331</v>
      </c>
      <c r="M99" s="308">
        <v>5252.6</v>
      </c>
      <c r="N99" s="307">
        <v>87157.733333333337</v>
      </c>
      <c r="O99" s="322"/>
      <c r="P99" s="308"/>
      <c r="Q99" s="307"/>
      <c r="R99" s="307"/>
      <c r="S99" s="307"/>
      <c r="T99" s="309"/>
      <c r="U99" s="309"/>
      <c r="V99" s="309"/>
      <c r="W99" s="309"/>
      <c r="X99" s="309"/>
      <c r="Y99" s="309"/>
      <c r="Z99" s="309"/>
      <c r="AA99" s="323"/>
      <c r="AB99" s="311">
        <v>191410.11666666667</v>
      </c>
      <c r="AC99" s="312"/>
      <c r="AD99" s="281"/>
      <c r="AE99" s="282"/>
    </row>
    <row r="100" spans="1:31">
      <c r="A100" s="324"/>
      <c r="B100" s="325" t="s">
        <v>830</v>
      </c>
      <c r="C100" s="314">
        <v>1.5660752169393836E-2</v>
      </c>
      <c r="D100" s="315">
        <v>-3.8034646403391332E-3</v>
      </c>
      <c r="E100" s="315">
        <v>-7.3080946161619932E-3</v>
      </c>
      <c r="F100" s="315">
        <v>-1.2313644118801603E-2</v>
      </c>
      <c r="G100" s="315">
        <v>-4.6137477431003181E-2</v>
      </c>
      <c r="H100" s="315">
        <v>-4.2010875957980136E-2</v>
      </c>
      <c r="I100" s="314">
        <v>-1.8958638413156623E-3</v>
      </c>
      <c r="J100" s="314">
        <v>0</v>
      </c>
      <c r="K100" s="315">
        <v>-3.364547903620585E-2</v>
      </c>
      <c r="L100" s="315">
        <v>1.9919087430637115E-2</v>
      </c>
      <c r="M100" s="315">
        <v>-3.0078832485200591E-2</v>
      </c>
      <c r="N100" s="314">
        <v>-2.3395255735596511E-2</v>
      </c>
      <c r="O100" s="316">
        <v>0</v>
      </c>
      <c r="P100" s="315">
        <v>0</v>
      </c>
      <c r="Q100" s="314">
        <v>0</v>
      </c>
      <c r="R100" s="314">
        <v>0</v>
      </c>
      <c r="S100" s="314">
        <v>0</v>
      </c>
      <c r="T100" s="317">
        <v>0</v>
      </c>
      <c r="U100" s="317">
        <v>0</v>
      </c>
      <c r="V100" s="317">
        <v>0</v>
      </c>
      <c r="W100" s="317">
        <v>0</v>
      </c>
      <c r="X100" s="317">
        <v>0</v>
      </c>
      <c r="Y100" s="317">
        <v>0</v>
      </c>
      <c r="Z100" s="317">
        <v>0</v>
      </c>
      <c r="AA100" s="318">
        <v>0</v>
      </c>
      <c r="AB100" s="311">
        <v>-1.180173043310225E-2</v>
      </c>
      <c r="AC100" s="312"/>
      <c r="AD100" s="321"/>
      <c r="AE100" s="282"/>
    </row>
    <row r="101" spans="1:31">
      <c r="A101" s="303" t="s">
        <v>293</v>
      </c>
      <c r="B101" s="291" t="s">
        <v>803</v>
      </c>
      <c r="C101" s="285">
        <v>26479.466666666667</v>
      </c>
      <c r="D101" s="276">
        <v>23353.333333333336</v>
      </c>
      <c r="E101" s="276"/>
      <c r="F101" s="276">
        <v>6810.0666666666666</v>
      </c>
      <c r="G101" s="276">
        <v>2322.1666666666665</v>
      </c>
      <c r="H101" s="276"/>
      <c r="I101" s="285">
        <v>58965.033333333333</v>
      </c>
      <c r="J101" s="285"/>
      <c r="K101" s="276">
        <v>29990.933333333331</v>
      </c>
      <c r="L101" s="276">
        <v>31231.966666666667</v>
      </c>
      <c r="M101" s="276">
        <v>3591.666666666667</v>
      </c>
      <c r="N101" s="285">
        <v>64814.566666666658</v>
      </c>
      <c r="O101" s="285"/>
      <c r="P101" s="276"/>
      <c r="Q101" s="285"/>
      <c r="R101" s="285"/>
      <c r="S101" s="285"/>
      <c r="T101" s="287"/>
      <c r="U101" s="287"/>
      <c r="V101" s="287"/>
      <c r="W101" s="287"/>
      <c r="X101" s="287"/>
      <c r="Y101" s="287"/>
      <c r="Z101" s="287"/>
      <c r="AA101" s="304"/>
      <c r="AB101" s="289">
        <v>123779.59999999999</v>
      </c>
      <c r="AC101" s="290"/>
      <c r="AD101" s="281"/>
      <c r="AE101" s="282"/>
    </row>
    <row r="102" spans="1:31">
      <c r="A102" s="305"/>
      <c r="B102" s="306" t="s">
        <v>804</v>
      </c>
      <c r="C102" s="307">
        <v>27333.666666666668</v>
      </c>
      <c r="D102" s="308">
        <v>24303.433333333334</v>
      </c>
      <c r="E102" s="308"/>
      <c r="F102" s="308">
        <v>6926.9333333333334</v>
      </c>
      <c r="G102" s="308">
        <v>2375.4</v>
      </c>
      <c r="H102" s="308"/>
      <c r="I102" s="307">
        <v>60939.433333333342</v>
      </c>
      <c r="J102" s="307"/>
      <c r="K102" s="308">
        <v>29288.433333333334</v>
      </c>
      <c r="L102" s="308">
        <v>30885.450000000004</v>
      </c>
      <c r="M102" s="308">
        <v>3466.8666666666668</v>
      </c>
      <c r="N102" s="307">
        <v>63640.750000000007</v>
      </c>
      <c r="O102" s="307"/>
      <c r="P102" s="308"/>
      <c r="Q102" s="307"/>
      <c r="R102" s="307"/>
      <c r="S102" s="307"/>
      <c r="T102" s="309"/>
      <c r="U102" s="309"/>
      <c r="V102" s="309"/>
      <c r="W102" s="309"/>
      <c r="X102" s="309"/>
      <c r="Y102" s="309"/>
      <c r="Z102" s="309"/>
      <c r="AA102" s="310"/>
      <c r="AB102" s="311">
        <v>124580.18333333335</v>
      </c>
      <c r="AC102" s="312"/>
      <c r="AD102" s="281"/>
      <c r="AE102" s="282"/>
    </row>
    <row r="103" spans="1:31">
      <c r="A103" s="305"/>
      <c r="B103" s="313" t="s">
        <v>824</v>
      </c>
      <c r="C103" s="314">
        <v>3.2258957884348148E-2</v>
      </c>
      <c r="D103" s="315">
        <v>4.0683699685983378E-2</v>
      </c>
      <c r="E103" s="315">
        <v>0</v>
      </c>
      <c r="F103" s="315">
        <v>1.7160869692905617E-2</v>
      </c>
      <c r="G103" s="315">
        <v>2.2923993396971324E-2</v>
      </c>
      <c r="H103" s="315">
        <v>0</v>
      </c>
      <c r="I103" s="314">
        <v>3.3484251400971554E-2</v>
      </c>
      <c r="J103" s="314">
        <v>0</v>
      </c>
      <c r="K103" s="315">
        <v>-2.3423745843188043E-2</v>
      </c>
      <c r="L103" s="315">
        <v>-1.1094935850981615E-2</v>
      </c>
      <c r="M103" s="315">
        <v>-3.4747099767981487E-2</v>
      </c>
      <c r="N103" s="314">
        <v>-1.8110383622611678E-2</v>
      </c>
      <c r="O103" s="316">
        <v>0</v>
      </c>
      <c r="P103" s="315">
        <v>0</v>
      </c>
      <c r="Q103" s="314">
        <v>0</v>
      </c>
      <c r="R103" s="314">
        <v>0</v>
      </c>
      <c r="S103" s="314">
        <v>0</v>
      </c>
      <c r="T103" s="317">
        <v>0</v>
      </c>
      <c r="U103" s="317">
        <v>0</v>
      </c>
      <c r="V103" s="317">
        <v>0</v>
      </c>
      <c r="W103" s="317">
        <v>0</v>
      </c>
      <c r="X103" s="317">
        <v>0</v>
      </c>
      <c r="Y103" s="317">
        <v>0</v>
      </c>
      <c r="Z103" s="317">
        <v>0</v>
      </c>
      <c r="AA103" s="318">
        <v>0</v>
      </c>
      <c r="AB103" s="319">
        <v>6.4678132207032311E-3</v>
      </c>
      <c r="AC103" s="320"/>
      <c r="AD103" s="321"/>
      <c r="AE103" s="282"/>
    </row>
    <row r="104" spans="1:31">
      <c r="A104" s="305"/>
      <c r="B104" s="306" t="s">
        <v>812</v>
      </c>
      <c r="C104" s="307">
        <v>0</v>
      </c>
      <c r="D104" s="308">
        <v>0</v>
      </c>
      <c r="E104" s="308"/>
      <c r="F104" s="308">
        <v>0</v>
      </c>
      <c r="G104" s="308">
        <v>0</v>
      </c>
      <c r="H104" s="308"/>
      <c r="I104" s="307">
        <v>0</v>
      </c>
      <c r="J104" s="307"/>
      <c r="K104" s="308">
        <v>0</v>
      </c>
      <c r="L104" s="308">
        <v>0</v>
      </c>
      <c r="M104" s="308">
        <v>0</v>
      </c>
      <c r="N104" s="307">
        <v>0</v>
      </c>
      <c r="O104" s="322"/>
      <c r="P104" s="308"/>
      <c r="Q104" s="307"/>
      <c r="R104" s="307"/>
      <c r="S104" s="307"/>
      <c r="T104" s="309"/>
      <c r="U104" s="309"/>
      <c r="V104" s="309"/>
      <c r="W104" s="309"/>
      <c r="X104" s="309"/>
      <c r="Y104" s="309"/>
      <c r="Z104" s="309"/>
      <c r="AA104" s="323"/>
      <c r="AB104" s="311">
        <v>0</v>
      </c>
      <c r="AC104" s="312"/>
      <c r="AD104" s="281"/>
      <c r="AE104" s="282"/>
    </row>
    <row r="105" spans="1:31">
      <c r="A105" s="305"/>
      <c r="B105" s="306" t="s">
        <v>814</v>
      </c>
      <c r="C105" s="307">
        <v>0</v>
      </c>
      <c r="D105" s="308">
        <v>0</v>
      </c>
      <c r="E105" s="308"/>
      <c r="F105" s="308">
        <v>0</v>
      </c>
      <c r="G105" s="308">
        <v>0</v>
      </c>
      <c r="H105" s="308"/>
      <c r="I105" s="307">
        <v>0</v>
      </c>
      <c r="J105" s="307"/>
      <c r="K105" s="308">
        <v>0</v>
      </c>
      <c r="L105" s="308">
        <v>0</v>
      </c>
      <c r="M105" s="308">
        <v>0</v>
      </c>
      <c r="N105" s="307">
        <v>0</v>
      </c>
      <c r="O105" s="322"/>
      <c r="P105" s="308"/>
      <c r="Q105" s="307"/>
      <c r="R105" s="307"/>
      <c r="S105" s="307"/>
      <c r="T105" s="309"/>
      <c r="U105" s="309"/>
      <c r="V105" s="309"/>
      <c r="W105" s="309"/>
      <c r="X105" s="309"/>
      <c r="Y105" s="309"/>
      <c r="Z105" s="309"/>
      <c r="AA105" s="323"/>
      <c r="AB105" s="311">
        <v>0</v>
      </c>
      <c r="AC105" s="312"/>
      <c r="AD105" s="281"/>
      <c r="AE105" s="282"/>
    </row>
    <row r="106" spans="1:31">
      <c r="A106" s="305"/>
      <c r="B106" s="313" t="s">
        <v>826</v>
      </c>
      <c r="C106" s="314">
        <v>0</v>
      </c>
      <c r="D106" s="315">
        <v>0</v>
      </c>
      <c r="E106" s="315">
        <v>0</v>
      </c>
      <c r="F106" s="315">
        <v>0</v>
      </c>
      <c r="G106" s="315">
        <v>0</v>
      </c>
      <c r="H106" s="315">
        <v>0</v>
      </c>
      <c r="I106" s="314">
        <v>0</v>
      </c>
      <c r="J106" s="314">
        <v>0</v>
      </c>
      <c r="K106" s="315">
        <v>0</v>
      </c>
      <c r="L106" s="315">
        <v>0</v>
      </c>
      <c r="M106" s="315">
        <v>0</v>
      </c>
      <c r="N106" s="314">
        <v>0</v>
      </c>
      <c r="O106" s="316">
        <v>0</v>
      </c>
      <c r="P106" s="315">
        <v>0</v>
      </c>
      <c r="Q106" s="314">
        <v>0</v>
      </c>
      <c r="R106" s="314">
        <v>0</v>
      </c>
      <c r="S106" s="314">
        <v>0</v>
      </c>
      <c r="T106" s="317">
        <v>0</v>
      </c>
      <c r="U106" s="317">
        <v>0</v>
      </c>
      <c r="V106" s="317">
        <v>0</v>
      </c>
      <c r="W106" s="317">
        <v>0</v>
      </c>
      <c r="X106" s="317">
        <v>0</v>
      </c>
      <c r="Y106" s="317">
        <v>0</v>
      </c>
      <c r="Z106" s="317">
        <v>0</v>
      </c>
      <c r="AA106" s="318">
        <v>0</v>
      </c>
      <c r="AB106" s="319">
        <v>0</v>
      </c>
      <c r="AC106" s="320"/>
      <c r="AD106" s="321"/>
      <c r="AE106" s="282"/>
    </row>
    <row r="107" spans="1:31">
      <c r="A107" s="305"/>
      <c r="B107" s="306" t="s">
        <v>816</v>
      </c>
      <c r="C107" s="307">
        <v>4389.2916666666661</v>
      </c>
      <c r="D107" s="308">
        <v>4150.9375</v>
      </c>
      <c r="E107" s="308"/>
      <c r="F107" s="308">
        <v>1687.8333333333333</v>
      </c>
      <c r="G107" s="308">
        <v>173.08333333333334</v>
      </c>
      <c r="H107" s="308"/>
      <c r="I107" s="307">
        <v>10401.145833333334</v>
      </c>
      <c r="J107" s="307"/>
      <c r="K107" s="308">
        <v>0</v>
      </c>
      <c r="L107" s="308">
        <v>0</v>
      </c>
      <c r="M107" s="308">
        <v>0</v>
      </c>
      <c r="N107" s="307">
        <v>0</v>
      </c>
      <c r="O107" s="322"/>
      <c r="P107" s="308"/>
      <c r="Q107" s="307"/>
      <c r="R107" s="307"/>
      <c r="S107" s="307"/>
      <c r="T107" s="309"/>
      <c r="U107" s="309"/>
      <c r="V107" s="309"/>
      <c r="W107" s="309"/>
      <c r="X107" s="309"/>
      <c r="Y107" s="309"/>
      <c r="Z107" s="309"/>
      <c r="AA107" s="323"/>
      <c r="AB107" s="311">
        <v>10401.145833333334</v>
      </c>
      <c r="AC107" s="312"/>
      <c r="AD107" s="281"/>
      <c r="AE107" s="282"/>
    </row>
    <row r="108" spans="1:31">
      <c r="A108" s="305"/>
      <c r="B108" s="306" t="s">
        <v>818</v>
      </c>
      <c r="C108" s="307">
        <v>4504.4583333333339</v>
      </c>
      <c r="D108" s="308">
        <v>4156.0833333333339</v>
      </c>
      <c r="E108" s="308"/>
      <c r="F108" s="308">
        <v>1700.7916666666667</v>
      </c>
      <c r="G108" s="308">
        <v>201.625</v>
      </c>
      <c r="H108" s="308"/>
      <c r="I108" s="307">
        <v>10562.958333333334</v>
      </c>
      <c r="J108" s="307"/>
      <c r="K108" s="308">
        <v>0</v>
      </c>
      <c r="L108" s="308">
        <v>0</v>
      </c>
      <c r="M108" s="308">
        <v>0</v>
      </c>
      <c r="N108" s="307">
        <v>0</v>
      </c>
      <c r="O108" s="322"/>
      <c r="P108" s="308"/>
      <c r="Q108" s="307"/>
      <c r="R108" s="307"/>
      <c r="S108" s="307"/>
      <c r="T108" s="309"/>
      <c r="U108" s="309"/>
      <c r="V108" s="309"/>
      <c r="W108" s="309"/>
      <c r="X108" s="309"/>
      <c r="Y108" s="309"/>
      <c r="Z108" s="309"/>
      <c r="AA108" s="323"/>
      <c r="AB108" s="311">
        <v>10562.958333333334</v>
      </c>
      <c r="AC108" s="312"/>
      <c r="AD108" s="281"/>
      <c r="AE108" s="282"/>
    </row>
    <row r="109" spans="1:31">
      <c r="A109" s="305"/>
      <c r="B109" s="313" t="s">
        <v>828</v>
      </c>
      <c r="C109" s="314">
        <v>2.6238098402362089E-2</v>
      </c>
      <c r="D109" s="315">
        <v>1.2396797912119708E-3</v>
      </c>
      <c r="E109" s="315">
        <v>0</v>
      </c>
      <c r="F109" s="315">
        <v>7.6774958032982043E-3</v>
      </c>
      <c r="G109" s="315">
        <v>0.16490129995185357</v>
      </c>
      <c r="H109" s="315">
        <v>0</v>
      </c>
      <c r="I109" s="314">
        <v>1.5557180198495758E-2</v>
      </c>
      <c r="J109" s="314">
        <v>0</v>
      </c>
      <c r="K109" s="315">
        <v>0</v>
      </c>
      <c r="L109" s="315">
        <v>0</v>
      </c>
      <c r="M109" s="315">
        <v>0</v>
      </c>
      <c r="N109" s="314">
        <v>0</v>
      </c>
      <c r="O109" s="316">
        <v>0</v>
      </c>
      <c r="P109" s="315">
        <v>0</v>
      </c>
      <c r="Q109" s="314">
        <v>0</v>
      </c>
      <c r="R109" s="314">
        <v>0</v>
      </c>
      <c r="S109" s="314">
        <v>0</v>
      </c>
      <c r="T109" s="317">
        <v>0</v>
      </c>
      <c r="U109" s="317">
        <v>0</v>
      </c>
      <c r="V109" s="317">
        <v>0</v>
      </c>
      <c r="W109" s="317">
        <v>0</v>
      </c>
      <c r="X109" s="317">
        <v>0</v>
      </c>
      <c r="Y109" s="317">
        <v>0</v>
      </c>
      <c r="Z109" s="317">
        <v>0</v>
      </c>
      <c r="AA109" s="318">
        <v>0</v>
      </c>
      <c r="AB109" s="319">
        <v>1.5557180198495758E-2</v>
      </c>
      <c r="AC109" s="320"/>
      <c r="AD109" s="321"/>
      <c r="AE109" s="282"/>
    </row>
    <row r="110" spans="1:31">
      <c r="A110" s="305"/>
      <c r="B110" s="306" t="s">
        <v>820</v>
      </c>
      <c r="C110" s="307">
        <v>30868.758333333335</v>
      </c>
      <c r="D110" s="308">
        <v>27504.270833333332</v>
      </c>
      <c r="E110" s="308"/>
      <c r="F110" s="308">
        <v>8497.9</v>
      </c>
      <c r="G110" s="308">
        <v>2495.25</v>
      </c>
      <c r="H110" s="308"/>
      <c r="I110" s="307">
        <v>69366.179166666669</v>
      </c>
      <c r="J110" s="307"/>
      <c r="K110" s="308">
        <v>29990.933333333331</v>
      </c>
      <c r="L110" s="308">
        <v>31231.966666666667</v>
      </c>
      <c r="M110" s="308">
        <v>3591.666666666667</v>
      </c>
      <c r="N110" s="307">
        <v>64814.566666666658</v>
      </c>
      <c r="O110" s="322"/>
      <c r="P110" s="308"/>
      <c r="Q110" s="307"/>
      <c r="R110" s="307"/>
      <c r="S110" s="307"/>
      <c r="T110" s="309"/>
      <c r="U110" s="309"/>
      <c r="V110" s="309"/>
      <c r="W110" s="309"/>
      <c r="X110" s="309"/>
      <c r="Y110" s="309"/>
      <c r="Z110" s="309"/>
      <c r="AA110" s="323"/>
      <c r="AB110" s="311">
        <v>134180.74583333332</v>
      </c>
      <c r="AC110" s="312"/>
      <c r="AD110" s="281"/>
      <c r="AE110" s="282"/>
    </row>
    <row r="111" spans="1:31">
      <c r="A111" s="305"/>
      <c r="B111" s="306" t="s">
        <v>822</v>
      </c>
      <c r="C111" s="307">
        <v>31838.125</v>
      </c>
      <c r="D111" s="308">
        <v>28459.516666666663</v>
      </c>
      <c r="E111" s="308"/>
      <c r="F111" s="308">
        <v>8627.7250000000004</v>
      </c>
      <c r="G111" s="308">
        <v>2577.0250000000001</v>
      </c>
      <c r="H111" s="308"/>
      <c r="I111" s="307">
        <v>71502.391666666663</v>
      </c>
      <c r="J111" s="307"/>
      <c r="K111" s="308">
        <v>29288.433333333334</v>
      </c>
      <c r="L111" s="308">
        <v>30885.450000000004</v>
      </c>
      <c r="M111" s="308">
        <v>3466.8666666666668</v>
      </c>
      <c r="N111" s="307">
        <v>63640.750000000007</v>
      </c>
      <c r="O111" s="322"/>
      <c r="P111" s="308"/>
      <c r="Q111" s="307"/>
      <c r="R111" s="307"/>
      <c r="S111" s="307"/>
      <c r="T111" s="309"/>
      <c r="U111" s="309"/>
      <c r="V111" s="309"/>
      <c r="W111" s="309"/>
      <c r="X111" s="309"/>
      <c r="Y111" s="309"/>
      <c r="Z111" s="309"/>
      <c r="AA111" s="323"/>
      <c r="AB111" s="311">
        <v>135143.14166666666</v>
      </c>
      <c r="AC111" s="312"/>
      <c r="AD111" s="281"/>
      <c r="AE111" s="282"/>
    </row>
    <row r="112" spans="1:31">
      <c r="A112" s="324"/>
      <c r="B112" s="325" t="s">
        <v>830</v>
      </c>
      <c r="C112" s="314">
        <v>3.1402839602391895E-2</v>
      </c>
      <c r="D112" s="315">
        <v>3.4730818319882041E-2</v>
      </c>
      <c r="E112" s="315">
        <v>0</v>
      </c>
      <c r="F112" s="315">
        <v>1.5277303804469426E-2</v>
      </c>
      <c r="G112" s="315">
        <v>3.2772267307885017E-2</v>
      </c>
      <c r="H112" s="315">
        <v>0</v>
      </c>
      <c r="I112" s="314">
        <v>3.0796167897143144E-2</v>
      </c>
      <c r="J112" s="314">
        <v>0</v>
      </c>
      <c r="K112" s="315">
        <v>-2.3423745843188043E-2</v>
      </c>
      <c r="L112" s="315">
        <v>-1.1094935850981615E-2</v>
      </c>
      <c r="M112" s="315">
        <v>-3.4747099767981487E-2</v>
      </c>
      <c r="N112" s="314">
        <v>-1.8110383622611678E-2</v>
      </c>
      <c r="O112" s="316">
        <v>0</v>
      </c>
      <c r="P112" s="315">
        <v>0</v>
      </c>
      <c r="Q112" s="314">
        <v>0</v>
      </c>
      <c r="R112" s="314">
        <v>0</v>
      </c>
      <c r="S112" s="314">
        <v>0</v>
      </c>
      <c r="T112" s="317">
        <v>0</v>
      </c>
      <c r="U112" s="317">
        <v>0</v>
      </c>
      <c r="V112" s="317">
        <v>0</v>
      </c>
      <c r="W112" s="317">
        <v>0</v>
      </c>
      <c r="X112" s="317">
        <v>0</v>
      </c>
      <c r="Y112" s="317">
        <v>0</v>
      </c>
      <c r="Z112" s="317">
        <v>0</v>
      </c>
      <c r="AA112" s="318">
        <v>0</v>
      </c>
      <c r="AB112" s="311">
        <v>7.172383991133644E-3</v>
      </c>
      <c r="AC112" s="312"/>
      <c r="AD112" s="321"/>
      <c r="AE112" s="282"/>
    </row>
    <row r="113" spans="1:31">
      <c r="A113" s="303" t="s">
        <v>317</v>
      </c>
      <c r="B113" s="291" t="s">
        <v>803</v>
      </c>
      <c r="C113" s="285">
        <v>74944.633333333331</v>
      </c>
      <c r="D113" s="276">
        <v>20511.133333333335</v>
      </c>
      <c r="E113" s="276">
        <v>51861.533333333333</v>
      </c>
      <c r="F113" s="276">
        <v>5046.1000000000004</v>
      </c>
      <c r="G113" s="276">
        <v>9373.7000000000007</v>
      </c>
      <c r="H113" s="276">
        <v>5067.6666666666661</v>
      </c>
      <c r="I113" s="285">
        <v>166804.76666666666</v>
      </c>
      <c r="J113" s="285"/>
      <c r="K113" s="276">
        <v>72745.736666666664</v>
      </c>
      <c r="L113" s="276">
        <v>59930.216666666667</v>
      </c>
      <c r="M113" s="276">
        <v>24192.333333333336</v>
      </c>
      <c r="N113" s="285">
        <v>156868.28666666668</v>
      </c>
      <c r="O113" s="285"/>
      <c r="P113" s="276"/>
      <c r="Q113" s="285"/>
      <c r="R113" s="285"/>
      <c r="S113" s="285"/>
      <c r="T113" s="287"/>
      <c r="U113" s="287"/>
      <c r="V113" s="287"/>
      <c r="W113" s="287"/>
      <c r="X113" s="287"/>
      <c r="Y113" s="287"/>
      <c r="Z113" s="287"/>
      <c r="AA113" s="304"/>
      <c r="AB113" s="289">
        <v>323673.05333333329</v>
      </c>
      <c r="AC113" s="290"/>
      <c r="AD113" s="281"/>
      <c r="AE113" s="282"/>
    </row>
    <row r="114" spans="1:31">
      <c r="A114" s="305"/>
      <c r="B114" s="306" t="s">
        <v>804</v>
      </c>
      <c r="C114" s="307">
        <v>76508.666666666672</v>
      </c>
      <c r="D114" s="308">
        <v>21200.066666666666</v>
      </c>
      <c r="E114" s="308">
        <v>53681.73333333333</v>
      </c>
      <c r="F114" s="308">
        <v>4932.2666666666664</v>
      </c>
      <c r="G114" s="308">
        <v>9524.7000000000007</v>
      </c>
      <c r="H114" s="308">
        <v>4889.2666666666664</v>
      </c>
      <c r="I114" s="307">
        <v>170736.7</v>
      </c>
      <c r="J114" s="307"/>
      <c r="K114" s="308">
        <v>71433.8</v>
      </c>
      <c r="L114" s="308">
        <v>57880.1</v>
      </c>
      <c r="M114" s="308">
        <v>23662.416666666668</v>
      </c>
      <c r="N114" s="307">
        <v>152976.31666666665</v>
      </c>
      <c r="O114" s="307"/>
      <c r="P114" s="308"/>
      <c r="Q114" s="307"/>
      <c r="R114" s="307"/>
      <c r="S114" s="307"/>
      <c r="T114" s="309"/>
      <c r="U114" s="309"/>
      <c r="V114" s="309"/>
      <c r="W114" s="309"/>
      <c r="X114" s="309"/>
      <c r="Y114" s="309"/>
      <c r="Z114" s="309"/>
      <c r="AA114" s="310"/>
      <c r="AB114" s="311">
        <v>323713.01666666666</v>
      </c>
      <c r="AC114" s="312"/>
      <c r="AD114" s="281"/>
      <c r="AE114" s="282"/>
    </row>
    <row r="115" spans="1:31">
      <c r="A115" s="305"/>
      <c r="B115" s="313" t="s">
        <v>824</v>
      </c>
      <c r="C115" s="314">
        <v>2.0869183873072614E-2</v>
      </c>
      <c r="D115" s="315">
        <v>3.3588262634601566E-2</v>
      </c>
      <c r="E115" s="315">
        <v>3.5097303974814933E-2</v>
      </c>
      <c r="F115" s="315">
        <v>-2.2558675676925533E-2</v>
      </c>
      <c r="G115" s="315">
        <v>1.6108900434193541E-2</v>
      </c>
      <c r="H115" s="315">
        <v>-3.5203578241136547E-2</v>
      </c>
      <c r="I115" s="314">
        <v>2.3572068184302054E-2</v>
      </c>
      <c r="J115" s="314">
        <v>0</v>
      </c>
      <c r="K115" s="315">
        <v>-1.8034550569996671E-2</v>
      </c>
      <c r="L115" s="315">
        <v>-3.4208397377727962E-2</v>
      </c>
      <c r="M115" s="315">
        <v>-2.1904322305964747E-2</v>
      </c>
      <c r="N115" s="314">
        <v>-2.4810432259454545E-2</v>
      </c>
      <c r="O115" s="316">
        <v>0</v>
      </c>
      <c r="P115" s="315">
        <v>0</v>
      </c>
      <c r="Q115" s="314">
        <v>0</v>
      </c>
      <c r="R115" s="314">
        <v>0</v>
      </c>
      <c r="S115" s="314">
        <v>0</v>
      </c>
      <c r="T115" s="317">
        <v>0</v>
      </c>
      <c r="U115" s="317">
        <v>0</v>
      </c>
      <c r="V115" s="317">
        <v>0</v>
      </c>
      <c r="W115" s="317">
        <v>0</v>
      </c>
      <c r="X115" s="317">
        <v>0</v>
      </c>
      <c r="Y115" s="317">
        <v>0</v>
      </c>
      <c r="Z115" s="317">
        <v>0</v>
      </c>
      <c r="AA115" s="318">
        <v>0</v>
      </c>
      <c r="AB115" s="319">
        <v>1.2346821251184761E-4</v>
      </c>
      <c r="AC115" s="320"/>
      <c r="AD115" s="321"/>
      <c r="AE115" s="282"/>
    </row>
    <row r="116" spans="1:31">
      <c r="A116" s="305"/>
      <c r="B116" s="306" t="s">
        <v>812</v>
      </c>
      <c r="C116" s="307">
        <v>0</v>
      </c>
      <c r="D116" s="308">
        <v>0</v>
      </c>
      <c r="E116" s="308">
        <v>0</v>
      </c>
      <c r="F116" s="308">
        <v>0</v>
      </c>
      <c r="G116" s="308">
        <v>0</v>
      </c>
      <c r="H116" s="308">
        <v>0</v>
      </c>
      <c r="I116" s="307">
        <v>0</v>
      </c>
      <c r="J116" s="307"/>
      <c r="K116" s="308">
        <v>11873.295555555556</v>
      </c>
      <c r="L116" s="308">
        <v>13893.885555555555</v>
      </c>
      <c r="M116" s="308">
        <v>7821.1166666666659</v>
      </c>
      <c r="N116" s="307">
        <v>33588.297777777778</v>
      </c>
      <c r="O116" s="322"/>
      <c r="P116" s="308"/>
      <c r="Q116" s="307"/>
      <c r="R116" s="307"/>
      <c r="S116" s="307"/>
      <c r="T116" s="309"/>
      <c r="U116" s="309"/>
      <c r="V116" s="309"/>
      <c r="W116" s="309"/>
      <c r="X116" s="309"/>
      <c r="Y116" s="309"/>
      <c r="Z116" s="309"/>
      <c r="AA116" s="323"/>
      <c r="AB116" s="311">
        <v>33588.297777777778</v>
      </c>
      <c r="AC116" s="312"/>
      <c r="AD116" s="281"/>
      <c r="AE116" s="282"/>
    </row>
    <row r="117" spans="1:31">
      <c r="A117" s="305"/>
      <c r="B117" s="306" t="s">
        <v>814</v>
      </c>
      <c r="C117" s="307">
        <v>0</v>
      </c>
      <c r="D117" s="308">
        <v>0</v>
      </c>
      <c r="E117" s="308">
        <v>0</v>
      </c>
      <c r="F117" s="308">
        <v>0</v>
      </c>
      <c r="G117" s="308">
        <v>0</v>
      </c>
      <c r="H117" s="308">
        <v>0</v>
      </c>
      <c r="I117" s="307">
        <v>0</v>
      </c>
      <c r="J117" s="307"/>
      <c r="K117" s="308">
        <v>11996.447777777777</v>
      </c>
      <c r="L117" s="308">
        <v>13545.00333333333</v>
      </c>
      <c r="M117" s="308">
        <v>7406.3066666666655</v>
      </c>
      <c r="N117" s="307">
        <v>32947.75777777777</v>
      </c>
      <c r="O117" s="322"/>
      <c r="P117" s="308"/>
      <c r="Q117" s="307"/>
      <c r="R117" s="307"/>
      <c r="S117" s="307"/>
      <c r="T117" s="309"/>
      <c r="U117" s="309"/>
      <c r="V117" s="309"/>
      <c r="W117" s="309"/>
      <c r="X117" s="309"/>
      <c r="Y117" s="309"/>
      <c r="Z117" s="309"/>
      <c r="AA117" s="323"/>
      <c r="AB117" s="311">
        <v>32947.75777777777</v>
      </c>
      <c r="AC117" s="312"/>
      <c r="AD117" s="281"/>
      <c r="AE117" s="282"/>
    </row>
    <row r="118" spans="1:31">
      <c r="A118" s="305"/>
      <c r="B118" s="313" t="s">
        <v>826</v>
      </c>
      <c r="C118" s="314">
        <v>0</v>
      </c>
      <c r="D118" s="315">
        <v>0</v>
      </c>
      <c r="E118" s="315">
        <v>0</v>
      </c>
      <c r="F118" s="315">
        <v>0</v>
      </c>
      <c r="G118" s="315">
        <v>0</v>
      </c>
      <c r="H118" s="315">
        <v>0</v>
      </c>
      <c r="I118" s="314">
        <v>0</v>
      </c>
      <c r="J118" s="314">
        <v>0</v>
      </c>
      <c r="K118" s="315">
        <v>1.0372202194916115E-2</v>
      </c>
      <c r="L118" s="315">
        <v>-2.5110486251466325E-2</v>
      </c>
      <c r="M118" s="315">
        <v>-5.30371835223871E-2</v>
      </c>
      <c r="N118" s="314">
        <v>-1.9070332299595903E-2</v>
      </c>
      <c r="O118" s="316">
        <v>0</v>
      </c>
      <c r="P118" s="315">
        <v>0</v>
      </c>
      <c r="Q118" s="314">
        <v>0</v>
      </c>
      <c r="R118" s="314">
        <v>0</v>
      </c>
      <c r="S118" s="314">
        <v>0</v>
      </c>
      <c r="T118" s="317">
        <v>0</v>
      </c>
      <c r="U118" s="317">
        <v>0</v>
      </c>
      <c r="V118" s="317">
        <v>0</v>
      </c>
      <c r="W118" s="317">
        <v>0</v>
      </c>
      <c r="X118" s="317">
        <v>0</v>
      </c>
      <c r="Y118" s="317">
        <v>0</v>
      </c>
      <c r="Z118" s="317">
        <v>0</v>
      </c>
      <c r="AA118" s="318">
        <v>0</v>
      </c>
      <c r="AB118" s="319">
        <v>-1.9070332299595903E-2</v>
      </c>
      <c r="AC118" s="320"/>
      <c r="AD118" s="321"/>
      <c r="AE118" s="282"/>
    </row>
    <row r="119" spans="1:31">
      <c r="A119" s="305"/>
      <c r="B119" s="306" t="s">
        <v>816</v>
      </c>
      <c r="C119" s="307">
        <v>19959.166666666668</v>
      </c>
      <c r="D119" s="308">
        <v>3355.7083333333335</v>
      </c>
      <c r="E119" s="308">
        <v>6499.625</v>
      </c>
      <c r="F119" s="308">
        <v>420.75</v>
      </c>
      <c r="G119" s="308">
        <v>946.66666666666674</v>
      </c>
      <c r="H119" s="308">
        <v>48.208333333333336</v>
      </c>
      <c r="I119" s="307">
        <v>31230.125</v>
      </c>
      <c r="J119" s="307"/>
      <c r="K119" s="308">
        <v>0</v>
      </c>
      <c r="L119" s="308">
        <v>0</v>
      </c>
      <c r="M119" s="308">
        <v>0</v>
      </c>
      <c r="N119" s="307">
        <v>0</v>
      </c>
      <c r="O119" s="322"/>
      <c r="P119" s="308"/>
      <c r="Q119" s="307"/>
      <c r="R119" s="307"/>
      <c r="S119" s="307"/>
      <c r="T119" s="309"/>
      <c r="U119" s="309"/>
      <c r="V119" s="309"/>
      <c r="W119" s="309"/>
      <c r="X119" s="309"/>
      <c r="Y119" s="309"/>
      <c r="Z119" s="309"/>
      <c r="AA119" s="323"/>
      <c r="AB119" s="311">
        <v>31230.125</v>
      </c>
      <c r="AC119" s="312"/>
      <c r="AD119" s="281"/>
      <c r="AE119" s="282"/>
    </row>
    <row r="120" spans="1:31">
      <c r="A120" s="305"/>
      <c r="B120" s="306" t="s">
        <v>818</v>
      </c>
      <c r="C120" s="307">
        <v>19741.541666666668</v>
      </c>
      <c r="D120" s="308">
        <v>3362.5416666666665</v>
      </c>
      <c r="E120" s="308">
        <v>6605.75</v>
      </c>
      <c r="F120" s="308">
        <v>521.95833333333337</v>
      </c>
      <c r="G120" s="308">
        <v>949</v>
      </c>
      <c r="H120" s="308">
        <v>38.458333333333336</v>
      </c>
      <c r="I120" s="307">
        <v>31219.25</v>
      </c>
      <c r="J120" s="307"/>
      <c r="K120" s="308">
        <v>0</v>
      </c>
      <c r="L120" s="308">
        <v>0</v>
      </c>
      <c r="M120" s="308">
        <v>0</v>
      </c>
      <c r="N120" s="307">
        <v>0</v>
      </c>
      <c r="O120" s="322"/>
      <c r="P120" s="308"/>
      <c r="Q120" s="307"/>
      <c r="R120" s="307"/>
      <c r="S120" s="307"/>
      <c r="T120" s="309"/>
      <c r="U120" s="309"/>
      <c r="V120" s="309"/>
      <c r="W120" s="309"/>
      <c r="X120" s="309"/>
      <c r="Y120" s="309"/>
      <c r="Z120" s="309"/>
      <c r="AA120" s="323"/>
      <c r="AB120" s="311">
        <v>31219.25</v>
      </c>
      <c r="AC120" s="312"/>
      <c r="AD120" s="281"/>
      <c r="AE120" s="282"/>
    </row>
    <row r="121" spans="1:31">
      <c r="A121" s="305"/>
      <c r="B121" s="313" t="s">
        <v>828</v>
      </c>
      <c r="C121" s="314">
        <v>-1.0903511335643604E-2</v>
      </c>
      <c r="D121" s="315">
        <v>2.036331127307855E-3</v>
      </c>
      <c r="E121" s="315">
        <v>1.6327865069138605E-2</v>
      </c>
      <c r="F121" s="315">
        <v>0.24054268171915238</v>
      </c>
      <c r="G121" s="315">
        <v>2.4647887323942862E-3</v>
      </c>
      <c r="H121" s="315">
        <v>-0.20224719101123595</v>
      </c>
      <c r="I121" s="314">
        <v>-3.4822146885419127E-4</v>
      </c>
      <c r="J121" s="314">
        <v>0</v>
      </c>
      <c r="K121" s="315">
        <v>0</v>
      </c>
      <c r="L121" s="315">
        <v>0</v>
      </c>
      <c r="M121" s="315">
        <v>0</v>
      </c>
      <c r="N121" s="314">
        <v>0</v>
      </c>
      <c r="O121" s="316">
        <v>0</v>
      </c>
      <c r="P121" s="315">
        <v>0</v>
      </c>
      <c r="Q121" s="314">
        <v>0</v>
      </c>
      <c r="R121" s="314">
        <v>0</v>
      </c>
      <c r="S121" s="314">
        <v>0</v>
      </c>
      <c r="T121" s="317">
        <v>0</v>
      </c>
      <c r="U121" s="317">
        <v>0</v>
      </c>
      <c r="V121" s="317">
        <v>0</v>
      </c>
      <c r="W121" s="317">
        <v>0</v>
      </c>
      <c r="X121" s="317">
        <v>0</v>
      </c>
      <c r="Y121" s="317">
        <v>0</v>
      </c>
      <c r="Z121" s="317">
        <v>0</v>
      </c>
      <c r="AA121" s="318">
        <v>0</v>
      </c>
      <c r="AB121" s="319">
        <v>-3.4822146885419127E-4</v>
      </c>
      <c r="AC121" s="320"/>
      <c r="AD121" s="321"/>
      <c r="AE121" s="282"/>
    </row>
    <row r="122" spans="1:31">
      <c r="A122" s="305"/>
      <c r="B122" s="306" t="s">
        <v>820</v>
      </c>
      <c r="C122" s="307">
        <v>94903.799999999988</v>
      </c>
      <c r="D122" s="308">
        <v>23866.841666666667</v>
      </c>
      <c r="E122" s="308">
        <v>58361.158333333326</v>
      </c>
      <c r="F122" s="308">
        <v>5466.85</v>
      </c>
      <c r="G122" s="308">
        <v>10320.366666666665</v>
      </c>
      <c r="H122" s="308">
        <v>5115.875</v>
      </c>
      <c r="I122" s="307">
        <v>198034.89166666666</v>
      </c>
      <c r="J122" s="307"/>
      <c r="K122" s="308">
        <v>84619.032222222217</v>
      </c>
      <c r="L122" s="308">
        <v>73824.102222222209</v>
      </c>
      <c r="M122" s="308">
        <v>32013.449999999993</v>
      </c>
      <c r="N122" s="307">
        <v>190456.58444444442</v>
      </c>
      <c r="O122" s="322"/>
      <c r="P122" s="308"/>
      <c r="Q122" s="307"/>
      <c r="R122" s="307"/>
      <c r="S122" s="307"/>
      <c r="T122" s="309"/>
      <c r="U122" s="309"/>
      <c r="V122" s="309"/>
      <c r="W122" s="309"/>
      <c r="X122" s="309"/>
      <c r="Y122" s="309"/>
      <c r="Z122" s="309"/>
      <c r="AA122" s="323"/>
      <c r="AB122" s="311">
        <v>388491.47611111111</v>
      </c>
      <c r="AC122" s="312"/>
      <c r="AD122" s="281"/>
      <c r="AE122" s="282"/>
    </row>
    <row r="123" spans="1:31">
      <c r="A123" s="305"/>
      <c r="B123" s="306" t="s">
        <v>822</v>
      </c>
      <c r="C123" s="307">
        <v>96250.208333333343</v>
      </c>
      <c r="D123" s="308">
        <v>24562.608333333334</v>
      </c>
      <c r="E123" s="308">
        <v>60287.48333333333</v>
      </c>
      <c r="F123" s="308">
        <v>5454.2249999999995</v>
      </c>
      <c r="G123" s="308">
        <v>10473.700000000001</v>
      </c>
      <c r="H123" s="308">
        <v>4927.7250000000004</v>
      </c>
      <c r="I123" s="307">
        <v>201955.95000000004</v>
      </c>
      <c r="J123" s="307"/>
      <c r="K123" s="308">
        <v>83430.247777777782</v>
      </c>
      <c r="L123" s="308">
        <v>71425.103333333333</v>
      </c>
      <c r="M123" s="308">
        <v>31068.723333333335</v>
      </c>
      <c r="N123" s="307">
        <v>185924.07444444444</v>
      </c>
      <c r="O123" s="322"/>
      <c r="P123" s="308"/>
      <c r="Q123" s="307"/>
      <c r="R123" s="307"/>
      <c r="S123" s="307"/>
      <c r="T123" s="309"/>
      <c r="U123" s="309"/>
      <c r="V123" s="309"/>
      <c r="W123" s="309"/>
      <c r="X123" s="309"/>
      <c r="Y123" s="309"/>
      <c r="Z123" s="309"/>
      <c r="AA123" s="323"/>
      <c r="AB123" s="311">
        <v>387880.02444444445</v>
      </c>
      <c r="AC123" s="312"/>
      <c r="AD123" s="281"/>
      <c r="AE123" s="282"/>
    </row>
    <row r="124" spans="1:31">
      <c r="A124" s="324"/>
      <c r="B124" s="325" t="s">
        <v>830</v>
      </c>
      <c r="C124" s="314">
        <v>1.4187085589126619E-2</v>
      </c>
      <c r="D124" s="315">
        <v>2.9152020882528433E-2</v>
      </c>
      <c r="E124" s="315">
        <v>3.3006969961042951E-2</v>
      </c>
      <c r="F124" s="315">
        <v>-2.3093737710017485E-3</v>
      </c>
      <c r="G124" s="315">
        <v>1.4857353259412856E-2</v>
      </c>
      <c r="H124" s="315">
        <v>-3.6777677327925258E-2</v>
      </c>
      <c r="I124" s="314">
        <v>1.9799835778097599E-2</v>
      </c>
      <c r="J124" s="314">
        <v>0</v>
      </c>
      <c r="K124" s="315">
        <v>-1.4048665096080383E-2</v>
      </c>
      <c r="L124" s="315">
        <v>-3.2496147148088725E-2</v>
      </c>
      <c r="M124" s="315">
        <v>-2.9510304783353824E-2</v>
      </c>
      <c r="N124" s="314">
        <v>-2.3798127080884184E-2</v>
      </c>
      <c r="O124" s="316">
        <v>0</v>
      </c>
      <c r="P124" s="315">
        <v>0</v>
      </c>
      <c r="Q124" s="314">
        <v>0</v>
      </c>
      <c r="R124" s="314">
        <v>0</v>
      </c>
      <c r="S124" s="314">
        <v>0</v>
      </c>
      <c r="T124" s="317">
        <v>0</v>
      </c>
      <c r="U124" s="317">
        <v>0</v>
      </c>
      <c r="V124" s="317">
        <v>0</v>
      </c>
      <c r="W124" s="317">
        <v>0</v>
      </c>
      <c r="X124" s="317">
        <v>0</v>
      </c>
      <c r="Y124" s="317">
        <v>0</v>
      </c>
      <c r="Z124" s="317">
        <v>0</v>
      </c>
      <c r="AA124" s="318">
        <v>0</v>
      </c>
      <c r="AB124" s="311">
        <v>-1.5739126963286039E-3</v>
      </c>
      <c r="AC124" s="312"/>
      <c r="AD124" s="321"/>
      <c r="AE124" s="282"/>
    </row>
    <row r="125" spans="1:31">
      <c r="A125" s="303" t="s">
        <v>391</v>
      </c>
      <c r="B125" s="291" t="s">
        <v>803</v>
      </c>
      <c r="C125" s="285">
        <v>40026.1</v>
      </c>
      <c r="D125" s="276"/>
      <c r="E125" s="276">
        <v>17928.599999999999</v>
      </c>
      <c r="F125" s="276">
        <v>2811.2333333333331</v>
      </c>
      <c r="G125" s="276">
        <v>14641</v>
      </c>
      <c r="H125" s="276">
        <v>4867.6333333333332</v>
      </c>
      <c r="I125" s="285">
        <v>80274.566666666651</v>
      </c>
      <c r="J125" s="285">
        <v>6647.7</v>
      </c>
      <c r="K125" s="276">
        <v>19343.533333333333</v>
      </c>
      <c r="L125" s="276">
        <v>7302.6666666666661</v>
      </c>
      <c r="M125" s="276">
        <v>11579.599999999999</v>
      </c>
      <c r="N125" s="285">
        <v>44873.5</v>
      </c>
      <c r="O125" s="285"/>
      <c r="P125" s="276"/>
      <c r="Q125" s="285">
        <v>0</v>
      </c>
      <c r="R125" s="285">
        <v>0</v>
      </c>
      <c r="S125" s="285">
        <v>0</v>
      </c>
      <c r="T125" s="287"/>
      <c r="U125" s="287"/>
      <c r="V125" s="287"/>
      <c r="W125" s="287"/>
      <c r="X125" s="287"/>
      <c r="Y125" s="287"/>
      <c r="Z125" s="287"/>
      <c r="AA125" s="304"/>
      <c r="AB125" s="289">
        <v>125148.06666666665</v>
      </c>
      <c r="AC125" s="290"/>
      <c r="AD125" s="281"/>
      <c r="AE125" s="282"/>
    </row>
    <row r="126" spans="1:31">
      <c r="A126" s="305"/>
      <c r="B126" s="306" t="s">
        <v>804</v>
      </c>
      <c r="C126" s="307">
        <v>39975.266666666663</v>
      </c>
      <c r="D126" s="308"/>
      <c r="E126" s="308">
        <v>17654.633333333335</v>
      </c>
      <c r="F126" s="308">
        <v>2705.3666666666668</v>
      </c>
      <c r="G126" s="308">
        <v>14984.3</v>
      </c>
      <c r="H126" s="308">
        <v>4784.0333333333338</v>
      </c>
      <c r="I126" s="307">
        <v>80103.600000000006</v>
      </c>
      <c r="J126" s="307">
        <v>6697.3666666666668</v>
      </c>
      <c r="K126" s="308">
        <v>18789.366666666669</v>
      </c>
      <c r="L126" s="308">
        <v>7397.6333333333332</v>
      </c>
      <c r="M126" s="308">
        <v>11457.999999999998</v>
      </c>
      <c r="N126" s="307">
        <v>44342.366666666669</v>
      </c>
      <c r="O126" s="307"/>
      <c r="P126" s="308"/>
      <c r="Q126" s="307">
        <v>0</v>
      </c>
      <c r="R126" s="307">
        <v>0</v>
      </c>
      <c r="S126" s="307">
        <v>0</v>
      </c>
      <c r="T126" s="309"/>
      <c r="U126" s="309"/>
      <c r="V126" s="309"/>
      <c r="W126" s="309"/>
      <c r="X126" s="309"/>
      <c r="Y126" s="309"/>
      <c r="Z126" s="309"/>
      <c r="AA126" s="310"/>
      <c r="AB126" s="311">
        <v>124445.96666666667</v>
      </c>
      <c r="AC126" s="312"/>
      <c r="AD126" s="281"/>
      <c r="AE126" s="282"/>
    </row>
    <row r="127" spans="1:31">
      <c r="A127" s="305"/>
      <c r="B127" s="313" t="s">
        <v>824</v>
      </c>
      <c r="C127" s="314">
        <v>-1.2700046552958134E-3</v>
      </c>
      <c r="D127" s="315">
        <v>0</v>
      </c>
      <c r="E127" s="315">
        <v>-1.5280984943981323E-2</v>
      </c>
      <c r="F127" s="315">
        <v>-3.7658441727829901E-2</v>
      </c>
      <c r="G127" s="315">
        <v>2.3447851922682828E-2</v>
      </c>
      <c r="H127" s="315">
        <v>-1.7174670784570075E-2</v>
      </c>
      <c r="I127" s="314">
        <v>-2.1297737722655043E-3</v>
      </c>
      <c r="J127" s="314">
        <v>7.4712557225306451E-3</v>
      </c>
      <c r="K127" s="315">
        <v>-2.8648678455849032E-2</v>
      </c>
      <c r="L127" s="315">
        <v>1.3004381960927583E-2</v>
      </c>
      <c r="M127" s="315">
        <v>-1.0501226294517978E-2</v>
      </c>
      <c r="N127" s="314">
        <v>-1.1836235937319733E-2</v>
      </c>
      <c r="O127" s="316">
        <v>0</v>
      </c>
      <c r="P127" s="315">
        <v>0</v>
      </c>
      <c r="Q127" s="314">
        <v>0</v>
      </c>
      <c r="R127" s="314">
        <v>0</v>
      </c>
      <c r="S127" s="314">
        <v>0</v>
      </c>
      <c r="T127" s="317">
        <v>0</v>
      </c>
      <c r="U127" s="317">
        <v>0</v>
      </c>
      <c r="V127" s="317">
        <v>0</v>
      </c>
      <c r="W127" s="317">
        <v>0</v>
      </c>
      <c r="X127" s="317">
        <v>0</v>
      </c>
      <c r="Y127" s="317">
        <v>0</v>
      </c>
      <c r="Z127" s="317">
        <v>0</v>
      </c>
      <c r="AA127" s="318">
        <v>0</v>
      </c>
      <c r="AB127" s="319">
        <v>-5.6101545848888613E-3</v>
      </c>
      <c r="AC127" s="320"/>
      <c r="AD127" s="321"/>
      <c r="AE127" s="282"/>
    </row>
    <row r="128" spans="1:31">
      <c r="A128" s="305"/>
      <c r="B128" s="306" t="s">
        <v>812</v>
      </c>
      <c r="C128" s="307">
        <v>0</v>
      </c>
      <c r="D128" s="308"/>
      <c r="E128" s="308">
        <v>0</v>
      </c>
      <c r="F128" s="308">
        <v>0</v>
      </c>
      <c r="G128" s="308">
        <v>0</v>
      </c>
      <c r="H128" s="308">
        <v>0</v>
      </c>
      <c r="I128" s="307">
        <v>0</v>
      </c>
      <c r="J128" s="307">
        <v>0</v>
      </c>
      <c r="K128" s="308">
        <v>0</v>
      </c>
      <c r="L128" s="308">
        <v>0</v>
      </c>
      <c r="M128" s="308">
        <v>0</v>
      </c>
      <c r="N128" s="307">
        <v>0</v>
      </c>
      <c r="O128" s="322"/>
      <c r="P128" s="308"/>
      <c r="Q128" s="307">
        <v>4789.910322222222</v>
      </c>
      <c r="R128" s="307">
        <v>14653.944644444447</v>
      </c>
      <c r="S128" s="307">
        <v>19443.854966666669</v>
      </c>
      <c r="T128" s="309"/>
      <c r="U128" s="309"/>
      <c r="V128" s="309"/>
      <c r="W128" s="309"/>
      <c r="X128" s="309"/>
      <c r="Y128" s="309"/>
      <c r="Z128" s="309"/>
      <c r="AA128" s="323"/>
      <c r="AB128" s="311">
        <v>19443.854966666669</v>
      </c>
      <c r="AC128" s="312"/>
      <c r="AD128" s="281"/>
      <c r="AE128" s="282"/>
    </row>
    <row r="129" spans="1:31">
      <c r="A129" s="305"/>
      <c r="B129" s="306" t="s">
        <v>814</v>
      </c>
      <c r="C129" s="307">
        <v>0</v>
      </c>
      <c r="D129" s="308"/>
      <c r="E129" s="308">
        <v>0</v>
      </c>
      <c r="F129" s="308">
        <v>0</v>
      </c>
      <c r="G129" s="308">
        <v>0</v>
      </c>
      <c r="H129" s="308">
        <v>0</v>
      </c>
      <c r="I129" s="307">
        <v>0</v>
      </c>
      <c r="J129" s="307">
        <v>0</v>
      </c>
      <c r="K129" s="308">
        <v>0</v>
      </c>
      <c r="L129" s="308">
        <v>0</v>
      </c>
      <c r="M129" s="308">
        <v>0</v>
      </c>
      <c r="N129" s="307">
        <v>0</v>
      </c>
      <c r="O129" s="322"/>
      <c r="P129" s="308"/>
      <c r="Q129" s="307">
        <v>4831.0506666666661</v>
      </c>
      <c r="R129" s="307">
        <v>14836.709022222221</v>
      </c>
      <c r="S129" s="307">
        <v>19667.759688888887</v>
      </c>
      <c r="T129" s="309"/>
      <c r="U129" s="309"/>
      <c r="V129" s="309"/>
      <c r="W129" s="309"/>
      <c r="X129" s="309"/>
      <c r="Y129" s="309"/>
      <c r="Z129" s="309"/>
      <c r="AA129" s="323"/>
      <c r="AB129" s="311">
        <v>19667.759688888887</v>
      </c>
      <c r="AC129" s="312"/>
      <c r="AD129" s="281"/>
      <c r="AE129" s="282"/>
    </row>
    <row r="130" spans="1:31">
      <c r="A130" s="305"/>
      <c r="B130" s="313" t="s">
        <v>826</v>
      </c>
      <c r="C130" s="314">
        <v>0</v>
      </c>
      <c r="D130" s="315">
        <v>0</v>
      </c>
      <c r="E130" s="315">
        <v>0</v>
      </c>
      <c r="F130" s="315">
        <v>0</v>
      </c>
      <c r="G130" s="315">
        <v>0</v>
      </c>
      <c r="H130" s="315">
        <v>0</v>
      </c>
      <c r="I130" s="314">
        <v>0</v>
      </c>
      <c r="J130" s="314">
        <v>0</v>
      </c>
      <c r="K130" s="315">
        <v>0</v>
      </c>
      <c r="L130" s="315">
        <v>0</v>
      </c>
      <c r="M130" s="315">
        <v>0</v>
      </c>
      <c r="N130" s="314">
        <v>0</v>
      </c>
      <c r="O130" s="316">
        <v>0</v>
      </c>
      <c r="P130" s="315">
        <v>0</v>
      </c>
      <c r="Q130" s="314">
        <v>8.5889592240544245E-3</v>
      </c>
      <c r="R130" s="314">
        <v>1.2472025943339626E-2</v>
      </c>
      <c r="S130" s="314">
        <v>1.1515449102354764E-2</v>
      </c>
      <c r="T130" s="317">
        <v>0</v>
      </c>
      <c r="U130" s="317">
        <v>0</v>
      </c>
      <c r="V130" s="317">
        <v>0</v>
      </c>
      <c r="W130" s="317">
        <v>0</v>
      </c>
      <c r="X130" s="317">
        <v>0</v>
      </c>
      <c r="Y130" s="317">
        <v>0</v>
      </c>
      <c r="Z130" s="317">
        <v>0</v>
      </c>
      <c r="AA130" s="318">
        <v>0</v>
      </c>
      <c r="AB130" s="319">
        <v>1.1515449102354764E-2</v>
      </c>
      <c r="AC130" s="320"/>
      <c r="AD130" s="321"/>
      <c r="AE130" s="282"/>
    </row>
    <row r="131" spans="1:31">
      <c r="A131" s="305"/>
      <c r="B131" s="306" t="s">
        <v>816</v>
      </c>
      <c r="C131" s="307">
        <v>9889.2916666666679</v>
      </c>
      <c r="D131" s="308"/>
      <c r="E131" s="308">
        <v>2049.041666666667</v>
      </c>
      <c r="F131" s="308">
        <v>327.41666666666669</v>
      </c>
      <c r="G131" s="308">
        <v>1724</v>
      </c>
      <c r="H131" s="308">
        <v>10.875</v>
      </c>
      <c r="I131" s="307">
        <v>14000.625000000002</v>
      </c>
      <c r="J131" s="307">
        <v>0</v>
      </c>
      <c r="K131" s="308">
        <v>0</v>
      </c>
      <c r="L131" s="308">
        <v>0</v>
      </c>
      <c r="M131" s="308">
        <v>0</v>
      </c>
      <c r="N131" s="307">
        <v>0</v>
      </c>
      <c r="O131" s="322"/>
      <c r="P131" s="308"/>
      <c r="Q131" s="307">
        <v>0</v>
      </c>
      <c r="R131" s="307">
        <v>0</v>
      </c>
      <c r="S131" s="307">
        <v>0</v>
      </c>
      <c r="T131" s="309"/>
      <c r="U131" s="309"/>
      <c r="V131" s="309"/>
      <c r="W131" s="309"/>
      <c r="X131" s="309"/>
      <c r="Y131" s="309"/>
      <c r="Z131" s="309"/>
      <c r="AA131" s="323"/>
      <c r="AB131" s="311">
        <v>14000.625000000002</v>
      </c>
      <c r="AC131" s="312"/>
      <c r="AD131" s="281"/>
      <c r="AE131" s="282"/>
    </row>
    <row r="132" spans="1:31">
      <c r="A132" s="305"/>
      <c r="B132" s="306" t="s">
        <v>818</v>
      </c>
      <c r="C132" s="307">
        <v>9817</v>
      </c>
      <c r="D132" s="308"/>
      <c r="E132" s="308">
        <v>1968.9166666666665</v>
      </c>
      <c r="F132" s="308">
        <v>357.83333333333331</v>
      </c>
      <c r="G132" s="308">
        <v>1805.9166666666665</v>
      </c>
      <c r="H132" s="308">
        <v>19.75</v>
      </c>
      <c r="I132" s="307">
        <v>13969.416666666666</v>
      </c>
      <c r="J132" s="307">
        <v>0</v>
      </c>
      <c r="K132" s="308">
        <v>0</v>
      </c>
      <c r="L132" s="308">
        <v>0</v>
      </c>
      <c r="M132" s="308">
        <v>0</v>
      </c>
      <c r="N132" s="307">
        <v>0</v>
      </c>
      <c r="O132" s="322"/>
      <c r="P132" s="308"/>
      <c r="Q132" s="307">
        <v>0</v>
      </c>
      <c r="R132" s="307">
        <v>0</v>
      </c>
      <c r="S132" s="307">
        <v>0</v>
      </c>
      <c r="T132" s="309"/>
      <c r="U132" s="309"/>
      <c r="V132" s="309"/>
      <c r="W132" s="309"/>
      <c r="X132" s="309"/>
      <c r="Y132" s="309"/>
      <c r="Z132" s="309"/>
      <c r="AA132" s="323"/>
      <c r="AB132" s="311">
        <v>13969.416666666666</v>
      </c>
      <c r="AC132" s="312"/>
      <c r="AD132" s="281"/>
      <c r="AE132" s="282"/>
    </row>
    <row r="133" spans="1:31">
      <c r="A133" s="305"/>
      <c r="B133" s="313" t="s">
        <v>828</v>
      </c>
      <c r="C133" s="314">
        <v>-7.3100955157726537E-3</v>
      </c>
      <c r="D133" s="315">
        <v>0</v>
      </c>
      <c r="E133" s="315">
        <v>-3.9103646013380455E-2</v>
      </c>
      <c r="F133" s="315">
        <v>9.2898956477475064E-2</v>
      </c>
      <c r="G133" s="315">
        <v>4.7515467904098906E-2</v>
      </c>
      <c r="H133" s="315">
        <v>0.81609195402298851</v>
      </c>
      <c r="I133" s="314">
        <v>-2.2290671547400289E-3</v>
      </c>
      <c r="J133" s="314">
        <v>0</v>
      </c>
      <c r="K133" s="315">
        <v>0</v>
      </c>
      <c r="L133" s="315">
        <v>0</v>
      </c>
      <c r="M133" s="315">
        <v>0</v>
      </c>
      <c r="N133" s="314">
        <v>0</v>
      </c>
      <c r="O133" s="316">
        <v>0</v>
      </c>
      <c r="P133" s="315">
        <v>0</v>
      </c>
      <c r="Q133" s="314">
        <v>0</v>
      </c>
      <c r="R133" s="314">
        <v>0</v>
      </c>
      <c r="S133" s="314">
        <v>0</v>
      </c>
      <c r="T133" s="317">
        <v>0</v>
      </c>
      <c r="U133" s="317">
        <v>0</v>
      </c>
      <c r="V133" s="317">
        <v>0</v>
      </c>
      <c r="W133" s="317">
        <v>0</v>
      </c>
      <c r="X133" s="317">
        <v>0</v>
      </c>
      <c r="Y133" s="317">
        <v>0</v>
      </c>
      <c r="Z133" s="317">
        <v>0</v>
      </c>
      <c r="AA133" s="318">
        <v>0</v>
      </c>
      <c r="AB133" s="319">
        <v>-2.2290671547400289E-3</v>
      </c>
      <c r="AC133" s="320"/>
      <c r="AD133" s="321"/>
      <c r="AE133" s="282"/>
    </row>
    <row r="134" spans="1:31">
      <c r="A134" s="305"/>
      <c r="B134" s="306" t="s">
        <v>820</v>
      </c>
      <c r="C134" s="307">
        <v>49915.391666666663</v>
      </c>
      <c r="D134" s="308"/>
      <c r="E134" s="308">
        <v>19977.641666666666</v>
      </c>
      <c r="F134" s="308">
        <v>3138.6499999999996</v>
      </c>
      <c r="G134" s="308">
        <v>16365.000000000002</v>
      </c>
      <c r="H134" s="308">
        <v>4878.5083333333332</v>
      </c>
      <c r="I134" s="307">
        <v>94275.191666666651</v>
      </c>
      <c r="J134" s="307">
        <v>6647.7</v>
      </c>
      <c r="K134" s="308">
        <v>19343.533333333333</v>
      </c>
      <c r="L134" s="308">
        <v>7302.6666666666661</v>
      </c>
      <c r="M134" s="308">
        <v>11579.599999999999</v>
      </c>
      <c r="N134" s="307">
        <v>44873.5</v>
      </c>
      <c r="O134" s="322"/>
      <c r="P134" s="308"/>
      <c r="Q134" s="307">
        <v>4789.910322222222</v>
      </c>
      <c r="R134" s="307">
        <v>14653.944644444447</v>
      </c>
      <c r="S134" s="307">
        <v>19443.854966666669</v>
      </c>
      <c r="T134" s="309"/>
      <c r="U134" s="309"/>
      <c r="V134" s="309"/>
      <c r="W134" s="309"/>
      <c r="X134" s="309"/>
      <c r="Y134" s="309"/>
      <c r="Z134" s="309"/>
      <c r="AA134" s="323"/>
      <c r="AB134" s="311">
        <v>158592.54663333332</v>
      </c>
      <c r="AC134" s="312"/>
      <c r="AD134" s="281"/>
      <c r="AE134" s="282"/>
    </row>
    <row r="135" spans="1:31">
      <c r="A135" s="305"/>
      <c r="B135" s="306" t="s">
        <v>822</v>
      </c>
      <c r="C135" s="307">
        <v>49792.266666666663</v>
      </c>
      <c r="D135" s="308"/>
      <c r="E135" s="308">
        <v>19623.550000000003</v>
      </c>
      <c r="F135" s="308">
        <v>3063.2000000000003</v>
      </c>
      <c r="G135" s="308">
        <v>16790.216666666667</v>
      </c>
      <c r="H135" s="308">
        <v>4803.7833333333338</v>
      </c>
      <c r="I135" s="307">
        <v>94073.016666666677</v>
      </c>
      <c r="J135" s="307">
        <v>6697.3666666666668</v>
      </c>
      <c r="K135" s="308">
        <v>18789.366666666669</v>
      </c>
      <c r="L135" s="308">
        <v>7397.6333333333332</v>
      </c>
      <c r="M135" s="308">
        <v>11457.999999999998</v>
      </c>
      <c r="N135" s="307">
        <v>44342.366666666669</v>
      </c>
      <c r="O135" s="322"/>
      <c r="P135" s="308"/>
      <c r="Q135" s="307">
        <v>4831.0506666666661</v>
      </c>
      <c r="R135" s="307">
        <v>14836.709022222221</v>
      </c>
      <c r="S135" s="307">
        <v>19667.759688888887</v>
      </c>
      <c r="T135" s="309"/>
      <c r="U135" s="309"/>
      <c r="V135" s="309"/>
      <c r="W135" s="309"/>
      <c r="X135" s="309"/>
      <c r="Y135" s="309"/>
      <c r="Z135" s="309"/>
      <c r="AA135" s="323"/>
      <c r="AB135" s="311">
        <v>158083.14302222224</v>
      </c>
      <c r="AC135" s="312"/>
      <c r="AD135" s="281"/>
      <c r="AE135" s="282"/>
    </row>
    <row r="136" spans="1:31">
      <c r="A136" s="324"/>
      <c r="B136" s="325" t="s">
        <v>830</v>
      </c>
      <c r="C136" s="314">
        <v>-2.4666740235602014E-3</v>
      </c>
      <c r="D136" s="315">
        <v>0</v>
      </c>
      <c r="E136" s="315">
        <v>-1.7724397732965486E-2</v>
      </c>
      <c r="F136" s="315">
        <v>-2.4038997658228655E-2</v>
      </c>
      <c r="G136" s="315">
        <v>2.5983297688155532E-2</v>
      </c>
      <c r="H136" s="315">
        <v>-1.5317181993812889E-2</v>
      </c>
      <c r="I136" s="314">
        <v>-2.1445196390032194E-3</v>
      </c>
      <c r="J136" s="314">
        <v>7.4712557225306451E-3</v>
      </c>
      <c r="K136" s="315">
        <v>-2.8648678455849032E-2</v>
      </c>
      <c r="L136" s="315">
        <v>1.3004381960927583E-2</v>
      </c>
      <c r="M136" s="315">
        <v>-1.0501226294517978E-2</v>
      </c>
      <c r="N136" s="314">
        <v>-1.1836235937319733E-2</v>
      </c>
      <c r="O136" s="316">
        <v>0</v>
      </c>
      <c r="P136" s="315">
        <v>0</v>
      </c>
      <c r="Q136" s="314">
        <v>8.5889592240544245E-3</v>
      </c>
      <c r="R136" s="314">
        <v>1.2472025943339626E-2</v>
      </c>
      <c r="S136" s="314">
        <v>1.1515449102354764E-2</v>
      </c>
      <c r="T136" s="317">
        <v>0</v>
      </c>
      <c r="U136" s="317">
        <v>0</v>
      </c>
      <c r="V136" s="317">
        <v>0</v>
      </c>
      <c r="W136" s="317">
        <v>0</v>
      </c>
      <c r="X136" s="317">
        <v>0</v>
      </c>
      <c r="Y136" s="317">
        <v>0</v>
      </c>
      <c r="Z136" s="317">
        <v>0</v>
      </c>
      <c r="AA136" s="318">
        <v>0</v>
      </c>
      <c r="AB136" s="311">
        <v>-3.2120274371332772E-3</v>
      </c>
      <c r="AC136" s="312"/>
      <c r="AD136" s="321"/>
      <c r="AE136" s="282"/>
    </row>
    <row r="137" spans="1:31">
      <c r="A137" s="303" t="s">
        <v>606</v>
      </c>
      <c r="B137" s="291" t="s">
        <v>803</v>
      </c>
      <c r="C137" s="285">
        <v>43152.566666666666</v>
      </c>
      <c r="D137" s="276"/>
      <c r="E137" s="276">
        <v>18149.083333333332</v>
      </c>
      <c r="F137" s="276"/>
      <c r="G137" s="276">
        <v>14960.333333333332</v>
      </c>
      <c r="H137" s="276">
        <v>12213.216666666667</v>
      </c>
      <c r="I137" s="285">
        <v>88475.199999999983</v>
      </c>
      <c r="J137" s="285"/>
      <c r="K137" s="276">
        <v>45941.332999999999</v>
      </c>
      <c r="L137" s="276">
        <v>16721.939333333336</v>
      </c>
      <c r="M137" s="276">
        <v>9016.9219999999987</v>
      </c>
      <c r="N137" s="285">
        <v>71680.194333333333</v>
      </c>
      <c r="O137" s="285"/>
      <c r="P137" s="276"/>
      <c r="Q137" s="285"/>
      <c r="R137" s="285"/>
      <c r="S137" s="285"/>
      <c r="T137" s="287"/>
      <c r="U137" s="287"/>
      <c r="V137" s="287"/>
      <c r="W137" s="287"/>
      <c r="X137" s="287"/>
      <c r="Y137" s="287"/>
      <c r="Z137" s="287"/>
      <c r="AA137" s="304"/>
      <c r="AB137" s="289">
        <v>160155.39433333333</v>
      </c>
      <c r="AC137" s="290"/>
      <c r="AD137" s="281"/>
      <c r="AE137" s="282"/>
    </row>
    <row r="138" spans="1:31">
      <c r="A138" s="305"/>
      <c r="B138" s="306" t="s">
        <v>804</v>
      </c>
      <c r="C138" s="307">
        <v>44660</v>
      </c>
      <c r="D138" s="308"/>
      <c r="E138" s="308">
        <v>18120.400000000001</v>
      </c>
      <c r="F138" s="308"/>
      <c r="G138" s="308">
        <v>15080.633333333333</v>
      </c>
      <c r="H138" s="308">
        <v>12334.916666666668</v>
      </c>
      <c r="I138" s="307">
        <v>90195.950000000012</v>
      </c>
      <c r="J138" s="307"/>
      <c r="K138" s="308">
        <v>40292.76666666667</v>
      </c>
      <c r="L138" s="308">
        <v>14807.933333333334</v>
      </c>
      <c r="M138" s="308">
        <v>8147.9</v>
      </c>
      <c r="N138" s="307">
        <v>63248.600000000006</v>
      </c>
      <c r="O138" s="307"/>
      <c r="P138" s="308"/>
      <c r="Q138" s="307"/>
      <c r="R138" s="307"/>
      <c r="S138" s="307"/>
      <c r="T138" s="309"/>
      <c r="U138" s="309"/>
      <c r="V138" s="309"/>
      <c r="W138" s="309"/>
      <c r="X138" s="309"/>
      <c r="Y138" s="309"/>
      <c r="Z138" s="309"/>
      <c r="AA138" s="310"/>
      <c r="AB138" s="311">
        <v>153444.55000000002</v>
      </c>
      <c r="AC138" s="312"/>
      <c r="AD138" s="281"/>
      <c r="AE138" s="282"/>
    </row>
    <row r="139" spans="1:31">
      <c r="A139" s="305"/>
      <c r="B139" s="313" t="s">
        <v>824</v>
      </c>
      <c r="C139" s="314">
        <v>3.4932645953079676E-2</v>
      </c>
      <c r="D139" s="315">
        <v>0</v>
      </c>
      <c r="E139" s="315">
        <v>-1.5804287636196871E-3</v>
      </c>
      <c r="F139" s="315">
        <v>0</v>
      </c>
      <c r="G139" s="315">
        <v>8.0412646777033338E-3</v>
      </c>
      <c r="H139" s="315">
        <v>9.9646148366592524E-3</v>
      </c>
      <c r="I139" s="314">
        <v>1.9448952926922058E-2</v>
      </c>
      <c r="J139" s="314">
        <v>0</v>
      </c>
      <c r="K139" s="315">
        <v>-0.12295172918324614</v>
      </c>
      <c r="L139" s="315">
        <v>-0.11446076689111305</v>
      </c>
      <c r="M139" s="315">
        <v>-9.6376790217326841E-2</v>
      </c>
      <c r="N139" s="314">
        <v>-0.11762795025532478</v>
      </c>
      <c r="O139" s="316">
        <v>0</v>
      </c>
      <c r="P139" s="315">
        <v>0</v>
      </c>
      <c r="Q139" s="314">
        <v>0</v>
      </c>
      <c r="R139" s="314">
        <v>0</v>
      </c>
      <c r="S139" s="314">
        <v>0</v>
      </c>
      <c r="T139" s="317">
        <v>0</v>
      </c>
      <c r="U139" s="317">
        <v>0</v>
      </c>
      <c r="V139" s="317">
        <v>0</v>
      </c>
      <c r="W139" s="317">
        <v>0</v>
      </c>
      <c r="X139" s="317">
        <v>0</v>
      </c>
      <c r="Y139" s="317">
        <v>0</v>
      </c>
      <c r="Z139" s="317">
        <v>0</v>
      </c>
      <c r="AA139" s="318">
        <v>0</v>
      </c>
      <c r="AB139" s="319">
        <v>-4.1902081171027714E-2</v>
      </c>
      <c r="AC139" s="320"/>
      <c r="AD139" s="321"/>
      <c r="AE139" s="282"/>
    </row>
    <row r="140" spans="1:31">
      <c r="A140" s="305"/>
      <c r="B140" s="306" t="s">
        <v>812</v>
      </c>
      <c r="C140" s="307">
        <v>0</v>
      </c>
      <c r="D140" s="308"/>
      <c r="E140" s="308">
        <v>0</v>
      </c>
      <c r="F140" s="308"/>
      <c r="G140" s="308">
        <v>0</v>
      </c>
      <c r="H140" s="308">
        <v>0</v>
      </c>
      <c r="I140" s="307">
        <v>0</v>
      </c>
      <c r="J140" s="307"/>
      <c r="K140" s="308">
        <v>0</v>
      </c>
      <c r="L140" s="308">
        <v>0</v>
      </c>
      <c r="M140" s="308">
        <v>0</v>
      </c>
      <c r="N140" s="307">
        <v>0</v>
      </c>
      <c r="O140" s="322"/>
      <c r="P140" s="308"/>
      <c r="Q140" s="307"/>
      <c r="R140" s="307"/>
      <c r="S140" s="307"/>
      <c r="T140" s="309"/>
      <c r="U140" s="309"/>
      <c r="V140" s="309"/>
      <c r="W140" s="309"/>
      <c r="X140" s="309"/>
      <c r="Y140" s="309"/>
      <c r="Z140" s="309"/>
      <c r="AA140" s="323"/>
      <c r="AB140" s="311">
        <v>0</v>
      </c>
      <c r="AC140" s="312"/>
      <c r="AD140" s="281"/>
      <c r="AE140" s="282"/>
    </row>
    <row r="141" spans="1:31">
      <c r="A141" s="305"/>
      <c r="B141" s="306" t="s">
        <v>814</v>
      </c>
      <c r="C141" s="307">
        <v>0</v>
      </c>
      <c r="D141" s="308"/>
      <c r="E141" s="308">
        <v>0</v>
      </c>
      <c r="F141" s="308"/>
      <c r="G141" s="308">
        <v>0</v>
      </c>
      <c r="H141" s="308">
        <v>0</v>
      </c>
      <c r="I141" s="307">
        <v>0</v>
      </c>
      <c r="J141" s="307"/>
      <c r="K141" s="308">
        <v>0</v>
      </c>
      <c r="L141" s="308">
        <v>0</v>
      </c>
      <c r="M141" s="308">
        <v>0</v>
      </c>
      <c r="N141" s="307">
        <v>0</v>
      </c>
      <c r="O141" s="322"/>
      <c r="P141" s="308"/>
      <c r="Q141" s="307"/>
      <c r="R141" s="307"/>
      <c r="S141" s="307"/>
      <c r="T141" s="309"/>
      <c r="U141" s="309"/>
      <c r="V141" s="309"/>
      <c r="W141" s="309"/>
      <c r="X141" s="309"/>
      <c r="Y141" s="309"/>
      <c r="Z141" s="309"/>
      <c r="AA141" s="323"/>
      <c r="AB141" s="311">
        <v>0</v>
      </c>
      <c r="AC141" s="312"/>
      <c r="AD141" s="281"/>
      <c r="AE141" s="282"/>
    </row>
    <row r="142" spans="1:31">
      <c r="A142" s="305"/>
      <c r="B142" s="313" t="s">
        <v>826</v>
      </c>
      <c r="C142" s="314">
        <v>0</v>
      </c>
      <c r="D142" s="315">
        <v>0</v>
      </c>
      <c r="E142" s="315">
        <v>0</v>
      </c>
      <c r="F142" s="315">
        <v>0</v>
      </c>
      <c r="G142" s="315">
        <v>0</v>
      </c>
      <c r="H142" s="315">
        <v>0</v>
      </c>
      <c r="I142" s="314">
        <v>0</v>
      </c>
      <c r="J142" s="314">
        <v>0</v>
      </c>
      <c r="K142" s="315">
        <v>0</v>
      </c>
      <c r="L142" s="315">
        <v>0</v>
      </c>
      <c r="M142" s="315">
        <v>0</v>
      </c>
      <c r="N142" s="314">
        <v>0</v>
      </c>
      <c r="O142" s="316">
        <v>0</v>
      </c>
      <c r="P142" s="315">
        <v>0</v>
      </c>
      <c r="Q142" s="314">
        <v>0</v>
      </c>
      <c r="R142" s="314">
        <v>0</v>
      </c>
      <c r="S142" s="314">
        <v>0</v>
      </c>
      <c r="T142" s="317">
        <v>0</v>
      </c>
      <c r="U142" s="317">
        <v>0</v>
      </c>
      <c r="V142" s="317">
        <v>0</v>
      </c>
      <c r="W142" s="317">
        <v>0</v>
      </c>
      <c r="X142" s="317">
        <v>0</v>
      </c>
      <c r="Y142" s="317">
        <v>0</v>
      </c>
      <c r="Z142" s="317">
        <v>0</v>
      </c>
      <c r="AA142" s="318">
        <v>0</v>
      </c>
      <c r="AB142" s="319">
        <v>0</v>
      </c>
      <c r="AC142" s="320"/>
      <c r="AD142" s="321"/>
      <c r="AE142" s="282"/>
    </row>
    <row r="143" spans="1:31">
      <c r="A143" s="305"/>
      <c r="B143" s="306" t="s">
        <v>816</v>
      </c>
      <c r="C143" s="307">
        <v>8741.4166666666679</v>
      </c>
      <c r="D143" s="308"/>
      <c r="E143" s="308">
        <v>1861.3125</v>
      </c>
      <c r="F143" s="308"/>
      <c r="G143" s="308">
        <v>1101.5</v>
      </c>
      <c r="H143" s="308">
        <v>278.16666666666663</v>
      </c>
      <c r="I143" s="307">
        <v>11982.395833333334</v>
      </c>
      <c r="J143" s="307"/>
      <c r="K143" s="308">
        <v>0</v>
      </c>
      <c r="L143" s="308">
        <v>0</v>
      </c>
      <c r="M143" s="308">
        <v>0</v>
      </c>
      <c r="N143" s="307">
        <v>0</v>
      </c>
      <c r="O143" s="322"/>
      <c r="P143" s="308"/>
      <c r="Q143" s="307"/>
      <c r="R143" s="307"/>
      <c r="S143" s="307"/>
      <c r="T143" s="309"/>
      <c r="U143" s="309"/>
      <c r="V143" s="309"/>
      <c r="W143" s="309"/>
      <c r="X143" s="309"/>
      <c r="Y143" s="309"/>
      <c r="Z143" s="309"/>
      <c r="AA143" s="323"/>
      <c r="AB143" s="311">
        <v>11982.395833333334</v>
      </c>
      <c r="AC143" s="312"/>
      <c r="AD143" s="281"/>
      <c r="AE143" s="282"/>
    </row>
    <row r="144" spans="1:31">
      <c r="A144" s="305"/>
      <c r="B144" s="306" t="s">
        <v>818</v>
      </c>
      <c r="C144" s="307">
        <v>8821.375</v>
      </c>
      <c r="D144" s="308"/>
      <c r="E144" s="308">
        <v>1814.6666666666665</v>
      </c>
      <c r="F144" s="308"/>
      <c r="G144" s="308">
        <v>1105.9583333333333</v>
      </c>
      <c r="H144" s="308">
        <v>300.79166666666663</v>
      </c>
      <c r="I144" s="307">
        <v>12042.791666666666</v>
      </c>
      <c r="J144" s="307"/>
      <c r="K144" s="308">
        <v>0</v>
      </c>
      <c r="L144" s="308">
        <v>0</v>
      </c>
      <c r="M144" s="308">
        <v>0</v>
      </c>
      <c r="N144" s="307">
        <v>0</v>
      </c>
      <c r="O144" s="322"/>
      <c r="P144" s="308"/>
      <c r="Q144" s="307"/>
      <c r="R144" s="307"/>
      <c r="S144" s="307"/>
      <c r="T144" s="309"/>
      <c r="U144" s="309"/>
      <c r="V144" s="309"/>
      <c r="W144" s="309"/>
      <c r="X144" s="309"/>
      <c r="Y144" s="309"/>
      <c r="Z144" s="309"/>
      <c r="AA144" s="323"/>
      <c r="AB144" s="311">
        <v>12042.791666666666</v>
      </c>
      <c r="AC144" s="312"/>
      <c r="AD144" s="281"/>
      <c r="AE144" s="282"/>
    </row>
    <row r="145" spans="1:31">
      <c r="A145" s="305"/>
      <c r="B145" s="313" t="s">
        <v>828</v>
      </c>
      <c r="C145" s="314">
        <v>9.1470680763032809E-3</v>
      </c>
      <c r="D145" s="315">
        <v>0</v>
      </c>
      <c r="E145" s="315">
        <v>-2.5060721041379932E-2</v>
      </c>
      <c r="F145" s="315">
        <v>0</v>
      </c>
      <c r="G145" s="315">
        <v>4.0475109698894758E-3</v>
      </c>
      <c r="H145" s="315">
        <v>8.1336129418813671E-2</v>
      </c>
      <c r="I145" s="314">
        <v>5.0403804191909421E-3</v>
      </c>
      <c r="J145" s="314">
        <v>0</v>
      </c>
      <c r="K145" s="315">
        <v>0</v>
      </c>
      <c r="L145" s="315">
        <v>0</v>
      </c>
      <c r="M145" s="315">
        <v>0</v>
      </c>
      <c r="N145" s="314">
        <v>0</v>
      </c>
      <c r="O145" s="316">
        <v>0</v>
      </c>
      <c r="P145" s="315">
        <v>0</v>
      </c>
      <c r="Q145" s="314">
        <v>0</v>
      </c>
      <c r="R145" s="314">
        <v>0</v>
      </c>
      <c r="S145" s="314">
        <v>0</v>
      </c>
      <c r="T145" s="317">
        <v>0</v>
      </c>
      <c r="U145" s="317">
        <v>0</v>
      </c>
      <c r="V145" s="317">
        <v>0</v>
      </c>
      <c r="W145" s="317">
        <v>0</v>
      </c>
      <c r="X145" s="317">
        <v>0</v>
      </c>
      <c r="Y145" s="317">
        <v>0</v>
      </c>
      <c r="Z145" s="317">
        <v>0</v>
      </c>
      <c r="AA145" s="318">
        <v>0</v>
      </c>
      <c r="AB145" s="319">
        <v>5.0403804191909421E-3</v>
      </c>
      <c r="AC145" s="320"/>
      <c r="AD145" s="321"/>
      <c r="AE145" s="282"/>
    </row>
    <row r="146" spans="1:31">
      <c r="A146" s="305"/>
      <c r="B146" s="306" t="s">
        <v>820</v>
      </c>
      <c r="C146" s="307">
        <v>51893.983333333337</v>
      </c>
      <c r="D146" s="308"/>
      <c r="E146" s="308">
        <v>20010.395833333336</v>
      </c>
      <c r="F146" s="308"/>
      <c r="G146" s="308">
        <v>16061.833333333336</v>
      </c>
      <c r="H146" s="308">
        <v>12491.383333333333</v>
      </c>
      <c r="I146" s="307">
        <v>100457.59583333335</v>
      </c>
      <c r="J146" s="307"/>
      <c r="K146" s="308">
        <v>45941.332999999999</v>
      </c>
      <c r="L146" s="308">
        <v>16721.939333333336</v>
      </c>
      <c r="M146" s="308">
        <v>9016.9219999999987</v>
      </c>
      <c r="N146" s="307">
        <v>71680.194333333333</v>
      </c>
      <c r="O146" s="322"/>
      <c r="P146" s="308"/>
      <c r="Q146" s="307"/>
      <c r="R146" s="307"/>
      <c r="S146" s="307"/>
      <c r="T146" s="309"/>
      <c r="U146" s="309"/>
      <c r="V146" s="309"/>
      <c r="W146" s="309"/>
      <c r="X146" s="309"/>
      <c r="Y146" s="309"/>
      <c r="Z146" s="309"/>
      <c r="AA146" s="323"/>
      <c r="AB146" s="311">
        <v>172137.7901666667</v>
      </c>
      <c r="AC146" s="312"/>
      <c r="AD146" s="281"/>
      <c r="AE146" s="282"/>
    </row>
    <row r="147" spans="1:31">
      <c r="A147" s="305"/>
      <c r="B147" s="306" t="s">
        <v>822</v>
      </c>
      <c r="C147" s="307">
        <v>53481.375</v>
      </c>
      <c r="D147" s="308"/>
      <c r="E147" s="308">
        <v>19935.066666666666</v>
      </c>
      <c r="F147" s="308"/>
      <c r="G147" s="308">
        <v>16186.591666666667</v>
      </c>
      <c r="H147" s="308">
        <v>12635.708333333332</v>
      </c>
      <c r="I147" s="307">
        <v>102238.74166666665</v>
      </c>
      <c r="J147" s="307"/>
      <c r="K147" s="308">
        <v>40292.76666666667</v>
      </c>
      <c r="L147" s="308">
        <v>14807.933333333334</v>
      </c>
      <c r="M147" s="308">
        <v>8147.9</v>
      </c>
      <c r="N147" s="307">
        <v>63248.600000000006</v>
      </c>
      <c r="O147" s="322"/>
      <c r="P147" s="308"/>
      <c r="Q147" s="307"/>
      <c r="R147" s="307"/>
      <c r="S147" s="307"/>
      <c r="T147" s="309"/>
      <c r="U147" s="309"/>
      <c r="V147" s="309"/>
      <c r="W147" s="309"/>
      <c r="X147" s="309"/>
      <c r="Y147" s="309"/>
      <c r="Z147" s="309"/>
      <c r="AA147" s="323"/>
      <c r="AB147" s="311">
        <v>165487.34166666665</v>
      </c>
      <c r="AC147" s="312"/>
      <c r="AD147" s="281"/>
      <c r="AE147" s="282"/>
    </row>
    <row r="148" spans="1:31">
      <c r="A148" s="324"/>
      <c r="B148" s="325" t="s">
        <v>830</v>
      </c>
      <c r="C148" s="314">
        <v>3.0589127384388414E-2</v>
      </c>
      <c r="D148" s="315">
        <v>0</v>
      </c>
      <c r="E148" s="315">
        <v>-3.7645015767847363E-3</v>
      </c>
      <c r="F148" s="315">
        <v>0</v>
      </c>
      <c r="G148" s="315">
        <v>7.7673781531787389E-3</v>
      </c>
      <c r="H148" s="315">
        <v>1.1553964532884582E-2</v>
      </c>
      <c r="I148" s="314">
        <v>1.7730325104419301E-2</v>
      </c>
      <c r="J148" s="314">
        <v>0</v>
      </c>
      <c r="K148" s="315">
        <v>-0.12295172918324614</v>
      </c>
      <c r="L148" s="315">
        <v>-0.11446076689111305</v>
      </c>
      <c r="M148" s="315">
        <v>-9.6376790217326841E-2</v>
      </c>
      <c r="N148" s="314">
        <v>-0.11762795025532478</v>
      </c>
      <c r="O148" s="316">
        <v>0</v>
      </c>
      <c r="P148" s="315">
        <v>0</v>
      </c>
      <c r="Q148" s="314">
        <v>0</v>
      </c>
      <c r="R148" s="314">
        <v>0</v>
      </c>
      <c r="S148" s="314">
        <v>0</v>
      </c>
      <c r="T148" s="317">
        <v>0</v>
      </c>
      <c r="U148" s="317">
        <v>0</v>
      </c>
      <c r="V148" s="317">
        <v>0</v>
      </c>
      <c r="W148" s="317">
        <v>0</v>
      </c>
      <c r="X148" s="317">
        <v>0</v>
      </c>
      <c r="Y148" s="317">
        <v>0</v>
      </c>
      <c r="Z148" s="317">
        <v>0</v>
      </c>
      <c r="AA148" s="318">
        <v>0</v>
      </c>
      <c r="AB148" s="311">
        <v>-3.8634447982403487E-2</v>
      </c>
      <c r="AC148" s="312"/>
      <c r="AD148" s="321"/>
      <c r="AE148" s="282"/>
    </row>
    <row r="149" spans="1:31">
      <c r="A149" s="303" t="s">
        <v>468</v>
      </c>
      <c r="B149" s="291" t="s">
        <v>803</v>
      </c>
      <c r="C149" s="285">
        <v>34191.033333333333</v>
      </c>
      <c r="D149" s="276">
        <v>16905.933333333334</v>
      </c>
      <c r="E149" s="276">
        <v>44060.933333333334</v>
      </c>
      <c r="F149" s="276"/>
      <c r="G149" s="276">
        <v>6028.2666666666664</v>
      </c>
      <c r="H149" s="276"/>
      <c r="I149" s="285">
        <v>101186.16666666666</v>
      </c>
      <c r="J149" s="285"/>
      <c r="K149" s="276">
        <v>31691.966666666667</v>
      </c>
      <c r="L149" s="276">
        <v>24065.633333333335</v>
      </c>
      <c r="M149" s="276">
        <v>1657.6333333333334</v>
      </c>
      <c r="N149" s="285">
        <v>57415.233333333337</v>
      </c>
      <c r="O149" s="285"/>
      <c r="P149" s="276"/>
      <c r="Q149" s="285">
        <v>0</v>
      </c>
      <c r="R149" s="285">
        <v>0</v>
      </c>
      <c r="S149" s="285">
        <v>0</v>
      </c>
      <c r="T149" s="287"/>
      <c r="U149" s="287"/>
      <c r="V149" s="287"/>
      <c r="W149" s="287"/>
      <c r="X149" s="287"/>
      <c r="Y149" s="287"/>
      <c r="Z149" s="287"/>
      <c r="AA149" s="304"/>
      <c r="AB149" s="289">
        <v>158601.4</v>
      </c>
      <c r="AC149" s="290"/>
      <c r="AD149" s="281"/>
      <c r="AE149" s="282"/>
    </row>
    <row r="150" spans="1:31">
      <c r="A150" s="305"/>
      <c r="B150" s="306" t="s">
        <v>804</v>
      </c>
      <c r="C150" s="307">
        <v>34699.866666666669</v>
      </c>
      <c r="D150" s="308">
        <v>16752.300000000003</v>
      </c>
      <c r="E150" s="308">
        <v>43636.9</v>
      </c>
      <c r="F150" s="308"/>
      <c r="G150" s="308">
        <v>5746.1333333333332</v>
      </c>
      <c r="H150" s="308"/>
      <c r="I150" s="307">
        <v>100835.20000000001</v>
      </c>
      <c r="J150" s="307"/>
      <c r="K150" s="308">
        <v>30362.833333333328</v>
      </c>
      <c r="L150" s="308">
        <v>24831.800000000003</v>
      </c>
      <c r="M150" s="308">
        <v>1679.4</v>
      </c>
      <c r="N150" s="307">
        <v>56874.033333333333</v>
      </c>
      <c r="O150" s="307"/>
      <c r="P150" s="308"/>
      <c r="Q150" s="307">
        <v>0</v>
      </c>
      <c r="R150" s="307">
        <v>0</v>
      </c>
      <c r="S150" s="307">
        <v>0</v>
      </c>
      <c r="T150" s="309"/>
      <c r="U150" s="309"/>
      <c r="V150" s="309"/>
      <c r="W150" s="309"/>
      <c r="X150" s="309"/>
      <c r="Y150" s="309"/>
      <c r="Z150" s="309"/>
      <c r="AA150" s="310"/>
      <c r="AB150" s="311">
        <v>157709.23333333331</v>
      </c>
      <c r="AC150" s="312"/>
      <c r="AD150" s="281"/>
      <c r="AE150" s="282"/>
    </row>
    <row r="151" spans="1:31">
      <c r="A151" s="305"/>
      <c r="B151" s="313" t="s">
        <v>824</v>
      </c>
      <c r="C151" s="314">
        <v>1.4882069470455776E-2</v>
      </c>
      <c r="D151" s="315">
        <v>-9.0875392860099245E-3</v>
      </c>
      <c r="E151" s="315">
        <v>-9.6237937159751388E-3</v>
      </c>
      <c r="F151" s="315">
        <v>0</v>
      </c>
      <c r="G151" s="315">
        <v>-4.6801734052906288E-2</v>
      </c>
      <c r="H151" s="315">
        <v>0</v>
      </c>
      <c r="I151" s="314">
        <v>-3.4685241889125928E-3</v>
      </c>
      <c r="J151" s="314">
        <v>0</v>
      </c>
      <c r="K151" s="315">
        <v>-4.1939124425853617E-2</v>
      </c>
      <c r="L151" s="315">
        <v>3.1836546998555385E-2</v>
      </c>
      <c r="M151" s="315">
        <v>1.3131170946530183E-2</v>
      </c>
      <c r="N151" s="314">
        <v>-9.4260698525421138E-3</v>
      </c>
      <c r="O151" s="316">
        <v>0</v>
      </c>
      <c r="P151" s="315">
        <v>0</v>
      </c>
      <c r="Q151" s="314">
        <v>0</v>
      </c>
      <c r="R151" s="314">
        <v>0</v>
      </c>
      <c r="S151" s="314">
        <v>0</v>
      </c>
      <c r="T151" s="317">
        <v>0</v>
      </c>
      <c r="U151" s="317">
        <v>0</v>
      </c>
      <c r="V151" s="317">
        <v>0</v>
      </c>
      <c r="W151" s="317">
        <v>0</v>
      </c>
      <c r="X151" s="317">
        <v>0</v>
      </c>
      <c r="Y151" s="317">
        <v>0</v>
      </c>
      <c r="Z151" s="317">
        <v>0</v>
      </c>
      <c r="AA151" s="318">
        <v>0</v>
      </c>
      <c r="AB151" s="319">
        <v>-5.6252130603304008E-3</v>
      </c>
      <c r="AC151" s="320"/>
      <c r="AD151" s="321"/>
      <c r="AE151" s="282"/>
    </row>
    <row r="152" spans="1:31">
      <c r="A152" s="305"/>
      <c r="B152" s="306" t="s">
        <v>812</v>
      </c>
      <c r="C152" s="307">
        <v>0</v>
      </c>
      <c r="D152" s="308">
        <v>0</v>
      </c>
      <c r="E152" s="308">
        <v>0</v>
      </c>
      <c r="F152" s="308"/>
      <c r="G152" s="308">
        <v>0</v>
      </c>
      <c r="H152" s="308"/>
      <c r="I152" s="307">
        <v>0</v>
      </c>
      <c r="J152" s="307"/>
      <c r="K152" s="308">
        <v>0</v>
      </c>
      <c r="L152" s="308">
        <v>0</v>
      </c>
      <c r="M152" s="308">
        <v>0</v>
      </c>
      <c r="N152" s="307">
        <v>0</v>
      </c>
      <c r="O152" s="322"/>
      <c r="P152" s="308"/>
      <c r="Q152" s="307">
        <v>1004.0377777777778</v>
      </c>
      <c r="R152" s="307">
        <v>10641.687777777777</v>
      </c>
      <c r="S152" s="307">
        <v>11645.725555555555</v>
      </c>
      <c r="T152" s="309"/>
      <c r="U152" s="309"/>
      <c r="V152" s="309"/>
      <c r="W152" s="309"/>
      <c r="X152" s="309"/>
      <c r="Y152" s="309"/>
      <c r="Z152" s="309"/>
      <c r="AA152" s="323"/>
      <c r="AB152" s="311">
        <v>11645.725555555555</v>
      </c>
      <c r="AC152" s="312"/>
      <c r="AD152" s="281"/>
      <c r="AE152" s="282"/>
    </row>
    <row r="153" spans="1:31">
      <c r="A153" s="305"/>
      <c r="B153" s="306" t="s">
        <v>814</v>
      </c>
      <c r="C153" s="307">
        <v>0</v>
      </c>
      <c r="D153" s="308">
        <v>0</v>
      </c>
      <c r="E153" s="308">
        <v>0</v>
      </c>
      <c r="F153" s="308"/>
      <c r="G153" s="308">
        <v>0</v>
      </c>
      <c r="H153" s="308"/>
      <c r="I153" s="307">
        <v>0</v>
      </c>
      <c r="J153" s="307"/>
      <c r="K153" s="308">
        <v>0</v>
      </c>
      <c r="L153" s="308">
        <v>0</v>
      </c>
      <c r="M153" s="308">
        <v>0</v>
      </c>
      <c r="N153" s="307">
        <v>0</v>
      </c>
      <c r="O153" s="322"/>
      <c r="P153" s="308"/>
      <c r="Q153" s="307">
        <v>982.67333333333329</v>
      </c>
      <c r="R153" s="307">
        <v>11588.335555555561</v>
      </c>
      <c r="S153" s="307">
        <v>12571.008888888895</v>
      </c>
      <c r="T153" s="309"/>
      <c r="U153" s="309"/>
      <c r="V153" s="309"/>
      <c r="W153" s="309"/>
      <c r="X153" s="309"/>
      <c r="Y153" s="309"/>
      <c r="Z153" s="309"/>
      <c r="AA153" s="323"/>
      <c r="AB153" s="311">
        <v>12571.008888888895</v>
      </c>
      <c r="AC153" s="312"/>
      <c r="AD153" s="281"/>
      <c r="AE153" s="282"/>
    </row>
    <row r="154" spans="1:31">
      <c r="A154" s="305"/>
      <c r="B154" s="313" t="s">
        <v>826</v>
      </c>
      <c r="C154" s="314">
        <v>0</v>
      </c>
      <c r="D154" s="315">
        <v>0</v>
      </c>
      <c r="E154" s="315">
        <v>0</v>
      </c>
      <c r="F154" s="315">
        <v>0</v>
      </c>
      <c r="G154" s="315">
        <v>0</v>
      </c>
      <c r="H154" s="315">
        <v>0</v>
      </c>
      <c r="I154" s="314">
        <v>0</v>
      </c>
      <c r="J154" s="314">
        <v>0</v>
      </c>
      <c r="K154" s="315">
        <v>0</v>
      </c>
      <c r="L154" s="315">
        <v>0</v>
      </c>
      <c r="M154" s="315">
        <v>0</v>
      </c>
      <c r="N154" s="314">
        <v>0</v>
      </c>
      <c r="O154" s="316">
        <v>0</v>
      </c>
      <c r="P154" s="315">
        <v>0</v>
      </c>
      <c r="Q154" s="314">
        <v>-2.1278526483067342E-2</v>
      </c>
      <c r="R154" s="314">
        <v>8.8956545009203872E-2</v>
      </c>
      <c r="S154" s="314">
        <v>7.9452613658058849E-2</v>
      </c>
      <c r="T154" s="317">
        <v>0</v>
      </c>
      <c r="U154" s="317">
        <v>0</v>
      </c>
      <c r="V154" s="317">
        <v>0</v>
      </c>
      <c r="W154" s="317">
        <v>0</v>
      </c>
      <c r="X154" s="317">
        <v>0</v>
      </c>
      <c r="Y154" s="317">
        <v>0</v>
      </c>
      <c r="Z154" s="317">
        <v>0</v>
      </c>
      <c r="AA154" s="318">
        <v>0</v>
      </c>
      <c r="AB154" s="319">
        <v>7.9452613658058849E-2</v>
      </c>
      <c r="AC154" s="320"/>
      <c r="AD154" s="321"/>
      <c r="AE154" s="282"/>
    </row>
    <row r="155" spans="1:31">
      <c r="A155" s="305"/>
      <c r="B155" s="306" t="s">
        <v>816</v>
      </c>
      <c r="C155" s="307">
        <v>7580.0416666666661</v>
      </c>
      <c r="D155" s="308">
        <v>3366.2083333333335</v>
      </c>
      <c r="E155" s="308">
        <v>4103.291666666667</v>
      </c>
      <c r="F155" s="308"/>
      <c r="G155" s="308">
        <v>246.375</v>
      </c>
      <c r="H155" s="308"/>
      <c r="I155" s="307">
        <v>15295.916666666668</v>
      </c>
      <c r="J155" s="307"/>
      <c r="K155" s="308">
        <v>0</v>
      </c>
      <c r="L155" s="308">
        <v>0</v>
      </c>
      <c r="M155" s="308">
        <v>0</v>
      </c>
      <c r="N155" s="307">
        <v>0</v>
      </c>
      <c r="O155" s="322"/>
      <c r="P155" s="308"/>
      <c r="Q155" s="307">
        <v>0</v>
      </c>
      <c r="R155" s="307">
        <v>0</v>
      </c>
      <c r="S155" s="307">
        <v>0</v>
      </c>
      <c r="T155" s="309"/>
      <c r="U155" s="309"/>
      <c r="V155" s="309"/>
      <c r="W155" s="309"/>
      <c r="X155" s="309"/>
      <c r="Y155" s="309"/>
      <c r="Z155" s="309"/>
      <c r="AA155" s="323"/>
      <c r="AB155" s="311">
        <v>15295.916666666668</v>
      </c>
      <c r="AC155" s="312"/>
      <c r="AD155" s="281"/>
      <c r="AE155" s="282"/>
    </row>
    <row r="156" spans="1:31">
      <c r="A156" s="305"/>
      <c r="B156" s="306" t="s">
        <v>818</v>
      </c>
      <c r="C156" s="307">
        <v>7611.541666666667</v>
      </c>
      <c r="D156" s="308">
        <v>3263.208333333333</v>
      </c>
      <c r="E156" s="308">
        <v>4098.625</v>
      </c>
      <c r="F156" s="308"/>
      <c r="G156" s="308">
        <v>259.29166666666669</v>
      </c>
      <c r="H156" s="308"/>
      <c r="I156" s="307">
        <v>15232.666666666666</v>
      </c>
      <c r="J156" s="307"/>
      <c r="K156" s="308">
        <v>0</v>
      </c>
      <c r="L156" s="308">
        <v>0</v>
      </c>
      <c r="M156" s="308">
        <v>0</v>
      </c>
      <c r="N156" s="307">
        <v>0</v>
      </c>
      <c r="O156" s="322"/>
      <c r="P156" s="308"/>
      <c r="Q156" s="307">
        <v>0</v>
      </c>
      <c r="R156" s="307">
        <v>0</v>
      </c>
      <c r="S156" s="307">
        <v>0</v>
      </c>
      <c r="T156" s="309"/>
      <c r="U156" s="309"/>
      <c r="V156" s="309"/>
      <c r="W156" s="309"/>
      <c r="X156" s="309"/>
      <c r="Y156" s="309"/>
      <c r="Z156" s="309"/>
      <c r="AA156" s="323"/>
      <c r="AB156" s="311">
        <v>15232.666666666666</v>
      </c>
      <c r="AC156" s="312"/>
      <c r="AD156" s="281"/>
      <c r="AE156" s="282"/>
    </row>
    <row r="157" spans="1:31">
      <c r="A157" s="305"/>
      <c r="B157" s="313" t="s">
        <v>828</v>
      </c>
      <c r="C157" s="314">
        <v>4.1556499799364661E-3</v>
      </c>
      <c r="D157" s="315">
        <v>-3.0598225005879647E-2</v>
      </c>
      <c r="E157" s="315">
        <v>-1.1372983072533969E-3</v>
      </c>
      <c r="F157" s="315">
        <v>0</v>
      </c>
      <c r="G157" s="315">
        <v>5.2426856079824197E-2</v>
      </c>
      <c r="H157" s="315">
        <v>0</v>
      </c>
      <c r="I157" s="314">
        <v>-4.1350905198010365E-3</v>
      </c>
      <c r="J157" s="314">
        <v>0</v>
      </c>
      <c r="K157" s="315">
        <v>0</v>
      </c>
      <c r="L157" s="315">
        <v>0</v>
      </c>
      <c r="M157" s="315">
        <v>0</v>
      </c>
      <c r="N157" s="314">
        <v>0</v>
      </c>
      <c r="O157" s="316">
        <v>0</v>
      </c>
      <c r="P157" s="315">
        <v>0</v>
      </c>
      <c r="Q157" s="314">
        <v>0</v>
      </c>
      <c r="R157" s="314">
        <v>0</v>
      </c>
      <c r="S157" s="314">
        <v>0</v>
      </c>
      <c r="T157" s="317">
        <v>0</v>
      </c>
      <c r="U157" s="317">
        <v>0</v>
      </c>
      <c r="V157" s="317">
        <v>0</v>
      </c>
      <c r="W157" s="317">
        <v>0</v>
      </c>
      <c r="X157" s="317">
        <v>0</v>
      </c>
      <c r="Y157" s="317">
        <v>0</v>
      </c>
      <c r="Z157" s="317">
        <v>0</v>
      </c>
      <c r="AA157" s="318">
        <v>0</v>
      </c>
      <c r="AB157" s="319">
        <v>-4.1350905198010365E-3</v>
      </c>
      <c r="AC157" s="320"/>
      <c r="AD157" s="321"/>
      <c r="AE157" s="282"/>
    </row>
    <row r="158" spans="1:31">
      <c r="A158" s="305"/>
      <c r="B158" s="306" t="s">
        <v>820</v>
      </c>
      <c r="C158" s="307">
        <v>41771.074999999997</v>
      </c>
      <c r="D158" s="308">
        <v>20272.141666666666</v>
      </c>
      <c r="E158" s="308">
        <v>48164.224999999999</v>
      </c>
      <c r="F158" s="308"/>
      <c r="G158" s="308">
        <v>6274.6416666666664</v>
      </c>
      <c r="H158" s="308"/>
      <c r="I158" s="307">
        <v>116482.08333333331</v>
      </c>
      <c r="J158" s="307"/>
      <c r="K158" s="308">
        <v>31691.966666666667</v>
      </c>
      <c r="L158" s="308">
        <v>24065.633333333335</v>
      </c>
      <c r="M158" s="308">
        <v>1657.6333333333334</v>
      </c>
      <c r="N158" s="307">
        <v>57415.233333333337</v>
      </c>
      <c r="O158" s="322"/>
      <c r="P158" s="308"/>
      <c r="Q158" s="307">
        <v>1004.0377777777778</v>
      </c>
      <c r="R158" s="307">
        <v>10641.687777777777</v>
      </c>
      <c r="S158" s="307">
        <v>11645.725555555555</v>
      </c>
      <c r="T158" s="309"/>
      <c r="U158" s="309"/>
      <c r="V158" s="309"/>
      <c r="W158" s="309"/>
      <c r="X158" s="309"/>
      <c r="Y158" s="309"/>
      <c r="Z158" s="309"/>
      <c r="AA158" s="323"/>
      <c r="AB158" s="311">
        <v>185543.04222222223</v>
      </c>
      <c r="AC158" s="312"/>
      <c r="AD158" s="281"/>
      <c r="AE158" s="282"/>
    </row>
    <row r="159" spans="1:31">
      <c r="A159" s="305"/>
      <c r="B159" s="306" t="s">
        <v>822</v>
      </c>
      <c r="C159" s="307">
        <v>42311.40833333334</v>
      </c>
      <c r="D159" s="308">
        <v>20015.508333333335</v>
      </c>
      <c r="E159" s="308">
        <v>47735.525000000001</v>
      </c>
      <c r="F159" s="308"/>
      <c r="G159" s="308">
        <v>6005.4250000000002</v>
      </c>
      <c r="H159" s="308"/>
      <c r="I159" s="307">
        <v>116067.86666666668</v>
      </c>
      <c r="J159" s="307"/>
      <c r="K159" s="308">
        <v>30362.833333333328</v>
      </c>
      <c r="L159" s="308">
        <v>24831.800000000003</v>
      </c>
      <c r="M159" s="308">
        <v>1679.4</v>
      </c>
      <c r="N159" s="307">
        <v>56874.033333333333</v>
      </c>
      <c r="O159" s="322"/>
      <c r="P159" s="308"/>
      <c r="Q159" s="307">
        <v>982.67333333333329</v>
      </c>
      <c r="R159" s="307">
        <v>11588.335555555561</v>
      </c>
      <c r="S159" s="307">
        <v>12571.008888888895</v>
      </c>
      <c r="T159" s="309"/>
      <c r="U159" s="309"/>
      <c r="V159" s="309"/>
      <c r="W159" s="309"/>
      <c r="X159" s="309"/>
      <c r="Y159" s="309"/>
      <c r="Z159" s="309"/>
      <c r="AA159" s="323"/>
      <c r="AB159" s="311">
        <v>185512.90888888889</v>
      </c>
      <c r="AC159" s="312"/>
      <c r="AD159" s="281"/>
      <c r="AE159" s="282"/>
    </row>
    <row r="160" spans="1:31">
      <c r="A160" s="324"/>
      <c r="B160" s="325" t="s">
        <v>830</v>
      </c>
      <c r="C160" s="314">
        <v>1.2935586008579934E-2</v>
      </c>
      <c r="D160" s="315">
        <v>-1.2659409033003735E-2</v>
      </c>
      <c r="E160" s="315">
        <v>-8.9007972203434624E-3</v>
      </c>
      <c r="F160" s="315">
        <v>0</v>
      </c>
      <c r="G160" s="315">
        <v>-4.2905504564005582E-2</v>
      </c>
      <c r="H160" s="315">
        <v>0</v>
      </c>
      <c r="I160" s="314">
        <v>-3.5560547580638421E-3</v>
      </c>
      <c r="J160" s="314">
        <v>0</v>
      </c>
      <c r="K160" s="315">
        <v>-4.1939124425853617E-2</v>
      </c>
      <c r="L160" s="315">
        <v>3.1836546998555385E-2</v>
      </c>
      <c r="M160" s="315">
        <v>1.3131170946530183E-2</v>
      </c>
      <c r="N160" s="314">
        <v>-9.4260698525421138E-3</v>
      </c>
      <c r="O160" s="316">
        <v>0</v>
      </c>
      <c r="P160" s="315">
        <v>0</v>
      </c>
      <c r="Q160" s="314">
        <v>-2.1278526483067342E-2</v>
      </c>
      <c r="R160" s="314">
        <v>8.8956545009203872E-2</v>
      </c>
      <c r="S160" s="314">
        <v>7.9452613658058849E-2</v>
      </c>
      <c r="T160" s="317">
        <v>0</v>
      </c>
      <c r="U160" s="317">
        <v>0</v>
      </c>
      <c r="V160" s="317">
        <v>0</v>
      </c>
      <c r="W160" s="317">
        <v>0</v>
      </c>
      <c r="X160" s="317">
        <v>0</v>
      </c>
      <c r="Y160" s="317">
        <v>0</v>
      </c>
      <c r="Z160" s="317">
        <v>0</v>
      </c>
      <c r="AA160" s="318">
        <v>0</v>
      </c>
      <c r="AB160" s="311">
        <v>-1.6240616178620989E-4</v>
      </c>
      <c r="AC160" s="312"/>
      <c r="AD160" s="321"/>
      <c r="AE160" s="282"/>
    </row>
    <row r="161" spans="1:37">
      <c r="A161" s="303" t="s">
        <v>639</v>
      </c>
      <c r="B161" s="291" t="s">
        <v>803</v>
      </c>
      <c r="C161" s="285">
        <v>210703.33333333331</v>
      </c>
      <c r="D161" s="276">
        <v>51933.8</v>
      </c>
      <c r="E161" s="276">
        <v>127887.2</v>
      </c>
      <c r="F161" s="276">
        <v>4701.6000000000004</v>
      </c>
      <c r="G161" s="276">
        <v>14059.066666666666</v>
      </c>
      <c r="H161" s="276"/>
      <c r="I161" s="285">
        <v>409284.99999999994</v>
      </c>
      <c r="J161" s="285">
        <v>26190.566666666666</v>
      </c>
      <c r="K161" s="276">
        <v>335776.06666666665</v>
      </c>
      <c r="L161" s="276">
        <v>80876.533333333326</v>
      </c>
      <c r="M161" s="276">
        <v>13871.066666666668</v>
      </c>
      <c r="N161" s="285">
        <v>456714.23333333328</v>
      </c>
      <c r="O161" s="285">
        <v>80590.066666666666</v>
      </c>
      <c r="P161" s="276">
        <v>80590.066666666666</v>
      </c>
      <c r="Q161" s="285"/>
      <c r="R161" s="285"/>
      <c r="S161" s="285"/>
      <c r="T161" s="287">
        <v>1468.2333333333333</v>
      </c>
      <c r="U161" s="287">
        <v>1468.2333333333333</v>
      </c>
      <c r="V161" s="287">
        <v>68696.3</v>
      </c>
      <c r="W161" s="287">
        <v>68696.3</v>
      </c>
      <c r="X161" s="287">
        <v>10378.4</v>
      </c>
      <c r="Y161" s="287">
        <v>10378.4</v>
      </c>
      <c r="Z161" s="287">
        <v>1515.3666666666666</v>
      </c>
      <c r="AA161" s="304">
        <v>1515.3666666666666</v>
      </c>
      <c r="AB161" s="289">
        <v>1028647.6</v>
      </c>
      <c r="AC161" s="290"/>
      <c r="AD161" s="281"/>
      <c r="AE161" s="282"/>
    </row>
    <row r="162" spans="1:37">
      <c r="A162" s="305"/>
      <c r="B162" s="306" t="s">
        <v>804</v>
      </c>
      <c r="C162" s="307">
        <v>218593.66666666666</v>
      </c>
      <c r="D162" s="308">
        <v>53420.96666666666</v>
      </c>
      <c r="E162" s="308">
        <v>131243.40000000002</v>
      </c>
      <c r="F162" s="308">
        <v>4836.6000000000004</v>
      </c>
      <c r="G162" s="308">
        <v>14183.933333333334</v>
      </c>
      <c r="H162" s="308"/>
      <c r="I162" s="307">
        <v>422278.56666666665</v>
      </c>
      <c r="J162" s="307">
        <v>27291.566666666666</v>
      </c>
      <c r="K162" s="308">
        <v>334873.83333333331</v>
      </c>
      <c r="L162" s="308">
        <v>82261.533333333326</v>
      </c>
      <c r="M162" s="308">
        <v>14700.333333333334</v>
      </c>
      <c r="N162" s="307">
        <v>459127.2666666666</v>
      </c>
      <c r="O162" s="307">
        <v>81004.433333333334</v>
      </c>
      <c r="P162" s="308">
        <v>81004.433333333334</v>
      </c>
      <c r="Q162" s="307"/>
      <c r="R162" s="307"/>
      <c r="S162" s="307"/>
      <c r="T162" s="309">
        <v>1852.3333333333333</v>
      </c>
      <c r="U162" s="309">
        <v>1852.3333333333333</v>
      </c>
      <c r="V162" s="309">
        <v>68330.466666666674</v>
      </c>
      <c r="W162" s="309">
        <v>68330.466666666674</v>
      </c>
      <c r="X162" s="309">
        <v>10746.1</v>
      </c>
      <c r="Y162" s="309">
        <v>10746.1</v>
      </c>
      <c r="Z162" s="309">
        <v>1927.8666666666666</v>
      </c>
      <c r="AA162" s="310">
        <v>1927.8666666666666</v>
      </c>
      <c r="AB162" s="311">
        <v>1045267.0333333333</v>
      </c>
      <c r="AC162" s="312"/>
      <c r="AD162" s="281"/>
      <c r="AE162" s="282"/>
    </row>
    <row r="163" spans="1:37">
      <c r="A163" s="305"/>
      <c r="B163" s="313" t="s">
        <v>824</v>
      </c>
      <c r="C163" s="314">
        <v>3.7447596146240422E-2</v>
      </c>
      <c r="D163" s="315">
        <v>2.8635814569060166E-2</v>
      </c>
      <c r="E163" s="315">
        <v>2.6243439531086977E-2</v>
      </c>
      <c r="F163" s="315">
        <v>2.8713629402756506E-2</v>
      </c>
      <c r="G163" s="315">
        <v>8.8815758276985166E-3</v>
      </c>
      <c r="H163" s="315">
        <v>0</v>
      </c>
      <c r="I163" s="314">
        <v>3.1746989668975246E-2</v>
      </c>
      <c r="J163" s="314">
        <v>4.203803659587358E-2</v>
      </c>
      <c r="K163" s="315">
        <v>-2.6870090602050174E-3</v>
      </c>
      <c r="L163" s="315">
        <v>1.7124868523873429E-2</v>
      </c>
      <c r="M163" s="315">
        <v>5.9783914719367871E-2</v>
      </c>
      <c r="N163" s="314">
        <v>5.2834642698168051E-3</v>
      </c>
      <c r="O163" s="316">
        <v>5.1416593111971859E-3</v>
      </c>
      <c r="P163" s="315">
        <v>5.1416593111971859E-3</v>
      </c>
      <c r="Q163" s="314">
        <v>0</v>
      </c>
      <c r="R163" s="314">
        <v>0</v>
      </c>
      <c r="S163" s="314">
        <v>0</v>
      </c>
      <c r="T163" s="317">
        <v>0.26160691988103613</v>
      </c>
      <c r="U163" s="317">
        <v>0.26160691988103613</v>
      </c>
      <c r="V163" s="317">
        <v>-5.3253717206505806E-3</v>
      </c>
      <c r="W163" s="317">
        <v>-5.3253717206505806E-3</v>
      </c>
      <c r="X163" s="317">
        <v>3.5429353272180754E-2</v>
      </c>
      <c r="Y163" s="317">
        <v>3.5429353272180754E-2</v>
      </c>
      <c r="Z163" s="317">
        <v>0.27221134598886959</v>
      </c>
      <c r="AA163" s="318">
        <v>0.27221134598886959</v>
      </c>
      <c r="AB163" s="319">
        <v>1.6156585922461053E-2</v>
      </c>
      <c r="AC163" s="320"/>
      <c r="AD163" s="321"/>
      <c r="AE163" s="282"/>
    </row>
    <row r="164" spans="1:37">
      <c r="A164" s="305"/>
      <c r="B164" s="306" t="s">
        <v>812</v>
      </c>
      <c r="C164" s="307">
        <v>0</v>
      </c>
      <c r="D164" s="308">
        <v>0</v>
      </c>
      <c r="E164" s="308">
        <v>0</v>
      </c>
      <c r="F164" s="308">
        <v>0</v>
      </c>
      <c r="G164" s="308">
        <v>0</v>
      </c>
      <c r="H164" s="308"/>
      <c r="I164" s="307">
        <v>0</v>
      </c>
      <c r="J164" s="307">
        <v>1106.45</v>
      </c>
      <c r="K164" s="308">
        <v>13266.645555555557</v>
      </c>
      <c r="L164" s="308">
        <v>5012.6344444444439</v>
      </c>
      <c r="M164" s="308">
        <v>777.5100000000001</v>
      </c>
      <c r="N164" s="307">
        <v>20163.240000000002</v>
      </c>
      <c r="O164" s="322">
        <v>4753.3755555555554</v>
      </c>
      <c r="P164" s="308">
        <v>4753.3755555555554</v>
      </c>
      <c r="Q164" s="307"/>
      <c r="R164" s="307"/>
      <c r="S164" s="307"/>
      <c r="T164" s="309">
        <v>0</v>
      </c>
      <c r="U164" s="309">
        <v>0</v>
      </c>
      <c r="V164" s="309">
        <v>3784.548888888889</v>
      </c>
      <c r="W164" s="309">
        <v>3784.548888888889</v>
      </c>
      <c r="X164" s="309">
        <v>955.97333333333336</v>
      </c>
      <c r="Y164" s="309">
        <v>955.97333333333336</v>
      </c>
      <c r="Z164" s="309">
        <v>12.853333333333333</v>
      </c>
      <c r="AA164" s="323">
        <v>12.853333333333333</v>
      </c>
      <c r="AB164" s="311">
        <v>29669.991111111114</v>
      </c>
      <c r="AC164" s="312"/>
      <c r="AD164" s="281"/>
      <c r="AE164" s="282"/>
    </row>
    <row r="165" spans="1:37">
      <c r="A165" s="305"/>
      <c r="B165" s="306" t="s">
        <v>814</v>
      </c>
      <c r="C165" s="307">
        <v>0</v>
      </c>
      <c r="D165" s="308">
        <v>0</v>
      </c>
      <c r="E165" s="308">
        <v>0</v>
      </c>
      <c r="F165" s="308">
        <v>0</v>
      </c>
      <c r="G165" s="308">
        <v>0</v>
      </c>
      <c r="H165" s="308"/>
      <c r="I165" s="307">
        <v>0</v>
      </c>
      <c r="J165" s="307">
        <v>438.44444444444446</v>
      </c>
      <c r="K165" s="308">
        <v>11992.108888888892</v>
      </c>
      <c r="L165" s="308">
        <v>4103.5411111111125</v>
      </c>
      <c r="M165" s="308">
        <v>807.44111111111113</v>
      </c>
      <c r="N165" s="307">
        <v>17341.535555555562</v>
      </c>
      <c r="O165" s="322">
        <v>4112.6044444444442</v>
      </c>
      <c r="P165" s="308">
        <v>4112.6044444444442</v>
      </c>
      <c r="Q165" s="307"/>
      <c r="R165" s="307"/>
      <c r="S165" s="307"/>
      <c r="T165" s="309">
        <v>0</v>
      </c>
      <c r="U165" s="309">
        <v>0</v>
      </c>
      <c r="V165" s="309">
        <v>3177.838888888889</v>
      </c>
      <c r="W165" s="309">
        <v>3177.838888888889</v>
      </c>
      <c r="X165" s="309">
        <v>914.29</v>
      </c>
      <c r="Y165" s="309">
        <v>914.29</v>
      </c>
      <c r="Z165" s="309">
        <v>20.475555555555555</v>
      </c>
      <c r="AA165" s="323">
        <v>20.475555555555555</v>
      </c>
      <c r="AB165" s="311">
        <v>25566.744444444452</v>
      </c>
      <c r="AC165" s="312"/>
      <c r="AD165" s="281"/>
      <c r="AE165" s="282"/>
    </row>
    <row r="166" spans="1:37">
      <c r="A166" s="305"/>
      <c r="B166" s="313" t="s">
        <v>826</v>
      </c>
      <c r="C166" s="314">
        <v>0</v>
      </c>
      <c r="D166" s="315">
        <v>0</v>
      </c>
      <c r="E166" s="315">
        <v>0</v>
      </c>
      <c r="F166" s="315">
        <v>0</v>
      </c>
      <c r="G166" s="315">
        <v>0</v>
      </c>
      <c r="H166" s="315">
        <v>0</v>
      </c>
      <c r="I166" s="314">
        <v>0</v>
      </c>
      <c r="J166" s="314">
        <v>-0.6037376795657784</v>
      </c>
      <c r="K166" s="315">
        <v>-9.6070755891487475E-2</v>
      </c>
      <c r="L166" s="315">
        <v>-0.18136038911452823</v>
      </c>
      <c r="M166" s="315">
        <v>3.8496110803862352E-2</v>
      </c>
      <c r="N166" s="314">
        <v>-0.13994300739585722</v>
      </c>
      <c r="O166" s="316">
        <v>-0.13480338416816309</v>
      </c>
      <c r="P166" s="315">
        <v>-0.13480338416816309</v>
      </c>
      <c r="Q166" s="314">
        <v>0</v>
      </c>
      <c r="R166" s="314">
        <v>0</v>
      </c>
      <c r="S166" s="314">
        <v>0</v>
      </c>
      <c r="T166" s="317">
        <v>0</v>
      </c>
      <c r="U166" s="317">
        <v>0</v>
      </c>
      <c r="V166" s="317">
        <v>-0.16031236953530936</v>
      </c>
      <c r="W166" s="317">
        <v>-0.16031236953530936</v>
      </c>
      <c r="X166" s="317">
        <v>-4.3603029373204337E-2</v>
      </c>
      <c r="Y166" s="317">
        <v>-4.3603029373204337E-2</v>
      </c>
      <c r="Z166" s="317">
        <v>0.59301521438450899</v>
      </c>
      <c r="AA166" s="318">
        <v>0.59301521438450899</v>
      </c>
      <c r="AB166" s="319">
        <v>-0.13829618793279769</v>
      </c>
      <c r="AC166" s="320"/>
      <c r="AD166" s="321"/>
      <c r="AE166" s="282"/>
    </row>
    <row r="167" spans="1:37">
      <c r="A167" s="305"/>
      <c r="B167" s="306" t="s">
        <v>816</v>
      </c>
      <c r="C167" s="307">
        <v>52919.625</v>
      </c>
      <c r="D167" s="308">
        <v>9223.9166666666661</v>
      </c>
      <c r="E167" s="308">
        <v>29826.208333333328</v>
      </c>
      <c r="F167" s="308">
        <v>1479.0833333333335</v>
      </c>
      <c r="G167" s="308">
        <v>1350.6666666666665</v>
      </c>
      <c r="H167" s="308"/>
      <c r="I167" s="307">
        <v>94799.5</v>
      </c>
      <c r="J167" s="307">
        <v>0</v>
      </c>
      <c r="K167" s="308">
        <v>0</v>
      </c>
      <c r="L167" s="308">
        <v>0</v>
      </c>
      <c r="M167" s="308">
        <v>0</v>
      </c>
      <c r="N167" s="307">
        <v>0</v>
      </c>
      <c r="O167" s="322">
        <v>0</v>
      </c>
      <c r="P167" s="308">
        <v>0</v>
      </c>
      <c r="Q167" s="307"/>
      <c r="R167" s="307"/>
      <c r="S167" s="307"/>
      <c r="T167" s="309">
        <v>342.58333333333331</v>
      </c>
      <c r="U167" s="309">
        <v>342.58333333333331</v>
      </c>
      <c r="V167" s="309">
        <v>0</v>
      </c>
      <c r="W167" s="309">
        <v>0</v>
      </c>
      <c r="X167" s="309">
        <v>0</v>
      </c>
      <c r="Y167" s="309">
        <v>0</v>
      </c>
      <c r="Z167" s="309">
        <v>0</v>
      </c>
      <c r="AA167" s="323">
        <v>0</v>
      </c>
      <c r="AB167" s="311">
        <v>95142.083333333328</v>
      </c>
      <c r="AC167" s="312"/>
      <c r="AD167" s="281"/>
      <c r="AE167" s="282"/>
    </row>
    <row r="168" spans="1:37">
      <c r="A168" s="305"/>
      <c r="B168" s="306" t="s">
        <v>818</v>
      </c>
      <c r="C168" s="307">
        <v>54176.083333333328</v>
      </c>
      <c r="D168" s="308">
        <v>9315.5833333333339</v>
      </c>
      <c r="E168" s="308">
        <v>29717.749999999993</v>
      </c>
      <c r="F168" s="308">
        <v>1432.2083333333335</v>
      </c>
      <c r="G168" s="308">
        <v>1686.0416666666667</v>
      </c>
      <c r="H168" s="308"/>
      <c r="I168" s="307">
        <v>96327.666666666657</v>
      </c>
      <c r="J168" s="307">
        <v>0</v>
      </c>
      <c r="K168" s="308">
        <v>0</v>
      </c>
      <c r="L168" s="308">
        <v>0</v>
      </c>
      <c r="M168" s="308">
        <v>0</v>
      </c>
      <c r="N168" s="307">
        <v>0</v>
      </c>
      <c r="O168" s="322">
        <v>0</v>
      </c>
      <c r="P168" s="308">
        <v>0</v>
      </c>
      <c r="Q168" s="307"/>
      <c r="R168" s="307"/>
      <c r="S168" s="307"/>
      <c r="T168" s="309">
        <v>614.625</v>
      </c>
      <c r="U168" s="309">
        <v>614.625</v>
      </c>
      <c r="V168" s="309">
        <v>0</v>
      </c>
      <c r="W168" s="309">
        <v>0</v>
      </c>
      <c r="X168" s="309">
        <v>0</v>
      </c>
      <c r="Y168" s="309">
        <v>0</v>
      </c>
      <c r="Z168" s="309">
        <v>0</v>
      </c>
      <c r="AA168" s="323">
        <v>0</v>
      </c>
      <c r="AB168" s="311">
        <v>96942.291666666657</v>
      </c>
      <c r="AC168" s="312"/>
      <c r="AD168" s="281"/>
      <c r="AE168" s="282"/>
    </row>
    <row r="169" spans="1:37">
      <c r="A169" s="305"/>
      <c r="B169" s="313" t="s">
        <v>828</v>
      </c>
      <c r="C169" s="314">
        <v>2.3742767136640301E-2</v>
      </c>
      <c r="D169" s="315">
        <v>9.937933090606978E-3</v>
      </c>
      <c r="E169" s="315">
        <v>-3.6363433166301711E-3</v>
      </c>
      <c r="F169" s="315">
        <v>-3.1691926305707357E-2</v>
      </c>
      <c r="G169" s="315">
        <v>0.2483033070088847</v>
      </c>
      <c r="H169" s="315">
        <v>0</v>
      </c>
      <c r="I169" s="314">
        <v>1.6119986568142532E-2</v>
      </c>
      <c r="J169" s="314">
        <v>0</v>
      </c>
      <c r="K169" s="315">
        <v>0</v>
      </c>
      <c r="L169" s="315">
        <v>0</v>
      </c>
      <c r="M169" s="315">
        <v>0</v>
      </c>
      <c r="N169" s="314">
        <v>0</v>
      </c>
      <c r="O169" s="316">
        <v>0</v>
      </c>
      <c r="P169" s="315">
        <v>0</v>
      </c>
      <c r="Q169" s="314">
        <v>0</v>
      </c>
      <c r="R169" s="314">
        <v>0</v>
      </c>
      <c r="S169" s="314">
        <v>0</v>
      </c>
      <c r="T169" s="317">
        <v>0.79408902943322801</v>
      </c>
      <c r="U169" s="317">
        <v>0.79408902943322801</v>
      </c>
      <c r="V169" s="317">
        <v>0</v>
      </c>
      <c r="W169" s="317">
        <v>0</v>
      </c>
      <c r="X169" s="317">
        <v>0</v>
      </c>
      <c r="Y169" s="317">
        <v>0</v>
      </c>
      <c r="Z169" s="317">
        <v>0</v>
      </c>
      <c r="AA169" s="318">
        <v>0</v>
      </c>
      <c r="AB169" s="319">
        <v>1.8921262497755196E-2</v>
      </c>
      <c r="AC169" s="320"/>
      <c r="AD169" s="321"/>
      <c r="AE169" s="282"/>
      <c r="AF169" s="269">
        <v>7</v>
      </c>
      <c r="AG169" s="269" t="s">
        <v>996</v>
      </c>
      <c r="AH169" s="269" t="s">
        <v>997</v>
      </c>
      <c r="AI169" s="269" t="s">
        <v>998</v>
      </c>
      <c r="AJ169" s="269">
        <v>11</v>
      </c>
      <c r="AK169" s="269" t="s">
        <v>848</v>
      </c>
    </row>
    <row r="170" spans="1:37">
      <c r="A170" s="305"/>
      <c r="B170" s="306" t="s">
        <v>820</v>
      </c>
      <c r="C170" s="307">
        <v>263622.95833333337</v>
      </c>
      <c r="D170" s="308">
        <v>61157.716666666667</v>
      </c>
      <c r="E170" s="308">
        <v>157713.40833333335</v>
      </c>
      <c r="F170" s="308">
        <v>6180.6833333333334</v>
      </c>
      <c r="G170" s="308">
        <v>15409.733333333332</v>
      </c>
      <c r="H170" s="308"/>
      <c r="I170" s="307">
        <v>504084.50000000006</v>
      </c>
      <c r="J170" s="307">
        <v>27297.016666666666</v>
      </c>
      <c r="K170" s="308">
        <v>349042.71222222218</v>
      </c>
      <c r="L170" s="308">
        <v>85889.16777777778</v>
      </c>
      <c r="M170" s="308">
        <v>14648.576666666668</v>
      </c>
      <c r="N170" s="307">
        <v>476877.47333333327</v>
      </c>
      <c r="O170" s="322">
        <v>85343.442222222235</v>
      </c>
      <c r="P170" s="308">
        <v>85343.442222222235</v>
      </c>
      <c r="Q170" s="307"/>
      <c r="R170" s="307"/>
      <c r="S170" s="307"/>
      <c r="T170" s="309">
        <v>1810.8166666666666</v>
      </c>
      <c r="U170" s="309">
        <v>1810.8166666666666</v>
      </c>
      <c r="V170" s="309">
        <v>72480.848888888897</v>
      </c>
      <c r="W170" s="309">
        <v>72480.848888888897</v>
      </c>
      <c r="X170" s="309">
        <v>11334.373333333333</v>
      </c>
      <c r="Y170" s="309">
        <v>11334.373333333333</v>
      </c>
      <c r="Z170" s="309">
        <v>1528.2199999999998</v>
      </c>
      <c r="AA170" s="323">
        <v>1528.2199999999998</v>
      </c>
      <c r="AB170" s="311">
        <v>1153459.6744444445</v>
      </c>
      <c r="AC170" s="312"/>
      <c r="AD170" s="281"/>
      <c r="AE170" s="282" t="s">
        <v>999</v>
      </c>
      <c r="AF170" s="269">
        <f>+GETPIVOTDATA("Sum of Old Grand Total FTE",$A$2,"State","TX","Category","7","Category2","Two-Year")</f>
        <v>27297.016666666666</v>
      </c>
      <c r="AG170" s="269">
        <f>+GETPIVOTDATA("Sum of Old Grand Total FTE",$A$2,"State","TX","Category","8","Category2","Two-Year")-GETPIVOTDATA("Sum of Old Grand Total FTE",$A$2,"State","TX","Category","08b","Category2","08b")</f>
        <v>276561.86333333328</v>
      </c>
      <c r="AH170" s="269">
        <f>+GETPIVOTDATA("Sum of Old Grand Total FTE",$A$2,"State","TX","Category","9","Category2","Two-Year")-GETPIVOTDATA("Sum of Old Grand Total FTE",$A$2,"State","TX","Category","09b","Category2","09b")</f>
        <v>74554.794444444444</v>
      </c>
      <c r="AI170" s="269">
        <f>+GETPIVOTDATA("Sum of Old Grand Total FTE",$A$2,"State","TX","Category","10","Category2","Two-Year")-GETPIVOTDATA("Sum of Old Grand Total FTE",$A$2,"State","TX","Category","10b","Category2","10b")</f>
        <v>13120.356666666668</v>
      </c>
      <c r="AJ170" s="269">
        <f>+GETPIVOTDATA("Sum of Old Grand Total FTE",$A$2,"State","TX","Category","11","Category2","11")</f>
        <v>85343.442222222235</v>
      </c>
      <c r="AK170" s="269">
        <f>SUM(AF170:AJ170)</f>
        <v>476877.47333333327</v>
      </c>
    </row>
    <row r="171" spans="1:37">
      <c r="A171" s="305"/>
      <c r="B171" s="306" t="s">
        <v>822</v>
      </c>
      <c r="C171" s="307">
        <v>272769.75000000006</v>
      </c>
      <c r="D171" s="308">
        <v>62736.549999999996</v>
      </c>
      <c r="E171" s="308">
        <v>160961.15000000005</v>
      </c>
      <c r="F171" s="308">
        <v>6268.8083333333334</v>
      </c>
      <c r="G171" s="308">
        <v>15869.975</v>
      </c>
      <c r="H171" s="308"/>
      <c r="I171" s="307">
        <v>518606.2333333334</v>
      </c>
      <c r="J171" s="307">
        <v>27730.011111111111</v>
      </c>
      <c r="K171" s="308">
        <v>346865.94222222216</v>
      </c>
      <c r="L171" s="308">
        <v>86365.074444444443</v>
      </c>
      <c r="M171" s="308">
        <v>15507.774444444443</v>
      </c>
      <c r="N171" s="307">
        <v>476468.80222222215</v>
      </c>
      <c r="O171" s="322">
        <v>85117.037777777776</v>
      </c>
      <c r="P171" s="308">
        <v>85117.037777777776</v>
      </c>
      <c r="Q171" s="307"/>
      <c r="R171" s="307"/>
      <c r="S171" s="307"/>
      <c r="T171" s="309">
        <v>2466.9583333333335</v>
      </c>
      <c r="U171" s="309">
        <v>2466.9583333333335</v>
      </c>
      <c r="V171" s="309">
        <v>71508.305555555562</v>
      </c>
      <c r="W171" s="309">
        <v>71508.305555555562</v>
      </c>
      <c r="X171" s="309">
        <v>11660.39</v>
      </c>
      <c r="Y171" s="309">
        <v>11660.39</v>
      </c>
      <c r="Z171" s="309">
        <v>1948.3422222222221</v>
      </c>
      <c r="AA171" s="323">
        <v>1948.3422222222221</v>
      </c>
      <c r="AB171" s="311">
        <v>1167776.0694444443</v>
      </c>
      <c r="AC171" s="312"/>
      <c r="AD171" s="281"/>
      <c r="AE171" s="282" t="s">
        <v>1000</v>
      </c>
      <c r="AF171" s="269">
        <f>+GETPIVOTDATA("Sum of NEW Grand Total FTE",$A$2,"State","TX","Category","7","Category2","Two-Year")</f>
        <v>27730.011111111111</v>
      </c>
      <c r="AG171" s="269">
        <f>+GETPIVOTDATA("Sum of NEW Grand Total FTE",$A$2,"State","TX","Category","8","Category2","Two-Year")-GETPIVOTDATA("Sum of NEW Grand Total FTE",$A$2,"State","TX","Category","08b","Category2","08b")</f>
        <v>275357.6366666666</v>
      </c>
      <c r="AH171" s="269">
        <f>+GETPIVOTDATA("Sum of NEW Grand Total FTE",$A$2,"State","TX","Category","9","Category2","Two-Year")-GETPIVOTDATA("Sum of NEW Grand Total FTE",$A$2,"State","TX","Category","09b","Category2","09b")</f>
        <v>74704.684444444443</v>
      </c>
      <c r="AI171" s="269">
        <f>+GETPIVOTDATA("Sum of NEW Grand Total FTE",$A$2,"State","TX","Category","10","Category2","Two-Year")-GETPIVOTDATA("Sum of NEW Grand Total FTE",$A$2,"State","TX","Category","10b","Category2","10b")</f>
        <v>13559.432222222222</v>
      </c>
      <c r="AJ171" s="269">
        <f>+GETPIVOTDATA("Sum of NEW Grand Total FTE",$A$2,"State","TX","Category","11","Category2","11")</f>
        <v>85117.037777777776</v>
      </c>
      <c r="AK171" s="269">
        <f>SUM(AF171:AJ171)</f>
        <v>476468.80222222209</v>
      </c>
    </row>
    <row r="172" spans="1:37">
      <c r="A172" s="324"/>
      <c r="B172" s="325" t="s">
        <v>830</v>
      </c>
      <c r="C172" s="314">
        <v>3.4696491248312249E-2</v>
      </c>
      <c r="D172" s="315">
        <v>2.5815766503164007E-2</v>
      </c>
      <c r="E172" s="315">
        <v>2.0592679474673904E-2</v>
      </c>
      <c r="F172" s="315">
        <v>1.4258132191424357E-2</v>
      </c>
      <c r="G172" s="315">
        <v>2.9866945566871285E-2</v>
      </c>
      <c r="H172" s="315">
        <v>0</v>
      </c>
      <c r="I172" s="314">
        <v>2.8808133027961601E-2</v>
      </c>
      <c r="J172" s="314">
        <v>1.5862335790459807E-2</v>
      </c>
      <c r="K172" s="315">
        <v>-6.2364000845092915E-3</v>
      </c>
      <c r="L172" s="315">
        <v>5.5409393172603794E-3</v>
      </c>
      <c r="M172" s="315">
        <v>5.8654011057122653E-2</v>
      </c>
      <c r="N172" s="314">
        <v>-8.5697298355206716E-4</v>
      </c>
      <c r="O172" s="316">
        <v>-2.6528628158087862E-3</v>
      </c>
      <c r="P172" s="315">
        <v>-2.6528628158087862E-3</v>
      </c>
      <c r="Q172" s="314">
        <v>0</v>
      </c>
      <c r="R172" s="314">
        <v>0</v>
      </c>
      <c r="S172" s="314">
        <v>0</v>
      </c>
      <c r="T172" s="317">
        <v>0.3623457187825016</v>
      </c>
      <c r="U172" s="317">
        <v>0.3623457187825016</v>
      </c>
      <c r="V172" s="317">
        <v>-1.3417935195877969E-2</v>
      </c>
      <c r="W172" s="317">
        <v>-1.3417935195877969E-2</v>
      </c>
      <c r="X172" s="317">
        <v>2.8763536993075909E-2</v>
      </c>
      <c r="Y172" s="317">
        <v>2.8763536993075909E-2</v>
      </c>
      <c r="Z172" s="317">
        <v>0.27490951709977773</v>
      </c>
      <c r="AA172" s="318">
        <v>0.27490951709977773</v>
      </c>
      <c r="AB172" s="311">
        <v>1.2411699617410649E-2</v>
      </c>
      <c r="AC172" s="312"/>
      <c r="AD172" s="321"/>
      <c r="AE172" s="282"/>
    </row>
    <row r="173" spans="1:37">
      <c r="A173" s="303" t="s">
        <v>757</v>
      </c>
      <c r="B173" s="291" t="s">
        <v>803</v>
      </c>
      <c r="C173" s="285">
        <v>103273.93333333333</v>
      </c>
      <c r="D173" s="276">
        <v>6210.9966666666678</v>
      </c>
      <c r="E173" s="276">
        <v>45272.5</v>
      </c>
      <c r="F173" s="276"/>
      <c r="G173" s="276">
        <v>4926.3666666666668</v>
      </c>
      <c r="H173" s="276">
        <v>1733.5333333333333</v>
      </c>
      <c r="I173" s="285">
        <v>161417.32999999999</v>
      </c>
      <c r="J173" s="285"/>
      <c r="K173" s="276">
        <v>71586.55</v>
      </c>
      <c r="L173" s="276">
        <v>33529</v>
      </c>
      <c r="M173" s="276">
        <v>10137.866666666667</v>
      </c>
      <c r="N173" s="285">
        <v>115253.41666666667</v>
      </c>
      <c r="O173" s="285">
        <v>114109.78333333334</v>
      </c>
      <c r="P173" s="276">
        <v>114109.78333333334</v>
      </c>
      <c r="Q173" s="285"/>
      <c r="R173" s="285"/>
      <c r="S173" s="285"/>
      <c r="T173" s="287"/>
      <c r="U173" s="287"/>
      <c r="V173" s="287">
        <v>71586.55</v>
      </c>
      <c r="W173" s="287">
        <v>71586.55</v>
      </c>
      <c r="X173" s="287">
        <v>35299.699999999997</v>
      </c>
      <c r="Y173" s="287">
        <v>35299.699999999997</v>
      </c>
      <c r="Z173" s="287">
        <v>8367.1666666666679</v>
      </c>
      <c r="AA173" s="304">
        <v>8367.1666666666679</v>
      </c>
      <c r="AB173" s="289">
        <v>506033.94666666666</v>
      </c>
      <c r="AC173" s="290"/>
      <c r="AD173" s="281"/>
      <c r="AE173" s="282"/>
    </row>
    <row r="174" spans="1:37">
      <c r="A174" s="305"/>
      <c r="B174" s="306" t="s">
        <v>804</v>
      </c>
      <c r="C174" s="307">
        <v>104504.88333333333</v>
      </c>
      <c r="D174" s="308">
        <v>6212.12</v>
      </c>
      <c r="E174" s="308">
        <v>44778.38</v>
      </c>
      <c r="F174" s="308"/>
      <c r="G174" s="308">
        <v>4866.333333333333</v>
      </c>
      <c r="H174" s="308">
        <v>1661.0333333333333</v>
      </c>
      <c r="I174" s="307">
        <v>162022.75</v>
      </c>
      <c r="J174" s="307"/>
      <c r="K174" s="308">
        <v>68059.95</v>
      </c>
      <c r="L174" s="308">
        <v>31862.633333333335</v>
      </c>
      <c r="M174" s="308">
        <v>10240.1</v>
      </c>
      <c r="N174" s="307">
        <v>110162.68333333333</v>
      </c>
      <c r="O174" s="307">
        <v>110525.08333333333</v>
      </c>
      <c r="P174" s="308">
        <v>110525.08333333333</v>
      </c>
      <c r="Q174" s="307"/>
      <c r="R174" s="307"/>
      <c r="S174" s="307"/>
      <c r="T174" s="309"/>
      <c r="U174" s="309"/>
      <c r="V174" s="309">
        <v>68059.95</v>
      </c>
      <c r="W174" s="309">
        <v>68059.95</v>
      </c>
      <c r="X174" s="309">
        <v>31862.633333333335</v>
      </c>
      <c r="Y174" s="309">
        <v>31862.633333333335</v>
      </c>
      <c r="Z174" s="309">
        <v>10240.1</v>
      </c>
      <c r="AA174" s="310">
        <v>10240.1</v>
      </c>
      <c r="AB174" s="311">
        <v>492873.2</v>
      </c>
      <c r="AC174" s="312"/>
      <c r="AD174" s="281"/>
      <c r="AE174" s="282"/>
    </row>
    <row r="175" spans="1:37">
      <c r="A175" s="305"/>
      <c r="B175" s="313" t="s">
        <v>824</v>
      </c>
      <c r="C175" s="314">
        <v>1.1919271013208209E-2</v>
      </c>
      <c r="D175" s="315">
        <v>1.8086200872732998E-4</v>
      </c>
      <c r="E175" s="315">
        <v>-1.0914351979678671E-2</v>
      </c>
      <c r="F175" s="315">
        <v>0</v>
      </c>
      <c r="G175" s="315">
        <v>-1.2186127707370629E-2</v>
      </c>
      <c r="H175" s="315">
        <v>-4.18220974502942E-2</v>
      </c>
      <c r="I175" s="314">
        <v>3.7506505652149229E-3</v>
      </c>
      <c r="J175" s="314">
        <v>0</v>
      </c>
      <c r="K175" s="315">
        <v>-4.9263444040815008E-2</v>
      </c>
      <c r="L175" s="315">
        <v>-4.9699265312614899E-2</v>
      </c>
      <c r="M175" s="315">
        <v>1.0084304390141276E-2</v>
      </c>
      <c r="N175" s="314">
        <v>-4.4169912533323467E-2</v>
      </c>
      <c r="O175" s="316">
        <v>-3.1414484326278289E-2</v>
      </c>
      <c r="P175" s="315">
        <v>-3.1414484326278289E-2</v>
      </c>
      <c r="Q175" s="314">
        <v>0</v>
      </c>
      <c r="R175" s="314">
        <v>0</v>
      </c>
      <c r="S175" s="314">
        <v>0</v>
      </c>
      <c r="T175" s="317">
        <v>0</v>
      </c>
      <c r="U175" s="317">
        <v>0</v>
      </c>
      <c r="V175" s="317">
        <v>-4.9263444040815008E-2</v>
      </c>
      <c r="W175" s="317">
        <v>-4.9263444040815008E-2</v>
      </c>
      <c r="X175" s="317">
        <v>-9.7368155159014452E-2</v>
      </c>
      <c r="Y175" s="317">
        <v>-9.7368155159014452E-2</v>
      </c>
      <c r="Z175" s="317">
        <v>0.2238431966217157</v>
      </c>
      <c r="AA175" s="318">
        <v>0.2238431966217157</v>
      </c>
      <c r="AB175" s="319">
        <v>-2.6007635956755003E-2</v>
      </c>
      <c r="AC175" s="320"/>
      <c r="AD175" s="321"/>
      <c r="AE175" s="282"/>
    </row>
    <row r="176" spans="1:37">
      <c r="A176" s="305"/>
      <c r="B176" s="306" t="s">
        <v>812</v>
      </c>
      <c r="C176" s="307">
        <v>0</v>
      </c>
      <c r="D176" s="308">
        <v>0</v>
      </c>
      <c r="E176" s="308">
        <v>0</v>
      </c>
      <c r="F176" s="308"/>
      <c r="G176" s="308">
        <v>0</v>
      </c>
      <c r="H176" s="308">
        <v>0</v>
      </c>
      <c r="I176" s="307">
        <v>0</v>
      </c>
      <c r="J176" s="307"/>
      <c r="K176" s="308">
        <v>0</v>
      </c>
      <c r="L176" s="308">
        <v>0</v>
      </c>
      <c r="M176" s="308">
        <v>0</v>
      </c>
      <c r="N176" s="307">
        <v>0</v>
      </c>
      <c r="O176" s="322">
        <v>0</v>
      </c>
      <c r="P176" s="308">
        <v>0</v>
      </c>
      <c r="Q176" s="307"/>
      <c r="R176" s="307"/>
      <c r="S176" s="307"/>
      <c r="T176" s="309"/>
      <c r="U176" s="309"/>
      <c r="V176" s="309">
        <v>0</v>
      </c>
      <c r="W176" s="309">
        <v>0</v>
      </c>
      <c r="X176" s="309">
        <v>0</v>
      </c>
      <c r="Y176" s="309">
        <v>0</v>
      </c>
      <c r="Z176" s="309">
        <v>0</v>
      </c>
      <c r="AA176" s="323">
        <v>0</v>
      </c>
      <c r="AB176" s="311">
        <v>0</v>
      </c>
      <c r="AC176" s="312"/>
      <c r="AD176" s="281"/>
      <c r="AE176" s="282"/>
    </row>
    <row r="177" spans="1:37">
      <c r="A177" s="305"/>
      <c r="B177" s="306" t="s">
        <v>814</v>
      </c>
      <c r="C177" s="307">
        <v>0</v>
      </c>
      <c r="D177" s="308">
        <v>0</v>
      </c>
      <c r="E177" s="308">
        <v>0</v>
      </c>
      <c r="F177" s="308"/>
      <c r="G177" s="308">
        <v>0</v>
      </c>
      <c r="H177" s="308">
        <v>0</v>
      </c>
      <c r="I177" s="307">
        <v>0</v>
      </c>
      <c r="J177" s="307"/>
      <c r="K177" s="308">
        <v>0</v>
      </c>
      <c r="L177" s="308">
        <v>0</v>
      </c>
      <c r="M177" s="308">
        <v>0</v>
      </c>
      <c r="N177" s="307">
        <v>0</v>
      </c>
      <c r="O177" s="322">
        <v>0</v>
      </c>
      <c r="P177" s="308">
        <v>0</v>
      </c>
      <c r="Q177" s="307"/>
      <c r="R177" s="307"/>
      <c r="S177" s="307"/>
      <c r="T177" s="309"/>
      <c r="U177" s="309"/>
      <c r="V177" s="309">
        <v>0</v>
      </c>
      <c r="W177" s="309">
        <v>0</v>
      </c>
      <c r="X177" s="309">
        <v>0</v>
      </c>
      <c r="Y177" s="309">
        <v>0</v>
      </c>
      <c r="Z177" s="309">
        <v>0</v>
      </c>
      <c r="AA177" s="323">
        <v>0</v>
      </c>
      <c r="AB177" s="311">
        <v>0</v>
      </c>
      <c r="AC177" s="312"/>
      <c r="AD177" s="281"/>
      <c r="AE177" s="282"/>
    </row>
    <row r="178" spans="1:37">
      <c r="A178" s="305"/>
      <c r="B178" s="313" t="s">
        <v>826</v>
      </c>
      <c r="C178" s="314">
        <v>0</v>
      </c>
      <c r="D178" s="315">
        <v>0</v>
      </c>
      <c r="E178" s="315">
        <v>0</v>
      </c>
      <c r="F178" s="315">
        <v>0</v>
      </c>
      <c r="G178" s="315">
        <v>0</v>
      </c>
      <c r="H178" s="315">
        <v>0</v>
      </c>
      <c r="I178" s="314">
        <v>0</v>
      </c>
      <c r="J178" s="314">
        <v>0</v>
      </c>
      <c r="K178" s="315">
        <v>0</v>
      </c>
      <c r="L178" s="315">
        <v>0</v>
      </c>
      <c r="M178" s="315">
        <v>0</v>
      </c>
      <c r="N178" s="314">
        <v>0</v>
      </c>
      <c r="O178" s="316">
        <v>0</v>
      </c>
      <c r="P178" s="315">
        <v>0</v>
      </c>
      <c r="Q178" s="314">
        <v>0</v>
      </c>
      <c r="R178" s="314">
        <v>0</v>
      </c>
      <c r="S178" s="314">
        <v>0</v>
      </c>
      <c r="T178" s="317">
        <v>0</v>
      </c>
      <c r="U178" s="317">
        <v>0</v>
      </c>
      <c r="V178" s="317">
        <v>0</v>
      </c>
      <c r="W178" s="317">
        <v>0</v>
      </c>
      <c r="X178" s="317">
        <v>0</v>
      </c>
      <c r="Y178" s="317">
        <v>0</v>
      </c>
      <c r="Z178" s="317">
        <v>0</v>
      </c>
      <c r="AA178" s="318">
        <v>0</v>
      </c>
      <c r="AB178" s="319">
        <v>0</v>
      </c>
      <c r="AC178" s="320"/>
      <c r="AD178" s="321"/>
      <c r="AE178" s="282"/>
    </row>
    <row r="179" spans="1:37">
      <c r="A179" s="305"/>
      <c r="B179" s="306" t="s">
        <v>816</v>
      </c>
      <c r="C179" s="307">
        <v>28650.0625</v>
      </c>
      <c r="D179" s="308">
        <v>2279.875</v>
      </c>
      <c r="E179" s="308">
        <v>3638.3916666666664</v>
      </c>
      <c r="F179" s="308"/>
      <c r="G179" s="308">
        <v>136.75</v>
      </c>
      <c r="H179" s="308">
        <v>0</v>
      </c>
      <c r="I179" s="307">
        <v>34705.079166666663</v>
      </c>
      <c r="J179" s="307"/>
      <c r="K179" s="308">
        <v>0</v>
      </c>
      <c r="L179" s="308">
        <v>0</v>
      </c>
      <c r="M179" s="308">
        <v>0</v>
      </c>
      <c r="N179" s="307">
        <v>0</v>
      </c>
      <c r="O179" s="322">
        <v>0</v>
      </c>
      <c r="P179" s="308">
        <v>0</v>
      </c>
      <c r="Q179" s="307"/>
      <c r="R179" s="307"/>
      <c r="S179" s="307"/>
      <c r="T179" s="309"/>
      <c r="U179" s="309"/>
      <c r="V179" s="309">
        <v>0</v>
      </c>
      <c r="W179" s="309">
        <v>0</v>
      </c>
      <c r="X179" s="309">
        <v>0</v>
      </c>
      <c r="Y179" s="309">
        <v>0</v>
      </c>
      <c r="Z179" s="309">
        <v>0</v>
      </c>
      <c r="AA179" s="323">
        <v>0</v>
      </c>
      <c r="AB179" s="311">
        <v>34705.079166666663</v>
      </c>
      <c r="AC179" s="312"/>
      <c r="AD179" s="281"/>
      <c r="AE179" s="282"/>
    </row>
    <row r="180" spans="1:37">
      <c r="A180" s="305"/>
      <c r="B180" s="306" t="s">
        <v>818</v>
      </c>
      <c r="C180" s="307">
        <v>28774.220833333329</v>
      </c>
      <c r="D180" s="308">
        <v>2412.2083333333335</v>
      </c>
      <c r="E180" s="308">
        <v>3615.8333333333335</v>
      </c>
      <c r="F180" s="308"/>
      <c r="G180" s="308">
        <v>136.66666666666666</v>
      </c>
      <c r="H180" s="308">
        <v>0</v>
      </c>
      <c r="I180" s="307">
        <v>34938.929166666661</v>
      </c>
      <c r="J180" s="307"/>
      <c r="K180" s="308">
        <v>0</v>
      </c>
      <c r="L180" s="308">
        <v>0</v>
      </c>
      <c r="M180" s="308">
        <v>0</v>
      </c>
      <c r="N180" s="307">
        <v>0</v>
      </c>
      <c r="O180" s="322">
        <v>0</v>
      </c>
      <c r="P180" s="308">
        <v>0</v>
      </c>
      <c r="Q180" s="307"/>
      <c r="R180" s="307"/>
      <c r="S180" s="307"/>
      <c r="T180" s="309"/>
      <c r="U180" s="309"/>
      <c r="V180" s="309">
        <v>0</v>
      </c>
      <c r="W180" s="309">
        <v>0</v>
      </c>
      <c r="X180" s="309">
        <v>0</v>
      </c>
      <c r="Y180" s="309">
        <v>0</v>
      </c>
      <c r="Z180" s="309">
        <v>0</v>
      </c>
      <c r="AA180" s="323">
        <v>0</v>
      </c>
      <c r="AB180" s="311">
        <v>34938.929166666661</v>
      </c>
      <c r="AC180" s="312"/>
      <c r="AD180" s="281"/>
      <c r="AE180" s="282"/>
    </row>
    <row r="181" spans="1:37">
      <c r="A181" s="305"/>
      <c r="B181" s="313" t="s">
        <v>828</v>
      </c>
      <c r="C181" s="314">
        <v>4.3336147463318517E-3</v>
      </c>
      <c r="D181" s="315">
        <v>5.8044117915821473E-2</v>
      </c>
      <c r="E181" s="315">
        <v>-6.2000838282481796E-3</v>
      </c>
      <c r="F181" s="315">
        <v>0</v>
      </c>
      <c r="G181" s="315">
        <v>-6.0938452163321983E-4</v>
      </c>
      <c r="H181" s="315">
        <v>0</v>
      </c>
      <c r="I181" s="314">
        <v>6.7382067874548514E-3</v>
      </c>
      <c r="J181" s="314">
        <v>0</v>
      </c>
      <c r="K181" s="315">
        <v>0</v>
      </c>
      <c r="L181" s="315">
        <v>0</v>
      </c>
      <c r="M181" s="315">
        <v>0</v>
      </c>
      <c r="N181" s="314">
        <v>0</v>
      </c>
      <c r="O181" s="316">
        <v>0</v>
      </c>
      <c r="P181" s="315">
        <v>0</v>
      </c>
      <c r="Q181" s="314">
        <v>0</v>
      </c>
      <c r="R181" s="314">
        <v>0</v>
      </c>
      <c r="S181" s="314">
        <v>0</v>
      </c>
      <c r="T181" s="317">
        <v>0</v>
      </c>
      <c r="U181" s="317">
        <v>0</v>
      </c>
      <c r="V181" s="317">
        <v>0</v>
      </c>
      <c r="W181" s="317">
        <v>0</v>
      </c>
      <c r="X181" s="317">
        <v>0</v>
      </c>
      <c r="Y181" s="317">
        <v>0</v>
      </c>
      <c r="Z181" s="317">
        <v>0</v>
      </c>
      <c r="AA181" s="318">
        <v>0</v>
      </c>
      <c r="AB181" s="319">
        <v>6.7382067874548514E-3</v>
      </c>
      <c r="AC181" s="320"/>
      <c r="AD181" s="321"/>
      <c r="AE181" s="282"/>
      <c r="AF181" s="328"/>
      <c r="AG181" s="329"/>
      <c r="AI181" s="269" t="s">
        <v>753</v>
      </c>
      <c r="AJ181" s="269">
        <v>11</v>
      </c>
      <c r="AK181" s="269" t="s">
        <v>848</v>
      </c>
    </row>
    <row r="182" spans="1:37">
      <c r="A182" s="305"/>
      <c r="B182" s="306" t="s">
        <v>820</v>
      </c>
      <c r="C182" s="307">
        <v>131923.99583333335</v>
      </c>
      <c r="D182" s="308">
        <v>8490.8716666666678</v>
      </c>
      <c r="E182" s="308">
        <v>48910.891666666677</v>
      </c>
      <c r="F182" s="308"/>
      <c r="G182" s="308">
        <v>5063.1166666666668</v>
      </c>
      <c r="H182" s="308">
        <v>1733.5333333333333</v>
      </c>
      <c r="I182" s="307">
        <v>196122.40916666671</v>
      </c>
      <c r="J182" s="307"/>
      <c r="K182" s="308">
        <v>71586.55</v>
      </c>
      <c r="L182" s="308">
        <v>33529</v>
      </c>
      <c r="M182" s="308">
        <v>10137.866666666667</v>
      </c>
      <c r="N182" s="307">
        <v>115253.41666666667</v>
      </c>
      <c r="O182" s="322">
        <v>114109.78333333334</v>
      </c>
      <c r="P182" s="308">
        <v>114109.78333333334</v>
      </c>
      <c r="Q182" s="307"/>
      <c r="R182" s="307"/>
      <c r="S182" s="307"/>
      <c r="T182" s="309"/>
      <c r="U182" s="309"/>
      <c r="V182" s="309">
        <v>71586.55</v>
      </c>
      <c r="W182" s="309">
        <v>71586.55</v>
      </c>
      <c r="X182" s="309">
        <v>35299.699999999997</v>
      </c>
      <c r="Y182" s="309">
        <v>35299.699999999997</v>
      </c>
      <c r="Z182" s="309">
        <v>8367.1666666666679</v>
      </c>
      <c r="AA182" s="323">
        <v>8367.1666666666679</v>
      </c>
      <c r="AB182" s="311">
        <v>540739.02583333326</v>
      </c>
      <c r="AC182" s="312"/>
      <c r="AD182" s="281"/>
      <c r="AE182" s="282" t="s">
        <v>999</v>
      </c>
      <c r="AF182" s="330"/>
      <c r="AI182" s="269">
        <f>+GETPIVOTDATA("Sum of Old Grand Total FTE",$A$2,"State","VA","Category","10b","Category2","10b")</f>
        <v>8367.1666666666679</v>
      </c>
      <c r="AJ182" s="269">
        <f>+GETPIVOTDATA("Sum of Old Grand Total FTE",$A$2,"State","VA","Category","11","Category2","11")</f>
        <v>114109.78333333334</v>
      </c>
      <c r="AK182" s="269">
        <f>+AJ182+AI182</f>
        <v>122476.95000000001</v>
      </c>
    </row>
    <row r="183" spans="1:37">
      <c r="A183" s="305"/>
      <c r="B183" s="306" t="s">
        <v>822</v>
      </c>
      <c r="C183" s="307">
        <v>133279.10416666666</v>
      </c>
      <c r="D183" s="308">
        <v>8624.3283333333329</v>
      </c>
      <c r="E183" s="308">
        <v>48394.213333333333</v>
      </c>
      <c r="F183" s="308"/>
      <c r="G183" s="308">
        <v>5003</v>
      </c>
      <c r="H183" s="308">
        <v>1661.0333333333333</v>
      </c>
      <c r="I183" s="307">
        <v>196961.67916666664</v>
      </c>
      <c r="J183" s="307"/>
      <c r="K183" s="308">
        <v>68059.95</v>
      </c>
      <c r="L183" s="308">
        <v>31862.633333333335</v>
      </c>
      <c r="M183" s="308">
        <v>10240.1</v>
      </c>
      <c r="N183" s="307">
        <v>110162.68333333333</v>
      </c>
      <c r="O183" s="322">
        <v>110525.08333333333</v>
      </c>
      <c r="P183" s="308">
        <v>110525.08333333333</v>
      </c>
      <c r="Q183" s="307"/>
      <c r="R183" s="307"/>
      <c r="S183" s="307"/>
      <c r="T183" s="309"/>
      <c r="U183" s="309"/>
      <c r="V183" s="309">
        <v>68059.95</v>
      </c>
      <c r="W183" s="309">
        <v>68059.95</v>
      </c>
      <c r="X183" s="309">
        <v>31862.633333333335</v>
      </c>
      <c r="Y183" s="309">
        <v>31862.633333333335</v>
      </c>
      <c r="Z183" s="309">
        <v>10240.1</v>
      </c>
      <c r="AA183" s="323">
        <v>10240.1</v>
      </c>
      <c r="AB183" s="311">
        <v>527812.12916666665</v>
      </c>
      <c r="AC183" s="312"/>
      <c r="AD183" s="281"/>
      <c r="AE183" s="282" t="s">
        <v>1000</v>
      </c>
      <c r="AF183" s="330"/>
      <c r="AI183" s="269">
        <f>+GETPIVOTDATA("Sum of NEW Grand Total FTE",$A$2,"State","VA","Category","10b","Category2","10b")</f>
        <v>10240.1</v>
      </c>
      <c r="AJ183" s="269">
        <f>+GETPIVOTDATA("Sum of NEW Grand Total FTE",$A$2,"State","VA","Category","11","Category2","11")</f>
        <v>110525.08333333333</v>
      </c>
      <c r="AK183" s="269">
        <f>+AJ183+AI183</f>
        <v>120765.18333333333</v>
      </c>
    </row>
    <row r="184" spans="1:37">
      <c r="A184" s="324"/>
      <c r="B184" s="325" t="s">
        <v>830</v>
      </c>
      <c r="C184" s="314">
        <v>1.0271886663024437E-2</v>
      </c>
      <c r="D184" s="315">
        <v>1.5717663851944345E-2</v>
      </c>
      <c r="E184" s="315">
        <v>-1.0563666204545323E-2</v>
      </c>
      <c r="F184" s="315">
        <v>0</v>
      </c>
      <c r="G184" s="315">
        <v>-1.1873450805992379E-2</v>
      </c>
      <c r="H184" s="315">
        <v>-4.18220974502942E-2</v>
      </c>
      <c r="I184" s="314">
        <v>4.2793172058513294E-3</v>
      </c>
      <c r="J184" s="314">
        <v>0</v>
      </c>
      <c r="K184" s="315">
        <v>-4.9263444040815008E-2</v>
      </c>
      <c r="L184" s="315">
        <v>-4.9699265312614899E-2</v>
      </c>
      <c r="M184" s="315">
        <v>1.0084304390141276E-2</v>
      </c>
      <c r="N184" s="314">
        <v>-4.4169912533323467E-2</v>
      </c>
      <c r="O184" s="316">
        <v>-3.1414484326278289E-2</v>
      </c>
      <c r="P184" s="315">
        <v>-3.1414484326278289E-2</v>
      </c>
      <c r="Q184" s="314">
        <v>0</v>
      </c>
      <c r="R184" s="314">
        <v>0</v>
      </c>
      <c r="S184" s="314">
        <v>0</v>
      </c>
      <c r="T184" s="317">
        <v>0</v>
      </c>
      <c r="U184" s="317">
        <v>0</v>
      </c>
      <c r="V184" s="317">
        <v>-4.9263444040815008E-2</v>
      </c>
      <c r="W184" s="317">
        <v>-4.9263444040815008E-2</v>
      </c>
      <c r="X184" s="317">
        <v>-9.7368155159014452E-2</v>
      </c>
      <c r="Y184" s="317">
        <v>-9.7368155159014452E-2</v>
      </c>
      <c r="Z184" s="317">
        <v>0.2238431966217157</v>
      </c>
      <c r="AA184" s="318">
        <v>0.2238431966217157</v>
      </c>
      <c r="AB184" s="311">
        <v>-2.3905980610046021E-2</v>
      </c>
      <c r="AC184" s="312"/>
      <c r="AD184" s="321"/>
      <c r="AE184" s="282"/>
      <c r="AF184" s="331"/>
      <c r="AG184" s="328"/>
    </row>
    <row r="185" spans="1:37">
      <c r="A185" s="303" t="s">
        <v>519</v>
      </c>
      <c r="B185" s="291" t="s">
        <v>803</v>
      </c>
      <c r="C185" s="285">
        <v>21737.5</v>
      </c>
      <c r="D185" s="276"/>
      <c r="E185" s="276">
        <v>8724.9333333333325</v>
      </c>
      <c r="F185" s="276"/>
      <c r="G185" s="276">
        <v>10904.166666666668</v>
      </c>
      <c r="H185" s="276">
        <v>7921.4433333333327</v>
      </c>
      <c r="I185" s="285">
        <v>49288.043333333335</v>
      </c>
      <c r="J185" s="285">
        <v>1251.7333333333333</v>
      </c>
      <c r="K185" s="276"/>
      <c r="L185" s="276"/>
      <c r="M185" s="276">
        <v>10889.456666666667</v>
      </c>
      <c r="N185" s="285">
        <v>12141.19</v>
      </c>
      <c r="O185" s="285"/>
      <c r="P185" s="276"/>
      <c r="Q185" s="285"/>
      <c r="R185" s="285"/>
      <c r="S185" s="285"/>
      <c r="T185" s="287"/>
      <c r="U185" s="287"/>
      <c r="V185" s="287"/>
      <c r="W185" s="287"/>
      <c r="X185" s="287"/>
      <c r="Y185" s="287"/>
      <c r="Z185" s="287"/>
      <c r="AA185" s="304"/>
      <c r="AB185" s="289">
        <v>61429.23333333333</v>
      </c>
      <c r="AC185" s="290"/>
      <c r="AD185" s="281"/>
      <c r="AE185" s="282"/>
    </row>
    <row r="186" spans="1:37">
      <c r="A186" s="305"/>
      <c r="B186" s="306" t="s">
        <v>804</v>
      </c>
      <c r="C186" s="307">
        <v>21516.9</v>
      </c>
      <c r="D186" s="308"/>
      <c r="E186" s="308">
        <v>8669.2999999999993</v>
      </c>
      <c r="F186" s="308"/>
      <c r="G186" s="308">
        <v>10572.9</v>
      </c>
      <c r="H186" s="308">
        <v>7657.7166666666672</v>
      </c>
      <c r="I186" s="307">
        <v>48416.816666666666</v>
      </c>
      <c r="J186" s="307">
        <v>1160.0666666666666</v>
      </c>
      <c r="K186" s="308"/>
      <c r="L186" s="308"/>
      <c r="M186" s="308">
        <v>10385.156666666668</v>
      </c>
      <c r="N186" s="307">
        <v>11545.223333333335</v>
      </c>
      <c r="O186" s="307"/>
      <c r="P186" s="308"/>
      <c r="Q186" s="307"/>
      <c r="R186" s="307"/>
      <c r="S186" s="307"/>
      <c r="T186" s="309"/>
      <c r="U186" s="309"/>
      <c r="V186" s="309"/>
      <c r="W186" s="309"/>
      <c r="X186" s="309"/>
      <c r="Y186" s="309"/>
      <c r="Z186" s="309"/>
      <c r="AA186" s="310"/>
      <c r="AB186" s="311">
        <v>59962.04</v>
      </c>
      <c r="AC186" s="312"/>
      <c r="AD186" s="281"/>
      <c r="AE186" s="282"/>
    </row>
    <row r="187" spans="1:37">
      <c r="A187" s="305"/>
      <c r="B187" s="313" t="s">
        <v>824</v>
      </c>
      <c r="C187" s="314">
        <v>-1.0148361127084464E-2</v>
      </c>
      <c r="D187" s="315">
        <v>0</v>
      </c>
      <c r="E187" s="315">
        <v>-6.3763619970353029E-3</v>
      </c>
      <c r="F187" s="315">
        <v>0</v>
      </c>
      <c r="G187" s="315">
        <v>-3.0379824226213364E-2</v>
      </c>
      <c r="H187" s="315">
        <v>-3.3292754308663311E-2</v>
      </c>
      <c r="I187" s="314">
        <v>-1.7676227493442699E-2</v>
      </c>
      <c r="J187" s="314">
        <v>-7.3231785257775947E-2</v>
      </c>
      <c r="K187" s="315">
        <v>0</v>
      </c>
      <c r="L187" s="315">
        <v>0</v>
      </c>
      <c r="M187" s="315">
        <v>-4.6310850526059238E-2</v>
      </c>
      <c r="N187" s="314">
        <v>-4.9086347109852109E-2</v>
      </c>
      <c r="O187" s="316">
        <v>0</v>
      </c>
      <c r="P187" s="315">
        <v>0</v>
      </c>
      <c r="Q187" s="314">
        <v>0</v>
      </c>
      <c r="R187" s="314">
        <v>0</v>
      </c>
      <c r="S187" s="314">
        <v>0</v>
      </c>
      <c r="T187" s="317">
        <v>0</v>
      </c>
      <c r="U187" s="317">
        <v>0</v>
      </c>
      <c r="V187" s="317">
        <v>0</v>
      </c>
      <c r="W187" s="317">
        <v>0</v>
      </c>
      <c r="X187" s="317">
        <v>0</v>
      </c>
      <c r="Y187" s="317">
        <v>0</v>
      </c>
      <c r="Z187" s="317">
        <v>0</v>
      </c>
      <c r="AA187" s="318">
        <v>0</v>
      </c>
      <c r="AB187" s="319">
        <v>-2.3884285277856122E-2</v>
      </c>
      <c r="AC187" s="320"/>
      <c r="AD187" s="321"/>
      <c r="AE187" s="282"/>
    </row>
    <row r="188" spans="1:37">
      <c r="A188" s="305"/>
      <c r="B188" s="306" t="s">
        <v>812</v>
      </c>
      <c r="C188" s="307">
        <v>0</v>
      </c>
      <c r="D188" s="308"/>
      <c r="E188" s="308">
        <v>0</v>
      </c>
      <c r="F188" s="308"/>
      <c r="G188" s="308">
        <v>0</v>
      </c>
      <c r="H188" s="308">
        <v>0</v>
      </c>
      <c r="I188" s="307">
        <v>0</v>
      </c>
      <c r="J188" s="307">
        <v>0</v>
      </c>
      <c r="K188" s="308"/>
      <c r="L188" s="308"/>
      <c r="M188" s="308">
        <v>0</v>
      </c>
      <c r="N188" s="307">
        <v>0</v>
      </c>
      <c r="O188" s="322"/>
      <c r="P188" s="308"/>
      <c r="Q188" s="307"/>
      <c r="R188" s="307"/>
      <c r="S188" s="307"/>
      <c r="T188" s="309"/>
      <c r="U188" s="309"/>
      <c r="V188" s="309"/>
      <c r="W188" s="309"/>
      <c r="X188" s="309"/>
      <c r="Y188" s="309"/>
      <c r="Z188" s="309"/>
      <c r="AA188" s="323"/>
      <c r="AB188" s="311">
        <v>0</v>
      </c>
      <c r="AC188" s="312"/>
      <c r="AD188" s="281"/>
      <c r="AE188" s="282"/>
    </row>
    <row r="189" spans="1:37">
      <c r="A189" s="305"/>
      <c r="B189" s="306" t="s">
        <v>814</v>
      </c>
      <c r="C189" s="307">
        <v>0</v>
      </c>
      <c r="D189" s="308"/>
      <c r="E189" s="308">
        <v>0</v>
      </c>
      <c r="F189" s="308"/>
      <c r="G189" s="308">
        <v>0</v>
      </c>
      <c r="H189" s="308">
        <v>0</v>
      </c>
      <c r="I189" s="307">
        <v>0</v>
      </c>
      <c r="J189" s="307">
        <v>0</v>
      </c>
      <c r="K189" s="308"/>
      <c r="L189" s="308"/>
      <c r="M189" s="308">
        <v>0</v>
      </c>
      <c r="N189" s="307">
        <v>0</v>
      </c>
      <c r="O189" s="322"/>
      <c r="P189" s="308"/>
      <c r="Q189" s="307"/>
      <c r="R189" s="307"/>
      <c r="S189" s="307"/>
      <c r="T189" s="309"/>
      <c r="U189" s="309"/>
      <c r="V189" s="309"/>
      <c r="W189" s="309"/>
      <c r="X189" s="309"/>
      <c r="Y189" s="309"/>
      <c r="Z189" s="309"/>
      <c r="AA189" s="323"/>
      <c r="AB189" s="311">
        <v>0</v>
      </c>
      <c r="AC189" s="312"/>
      <c r="AD189" s="281"/>
      <c r="AE189" s="282"/>
    </row>
    <row r="190" spans="1:37">
      <c r="A190" s="305"/>
      <c r="B190" s="313" t="s">
        <v>826</v>
      </c>
      <c r="C190" s="314">
        <v>0</v>
      </c>
      <c r="D190" s="315">
        <v>0</v>
      </c>
      <c r="E190" s="315">
        <v>0</v>
      </c>
      <c r="F190" s="315">
        <v>0</v>
      </c>
      <c r="G190" s="315">
        <v>0</v>
      </c>
      <c r="H190" s="315">
        <v>0</v>
      </c>
      <c r="I190" s="314">
        <v>0</v>
      </c>
      <c r="J190" s="314">
        <v>0</v>
      </c>
      <c r="K190" s="315">
        <v>0</v>
      </c>
      <c r="L190" s="315">
        <v>0</v>
      </c>
      <c r="M190" s="315">
        <v>0</v>
      </c>
      <c r="N190" s="314">
        <v>0</v>
      </c>
      <c r="O190" s="316">
        <v>0</v>
      </c>
      <c r="P190" s="315">
        <v>0</v>
      </c>
      <c r="Q190" s="314">
        <v>0</v>
      </c>
      <c r="R190" s="314">
        <v>0</v>
      </c>
      <c r="S190" s="314">
        <v>0</v>
      </c>
      <c r="T190" s="317">
        <v>0</v>
      </c>
      <c r="U190" s="317">
        <v>0</v>
      </c>
      <c r="V190" s="317">
        <v>0</v>
      </c>
      <c r="W190" s="317">
        <v>0</v>
      </c>
      <c r="X190" s="317">
        <v>0</v>
      </c>
      <c r="Y190" s="317">
        <v>0</v>
      </c>
      <c r="Z190" s="317">
        <v>0</v>
      </c>
      <c r="AA190" s="318">
        <v>0</v>
      </c>
      <c r="AB190" s="319">
        <v>0</v>
      </c>
      <c r="AC190" s="320"/>
      <c r="AD190" s="321"/>
      <c r="AE190" s="282"/>
    </row>
    <row r="191" spans="1:37">
      <c r="A191" s="305"/>
      <c r="B191" s="306" t="s">
        <v>816</v>
      </c>
      <c r="C191" s="307">
        <v>4333.5</v>
      </c>
      <c r="D191" s="308"/>
      <c r="E191" s="308">
        <v>2911.1666666666665</v>
      </c>
      <c r="F191" s="308"/>
      <c r="G191" s="308">
        <v>784.25</v>
      </c>
      <c r="H191" s="308">
        <v>36.791666666666664</v>
      </c>
      <c r="I191" s="307">
        <v>8065.708333333333</v>
      </c>
      <c r="J191" s="307">
        <v>0</v>
      </c>
      <c r="K191" s="308"/>
      <c r="L191" s="308"/>
      <c r="M191" s="308">
        <v>0</v>
      </c>
      <c r="N191" s="307">
        <v>0</v>
      </c>
      <c r="O191" s="322"/>
      <c r="P191" s="308"/>
      <c r="Q191" s="307"/>
      <c r="R191" s="307"/>
      <c r="S191" s="307"/>
      <c r="T191" s="309"/>
      <c r="U191" s="309"/>
      <c r="V191" s="309"/>
      <c r="W191" s="309"/>
      <c r="X191" s="309"/>
      <c r="Y191" s="309"/>
      <c r="Z191" s="309"/>
      <c r="AA191" s="323"/>
      <c r="AB191" s="311">
        <v>8065.708333333333</v>
      </c>
      <c r="AC191" s="312"/>
      <c r="AD191" s="281"/>
      <c r="AE191" s="282"/>
    </row>
    <row r="192" spans="1:37">
      <c r="A192" s="305"/>
      <c r="B192" s="306" t="s">
        <v>818</v>
      </c>
      <c r="C192" s="307">
        <v>4165.583333333333</v>
      </c>
      <c r="D192" s="308"/>
      <c r="E192" s="308">
        <v>3104.625</v>
      </c>
      <c r="F192" s="308"/>
      <c r="G192" s="308">
        <v>837.20833333333326</v>
      </c>
      <c r="H192" s="308">
        <v>53.666666666666664</v>
      </c>
      <c r="I192" s="307">
        <v>8161.083333333333</v>
      </c>
      <c r="J192" s="307">
        <v>0</v>
      </c>
      <c r="K192" s="308"/>
      <c r="L192" s="308"/>
      <c r="M192" s="308">
        <v>0</v>
      </c>
      <c r="N192" s="307">
        <v>0</v>
      </c>
      <c r="O192" s="322"/>
      <c r="P192" s="308"/>
      <c r="Q192" s="307"/>
      <c r="R192" s="307"/>
      <c r="S192" s="307"/>
      <c r="T192" s="309"/>
      <c r="U192" s="309"/>
      <c r="V192" s="309"/>
      <c r="W192" s="309"/>
      <c r="X192" s="309"/>
      <c r="Y192" s="309"/>
      <c r="Z192" s="309"/>
      <c r="AA192" s="323"/>
      <c r="AB192" s="311">
        <v>8161.083333333333</v>
      </c>
      <c r="AC192" s="312"/>
      <c r="AD192" s="281"/>
      <c r="AE192" s="282"/>
    </row>
    <row r="193" spans="1:33">
      <c r="A193" s="305"/>
      <c r="B193" s="313" t="s">
        <v>828</v>
      </c>
      <c r="C193" s="314">
        <v>-3.8748509672704969E-2</v>
      </c>
      <c r="D193" s="315">
        <v>0</v>
      </c>
      <c r="E193" s="315">
        <v>6.6453884467853719E-2</v>
      </c>
      <c r="F193" s="315">
        <v>0</v>
      </c>
      <c r="G193" s="315">
        <v>6.7527361598129748E-2</v>
      </c>
      <c r="H193" s="315">
        <v>0.45866364665911669</v>
      </c>
      <c r="I193" s="314">
        <v>1.1824751907509786E-2</v>
      </c>
      <c r="J193" s="314">
        <v>0</v>
      </c>
      <c r="K193" s="315">
        <v>0</v>
      </c>
      <c r="L193" s="315">
        <v>0</v>
      </c>
      <c r="M193" s="315">
        <v>0</v>
      </c>
      <c r="N193" s="314">
        <v>0</v>
      </c>
      <c r="O193" s="316">
        <v>0</v>
      </c>
      <c r="P193" s="315">
        <v>0</v>
      </c>
      <c r="Q193" s="314">
        <v>0</v>
      </c>
      <c r="R193" s="314">
        <v>0</v>
      </c>
      <c r="S193" s="314">
        <v>0</v>
      </c>
      <c r="T193" s="317">
        <v>0</v>
      </c>
      <c r="U193" s="317">
        <v>0</v>
      </c>
      <c r="V193" s="317">
        <v>0</v>
      </c>
      <c r="W193" s="317">
        <v>0</v>
      </c>
      <c r="X193" s="317">
        <v>0</v>
      </c>
      <c r="Y193" s="317">
        <v>0</v>
      </c>
      <c r="Z193" s="317">
        <v>0</v>
      </c>
      <c r="AA193" s="318">
        <v>0</v>
      </c>
      <c r="AB193" s="319">
        <v>1.1824751907509786E-2</v>
      </c>
      <c r="AC193" s="320"/>
      <c r="AD193" s="321"/>
      <c r="AE193" s="282"/>
      <c r="AF193" s="328"/>
      <c r="AG193" s="329"/>
    </row>
    <row r="194" spans="1:33">
      <c r="A194" s="305"/>
      <c r="B194" s="306" t="s">
        <v>820</v>
      </c>
      <c r="C194" s="307">
        <v>26071</v>
      </c>
      <c r="D194" s="308"/>
      <c r="E194" s="308">
        <v>11636.099999999999</v>
      </c>
      <c r="F194" s="308"/>
      <c r="G194" s="308">
        <v>11688.416666666666</v>
      </c>
      <c r="H194" s="308">
        <v>7958.2349999999988</v>
      </c>
      <c r="I194" s="307">
        <v>57353.751666666663</v>
      </c>
      <c r="J194" s="307">
        <v>1251.7333333333333</v>
      </c>
      <c r="K194" s="308"/>
      <c r="L194" s="308"/>
      <c r="M194" s="308">
        <v>10889.456666666667</v>
      </c>
      <c r="N194" s="307">
        <v>12141.19</v>
      </c>
      <c r="O194" s="322"/>
      <c r="P194" s="308"/>
      <c r="Q194" s="307"/>
      <c r="R194" s="307"/>
      <c r="S194" s="307"/>
      <c r="T194" s="309"/>
      <c r="U194" s="309"/>
      <c r="V194" s="309"/>
      <c r="W194" s="309"/>
      <c r="X194" s="309"/>
      <c r="Y194" s="309"/>
      <c r="Z194" s="309"/>
      <c r="AA194" s="323"/>
      <c r="AB194" s="311">
        <v>69494.941666666666</v>
      </c>
      <c r="AC194" s="312"/>
      <c r="AD194" s="281"/>
      <c r="AE194" s="282"/>
      <c r="AF194" s="330"/>
    </row>
    <row r="195" spans="1:33">
      <c r="A195" s="305"/>
      <c r="B195" s="306" t="s">
        <v>822</v>
      </c>
      <c r="C195" s="307">
        <v>25682.483333333334</v>
      </c>
      <c r="D195" s="308"/>
      <c r="E195" s="308">
        <v>11773.924999999999</v>
      </c>
      <c r="F195" s="308"/>
      <c r="G195" s="308">
        <v>11410.108333333332</v>
      </c>
      <c r="H195" s="308">
        <v>7711.3833333333341</v>
      </c>
      <c r="I195" s="307">
        <v>56577.899999999994</v>
      </c>
      <c r="J195" s="307">
        <v>1160.0666666666666</v>
      </c>
      <c r="K195" s="308"/>
      <c r="L195" s="308"/>
      <c r="M195" s="308">
        <v>10385.156666666668</v>
      </c>
      <c r="N195" s="307">
        <v>11545.223333333335</v>
      </c>
      <c r="O195" s="322"/>
      <c r="P195" s="308"/>
      <c r="Q195" s="307"/>
      <c r="R195" s="307"/>
      <c r="S195" s="307"/>
      <c r="T195" s="309"/>
      <c r="U195" s="309"/>
      <c r="V195" s="309"/>
      <c r="W195" s="309"/>
      <c r="X195" s="309"/>
      <c r="Y195" s="309"/>
      <c r="Z195" s="309"/>
      <c r="AA195" s="323"/>
      <c r="AB195" s="311">
        <v>68123.123333333322</v>
      </c>
      <c r="AC195" s="312"/>
      <c r="AD195" s="281"/>
      <c r="AE195" s="282"/>
      <c r="AF195" s="330"/>
    </row>
    <row r="196" spans="1:33">
      <c r="A196" s="324"/>
      <c r="B196" s="325" t="s">
        <v>830</v>
      </c>
      <c r="C196" s="314">
        <v>-1.4902254100980646E-2</v>
      </c>
      <c r="D196" s="315">
        <v>0</v>
      </c>
      <c r="E196" s="315">
        <v>1.184460429181605E-2</v>
      </c>
      <c r="F196" s="315">
        <v>0</v>
      </c>
      <c r="G196" s="315">
        <v>-2.3810610219519409E-2</v>
      </c>
      <c r="H196" s="315">
        <v>-3.1018393735126531E-2</v>
      </c>
      <c r="I196" s="314">
        <v>-1.3527478920225159E-2</v>
      </c>
      <c r="J196" s="314">
        <v>-7.3231785257775947E-2</v>
      </c>
      <c r="K196" s="315">
        <v>0</v>
      </c>
      <c r="L196" s="315">
        <v>0</v>
      </c>
      <c r="M196" s="315">
        <v>-4.6310850526059238E-2</v>
      </c>
      <c r="N196" s="314">
        <v>-4.9086347109852109E-2</v>
      </c>
      <c r="O196" s="316">
        <v>0</v>
      </c>
      <c r="P196" s="315">
        <v>0</v>
      </c>
      <c r="Q196" s="314">
        <v>0</v>
      </c>
      <c r="R196" s="314">
        <v>0</v>
      </c>
      <c r="S196" s="314">
        <v>0</v>
      </c>
      <c r="T196" s="317">
        <v>0</v>
      </c>
      <c r="U196" s="317">
        <v>0</v>
      </c>
      <c r="V196" s="317">
        <v>0</v>
      </c>
      <c r="W196" s="317">
        <v>0</v>
      </c>
      <c r="X196" s="317">
        <v>0</v>
      </c>
      <c r="Y196" s="317">
        <v>0</v>
      </c>
      <c r="Z196" s="317">
        <v>0</v>
      </c>
      <c r="AA196" s="318">
        <v>0</v>
      </c>
      <c r="AB196" s="311">
        <v>-1.9739829985227674E-2</v>
      </c>
      <c r="AC196" s="312"/>
      <c r="AD196" s="321"/>
      <c r="AE196" s="282"/>
      <c r="AF196" s="331"/>
      <c r="AG196" s="328"/>
    </row>
    <row r="197" spans="1:33">
      <c r="A197" s="303" t="s">
        <v>809</v>
      </c>
      <c r="B197" s="291"/>
      <c r="C197" s="285">
        <v>982383.59999999986</v>
      </c>
      <c r="D197" s="276">
        <v>199073.67966666669</v>
      </c>
      <c r="E197" s="276">
        <v>560794.06666666665</v>
      </c>
      <c r="F197" s="276">
        <v>135842.15000000002</v>
      </c>
      <c r="G197" s="276">
        <v>94338.166666666672</v>
      </c>
      <c r="H197" s="276">
        <v>68644.776666666658</v>
      </c>
      <c r="I197" s="285">
        <v>2041076.439666667</v>
      </c>
      <c r="J197" s="285">
        <v>310936.44999999995</v>
      </c>
      <c r="K197" s="276">
        <v>794781.05300000007</v>
      </c>
      <c r="L197" s="276">
        <v>363601.95600000001</v>
      </c>
      <c r="M197" s="276">
        <v>131223.43700000001</v>
      </c>
      <c r="N197" s="285">
        <v>1600542.8959999999</v>
      </c>
      <c r="O197" s="285">
        <v>194699.85</v>
      </c>
      <c r="P197" s="276">
        <v>194699.85</v>
      </c>
      <c r="Q197" s="285">
        <v>83365.833333333314</v>
      </c>
      <c r="R197" s="285">
        <v>1774.5</v>
      </c>
      <c r="S197" s="285">
        <v>85140.333333333314</v>
      </c>
      <c r="T197" s="285">
        <v>1468.2333333333333</v>
      </c>
      <c r="U197" s="285">
        <v>1468.2333333333333</v>
      </c>
      <c r="V197" s="285">
        <v>140282.85</v>
      </c>
      <c r="W197" s="285">
        <v>140282.85</v>
      </c>
      <c r="X197" s="285">
        <v>45678.1</v>
      </c>
      <c r="Y197" s="285">
        <v>45678.1</v>
      </c>
      <c r="Z197" s="285">
        <v>9882.5333333333347</v>
      </c>
      <c r="AA197" s="332">
        <v>9882.5333333333347</v>
      </c>
      <c r="AB197" s="289">
        <v>4118771.2356666666</v>
      </c>
      <c r="AC197" s="290"/>
      <c r="AD197" s="281"/>
      <c r="AE197" s="282"/>
    </row>
    <row r="198" spans="1:33">
      <c r="A198" s="305" t="s">
        <v>810</v>
      </c>
      <c r="B198" s="306"/>
      <c r="C198" s="307">
        <v>1008564.48</v>
      </c>
      <c r="D198" s="308">
        <v>203237.45333333337</v>
      </c>
      <c r="E198" s="308">
        <v>567168.39133333345</v>
      </c>
      <c r="F198" s="308">
        <v>136785.87333333332</v>
      </c>
      <c r="G198" s="308">
        <v>93960.769333333315</v>
      </c>
      <c r="H198" s="308">
        <v>68963.072</v>
      </c>
      <c r="I198" s="307">
        <v>2078680.0393333333</v>
      </c>
      <c r="J198" s="307">
        <v>306385.37333333329</v>
      </c>
      <c r="K198" s="308">
        <v>766222.70499999984</v>
      </c>
      <c r="L198" s="308">
        <v>358884.78466666664</v>
      </c>
      <c r="M198" s="308">
        <v>129189.22466666665</v>
      </c>
      <c r="N198" s="307">
        <v>1560682.0876666666</v>
      </c>
      <c r="O198" s="307">
        <v>191529.51666666666</v>
      </c>
      <c r="P198" s="308">
        <v>191529.51666666666</v>
      </c>
      <c r="Q198" s="307">
        <v>80218.709999999992</v>
      </c>
      <c r="R198" s="307">
        <v>1678.6999999999998</v>
      </c>
      <c r="S198" s="307">
        <v>81897.409999999989</v>
      </c>
      <c r="T198" s="307">
        <v>1852.3333333333333</v>
      </c>
      <c r="U198" s="307">
        <v>1852.3333333333333</v>
      </c>
      <c r="V198" s="307">
        <v>136390.41666666669</v>
      </c>
      <c r="W198" s="307">
        <v>136390.41666666669</v>
      </c>
      <c r="X198" s="307">
        <v>42608.733333333337</v>
      </c>
      <c r="Y198" s="307">
        <v>42608.733333333337</v>
      </c>
      <c r="Z198" s="307">
        <v>12167.966666666667</v>
      </c>
      <c r="AA198" s="333">
        <v>12167.966666666667</v>
      </c>
      <c r="AB198" s="289">
        <v>4105808.5036666668</v>
      </c>
      <c r="AC198" s="290"/>
      <c r="AD198" s="281"/>
      <c r="AE198" s="282"/>
    </row>
    <row r="199" spans="1:33">
      <c r="A199" s="305" t="s">
        <v>825</v>
      </c>
      <c r="B199" s="313"/>
      <c r="C199" s="314">
        <v>2.6650363462907976E-2</v>
      </c>
      <c r="D199" s="315">
        <v>2.091574171753172E-2</v>
      </c>
      <c r="E199" s="315">
        <v>1.1366605043728675E-2</v>
      </c>
      <c r="F199" s="315">
        <v>6.9472055126728188E-3</v>
      </c>
      <c r="G199" s="315">
        <v>-4.0004734739743425E-3</v>
      </c>
      <c r="H199" s="315">
        <v>4.6368470958682382E-3</v>
      </c>
      <c r="I199" s="314">
        <v>1.8423415672177066E-2</v>
      </c>
      <c r="J199" s="314">
        <v>-1.4636677902081102E-2</v>
      </c>
      <c r="K199" s="315">
        <v>-3.5932346263417743E-2</v>
      </c>
      <c r="L199" s="315">
        <v>-1.2973448727358455E-2</v>
      </c>
      <c r="M199" s="315">
        <v>-1.5501897982852824E-2</v>
      </c>
      <c r="N199" s="314">
        <v>-2.4904554843828995E-2</v>
      </c>
      <c r="O199" s="316">
        <v>-1.6283183234775695E-2</v>
      </c>
      <c r="P199" s="315">
        <v>-1.6283183234775695E-2</v>
      </c>
      <c r="Q199" s="314">
        <v>-3.7750757204690046E-2</v>
      </c>
      <c r="R199" s="314">
        <v>-5.3987038602423321E-2</v>
      </c>
      <c r="S199" s="314">
        <v>-3.8089154768010371E-2</v>
      </c>
      <c r="T199" s="314">
        <v>0.26160691988103613</v>
      </c>
      <c r="U199" s="314">
        <v>0.26160691988103613</v>
      </c>
      <c r="V199" s="314">
        <v>-2.7747036315082844E-2</v>
      </c>
      <c r="W199" s="314">
        <v>-2.7747036315082844E-2</v>
      </c>
      <c r="X199" s="314">
        <v>-6.7195585338853003E-2</v>
      </c>
      <c r="Y199" s="314">
        <v>-6.7195585338853003E-2</v>
      </c>
      <c r="Z199" s="314">
        <v>0.23125986589133701</v>
      </c>
      <c r="AA199" s="334">
        <v>0.23125986589133679</v>
      </c>
      <c r="AB199" s="335">
        <v>-3.1472328173385803E-3</v>
      </c>
      <c r="AC199" s="336"/>
      <c r="AD199" s="321"/>
      <c r="AE199" s="282"/>
    </row>
    <row r="200" spans="1:33">
      <c r="A200" s="305" t="s">
        <v>813</v>
      </c>
      <c r="B200" s="306"/>
      <c r="C200" s="307">
        <v>0</v>
      </c>
      <c r="D200" s="308">
        <v>0</v>
      </c>
      <c r="E200" s="308">
        <v>0</v>
      </c>
      <c r="F200" s="308">
        <v>0</v>
      </c>
      <c r="G200" s="308">
        <v>0</v>
      </c>
      <c r="H200" s="308">
        <v>0</v>
      </c>
      <c r="I200" s="307">
        <v>0</v>
      </c>
      <c r="J200" s="307">
        <v>17954.125555555554</v>
      </c>
      <c r="K200" s="308">
        <v>28319.707777777781</v>
      </c>
      <c r="L200" s="308">
        <v>19584.324444444443</v>
      </c>
      <c r="M200" s="308">
        <v>8755.0799999999981</v>
      </c>
      <c r="N200" s="307">
        <v>74613.237777777787</v>
      </c>
      <c r="O200" s="322">
        <v>4753.3755555555554</v>
      </c>
      <c r="P200" s="308">
        <v>4753.3755555555554</v>
      </c>
      <c r="Q200" s="307">
        <v>5860.0292111111103</v>
      </c>
      <c r="R200" s="307">
        <v>25295.632422222225</v>
      </c>
      <c r="S200" s="307">
        <v>31155.661633333337</v>
      </c>
      <c r="T200" s="307">
        <v>0</v>
      </c>
      <c r="U200" s="307">
        <v>0</v>
      </c>
      <c r="V200" s="307">
        <v>3784.548888888889</v>
      </c>
      <c r="W200" s="307">
        <v>3784.548888888889</v>
      </c>
      <c r="X200" s="307">
        <v>955.97333333333336</v>
      </c>
      <c r="Y200" s="307">
        <v>955.97333333333336</v>
      </c>
      <c r="Z200" s="307">
        <v>12.853333333333333</v>
      </c>
      <c r="AA200" s="306">
        <v>12.853333333333333</v>
      </c>
      <c r="AB200" s="289">
        <v>115275.65052222223</v>
      </c>
      <c r="AC200" s="290"/>
      <c r="AD200" s="281"/>
      <c r="AE200" s="282"/>
    </row>
    <row r="201" spans="1:33">
      <c r="A201" s="305" t="s">
        <v>815</v>
      </c>
      <c r="B201" s="306"/>
      <c r="C201" s="307">
        <v>0</v>
      </c>
      <c r="D201" s="308">
        <v>0</v>
      </c>
      <c r="E201" s="308">
        <v>0</v>
      </c>
      <c r="F201" s="308">
        <v>0</v>
      </c>
      <c r="G201" s="308">
        <v>0</v>
      </c>
      <c r="H201" s="308">
        <v>0</v>
      </c>
      <c r="I201" s="307">
        <v>0</v>
      </c>
      <c r="J201" s="307">
        <v>16041.277777777779</v>
      </c>
      <c r="K201" s="308">
        <v>27162.385555555556</v>
      </c>
      <c r="L201" s="308">
        <v>18311.076666666664</v>
      </c>
      <c r="M201" s="308">
        <v>8373.6277777777759</v>
      </c>
      <c r="N201" s="307">
        <v>69888.367777777778</v>
      </c>
      <c r="O201" s="322">
        <v>4112.6044444444442</v>
      </c>
      <c r="P201" s="308">
        <v>4112.6044444444442</v>
      </c>
      <c r="Q201" s="307">
        <v>5845.4284444444438</v>
      </c>
      <c r="R201" s="307">
        <v>26425.044577777782</v>
      </c>
      <c r="S201" s="307">
        <v>32270.473022222228</v>
      </c>
      <c r="T201" s="307">
        <v>0</v>
      </c>
      <c r="U201" s="307">
        <v>0</v>
      </c>
      <c r="V201" s="307">
        <v>3177.838888888889</v>
      </c>
      <c r="W201" s="307">
        <v>3177.838888888889</v>
      </c>
      <c r="X201" s="307">
        <v>914.29</v>
      </c>
      <c r="Y201" s="307">
        <v>914.29</v>
      </c>
      <c r="Z201" s="307">
        <v>20.475555555555555</v>
      </c>
      <c r="AA201" s="306">
        <v>20.475555555555555</v>
      </c>
      <c r="AB201" s="289">
        <v>110384.0496888889</v>
      </c>
      <c r="AC201" s="290"/>
      <c r="AD201" s="281"/>
      <c r="AE201" s="282"/>
    </row>
    <row r="202" spans="1:33">
      <c r="A202" s="305" t="s">
        <v>827</v>
      </c>
      <c r="B202" s="313"/>
      <c r="C202" s="314">
        <v>0</v>
      </c>
      <c r="D202" s="315">
        <v>0</v>
      </c>
      <c r="E202" s="315">
        <v>0</v>
      </c>
      <c r="F202" s="315">
        <v>0</v>
      </c>
      <c r="G202" s="315">
        <v>0</v>
      </c>
      <c r="H202" s="315">
        <v>0</v>
      </c>
      <c r="I202" s="314">
        <v>0</v>
      </c>
      <c r="J202" s="314">
        <v>-0.10654084889062634</v>
      </c>
      <c r="K202" s="315">
        <v>-4.0866319359777033E-2</v>
      </c>
      <c r="L202" s="315">
        <v>-6.5013617466849388E-2</v>
      </c>
      <c r="M202" s="315">
        <v>-4.3569244623946589E-2</v>
      </c>
      <c r="N202" s="314">
        <v>-6.332482198496972E-2</v>
      </c>
      <c r="O202" s="316">
        <v>-0.13480338416816309</v>
      </c>
      <c r="P202" s="315">
        <v>-0.13480338416816309</v>
      </c>
      <c r="Q202" s="314">
        <v>-2.4915859871454359E-3</v>
      </c>
      <c r="R202" s="314">
        <v>4.4648504402023372E-2</v>
      </c>
      <c r="S202" s="314">
        <v>3.5781984090370214E-2</v>
      </c>
      <c r="T202" s="314">
        <v>0</v>
      </c>
      <c r="U202" s="314">
        <v>0</v>
      </c>
      <c r="V202" s="314">
        <v>-0.16031236953530936</v>
      </c>
      <c r="W202" s="314">
        <v>-0.16031236953530936</v>
      </c>
      <c r="X202" s="314">
        <v>-4.3603029373204337E-2</v>
      </c>
      <c r="Y202" s="314">
        <v>-4.3603029373204337E-2</v>
      </c>
      <c r="Z202" s="314">
        <v>0.59301521438450899</v>
      </c>
      <c r="AA202" s="334">
        <v>0.59301521438450899</v>
      </c>
      <c r="AB202" s="337">
        <v>-4.24339469018249E-2</v>
      </c>
      <c r="AC202" s="338"/>
      <c r="AD202" s="321"/>
      <c r="AE202" s="282"/>
    </row>
    <row r="203" spans="1:33">
      <c r="A203" s="305" t="s">
        <v>817</v>
      </c>
      <c r="B203" s="306"/>
      <c r="C203" s="307">
        <v>235723.77374999999</v>
      </c>
      <c r="D203" s="308">
        <v>44189.568333333329</v>
      </c>
      <c r="E203" s="308">
        <v>87607.954166666648</v>
      </c>
      <c r="F203" s="308">
        <v>18480.958333333336</v>
      </c>
      <c r="G203" s="308">
        <v>9271.125</v>
      </c>
      <c r="H203" s="308">
        <v>510.125</v>
      </c>
      <c r="I203" s="307">
        <v>395783.50458333333</v>
      </c>
      <c r="J203" s="307">
        <v>0</v>
      </c>
      <c r="K203" s="308">
        <v>0</v>
      </c>
      <c r="L203" s="308">
        <v>0</v>
      </c>
      <c r="M203" s="308">
        <v>0</v>
      </c>
      <c r="N203" s="307">
        <v>0</v>
      </c>
      <c r="O203" s="322">
        <v>0</v>
      </c>
      <c r="P203" s="308">
        <v>0</v>
      </c>
      <c r="Q203" s="307">
        <v>0</v>
      </c>
      <c r="R203" s="307">
        <v>0</v>
      </c>
      <c r="S203" s="307">
        <v>0</v>
      </c>
      <c r="T203" s="307">
        <v>342.58333333333331</v>
      </c>
      <c r="U203" s="307">
        <v>342.58333333333331</v>
      </c>
      <c r="V203" s="307">
        <v>0</v>
      </c>
      <c r="W203" s="307">
        <v>0</v>
      </c>
      <c r="X203" s="307">
        <v>0</v>
      </c>
      <c r="Y203" s="307">
        <v>0</v>
      </c>
      <c r="Z203" s="307">
        <v>0</v>
      </c>
      <c r="AA203" s="306">
        <v>0</v>
      </c>
      <c r="AB203" s="289">
        <v>396126.08791666664</v>
      </c>
      <c r="AC203" s="290"/>
      <c r="AD203" s="281"/>
      <c r="AE203" s="282"/>
    </row>
    <row r="204" spans="1:33">
      <c r="A204" s="305" t="s">
        <v>819</v>
      </c>
      <c r="B204" s="306"/>
      <c r="C204" s="307">
        <v>238663.79583333331</v>
      </c>
      <c r="D204" s="308">
        <v>44562.729166666672</v>
      </c>
      <c r="E204" s="308">
        <v>88436.458333333314</v>
      </c>
      <c r="F204" s="308">
        <v>19560.791666666664</v>
      </c>
      <c r="G204" s="308">
        <v>10171.375</v>
      </c>
      <c r="H204" s="308">
        <v>614.99999999999989</v>
      </c>
      <c r="I204" s="307">
        <v>402010.14999999991</v>
      </c>
      <c r="J204" s="307">
        <v>0</v>
      </c>
      <c r="K204" s="308">
        <v>0</v>
      </c>
      <c r="L204" s="308">
        <v>0</v>
      </c>
      <c r="M204" s="308">
        <v>0</v>
      </c>
      <c r="N204" s="307">
        <v>0</v>
      </c>
      <c r="O204" s="322">
        <v>0</v>
      </c>
      <c r="P204" s="308">
        <v>0</v>
      </c>
      <c r="Q204" s="307">
        <v>0</v>
      </c>
      <c r="R204" s="307">
        <v>0</v>
      </c>
      <c r="S204" s="307">
        <v>0</v>
      </c>
      <c r="T204" s="307">
        <v>614.625</v>
      </c>
      <c r="U204" s="307">
        <v>614.625</v>
      </c>
      <c r="V204" s="307">
        <v>0</v>
      </c>
      <c r="W204" s="307">
        <v>0</v>
      </c>
      <c r="X204" s="307">
        <v>0</v>
      </c>
      <c r="Y204" s="307">
        <v>0</v>
      </c>
      <c r="Z204" s="307">
        <v>0</v>
      </c>
      <c r="AA204" s="306">
        <v>0</v>
      </c>
      <c r="AB204" s="289">
        <v>402624.77499999991</v>
      </c>
      <c r="AC204" s="290"/>
      <c r="AD204" s="281"/>
      <c r="AE204" s="282"/>
    </row>
    <row r="205" spans="1:33">
      <c r="A205" s="305" t="s">
        <v>829</v>
      </c>
      <c r="B205" s="313"/>
      <c r="C205" s="314">
        <v>1.2472318920413401E-2</v>
      </c>
      <c r="D205" s="315">
        <v>8.4445457923120349E-3</v>
      </c>
      <c r="E205" s="315">
        <v>9.4569514212201854E-3</v>
      </c>
      <c r="F205" s="315">
        <v>5.8429509652953134E-2</v>
      </c>
      <c r="G205" s="315">
        <v>9.7102563065431455E-2</v>
      </c>
      <c r="H205" s="315">
        <v>0.20558686596422446</v>
      </c>
      <c r="I205" s="314">
        <v>1.5732453082454176E-2</v>
      </c>
      <c r="J205" s="314">
        <v>0</v>
      </c>
      <c r="K205" s="315">
        <v>0</v>
      </c>
      <c r="L205" s="315">
        <v>0</v>
      </c>
      <c r="M205" s="315">
        <v>0</v>
      </c>
      <c r="N205" s="314">
        <v>0</v>
      </c>
      <c r="O205" s="316">
        <v>0</v>
      </c>
      <c r="P205" s="315">
        <v>0</v>
      </c>
      <c r="Q205" s="314">
        <v>0</v>
      </c>
      <c r="R205" s="314">
        <v>0</v>
      </c>
      <c r="S205" s="314">
        <v>0</v>
      </c>
      <c r="T205" s="314">
        <v>0.79408902943322801</v>
      </c>
      <c r="U205" s="314">
        <v>0.79408902943322801</v>
      </c>
      <c r="V205" s="314">
        <v>0</v>
      </c>
      <c r="W205" s="314">
        <v>0</v>
      </c>
      <c r="X205" s="314">
        <v>0</v>
      </c>
      <c r="Y205" s="314">
        <v>0</v>
      </c>
      <c r="Z205" s="314">
        <v>0</v>
      </c>
      <c r="AA205" s="334">
        <v>0</v>
      </c>
      <c r="AB205" s="337">
        <v>1.6405602361388525E-2</v>
      </c>
      <c r="AC205" s="338"/>
      <c r="AD205" s="321"/>
      <c r="AE205" s="282"/>
      <c r="AF205" s="328"/>
      <c r="AG205" s="329"/>
    </row>
    <row r="206" spans="1:33">
      <c r="A206" s="305" t="s">
        <v>821</v>
      </c>
      <c r="B206" s="306"/>
      <c r="C206" s="307">
        <v>1218107.37375</v>
      </c>
      <c r="D206" s="308">
        <v>243263.24799999999</v>
      </c>
      <c r="E206" s="308">
        <v>648402.02083333337</v>
      </c>
      <c r="F206" s="308">
        <v>154323.10833333334</v>
      </c>
      <c r="G206" s="308">
        <v>103609.29166666669</v>
      </c>
      <c r="H206" s="308">
        <v>69154.901666666658</v>
      </c>
      <c r="I206" s="307">
        <v>2436859.9442499997</v>
      </c>
      <c r="J206" s="307">
        <v>328890.57555555558</v>
      </c>
      <c r="K206" s="308">
        <v>823100.76077777776</v>
      </c>
      <c r="L206" s="308">
        <v>383186.28044444445</v>
      </c>
      <c r="M206" s="308">
        <v>139978.51699999999</v>
      </c>
      <c r="N206" s="307">
        <v>1675156.1337777774</v>
      </c>
      <c r="O206" s="322">
        <v>199453.22555555557</v>
      </c>
      <c r="P206" s="308">
        <v>199453.22555555557</v>
      </c>
      <c r="Q206" s="307">
        <v>89225.862544444419</v>
      </c>
      <c r="R206" s="307">
        <v>27070.132422222225</v>
      </c>
      <c r="S206" s="307">
        <v>116295.99496666665</v>
      </c>
      <c r="T206" s="307">
        <v>1810.8166666666666</v>
      </c>
      <c r="U206" s="307">
        <v>1810.8166666666666</v>
      </c>
      <c r="V206" s="307">
        <v>144067.39888888889</v>
      </c>
      <c r="W206" s="307">
        <v>144067.39888888889</v>
      </c>
      <c r="X206" s="307">
        <v>46634.073333333334</v>
      </c>
      <c r="Y206" s="307">
        <v>46634.073333333334</v>
      </c>
      <c r="Z206" s="307">
        <v>9895.3866666666672</v>
      </c>
      <c r="AA206" s="306">
        <v>9895.3866666666672</v>
      </c>
      <c r="AB206" s="289">
        <v>4630172.9741055556</v>
      </c>
      <c r="AC206" s="290"/>
      <c r="AD206" s="281"/>
      <c r="AE206" s="282"/>
      <c r="AF206" s="330"/>
    </row>
    <row r="207" spans="1:33">
      <c r="A207" s="305" t="s">
        <v>823</v>
      </c>
      <c r="B207" s="306"/>
      <c r="C207" s="307">
        <v>1247228.2758333336</v>
      </c>
      <c r="D207" s="308">
        <v>247800.1825</v>
      </c>
      <c r="E207" s="308">
        <v>655604.84966666682</v>
      </c>
      <c r="F207" s="308">
        <v>156346.66500000001</v>
      </c>
      <c r="G207" s="308">
        <v>104132.14433333334</v>
      </c>
      <c r="H207" s="308">
        <v>69578.072</v>
      </c>
      <c r="I207" s="307">
        <v>2480690.1893333336</v>
      </c>
      <c r="J207" s="307">
        <v>322426.65111111104</v>
      </c>
      <c r="K207" s="308">
        <v>793385.09055555542</v>
      </c>
      <c r="L207" s="308">
        <v>377195.86133333336</v>
      </c>
      <c r="M207" s="308">
        <v>137562.85244444443</v>
      </c>
      <c r="N207" s="307">
        <v>1630570.4554444444</v>
      </c>
      <c r="O207" s="322">
        <v>195642.1211111111</v>
      </c>
      <c r="P207" s="308">
        <v>195642.1211111111</v>
      </c>
      <c r="Q207" s="307">
        <v>86064.138444444441</v>
      </c>
      <c r="R207" s="307">
        <v>28103.744577777783</v>
      </c>
      <c r="S207" s="307">
        <v>114167.88302222223</v>
      </c>
      <c r="T207" s="307">
        <v>2466.9583333333335</v>
      </c>
      <c r="U207" s="307">
        <v>2466.9583333333335</v>
      </c>
      <c r="V207" s="307">
        <v>139568.25555555557</v>
      </c>
      <c r="W207" s="307">
        <v>139568.25555555557</v>
      </c>
      <c r="X207" s="307">
        <v>43523.023333333331</v>
      </c>
      <c r="Y207" s="307">
        <v>43523.023333333331</v>
      </c>
      <c r="Z207" s="307">
        <v>12188.442222222222</v>
      </c>
      <c r="AA207" s="306">
        <v>12188.442222222222</v>
      </c>
      <c r="AB207" s="289">
        <v>4618817.3283555554</v>
      </c>
      <c r="AC207" s="290"/>
      <c r="AD207" s="281"/>
      <c r="AE207" s="282"/>
      <c r="AF207" s="330"/>
    </row>
    <row r="208" spans="1:33">
      <c r="A208" s="324" t="s">
        <v>831</v>
      </c>
      <c r="B208" s="325"/>
      <c r="C208" s="314">
        <v>2.3906679091583938E-2</v>
      </c>
      <c r="D208" s="315">
        <v>1.8650307998847294E-2</v>
      </c>
      <c r="E208" s="315">
        <v>1.1108584800640215E-2</v>
      </c>
      <c r="F208" s="315">
        <v>1.3112467008478209E-2</v>
      </c>
      <c r="G208" s="315">
        <v>5.0463878119039966E-3</v>
      </c>
      <c r="H208" s="315">
        <v>6.1191661492496835E-3</v>
      </c>
      <c r="I208" s="314">
        <v>1.7986361992922504E-2</v>
      </c>
      <c r="J208" s="314">
        <v>-1.9653723532593606E-2</v>
      </c>
      <c r="K208" s="315">
        <v>-3.6102105159206387E-2</v>
      </c>
      <c r="L208" s="315">
        <v>-1.5633177430473408E-2</v>
      </c>
      <c r="M208" s="315">
        <v>-1.7257394972655816E-2</v>
      </c>
      <c r="N208" s="314">
        <v>-2.6615834449284885E-2</v>
      </c>
      <c r="O208" s="316">
        <v>-1.9107760397602234E-2</v>
      </c>
      <c r="P208" s="315">
        <v>-1.9107760397602234E-2</v>
      </c>
      <c r="Q208" s="314">
        <v>-3.5435063442789051E-2</v>
      </c>
      <c r="R208" s="314">
        <v>3.8182752098657687E-2</v>
      </c>
      <c r="S208" s="314">
        <v>-1.8299099165490641E-2</v>
      </c>
      <c r="T208" s="314">
        <v>0.3623457187825016</v>
      </c>
      <c r="U208" s="314">
        <v>0.3623457187825016</v>
      </c>
      <c r="V208" s="314">
        <v>-3.1229434056786496E-2</v>
      </c>
      <c r="W208" s="314">
        <v>-3.1229434056786496E-2</v>
      </c>
      <c r="X208" s="314">
        <v>-6.6711950675264545E-2</v>
      </c>
      <c r="Y208" s="314">
        <v>-6.6711950675264545E-2</v>
      </c>
      <c r="Z208" s="314">
        <v>0.23172975779510283</v>
      </c>
      <c r="AA208" s="334">
        <v>0.23172975779510263</v>
      </c>
      <c r="AB208" s="339">
        <v>-2.4525316469829863E-3</v>
      </c>
      <c r="AC208" s="340"/>
      <c r="AD208" s="321"/>
      <c r="AE208" s="282"/>
      <c r="AF208" s="331"/>
      <c r="AG208" s="328"/>
    </row>
    <row r="209" spans="1:27">
      <c r="A209" s="269"/>
      <c r="C209" s="341"/>
      <c r="D209" s="341"/>
      <c r="E209" s="341"/>
      <c r="F209" s="341"/>
      <c r="G209" s="341"/>
      <c r="H209" s="341"/>
      <c r="I209" s="341"/>
      <c r="J209" s="341"/>
      <c r="K209" s="341"/>
      <c r="L209" s="341"/>
      <c r="M209" s="341"/>
      <c r="N209" s="341"/>
      <c r="O209" s="341"/>
      <c r="P209" s="341"/>
      <c r="Q209" s="341"/>
      <c r="R209" s="341"/>
      <c r="S209" s="341"/>
      <c r="T209" s="341"/>
      <c r="U209" s="341"/>
      <c r="V209" s="341"/>
      <c r="W209" s="341"/>
      <c r="X209" s="341"/>
      <c r="Y209" s="341"/>
      <c r="Z209" s="341"/>
      <c r="AA209" s="341"/>
    </row>
    <row r="210" spans="1:27">
      <c r="A210" s="269"/>
    </row>
    <row r="211" spans="1:27">
      <c r="A211" s="269"/>
    </row>
    <row r="212" spans="1:27">
      <c r="A212" s="269"/>
    </row>
    <row r="213" spans="1:27">
      <c r="A213" s="269"/>
    </row>
    <row r="214" spans="1:27">
      <c r="A214" s="269"/>
    </row>
    <row r="215" spans="1:27">
      <c r="A215" s="269"/>
    </row>
    <row r="216" spans="1:27">
      <c r="A216" s="269"/>
    </row>
    <row r="217" spans="1:27">
      <c r="A217" s="269"/>
    </row>
    <row r="218" spans="1:27">
      <c r="A218" s="269"/>
    </row>
    <row r="219" spans="1:27">
      <c r="A219" s="269"/>
    </row>
    <row r="220" spans="1:27">
      <c r="A220" s="269"/>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33"/>
  </sheetPr>
  <dimension ref="A1:AC148"/>
  <sheetViews>
    <sheetView zoomScale="80" zoomScaleNormal="80" workbookViewId="0">
      <pane xSplit="2" ySplit="5" topLeftCell="C6" activePane="bottomRight" state="frozen"/>
      <selection pane="topRight" activeCell="C1" sqref="C1"/>
      <selection pane="bottomLeft" activeCell="A6" sqref="A6"/>
      <selection pane="bottomRight" activeCell="N36" sqref="N36"/>
    </sheetView>
  </sheetViews>
  <sheetFormatPr defaultRowHeight="12.75"/>
  <cols>
    <col min="1" max="1" width="5" style="345" customWidth="1"/>
    <col min="2" max="2" width="32" style="345" customWidth="1"/>
    <col min="3" max="8" width="15.1640625" style="270" customWidth="1"/>
    <col min="9" max="9" width="17.5" style="270" customWidth="1"/>
    <col min="10" max="13" width="13.6640625" style="270" customWidth="1"/>
    <col min="14" max="14" width="17.5" style="270" customWidth="1"/>
    <col min="15" max="16" width="11.5" style="270" customWidth="1"/>
    <col min="17" max="18" width="12.83203125" style="270" customWidth="1"/>
    <col min="19" max="19" width="16.6640625" style="270" customWidth="1"/>
    <col min="20" max="20" width="6.5" style="345" customWidth="1"/>
    <col min="21" max="21" width="9.33203125" style="345"/>
    <col min="22" max="25" width="11.5" style="345" customWidth="1"/>
    <col min="26" max="26" width="9.5" style="345" customWidth="1"/>
    <col min="27" max="27" width="10.6640625" style="345" customWidth="1"/>
    <col min="28" max="28" width="10.1640625" style="345" customWidth="1"/>
    <col min="29" max="29" width="13.6640625" style="345" customWidth="1"/>
    <col min="30" max="16384" width="9.33203125" style="345"/>
  </cols>
  <sheetData>
    <row r="1" spans="1:29">
      <c r="A1" s="270"/>
      <c r="B1" s="270"/>
      <c r="E1" s="343" t="s">
        <v>937</v>
      </c>
      <c r="L1" s="344"/>
    </row>
    <row r="2" spans="1:29">
      <c r="A2" s="270"/>
      <c r="B2" s="270"/>
    </row>
    <row r="3" spans="1:29">
      <c r="A3" s="346"/>
      <c r="B3" s="347"/>
      <c r="C3" s="346" t="s">
        <v>938</v>
      </c>
      <c r="D3" s="347" t="s">
        <v>22</v>
      </c>
      <c r="E3" s="347"/>
      <c r="F3" s="347"/>
      <c r="G3" s="347"/>
      <c r="H3" s="347"/>
      <c r="I3" s="347"/>
      <c r="J3" s="347"/>
      <c r="K3" s="347"/>
      <c r="L3" s="347"/>
      <c r="M3" s="347"/>
      <c r="N3" s="347"/>
      <c r="O3" s="347"/>
      <c r="P3" s="347"/>
      <c r="Q3" s="347"/>
      <c r="R3" s="347"/>
      <c r="S3" s="347"/>
      <c r="T3" s="348"/>
      <c r="U3" s="348"/>
      <c r="V3" s="348"/>
      <c r="W3" s="349"/>
      <c r="X3" s="348"/>
      <c r="Y3" s="348"/>
      <c r="Z3" s="348"/>
      <c r="AA3" s="349"/>
      <c r="AB3" s="350"/>
      <c r="AC3" s="351"/>
    </row>
    <row r="4" spans="1:29">
      <c r="A4" s="352"/>
      <c r="B4" s="353"/>
      <c r="C4" s="346" t="s">
        <v>833</v>
      </c>
      <c r="D4" s="347"/>
      <c r="E4" s="347"/>
      <c r="F4" s="347"/>
      <c r="G4" s="347"/>
      <c r="H4" s="347"/>
      <c r="I4" s="346" t="s">
        <v>832</v>
      </c>
      <c r="J4" s="346" t="s">
        <v>834</v>
      </c>
      <c r="K4" s="347"/>
      <c r="L4" s="347"/>
      <c r="M4" s="347"/>
      <c r="N4" s="346" t="s">
        <v>835</v>
      </c>
      <c r="O4" s="346">
        <v>11</v>
      </c>
      <c r="P4" s="347" t="s">
        <v>939</v>
      </c>
      <c r="Q4" s="346" t="s">
        <v>836</v>
      </c>
      <c r="R4" s="346"/>
      <c r="S4" s="346" t="s">
        <v>837</v>
      </c>
      <c r="T4" s="354">
        <v>99</v>
      </c>
      <c r="U4" s="354" t="s">
        <v>805</v>
      </c>
      <c r="V4" s="354" t="s">
        <v>751</v>
      </c>
      <c r="W4" s="355" t="s">
        <v>806</v>
      </c>
      <c r="X4" s="354" t="s">
        <v>752</v>
      </c>
      <c r="Y4" s="354" t="s">
        <v>807</v>
      </c>
      <c r="Z4" s="354" t="s">
        <v>753</v>
      </c>
      <c r="AA4" s="355" t="s">
        <v>808</v>
      </c>
      <c r="AB4" s="356"/>
      <c r="AC4" s="357"/>
    </row>
    <row r="5" spans="1:29">
      <c r="A5" s="346" t="s">
        <v>18</v>
      </c>
      <c r="B5" s="346" t="s">
        <v>940</v>
      </c>
      <c r="C5" s="346">
        <v>1</v>
      </c>
      <c r="D5" s="358">
        <v>2</v>
      </c>
      <c r="E5" s="358">
        <v>3</v>
      </c>
      <c r="F5" s="358">
        <v>4</v>
      </c>
      <c r="G5" s="358">
        <v>5</v>
      </c>
      <c r="H5" s="358">
        <v>6</v>
      </c>
      <c r="I5" s="352"/>
      <c r="J5" s="346">
        <v>7</v>
      </c>
      <c r="K5" s="358">
        <v>8</v>
      </c>
      <c r="L5" s="358">
        <v>9</v>
      </c>
      <c r="M5" s="358">
        <v>10</v>
      </c>
      <c r="N5" s="352"/>
      <c r="O5" s="346">
        <v>11</v>
      </c>
      <c r="P5" s="358"/>
      <c r="Q5" s="352">
        <v>12</v>
      </c>
      <c r="R5" s="346">
        <v>13</v>
      </c>
      <c r="S5" s="352"/>
      <c r="T5" s="354">
        <v>99</v>
      </c>
      <c r="U5" s="359"/>
      <c r="V5" s="354" t="s">
        <v>751</v>
      </c>
      <c r="W5" s="360"/>
      <c r="X5" s="354" t="s">
        <v>752</v>
      </c>
      <c r="Y5" s="359"/>
      <c r="Z5" s="354" t="s">
        <v>753</v>
      </c>
      <c r="AA5" s="360"/>
      <c r="AB5" s="356"/>
      <c r="AC5" s="361"/>
    </row>
    <row r="6" spans="1:29">
      <c r="A6" s="362" t="s">
        <v>73</v>
      </c>
      <c r="B6" s="346" t="s">
        <v>941</v>
      </c>
      <c r="C6" s="363">
        <v>1507132</v>
      </c>
      <c r="D6" s="364">
        <v>417026</v>
      </c>
      <c r="E6" s="364">
        <v>1003010</v>
      </c>
      <c r="F6" s="364">
        <v>256501</v>
      </c>
      <c r="G6" s="364">
        <v>124077</v>
      </c>
      <c r="H6" s="364">
        <v>70416</v>
      </c>
      <c r="I6" s="363">
        <v>3378162</v>
      </c>
      <c r="J6" s="363">
        <v>0</v>
      </c>
      <c r="K6" s="364">
        <v>387428</v>
      </c>
      <c r="L6" s="364">
        <v>1066496</v>
      </c>
      <c r="M6" s="364">
        <v>337507</v>
      </c>
      <c r="N6" s="363">
        <v>1791431</v>
      </c>
      <c r="O6" s="363">
        <v>0</v>
      </c>
      <c r="P6" s="364">
        <v>0</v>
      </c>
      <c r="Q6" s="363">
        <v>36087</v>
      </c>
      <c r="R6" s="363">
        <v>53235</v>
      </c>
      <c r="S6" s="363">
        <v>89322</v>
      </c>
      <c r="T6" s="365">
        <v>0</v>
      </c>
      <c r="U6" s="365">
        <v>0</v>
      </c>
      <c r="V6" s="365">
        <v>0</v>
      </c>
      <c r="W6" s="366">
        <v>0</v>
      </c>
      <c r="X6" s="365">
        <v>0</v>
      </c>
      <c r="Y6" s="365">
        <v>0</v>
      </c>
      <c r="Z6" s="365">
        <v>0</v>
      </c>
      <c r="AA6" s="366">
        <v>0</v>
      </c>
      <c r="AB6" s="367"/>
      <c r="AC6" s="368"/>
    </row>
    <row r="7" spans="1:29">
      <c r="A7" s="369"/>
      <c r="B7" s="370" t="s">
        <v>942</v>
      </c>
      <c r="C7" s="371">
        <v>5654</v>
      </c>
      <c r="D7" s="372">
        <v>542</v>
      </c>
      <c r="E7" s="372">
        <v>7721</v>
      </c>
      <c r="F7" s="372">
        <v>228</v>
      </c>
      <c r="G7" s="372">
        <v>617</v>
      </c>
      <c r="H7" s="372">
        <v>0</v>
      </c>
      <c r="I7" s="371">
        <v>14762</v>
      </c>
      <c r="J7" s="371">
        <v>0</v>
      </c>
      <c r="K7" s="372">
        <v>16799</v>
      </c>
      <c r="L7" s="372">
        <v>42273</v>
      </c>
      <c r="M7" s="372">
        <v>16310</v>
      </c>
      <c r="N7" s="371">
        <v>75382</v>
      </c>
      <c r="O7" s="371">
        <v>0</v>
      </c>
      <c r="P7" s="372">
        <v>0</v>
      </c>
      <c r="Q7" s="371">
        <v>1100</v>
      </c>
      <c r="R7" s="371">
        <v>2440</v>
      </c>
      <c r="S7" s="371">
        <v>3540</v>
      </c>
      <c r="T7" s="373">
        <v>0</v>
      </c>
      <c r="U7" s="373">
        <v>0</v>
      </c>
      <c r="V7" s="373">
        <v>0</v>
      </c>
      <c r="W7" s="374">
        <v>0</v>
      </c>
      <c r="X7" s="373">
        <v>0</v>
      </c>
      <c r="Y7" s="373">
        <v>0</v>
      </c>
      <c r="Z7" s="373">
        <v>0</v>
      </c>
      <c r="AA7" s="374">
        <v>0</v>
      </c>
      <c r="AB7" s="375"/>
      <c r="AC7" s="376"/>
    </row>
    <row r="8" spans="1:29">
      <c r="A8" s="369"/>
      <c r="B8" s="377" t="s">
        <v>943</v>
      </c>
      <c r="C8" s="377">
        <v>3.7514962193092574E-3</v>
      </c>
      <c r="D8" s="378">
        <v>1.2996791566952659E-3</v>
      </c>
      <c r="E8" s="378">
        <v>7.697829533105353E-3</v>
      </c>
      <c r="F8" s="378">
        <v>8.8888542344864156E-4</v>
      </c>
      <c r="G8" s="378">
        <v>4.9727185538012688E-3</v>
      </c>
      <c r="H8" s="378">
        <v>0</v>
      </c>
      <c r="I8" s="377">
        <v>4.3698318789921857E-3</v>
      </c>
      <c r="J8" s="377">
        <v>0</v>
      </c>
      <c r="K8" s="378">
        <v>4.336031469072963E-2</v>
      </c>
      <c r="L8" s="378">
        <v>3.9637279464714355E-2</v>
      </c>
      <c r="M8" s="378">
        <v>4.8324923631213573E-2</v>
      </c>
      <c r="N8" s="377">
        <v>4.2079209302507324E-2</v>
      </c>
      <c r="O8" s="377">
        <v>0</v>
      </c>
      <c r="P8" s="378">
        <v>0</v>
      </c>
      <c r="Q8" s="377">
        <v>3.0481890985673513E-2</v>
      </c>
      <c r="R8" s="377">
        <v>4.5834507372968909E-2</v>
      </c>
      <c r="S8" s="377">
        <v>3.9631893598441596E-2</v>
      </c>
      <c r="T8" s="379">
        <v>0</v>
      </c>
      <c r="U8" s="379">
        <v>0</v>
      </c>
      <c r="V8" s="379">
        <v>0</v>
      </c>
      <c r="W8" s="380">
        <v>0</v>
      </c>
      <c r="X8" s="379">
        <v>0</v>
      </c>
      <c r="Y8" s="379">
        <v>0</v>
      </c>
      <c r="Z8" s="379">
        <v>0</v>
      </c>
      <c r="AA8" s="380">
        <v>0</v>
      </c>
      <c r="AB8" s="375"/>
      <c r="AC8" s="376"/>
    </row>
    <row r="9" spans="1:29">
      <c r="A9" s="369"/>
      <c r="B9" s="370" t="s">
        <v>944</v>
      </c>
      <c r="C9" s="371">
        <v>1561509</v>
      </c>
      <c r="D9" s="372">
        <v>439858</v>
      </c>
      <c r="E9" s="372">
        <v>1042719</v>
      </c>
      <c r="F9" s="372">
        <v>252011</v>
      </c>
      <c r="G9" s="372">
        <v>122849</v>
      </c>
      <c r="H9" s="372">
        <v>69518</v>
      </c>
      <c r="I9" s="371">
        <v>3488464</v>
      </c>
      <c r="J9" s="371">
        <v>0</v>
      </c>
      <c r="K9" s="372">
        <v>375801</v>
      </c>
      <c r="L9" s="372">
        <v>1047454</v>
      </c>
      <c r="M9" s="372">
        <v>328162</v>
      </c>
      <c r="N9" s="371">
        <v>1751417</v>
      </c>
      <c r="O9" s="371">
        <v>0</v>
      </c>
      <c r="P9" s="372">
        <v>0</v>
      </c>
      <c r="Q9" s="371">
        <v>38556</v>
      </c>
      <c r="R9" s="371">
        <v>50361</v>
      </c>
      <c r="S9" s="371">
        <v>88917</v>
      </c>
      <c r="T9" s="373">
        <v>0</v>
      </c>
      <c r="U9" s="373">
        <v>0</v>
      </c>
      <c r="V9" s="373">
        <v>0</v>
      </c>
      <c r="W9" s="374">
        <v>0</v>
      </c>
      <c r="X9" s="373">
        <v>0</v>
      </c>
      <c r="Y9" s="373">
        <v>0</v>
      </c>
      <c r="Z9" s="373">
        <v>0</v>
      </c>
      <c r="AA9" s="374">
        <v>0</v>
      </c>
      <c r="AB9" s="375"/>
      <c r="AC9" s="376"/>
    </row>
    <row r="10" spans="1:29">
      <c r="A10" s="369"/>
      <c r="B10" s="370" t="s">
        <v>945</v>
      </c>
      <c r="C10" s="371">
        <v>6217</v>
      </c>
      <c r="D10" s="372">
        <v>810</v>
      </c>
      <c r="E10" s="372">
        <v>9964</v>
      </c>
      <c r="F10" s="372">
        <v>519</v>
      </c>
      <c r="G10" s="372">
        <v>526</v>
      </c>
      <c r="H10" s="372">
        <v>0</v>
      </c>
      <c r="I10" s="371">
        <v>18036</v>
      </c>
      <c r="J10" s="371">
        <v>0</v>
      </c>
      <c r="K10" s="372">
        <v>19368</v>
      </c>
      <c r="L10" s="372">
        <v>44408</v>
      </c>
      <c r="M10" s="372">
        <v>17531.5</v>
      </c>
      <c r="N10" s="371">
        <v>81307.5</v>
      </c>
      <c r="O10" s="371">
        <v>0</v>
      </c>
      <c r="P10" s="372">
        <v>0</v>
      </c>
      <c r="Q10" s="371">
        <v>1985</v>
      </c>
      <c r="R10" s="371">
        <v>1397</v>
      </c>
      <c r="S10" s="371">
        <v>3382</v>
      </c>
      <c r="T10" s="373">
        <v>0</v>
      </c>
      <c r="U10" s="373">
        <v>0</v>
      </c>
      <c r="V10" s="373">
        <v>0</v>
      </c>
      <c r="W10" s="374">
        <v>0</v>
      </c>
      <c r="X10" s="373">
        <v>0</v>
      </c>
      <c r="Y10" s="373">
        <v>0</v>
      </c>
      <c r="Z10" s="373">
        <v>0</v>
      </c>
      <c r="AA10" s="374">
        <v>0</v>
      </c>
      <c r="AB10" s="375"/>
      <c r="AC10" s="376"/>
    </row>
    <row r="11" spans="1:29">
      <c r="A11" s="369"/>
      <c r="B11" s="381" t="s">
        <v>946</v>
      </c>
      <c r="C11" s="377">
        <v>3.9814051664127459E-3</v>
      </c>
      <c r="D11" s="378">
        <v>1.8415033942772441E-3</v>
      </c>
      <c r="E11" s="378">
        <v>9.5557863623852643E-3</v>
      </c>
      <c r="F11" s="378">
        <v>2.0594339135990096E-3</v>
      </c>
      <c r="G11" s="378">
        <v>4.28167913454729E-3</v>
      </c>
      <c r="H11" s="378">
        <v>0</v>
      </c>
      <c r="I11" s="377">
        <v>5.1701837828912666E-3</v>
      </c>
      <c r="J11" s="377">
        <v>0</v>
      </c>
      <c r="K11" s="378">
        <v>5.1537915013531096E-2</v>
      </c>
      <c r="L11" s="378">
        <v>4.2396133863635062E-2</v>
      </c>
      <c r="M11" s="378">
        <v>5.342330921922709E-2</v>
      </c>
      <c r="N11" s="377">
        <v>4.6423838526176237E-2</v>
      </c>
      <c r="O11" s="377">
        <v>0</v>
      </c>
      <c r="P11" s="378">
        <v>0</v>
      </c>
      <c r="Q11" s="377">
        <v>5.1483556385517167E-2</v>
      </c>
      <c r="R11" s="381">
        <v>2.7739719227179761E-2</v>
      </c>
      <c r="S11" s="381">
        <v>3.8035471282207002E-2</v>
      </c>
      <c r="T11" s="382">
        <v>0</v>
      </c>
      <c r="U11" s="382">
        <v>0</v>
      </c>
      <c r="V11" s="382">
        <v>0</v>
      </c>
      <c r="W11" s="383">
        <v>0</v>
      </c>
      <c r="X11" s="382">
        <v>0</v>
      </c>
      <c r="Y11" s="382">
        <v>0</v>
      </c>
      <c r="Z11" s="382">
        <v>0</v>
      </c>
      <c r="AA11" s="383">
        <v>0</v>
      </c>
      <c r="AB11" s="375"/>
      <c r="AC11" s="376"/>
    </row>
    <row r="12" spans="1:29">
      <c r="A12" s="384"/>
      <c r="B12" s="385" t="s">
        <v>947</v>
      </c>
      <c r="C12" s="386">
        <v>2.2990894710348854E-4</v>
      </c>
      <c r="D12" s="387">
        <v>5.4182423758197817E-4</v>
      </c>
      <c r="E12" s="387">
        <v>1.8579568292799113E-3</v>
      </c>
      <c r="F12" s="387">
        <v>1.1705484901503682E-3</v>
      </c>
      <c r="G12" s="387">
        <v>-6.9103941925397882E-4</v>
      </c>
      <c r="H12" s="387">
        <v>0</v>
      </c>
      <c r="I12" s="386">
        <v>8.0035190389908095E-4</v>
      </c>
      <c r="J12" s="386">
        <v>0</v>
      </c>
      <c r="K12" s="387">
        <v>8.1776003228014663E-3</v>
      </c>
      <c r="L12" s="387">
        <v>2.7588543989207071E-3</v>
      </c>
      <c r="M12" s="387">
        <v>5.0983855880135168E-3</v>
      </c>
      <c r="N12" s="386">
        <v>4.3446292236689124E-3</v>
      </c>
      <c r="O12" s="386">
        <v>0</v>
      </c>
      <c r="P12" s="387">
        <v>0</v>
      </c>
      <c r="Q12" s="386">
        <v>2.1001665399843654E-2</v>
      </c>
      <c r="R12" s="386">
        <v>-1.8094788145789149E-2</v>
      </c>
      <c r="S12" s="386">
        <v>-1.5964223162345942E-3</v>
      </c>
      <c r="T12" s="388">
        <v>0</v>
      </c>
      <c r="U12" s="388">
        <v>0</v>
      </c>
      <c r="V12" s="388">
        <v>0</v>
      </c>
      <c r="W12" s="389">
        <v>0</v>
      </c>
      <c r="X12" s="388">
        <v>0</v>
      </c>
      <c r="Y12" s="388">
        <v>0</v>
      </c>
      <c r="Z12" s="388">
        <v>0</v>
      </c>
      <c r="AA12" s="389">
        <v>0</v>
      </c>
      <c r="AB12" s="375"/>
      <c r="AC12" s="376"/>
    </row>
    <row r="13" spans="1:29">
      <c r="A13" s="362" t="s">
        <v>115</v>
      </c>
      <c r="B13" s="346" t="s">
        <v>941</v>
      </c>
      <c r="C13" s="363">
        <v>629101</v>
      </c>
      <c r="D13" s="364">
        <v>212666</v>
      </c>
      <c r="E13" s="364">
        <v>768908</v>
      </c>
      <c r="F13" s="364">
        <v>175384</v>
      </c>
      <c r="G13" s="364">
        <v>68155</v>
      </c>
      <c r="H13" s="364">
        <v>237010</v>
      </c>
      <c r="I13" s="363">
        <v>2091224</v>
      </c>
      <c r="J13" s="363">
        <v>0</v>
      </c>
      <c r="K13" s="364">
        <v>319699</v>
      </c>
      <c r="L13" s="364">
        <v>147560</v>
      </c>
      <c r="M13" s="364">
        <v>577420</v>
      </c>
      <c r="N13" s="363">
        <v>1044679</v>
      </c>
      <c r="O13" s="363">
        <v>0</v>
      </c>
      <c r="P13" s="364">
        <v>0</v>
      </c>
      <c r="Q13" s="363">
        <v>0</v>
      </c>
      <c r="R13" s="363">
        <v>0</v>
      </c>
      <c r="S13" s="363">
        <v>0</v>
      </c>
      <c r="T13" s="365">
        <v>0</v>
      </c>
      <c r="U13" s="365">
        <v>0</v>
      </c>
      <c r="V13" s="365">
        <v>0</v>
      </c>
      <c r="W13" s="366">
        <v>0</v>
      </c>
      <c r="X13" s="365">
        <v>0</v>
      </c>
      <c r="Y13" s="365">
        <v>0</v>
      </c>
      <c r="Z13" s="365">
        <v>0</v>
      </c>
      <c r="AA13" s="366">
        <v>0</v>
      </c>
      <c r="AB13" s="367"/>
      <c r="AC13" s="368"/>
    </row>
    <row r="14" spans="1:29">
      <c r="A14" s="369"/>
      <c r="B14" s="370" t="s">
        <v>942</v>
      </c>
      <c r="C14" s="371">
        <v>4956</v>
      </c>
      <c r="D14" s="372">
        <v>18674</v>
      </c>
      <c r="E14" s="372">
        <v>17947</v>
      </c>
      <c r="F14" s="372">
        <v>1316</v>
      </c>
      <c r="G14" s="372">
        <v>6126</v>
      </c>
      <c r="H14" s="372">
        <v>11959</v>
      </c>
      <c r="I14" s="371">
        <v>60978</v>
      </c>
      <c r="J14" s="371">
        <v>0</v>
      </c>
      <c r="K14" s="372">
        <v>20269</v>
      </c>
      <c r="L14" s="372">
        <v>15222</v>
      </c>
      <c r="M14" s="372">
        <v>78298</v>
      </c>
      <c r="N14" s="371">
        <v>113789</v>
      </c>
      <c r="O14" s="371">
        <v>0</v>
      </c>
      <c r="P14" s="372">
        <v>0</v>
      </c>
      <c r="Q14" s="371">
        <v>0</v>
      </c>
      <c r="R14" s="371">
        <v>0</v>
      </c>
      <c r="S14" s="371">
        <v>0</v>
      </c>
      <c r="T14" s="373">
        <v>0</v>
      </c>
      <c r="U14" s="373">
        <v>0</v>
      </c>
      <c r="V14" s="373">
        <v>0</v>
      </c>
      <c r="W14" s="374">
        <v>0</v>
      </c>
      <c r="X14" s="373">
        <v>0</v>
      </c>
      <c r="Y14" s="373">
        <v>0</v>
      </c>
      <c r="Z14" s="373">
        <v>0</v>
      </c>
      <c r="AA14" s="374">
        <v>0</v>
      </c>
      <c r="AB14" s="375"/>
      <c r="AC14" s="376"/>
    </row>
    <row r="15" spans="1:29">
      <c r="A15" s="369"/>
      <c r="B15" s="377" t="s">
        <v>943</v>
      </c>
      <c r="C15" s="377">
        <v>7.8779083167885601E-3</v>
      </c>
      <c r="D15" s="378">
        <v>8.780905269295515E-2</v>
      </c>
      <c r="E15" s="378">
        <v>2.3340893839054869E-2</v>
      </c>
      <c r="F15" s="378">
        <v>7.5035351001231584E-3</v>
      </c>
      <c r="G15" s="378">
        <v>8.9883354119286926E-2</v>
      </c>
      <c r="H15" s="378">
        <v>5.0457786591283069E-2</v>
      </c>
      <c r="I15" s="377">
        <v>2.915899970543567E-2</v>
      </c>
      <c r="J15" s="377">
        <v>0</v>
      </c>
      <c r="K15" s="378">
        <v>6.3400260870381198E-2</v>
      </c>
      <c r="L15" s="378">
        <v>0.10315803740851179</v>
      </c>
      <c r="M15" s="378">
        <v>0.13559973676007067</v>
      </c>
      <c r="N15" s="377">
        <v>0.10892245369151672</v>
      </c>
      <c r="O15" s="377">
        <v>0</v>
      </c>
      <c r="P15" s="378">
        <v>0</v>
      </c>
      <c r="Q15" s="377">
        <v>0</v>
      </c>
      <c r="R15" s="377">
        <v>0</v>
      </c>
      <c r="S15" s="377">
        <v>0</v>
      </c>
      <c r="T15" s="379">
        <v>0</v>
      </c>
      <c r="U15" s="379">
        <v>0</v>
      </c>
      <c r="V15" s="379">
        <v>0</v>
      </c>
      <c r="W15" s="380">
        <v>0</v>
      </c>
      <c r="X15" s="379">
        <v>0</v>
      </c>
      <c r="Y15" s="379">
        <v>0</v>
      </c>
      <c r="Z15" s="379">
        <v>0</v>
      </c>
      <c r="AA15" s="380">
        <v>0</v>
      </c>
      <c r="AB15" s="375"/>
      <c r="AC15" s="376"/>
    </row>
    <row r="16" spans="1:29">
      <c r="A16" s="369"/>
      <c r="B16" s="370" t="s">
        <v>944</v>
      </c>
      <c r="C16" s="371">
        <v>638732</v>
      </c>
      <c r="D16" s="372">
        <v>208940</v>
      </c>
      <c r="E16" s="372">
        <v>762666</v>
      </c>
      <c r="F16" s="372">
        <v>180502</v>
      </c>
      <c r="G16" s="372">
        <v>67678</v>
      </c>
      <c r="H16" s="372">
        <v>233771</v>
      </c>
      <c r="I16" s="371">
        <v>2092289</v>
      </c>
      <c r="J16" s="371">
        <v>0</v>
      </c>
      <c r="K16" s="372">
        <v>291309</v>
      </c>
      <c r="L16" s="372">
        <v>142279</v>
      </c>
      <c r="M16" s="372">
        <v>565699</v>
      </c>
      <c r="N16" s="371">
        <v>999287</v>
      </c>
      <c r="O16" s="371">
        <v>0</v>
      </c>
      <c r="P16" s="372">
        <v>0</v>
      </c>
      <c r="Q16" s="371">
        <v>0</v>
      </c>
      <c r="R16" s="371">
        <v>0</v>
      </c>
      <c r="S16" s="371">
        <v>0</v>
      </c>
      <c r="T16" s="373">
        <v>0</v>
      </c>
      <c r="U16" s="373">
        <v>0</v>
      </c>
      <c r="V16" s="373">
        <v>0</v>
      </c>
      <c r="W16" s="374">
        <v>0</v>
      </c>
      <c r="X16" s="373">
        <v>0</v>
      </c>
      <c r="Y16" s="373">
        <v>0</v>
      </c>
      <c r="Z16" s="373">
        <v>0</v>
      </c>
      <c r="AA16" s="374">
        <v>0</v>
      </c>
      <c r="AB16" s="375"/>
      <c r="AC16" s="376"/>
    </row>
    <row r="17" spans="1:29">
      <c r="A17" s="369"/>
      <c r="B17" s="370" t="s">
        <v>945</v>
      </c>
      <c r="C17" s="371">
        <v>2313</v>
      </c>
      <c r="D17" s="372">
        <v>20891</v>
      </c>
      <c r="E17" s="372">
        <v>21171</v>
      </c>
      <c r="F17" s="372">
        <v>2195</v>
      </c>
      <c r="G17" s="372">
        <v>6769</v>
      </c>
      <c r="H17" s="372">
        <v>12315</v>
      </c>
      <c r="I17" s="371">
        <v>65654</v>
      </c>
      <c r="J17" s="371">
        <v>0</v>
      </c>
      <c r="K17" s="372">
        <v>23606</v>
      </c>
      <c r="L17" s="372">
        <v>15554</v>
      </c>
      <c r="M17" s="372">
        <v>83345</v>
      </c>
      <c r="N17" s="371">
        <v>122505</v>
      </c>
      <c r="O17" s="371">
        <v>0</v>
      </c>
      <c r="P17" s="372">
        <v>0</v>
      </c>
      <c r="Q17" s="371">
        <v>0</v>
      </c>
      <c r="R17" s="371">
        <v>0</v>
      </c>
      <c r="S17" s="371">
        <v>0</v>
      </c>
      <c r="T17" s="373">
        <v>0</v>
      </c>
      <c r="U17" s="373">
        <v>0</v>
      </c>
      <c r="V17" s="373">
        <v>0</v>
      </c>
      <c r="W17" s="374">
        <v>0</v>
      </c>
      <c r="X17" s="373">
        <v>0</v>
      </c>
      <c r="Y17" s="373">
        <v>0</v>
      </c>
      <c r="Z17" s="373">
        <v>0</v>
      </c>
      <c r="AA17" s="374">
        <v>0</v>
      </c>
      <c r="AB17" s="375"/>
      <c r="AC17" s="376"/>
    </row>
    <row r="18" spans="1:29">
      <c r="A18" s="369"/>
      <c r="B18" s="381" t="s">
        <v>946</v>
      </c>
      <c r="C18" s="377">
        <v>3.6212370759567394E-3</v>
      </c>
      <c r="D18" s="378">
        <v>9.998564181104623E-2</v>
      </c>
      <c r="E18" s="378">
        <v>2.7759202586715548E-2</v>
      </c>
      <c r="F18" s="378">
        <v>1.2160530077229061E-2</v>
      </c>
      <c r="G18" s="378">
        <v>0.10001773102042022</v>
      </c>
      <c r="H18" s="378">
        <v>5.267975925157526E-2</v>
      </c>
      <c r="I18" s="377">
        <v>3.1379030334719532E-2</v>
      </c>
      <c r="J18" s="377">
        <v>0</v>
      </c>
      <c r="K18" s="378">
        <v>8.1034228259339744E-2</v>
      </c>
      <c r="L18" s="378">
        <v>0.10932041973868245</v>
      </c>
      <c r="M18" s="378">
        <v>0.14733100111543418</v>
      </c>
      <c r="N18" s="377">
        <v>0.12259240838718007</v>
      </c>
      <c r="O18" s="377">
        <v>0</v>
      </c>
      <c r="P18" s="378">
        <v>0</v>
      </c>
      <c r="Q18" s="377">
        <v>0</v>
      </c>
      <c r="R18" s="381">
        <v>0</v>
      </c>
      <c r="S18" s="381">
        <v>0</v>
      </c>
      <c r="T18" s="382">
        <v>0</v>
      </c>
      <c r="U18" s="382">
        <v>0</v>
      </c>
      <c r="V18" s="382">
        <v>0</v>
      </c>
      <c r="W18" s="383">
        <v>0</v>
      </c>
      <c r="X18" s="382">
        <v>0</v>
      </c>
      <c r="Y18" s="382">
        <v>0</v>
      </c>
      <c r="Z18" s="382">
        <v>0</v>
      </c>
      <c r="AA18" s="383">
        <v>0</v>
      </c>
      <c r="AB18" s="375"/>
      <c r="AC18" s="376"/>
    </row>
    <row r="19" spans="1:29">
      <c r="A19" s="384"/>
      <c r="B19" s="385" t="s">
        <v>947</v>
      </c>
      <c r="C19" s="386">
        <v>-4.2566712408318207E-3</v>
      </c>
      <c r="D19" s="387">
        <v>1.217658911809108E-2</v>
      </c>
      <c r="E19" s="387">
        <v>4.4183087476606792E-3</v>
      </c>
      <c r="F19" s="387">
        <v>4.6569949771059025E-3</v>
      </c>
      <c r="G19" s="387">
        <v>1.0134376901133293E-2</v>
      </c>
      <c r="H19" s="387">
        <v>2.2219726602921916E-3</v>
      </c>
      <c r="I19" s="386">
        <v>2.2200306292838624E-3</v>
      </c>
      <c r="J19" s="386">
        <v>0</v>
      </c>
      <c r="K19" s="387">
        <v>1.7633967388958546E-2</v>
      </c>
      <c r="L19" s="387">
        <v>6.1623823301706626E-3</v>
      </c>
      <c r="M19" s="387">
        <v>1.1731264355363508E-2</v>
      </c>
      <c r="N19" s="386">
        <v>1.3669954695663344E-2</v>
      </c>
      <c r="O19" s="386">
        <v>0</v>
      </c>
      <c r="P19" s="387">
        <v>0</v>
      </c>
      <c r="Q19" s="386">
        <v>0</v>
      </c>
      <c r="R19" s="386">
        <v>0</v>
      </c>
      <c r="S19" s="386">
        <v>0</v>
      </c>
      <c r="T19" s="388">
        <v>0</v>
      </c>
      <c r="U19" s="388">
        <v>0</v>
      </c>
      <c r="V19" s="388">
        <v>0</v>
      </c>
      <c r="W19" s="389">
        <v>0</v>
      </c>
      <c r="X19" s="388">
        <v>0</v>
      </c>
      <c r="Y19" s="388">
        <v>0</v>
      </c>
      <c r="Z19" s="388">
        <v>0</v>
      </c>
      <c r="AA19" s="389">
        <v>0</v>
      </c>
      <c r="AB19" s="375"/>
      <c r="AC19" s="376"/>
    </row>
    <row r="20" spans="1:29">
      <c r="A20" s="362" t="s">
        <v>540</v>
      </c>
      <c r="B20" s="346" t="s">
        <v>941</v>
      </c>
      <c r="C20" s="363">
        <v>0</v>
      </c>
      <c r="D20" s="364">
        <v>0</v>
      </c>
      <c r="E20" s="364">
        <v>0</v>
      </c>
      <c r="F20" s="364">
        <v>0</v>
      </c>
      <c r="G20" s="364">
        <v>0</v>
      </c>
      <c r="H20" s="364">
        <v>0</v>
      </c>
      <c r="I20" s="363">
        <v>0</v>
      </c>
      <c r="J20" s="363">
        <v>0</v>
      </c>
      <c r="K20" s="364">
        <v>0</v>
      </c>
      <c r="L20" s="364">
        <v>0</v>
      </c>
      <c r="M20" s="364">
        <v>0</v>
      </c>
      <c r="N20" s="363">
        <v>0</v>
      </c>
      <c r="O20" s="363">
        <v>0</v>
      </c>
      <c r="P20" s="364">
        <v>0</v>
      </c>
      <c r="Q20" s="363">
        <v>0</v>
      </c>
      <c r="R20" s="363">
        <v>0</v>
      </c>
      <c r="S20" s="363">
        <v>0</v>
      </c>
      <c r="T20" s="365">
        <v>0</v>
      </c>
      <c r="U20" s="365">
        <v>0</v>
      </c>
      <c r="V20" s="365">
        <v>0</v>
      </c>
      <c r="W20" s="366">
        <v>0</v>
      </c>
      <c r="X20" s="365">
        <v>0</v>
      </c>
      <c r="Y20" s="365">
        <v>0</v>
      </c>
      <c r="Z20" s="365">
        <v>0</v>
      </c>
      <c r="AA20" s="366">
        <v>0</v>
      </c>
      <c r="AB20" s="367"/>
      <c r="AC20" s="368"/>
    </row>
    <row r="21" spans="1:29">
      <c r="A21" s="369"/>
      <c r="B21" s="370" t="s">
        <v>942</v>
      </c>
      <c r="C21" s="371">
        <v>0</v>
      </c>
      <c r="D21" s="372">
        <v>0</v>
      </c>
      <c r="E21" s="372">
        <v>0</v>
      </c>
      <c r="F21" s="372">
        <v>0</v>
      </c>
      <c r="G21" s="372">
        <v>0</v>
      </c>
      <c r="H21" s="372">
        <v>0</v>
      </c>
      <c r="I21" s="371">
        <v>0</v>
      </c>
      <c r="J21" s="371">
        <v>0</v>
      </c>
      <c r="K21" s="372">
        <v>0</v>
      </c>
      <c r="L21" s="372">
        <v>0</v>
      </c>
      <c r="M21" s="372">
        <v>0</v>
      </c>
      <c r="N21" s="371">
        <v>0</v>
      </c>
      <c r="O21" s="371">
        <v>0</v>
      </c>
      <c r="P21" s="372">
        <v>0</v>
      </c>
      <c r="Q21" s="371">
        <v>0</v>
      </c>
      <c r="R21" s="371">
        <v>0</v>
      </c>
      <c r="S21" s="371">
        <v>0</v>
      </c>
      <c r="T21" s="373">
        <v>0</v>
      </c>
      <c r="U21" s="373">
        <v>0</v>
      </c>
      <c r="V21" s="373">
        <v>0</v>
      </c>
      <c r="W21" s="374">
        <v>0</v>
      </c>
      <c r="X21" s="373">
        <v>0</v>
      </c>
      <c r="Y21" s="373">
        <v>0</v>
      </c>
      <c r="Z21" s="373">
        <v>0</v>
      </c>
      <c r="AA21" s="374">
        <v>0</v>
      </c>
      <c r="AB21" s="375"/>
      <c r="AC21" s="376"/>
    </row>
    <row r="22" spans="1:29">
      <c r="A22" s="369"/>
      <c r="B22" s="377" t="s">
        <v>943</v>
      </c>
      <c r="C22" s="377">
        <v>0</v>
      </c>
      <c r="D22" s="378">
        <v>0</v>
      </c>
      <c r="E22" s="378">
        <v>0</v>
      </c>
      <c r="F22" s="378">
        <v>0</v>
      </c>
      <c r="G22" s="378">
        <v>0</v>
      </c>
      <c r="H22" s="378">
        <v>0</v>
      </c>
      <c r="I22" s="377">
        <v>0</v>
      </c>
      <c r="J22" s="377">
        <v>0</v>
      </c>
      <c r="K22" s="378">
        <v>0</v>
      </c>
      <c r="L22" s="378">
        <v>0</v>
      </c>
      <c r="M22" s="378">
        <v>0</v>
      </c>
      <c r="N22" s="377">
        <v>0</v>
      </c>
      <c r="O22" s="377">
        <v>0</v>
      </c>
      <c r="P22" s="378">
        <v>0</v>
      </c>
      <c r="Q22" s="377">
        <v>0</v>
      </c>
      <c r="R22" s="377">
        <v>0</v>
      </c>
      <c r="S22" s="377">
        <v>0</v>
      </c>
      <c r="T22" s="379">
        <v>0</v>
      </c>
      <c r="U22" s="379">
        <v>0</v>
      </c>
      <c r="V22" s="379">
        <v>0</v>
      </c>
      <c r="W22" s="380">
        <v>0</v>
      </c>
      <c r="X22" s="379">
        <v>0</v>
      </c>
      <c r="Y22" s="379">
        <v>0</v>
      </c>
      <c r="Z22" s="379">
        <v>0</v>
      </c>
      <c r="AA22" s="380">
        <v>0</v>
      </c>
      <c r="AB22" s="375"/>
      <c r="AC22" s="376"/>
    </row>
    <row r="23" spans="1:29">
      <c r="A23" s="369"/>
      <c r="B23" s="370" t="s">
        <v>944</v>
      </c>
      <c r="C23" s="371">
        <v>0</v>
      </c>
      <c r="D23" s="372">
        <v>0</v>
      </c>
      <c r="E23" s="372">
        <v>0</v>
      </c>
      <c r="F23" s="372">
        <v>0</v>
      </c>
      <c r="G23" s="372">
        <v>0</v>
      </c>
      <c r="H23" s="372">
        <v>0</v>
      </c>
      <c r="I23" s="371">
        <v>0</v>
      </c>
      <c r="J23" s="371">
        <v>0</v>
      </c>
      <c r="K23" s="372">
        <v>0</v>
      </c>
      <c r="L23" s="372">
        <v>0</v>
      </c>
      <c r="M23" s="372">
        <v>0</v>
      </c>
      <c r="N23" s="371">
        <v>0</v>
      </c>
      <c r="O23" s="371">
        <v>0</v>
      </c>
      <c r="P23" s="372">
        <v>0</v>
      </c>
      <c r="Q23" s="371">
        <v>0</v>
      </c>
      <c r="R23" s="371">
        <v>0</v>
      </c>
      <c r="S23" s="371">
        <v>0</v>
      </c>
      <c r="T23" s="373">
        <v>0</v>
      </c>
      <c r="U23" s="373">
        <v>0</v>
      </c>
      <c r="V23" s="373">
        <v>0</v>
      </c>
      <c r="W23" s="374">
        <v>0</v>
      </c>
      <c r="X23" s="373">
        <v>0</v>
      </c>
      <c r="Y23" s="373">
        <v>0</v>
      </c>
      <c r="Z23" s="373">
        <v>0</v>
      </c>
      <c r="AA23" s="374">
        <v>0</v>
      </c>
      <c r="AB23" s="375"/>
      <c r="AC23" s="376"/>
    </row>
    <row r="24" spans="1:29">
      <c r="A24" s="369"/>
      <c r="B24" s="370" t="s">
        <v>945</v>
      </c>
      <c r="C24" s="371">
        <v>0</v>
      </c>
      <c r="D24" s="372">
        <v>0</v>
      </c>
      <c r="E24" s="372">
        <v>0</v>
      </c>
      <c r="F24" s="372">
        <v>0</v>
      </c>
      <c r="G24" s="372">
        <v>0</v>
      </c>
      <c r="H24" s="372">
        <v>0</v>
      </c>
      <c r="I24" s="371">
        <v>0</v>
      </c>
      <c r="J24" s="371">
        <v>0</v>
      </c>
      <c r="K24" s="372">
        <v>0</v>
      </c>
      <c r="L24" s="372">
        <v>0</v>
      </c>
      <c r="M24" s="372">
        <v>0</v>
      </c>
      <c r="N24" s="371">
        <v>0</v>
      </c>
      <c r="O24" s="371">
        <v>0</v>
      </c>
      <c r="P24" s="372">
        <v>0</v>
      </c>
      <c r="Q24" s="371">
        <v>0</v>
      </c>
      <c r="R24" s="371">
        <v>0</v>
      </c>
      <c r="S24" s="371">
        <v>0</v>
      </c>
      <c r="T24" s="373">
        <v>0</v>
      </c>
      <c r="U24" s="373">
        <v>0</v>
      </c>
      <c r="V24" s="373">
        <v>0</v>
      </c>
      <c r="W24" s="374">
        <v>0</v>
      </c>
      <c r="X24" s="373">
        <v>0</v>
      </c>
      <c r="Y24" s="373">
        <v>0</v>
      </c>
      <c r="Z24" s="373">
        <v>0</v>
      </c>
      <c r="AA24" s="374">
        <v>0</v>
      </c>
      <c r="AB24" s="375"/>
      <c r="AC24" s="376"/>
    </row>
    <row r="25" spans="1:29">
      <c r="A25" s="369"/>
      <c r="B25" s="381" t="s">
        <v>946</v>
      </c>
      <c r="C25" s="377">
        <v>0</v>
      </c>
      <c r="D25" s="378">
        <v>0</v>
      </c>
      <c r="E25" s="378">
        <v>0</v>
      </c>
      <c r="F25" s="378">
        <v>0</v>
      </c>
      <c r="G25" s="378">
        <v>0</v>
      </c>
      <c r="H25" s="378">
        <v>0</v>
      </c>
      <c r="I25" s="377">
        <v>0</v>
      </c>
      <c r="J25" s="377">
        <v>0</v>
      </c>
      <c r="K25" s="378">
        <v>0</v>
      </c>
      <c r="L25" s="378">
        <v>0</v>
      </c>
      <c r="M25" s="378">
        <v>0</v>
      </c>
      <c r="N25" s="377">
        <v>0</v>
      </c>
      <c r="O25" s="377">
        <v>0</v>
      </c>
      <c r="P25" s="378">
        <v>0</v>
      </c>
      <c r="Q25" s="377">
        <v>0</v>
      </c>
      <c r="R25" s="381">
        <v>0</v>
      </c>
      <c r="S25" s="381">
        <v>0</v>
      </c>
      <c r="T25" s="382">
        <v>0</v>
      </c>
      <c r="U25" s="382">
        <v>0</v>
      </c>
      <c r="V25" s="382">
        <v>0</v>
      </c>
      <c r="W25" s="383">
        <v>0</v>
      </c>
      <c r="X25" s="382">
        <v>0</v>
      </c>
      <c r="Y25" s="382">
        <v>0</v>
      </c>
      <c r="Z25" s="382">
        <v>0</v>
      </c>
      <c r="AA25" s="383">
        <v>0</v>
      </c>
      <c r="AB25" s="375"/>
      <c r="AC25" s="376"/>
    </row>
    <row r="26" spans="1:29">
      <c r="A26" s="384"/>
      <c r="B26" s="385" t="s">
        <v>947</v>
      </c>
      <c r="C26" s="386">
        <v>0</v>
      </c>
      <c r="D26" s="387">
        <v>0</v>
      </c>
      <c r="E26" s="387">
        <v>0</v>
      </c>
      <c r="F26" s="387">
        <v>0</v>
      </c>
      <c r="G26" s="387">
        <v>0</v>
      </c>
      <c r="H26" s="387">
        <v>0</v>
      </c>
      <c r="I26" s="386">
        <v>0</v>
      </c>
      <c r="J26" s="386">
        <v>0</v>
      </c>
      <c r="K26" s="387">
        <v>0</v>
      </c>
      <c r="L26" s="387">
        <v>0</v>
      </c>
      <c r="M26" s="387">
        <v>0</v>
      </c>
      <c r="N26" s="386">
        <v>0</v>
      </c>
      <c r="O26" s="386">
        <v>0</v>
      </c>
      <c r="P26" s="387">
        <v>0</v>
      </c>
      <c r="Q26" s="386">
        <v>0</v>
      </c>
      <c r="R26" s="386">
        <v>0</v>
      </c>
      <c r="S26" s="386">
        <v>0</v>
      </c>
      <c r="T26" s="388">
        <v>0</v>
      </c>
      <c r="U26" s="388">
        <v>0</v>
      </c>
      <c r="V26" s="388">
        <v>0</v>
      </c>
      <c r="W26" s="389">
        <v>0</v>
      </c>
      <c r="X26" s="388">
        <v>0</v>
      </c>
      <c r="Y26" s="388">
        <v>0</v>
      </c>
      <c r="Z26" s="388">
        <v>0</v>
      </c>
      <c r="AA26" s="389">
        <v>0</v>
      </c>
      <c r="AB26" s="375"/>
      <c r="AC26" s="376"/>
    </row>
    <row r="27" spans="1:29">
      <c r="A27" s="362" t="s">
        <v>148</v>
      </c>
      <c r="B27" s="346" t="s">
        <v>941</v>
      </c>
      <c r="C27" s="363">
        <v>6094673</v>
      </c>
      <c r="D27" s="364">
        <v>0</v>
      </c>
      <c r="E27" s="364">
        <v>857104</v>
      </c>
      <c r="F27" s="364">
        <v>348942</v>
      </c>
      <c r="G27" s="364">
        <v>0</v>
      </c>
      <c r="H27" s="364">
        <v>0</v>
      </c>
      <c r="I27" s="363">
        <v>7300719</v>
      </c>
      <c r="J27" s="363">
        <v>22956275</v>
      </c>
      <c r="K27" s="364">
        <v>4210565</v>
      </c>
      <c r="L27" s="364">
        <v>741885</v>
      </c>
      <c r="M27" s="364">
        <v>182058</v>
      </c>
      <c r="N27" s="363">
        <v>28090783</v>
      </c>
      <c r="O27" s="363">
        <v>0</v>
      </c>
      <c r="P27" s="364">
        <v>0</v>
      </c>
      <c r="Q27" s="363">
        <v>0</v>
      </c>
      <c r="R27" s="363">
        <v>0</v>
      </c>
      <c r="S27" s="363">
        <v>0</v>
      </c>
      <c r="T27" s="365">
        <v>0</v>
      </c>
      <c r="U27" s="365">
        <v>0</v>
      </c>
      <c r="V27" s="365">
        <v>0</v>
      </c>
      <c r="W27" s="366">
        <v>0</v>
      </c>
      <c r="X27" s="365">
        <v>0</v>
      </c>
      <c r="Y27" s="365">
        <v>0</v>
      </c>
      <c r="Z27" s="365">
        <v>0</v>
      </c>
      <c r="AA27" s="366">
        <v>0</v>
      </c>
      <c r="AB27" s="367"/>
      <c r="AC27" s="368"/>
    </row>
    <row r="28" spans="1:29">
      <c r="A28" s="369"/>
      <c r="B28" s="370" t="s">
        <v>942</v>
      </c>
      <c r="C28" s="371">
        <v>55744</v>
      </c>
      <c r="D28" s="372">
        <v>0</v>
      </c>
      <c r="E28" s="372">
        <v>3814</v>
      </c>
      <c r="F28" s="372">
        <v>520</v>
      </c>
      <c r="G28" s="372">
        <v>0</v>
      </c>
      <c r="H28" s="372">
        <v>0</v>
      </c>
      <c r="I28" s="371">
        <v>60078</v>
      </c>
      <c r="J28" s="371">
        <v>587403</v>
      </c>
      <c r="K28" s="372">
        <v>147377</v>
      </c>
      <c r="L28" s="372">
        <v>75217</v>
      </c>
      <c r="M28" s="372">
        <v>6280</v>
      </c>
      <c r="N28" s="371">
        <v>816277</v>
      </c>
      <c r="O28" s="371">
        <v>0</v>
      </c>
      <c r="P28" s="372">
        <v>0</v>
      </c>
      <c r="Q28" s="371">
        <v>0</v>
      </c>
      <c r="R28" s="371">
        <v>0</v>
      </c>
      <c r="S28" s="371">
        <v>0</v>
      </c>
      <c r="T28" s="373">
        <v>0</v>
      </c>
      <c r="U28" s="373">
        <v>0</v>
      </c>
      <c r="V28" s="373">
        <v>0</v>
      </c>
      <c r="W28" s="374">
        <v>0</v>
      </c>
      <c r="X28" s="373">
        <v>0</v>
      </c>
      <c r="Y28" s="373">
        <v>0</v>
      </c>
      <c r="Z28" s="373">
        <v>0</v>
      </c>
      <c r="AA28" s="374">
        <v>0</v>
      </c>
      <c r="AB28" s="375"/>
      <c r="AC28" s="376"/>
    </row>
    <row r="29" spans="1:29">
      <c r="A29" s="369"/>
      <c r="B29" s="377" t="s">
        <v>943</v>
      </c>
      <c r="C29" s="377">
        <v>9.1463479664946751E-3</v>
      </c>
      <c r="D29" s="378">
        <v>0</v>
      </c>
      <c r="E29" s="378">
        <v>4.4498683940338629E-3</v>
      </c>
      <c r="F29" s="378">
        <v>1.4902190048776015E-3</v>
      </c>
      <c r="G29" s="378">
        <v>0</v>
      </c>
      <c r="H29" s="378">
        <v>0</v>
      </c>
      <c r="I29" s="377">
        <v>8.2290525083899262E-3</v>
      </c>
      <c r="J29" s="377">
        <v>2.5587905703342548E-2</v>
      </c>
      <c r="K29" s="378">
        <v>3.5001715921734969E-2</v>
      </c>
      <c r="L29" s="378">
        <v>0.10138633346138552</v>
      </c>
      <c r="M29" s="378">
        <v>3.4494501752188864E-2</v>
      </c>
      <c r="N29" s="377">
        <v>2.9058534965009698E-2</v>
      </c>
      <c r="O29" s="377">
        <v>0</v>
      </c>
      <c r="P29" s="378">
        <v>0</v>
      </c>
      <c r="Q29" s="377">
        <v>0</v>
      </c>
      <c r="R29" s="377">
        <v>0</v>
      </c>
      <c r="S29" s="377">
        <v>0</v>
      </c>
      <c r="T29" s="379">
        <v>0</v>
      </c>
      <c r="U29" s="379">
        <v>0</v>
      </c>
      <c r="V29" s="379">
        <v>0</v>
      </c>
      <c r="W29" s="380">
        <v>0</v>
      </c>
      <c r="X29" s="379">
        <v>0</v>
      </c>
      <c r="Y29" s="379">
        <v>0</v>
      </c>
      <c r="Z29" s="379">
        <v>0</v>
      </c>
      <c r="AA29" s="380">
        <v>0</v>
      </c>
      <c r="AB29" s="375"/>
      <c r="AC29" s="376"/>
    </row>
    <row r="30" spans="1:29">
      <c r="A30" s="369"/>
      <c r="B30" s="370" t="s">
        <v>944</v>
      </c>
      <c r="C30" s="371">
        <v>6214043</v>
      </c>
      <c r="D30" s="372">
        <v>0</v>
      </c>
      <c r="E30" s="372">
        <v>849774</v>
      </c>
      <c r="F30" s="372">
        <v>354469</v>
      </c>
      <c r="G30" s="372">
        <v>0</v>
      </c>
      <c r="H30" s="372">
        <v>0</v>
      </c>
      <c r="I30" s="371">
        <v>7418286</v>
      </c>
      <c r="J30" s="371">
        <v>21697264</v>
      </c>
      <c r="K30" s="372">
        <v>4210267</v>
      </c>
      <c r="L30" s="372">
        <v>730171</v>
      </c>
      <c r="M30" s="372">
        <v>185557</v>
      </c>
      <c r="N30" s="371">
        <v>26823259</v>
      </c>
      <c r="O30" s="371">
        <v>0</v>
      </c>
      <c r="P30" s="372">
        <v>0</v>
      </c>
      <c r="Q30" s="371">
        <v>0</v>
      </c>
      <c r="R30" s="371">
        <v>0</v>
      </c>
      <c r="S30" s="371">
        <v>0</v>
      </c>
      <c r="T30" s="373">
        <v>0</v>
      </c>
      <c r="U30" s="373">
        <v>0</v>
      </c>
      <c r="V30" s="373">
        <v>0</v>
      </c>
      <c r="W30" s="374">
        <v>0</v>
      </c>
      <c r="X30" s="373">
        <v>0</v>
      </c>
      <c r="Y30" s="373">
        <v>0</v>
      </c>
      <c r="Z30" s="373">
        <v>0</v>
      </c>
      <c r="AA30" s="374">
        <v>0</v>
      </c>
      <c r="AB30" s="375"/>
      <c r="AC30" s="376"/>
    </row>
    <row r="31" spans="1:29">
      <c r="A31" s="369"/>
      <c r="B31" s="370" t="s">
        <v>945</v>
      </c>
      <c r="C31" s="371">
        <v>50101</v>
      </c>
      <c r="D31" s="372">
        <v>0</v>
      </c>
      <c r="E31" s="372">
        <v>3503</v>
      </c>
      <c r="F31" s="372">
        <v>1424</v>
      </c>
      <c r="G31" s="372">
        <v>0</v>
      </c>
      <c r="H31" s="372">
        <v>0</v>
      </c>
      <c r="I31" s="371">
        <v>55028</v>
      </c>
      <c r="J31" s="371">
        <v>625408</v>
      </c>
      <c r="K31" s="372">
        <v>163320</v>
      </c>
      <c r="L31" s="372">
        <v>83243</v>
      </c>
      <c r="M31" s="372">
        <v>9382</v>
      </c>
      <c r="N31" s="371">
        <v>881353</v>
      </c>
      <c r="O31" s="371">
        <v>0</v>
      </c>
      <c r="P31" s="372">
        <v>0</v>
      </c>
      <c r="Q31" s="371">
        <v>0</v>
      </c>
      <c r="R31" s="371">
        <v>0</v>
      </c>
      <c r="S31" s="371">
        <v>0</v>
      </c>
      <c r="T31" s="373">
        <v>0</v>
      </c>
      <c r="U31" s="373">
        <v>0</v>
      </c>
      <c r="V31" s="373">
        <v>0</v>
      </c>
      <c r="W31" s="374">
        <v>0</v>
      </c>
      <c r="X31" s="373">
        <v>0</v>
      </c>
      <c r="Y31" s="373">
        <v>0</v>
      </c>
      <c r="Z31" s="373">
        <v>0</v>
      </c>
      <c r="AA31" s="374">
        <v>0</v>
      </c>
      <c r="AB31" s="375"/>
      <c r="AC31" s="376"/>
    </row>
    <row r="32" spans="1:29">
      <c r="A32" s="369"/>
      <c r="B32" s="381" t="s">
        <v>946</v>
      </c>
      <c r="C32" s="377">
        <v>8.0625447876688325E-3</v>
      </c>
      <c r="D32" s="378">
        <v>0</v>
      </c>
      <c r="E32" s="378">
        <v>4.1222725101026864E-3</v>
      </c>
      <c r="F32" s="378">
        <v>4.0172765460449291E-3</v>
      </c>
      <c r="G32" s="378">
        <v>0</v>
      </c>
      <c r="H32" s="378">
        <v>0</v>
      </c>
      <c r="I32" s="377">
        <v>7.4178860184144959E-3</v>
      </c>
      <c r="J32" s="377">
        <v>2.8824279411450219E-2</v>
      </c>
      <c r="K32" s="378">
        <v>3.8790889033878374E-2</v>
      </c>
      <c r="L32" s="378">
        <v>0.11400480161496417</v>
      </c>
      <c r="M32" s="378">
        <v>5.0561283055880403E-2</v>
      </c>
      <c r="N32" s="377">
        <v>3.2857789577321682E-2</v>
      </c>
      <c r="O32" s="377">
        <v>0</v>
      </c>
      <c r="P32" s="378">
        <v>0</v>
      </c>
      <c r="Q32" s="377">
        <v>0</v>
      </c>
      <c r="R32" s="381">
        <v>0</v>
      </c>
      <c r="S32" s="381">
        <v>0</v>
      </c>
      <c r="T32" s="382">
        <v>0</v>
      </c>
      <c r="U32" s="382">
        <v>0</v>
      </c>
      <c r="V32" s="382">
        <v>0</v>
      </c>
      <c r="W32" s="383">
        <v>0</v>
      </c>
      <c r="X32" s="382">
        <v>0</v>
      </c>
      <c r="Y32" s="382">
        <v>0</v>
      </c>
      <c r="Z32" s="382">
        <v>0</v>
      </c>
      <c r="AA32" s="383">
        <v>0</v>
      </c>
      <c r="AB32" s="375"/>
      <c r="AC32" s="376"/>
    </row>
    <row r="33" spans="1:29">
      <c r="A33" s="384"/>
      <c r="B33" s="385" t="s">
        <v>947</v>
      </c>
      <c r="C33" s="386">
        <v>-1.0838031788258425E-3</v>
      </c>
      <c r="D33" s="387">
        <v>0</v>
      </c>
      <c r="E33" s="387">
        <v>-3.2759588393117649E-4</v>
      </c>
      <c r="F33" s="387">
        <v>2.5270575411673276E-3</v>
      </c>
      <c r="G33" s="387">
        <v>0</v>
      </c>
      <c r="H33" s="387">
        <v>0</v>
      </c>
      <c r="I33" s="386">
        <v>-8.1116648997543034E-4</v>
      </c>
      <c r="J33" s="386">
        <v>3.2363737081076704E-3</v>
      </c>
      <c r="K33" s="387">
        <v>3.7891731121434055E-3</v>
      </c>
      <c r="L33" s="387">
        <v>1.2618468153578644E-2</v>
      </c>
      <c r="M33" s="387">
        <v>1.6066781303691539E-2</v>
      </c>
      <c r="N33" s="386">
        <v>3.7992546123119843E-3</v>
      </c>
      <c r="O33" s="386">
        <v>0</v>
      </c>
      <c r="P33" s="387">
        <v>0</v>
      </c>
      <c r="Q33" s="386">
        <v>0</v>
      </c>
      <c r="R33" s="386">
        <v>0</v>
      </c>
      <c r="S33" s="386">
        <v>0</v>
      </c>
      <c r="T33" s="388">
        <v>0</v>
      </c>
      <c r="U33" s="388">
        <v>0</v>
      </c>
      <c r="V33" s="388">
        <v>0</v>
      </c>
      <c r="W33" s="389">
        <v>0</v>
      </c>
      <c r="X33" s="388">
        <v>0</v>
      </c>
      <c r="Y33" s="388">
        <v>0</v>
      </c>
      <c r="Z33" s="388">
        <v>0</v>
      </c>
      <c r="AA33" s="389">
        <v>0</v>
      </c>
      <c r="AB33" s="375"/>
      <c r="AC33" s="376"/>
    </row>
    <row r="34" spans="1:29">
      <c r="A34" s="362" t="s">
        <v>188</v>
      </c>
      <c r="B34" s="346" t="s">
        <v>941</v>
      </c>
      <c r="C34" s="363">
        <v>1452403</v>
      </c>
      <c r="D34" s="364">
        <v>433618.99</v>
      </c>
      <c r="E34" s="364">
        <v>1834194</v>
      </c>
      <c r="F34" s="364">
        <v>1367642</v>
      </c>
      <c r="G34" s="364">
        <v>191177</v>
      </c>
      <c r="H34" s="364">
        <v>654182</v>
      </c>
      <c r="I34" s="363">
        <v>5933216.9900000002</v>
      </c>
      <c r="J34" s="363">
        <v>512026.5</v>
      </c>
      <c r="K34" s="364">
        <v>455219</v>
      </c>
      <c r="L34" s="364">
        <v>120950</v>
      </c>
      <c r="M34" s="364">
        <v>50059</v>
      </c>
      <c r="N34" s="363">
        <v>1138254.5</v>
      </c>
      <c r="O34" s="363">
        <v>0</v>
      </c>
      <c r="P34" s="364">
        <v>0</v>
      </c>
      <c r="Q34" s="363">
        <v>2025187</v>
      </c>
      <c r="R34" s="363">
        <v>0</v>
      </c>
      <c r="S34" s="363">
        <v>2025187</v>
      </c>
      <c r="T34" s="365">
        <v>0</v>
      </c>
      <c r="U34" s="365">
        <v>0</v>
      </c>
      <c r="V34" s="365">
        <v>0</v>
      </c>
      <c r="W34" s="366">
        <v>0</v>
      </c>
      <c r="X34" s="365">
        <v>0</v>
      </c>
      <c r="Y34" s="365">
        <v>0</v>
      </c>
      <c r="Z34" s="365">
        <v>0</v>
      </c>
      <c r="AA34" s="366">
        <v>0</v>
      </c>
      <c r="AB34" s="367"/>
      <c r="AC34" s="368"/>
    </row>
    <row r="35" spans="1:29">
      <c r="A35" s="369"/>
      <c r="B35" s="370" t="s">
        <v>942</v>
      </c>
      <c r="C35" s="371">
        <v>3600</v>
      </c>
      <c r="D35" s="372">
        <v>3637</v>
      </c>
      <c r="E35" s="372">
        <v>16223</v>
      </c>
      <c r="F35" s="372">
        <v>23577</v>
      </c>
      <c r="G35" s="372">
        <v>2005</v>
      </c>
      <c r="H35" s="372">
        <v>17312</v>
      </c>
      <c r="I35" s="371">
        <v>66354</v>
      </c>
      <c r="J35" s="371">
        <v>16521</v>
      </c>
      <c r="K35" s="372">
        <v>16133</v>
      </c>
      <c r="L35" s="372">
        <v>2855</v>
      </c>
      <c r="M35" s="372">
        <v>4703</v>
      </c>
      <c r="N35" s="371">
        <v>40212</v>
      </c>
      <c r="O35" s="371">
        <v>0</v>
      </c>
      <c r="P35" s="372">
        <v>0</v>
      </c>
      <c r="Q35" s="371">
        <v>135501.9</v>
      </c>
      <c r="R35" s="371">
        <v>0</v>
      </c>
      <c r="S35" s="371">
        <v>135501.9</v>
      </c>
      <c r="T35" s="373">
        <v>0</v>
      </c>
      <c r="U35" s="373">
        <v>0</v>
      </c>
      <c r="V35" s="373">
        <v>0</v>
      </c>
      <c r="W35" s="374">
        <v>0</v>
      </c>
      <c r="X35" s="373">
        <v>0</v>
      </c>
      <c r="Y35" s="373">
        <v>0</v>
      </c>
      <c r="Z35" s="373">
        <v>0</v>
      </c>
      <c r="AA35" s="374">
        <v>0</v>
      </c>
      <c r="AB35" s="375"/>
      <c r="AC35" s="376"/>
    </row>
    <row r="36" spans="1:29">
      <c r="A36" s="369"/>
      <c r="B36" s="377" t="s">
        <v>943</v>
      </c>
      <c r="C36" s="377">
        <v>2.478650897856862E-3</v>
      </c>
      <c r="D36" s="378">
        <v>8.3875477870560978E-3</v>
      </c>
      <c r="E36" s="378">
        <v>8.8447568795885275E-3</v>
      </c>
      <c r="F36" s="378">
        <v>1.7239160540550816E-2</v>
      </c>
      <c r="G36" s="378">
        <v>1.0487663264932497E-2</v>
      </c>
      <c r="H36" s="378">
        <v>2.6463583528742767E-2</v>
      </c>
      <c r="I36" s="377">
        <v>1.1183477717372343E-2</v>
      </c>
      <c r="J36" s="377">
        <v>3.2265908112177791E-2</v>
      </c>
      <c r="K36" s="378">
        <v>3.5440084882221522E-2</v>
      </c>
      <c r="L36" s="378">
        <v>2.3604795369987597E-2</v>
      </c>
      <c r="M36" s="378">
        <v>9.3949140014782551E-2</v>
      </c>
      <c r="N36" s="377">
        <v>3.5327775993857259E-2</v>
      </c>
      <c r="O36" s="377">
        <v>0</v>
      </c>
      <c r="P36" s="378">
        <v>0</v>
      </c>
      <c r="Q36" s="377">
        <v>6.6908339822446025E-2</v>
      </c>
      <c r="R36" s="377">
        <v>0</v>
      </c>
      <c r="S36" s="377">
        <v>6.6908339822446025E-2</v>
      </c>
      <c r="T36" s="379">
        <v>0</v>
      </c>
      <c r="U36" s="379">
        <v>0</v>
      </c>
      <c r="V36" s="379">
        <v>0</v>
      </c>
      <c r="W36" s="380">
        <v>0</v>
      </c>
      <c r="X36" s="379">
        <v>0</v>
      </c>
      <c r="Y36" s="379">
        <v>0</v>
      </c>
      <c r="Z36" s="379">
        <v>0</v>
      </c>
      <c r="AA36" s="380">
        <v>0</v>
      </c>
      <c r="AB36" s="375"/>
      <c r="AC36" s="376"/>
    </row>
    <row r="37" spans="1:29">
      <c r="A37" s="369"/>
      <c r="B37" s="370" t="s">
        <v>944</v>
      </c>
      <c r="C37" s="371">
        <v>1648553.9</v>
      </c>
      <c r="D37" s="372">
        <v>437645</v>
      </c>
      <c r="E37" s="372">
        <v>1884380.34</v>
      </c>
      <c r="F37" s="372">
        <v>1385791.2000000002</v>
      </c>
      <c r="G37" s="372">
        <v>194368.08000000002</v>
      </c>
      <c r="H37" s="372">
        <v>676840.16000000015</v>
      </c>
      <c r="I37" s="371">
        <v>6227578.6800000006</v>
      </c>
      <c r="J37" s="371">
        <v>482377.20000000007</v>
      </c>
      <c r="K37" s="372">
        <v>0</v>
      </c>
      <c r="L37" s="372">
        <v>128525.04</v>
      </c>
      <c r="M37" s="372">
        <v>51480.04</v>
      </c>
      <c r="N37" s="371">
        <v>662382.28000000014</v>
      </c>
      <c r="O37" s="371">
        <v>0</v>
      </c>
      <c r="P37" s="372">
        <v>0</v>
      </c>
      <c r="Q37" s="371">
        <v>1951485.3</v>
      </c>
      <c r="R37" s="371">
        <v>0</v>
      </c>
      <c r="S37" s="371">
        <v>1951485.3</v>
      </c>
      <c r="T37" s="373">
        <v>0</v>
      </c>
      <c r="U37" s="373">
        <v>0</v>
      </c>
      <c r="V37" s="373">
        <v>0</v>
      </c>
      <c r="W37" s="374">
        <v>0</v>
      </c>
      <c r="X37" s="373">
        <v>0</v>
      </c>
      <c r="Y37" s="373">
        <v>0</v>
      </c>
      <c r="Z37" s="373">
        <v>0</v>
      </c>
      <c r="AA37" s="374">
        <v>0</v>
      </c>
      <c r="AB37" s="375"/>
      <c r="AC37" s="376"/>
    </row>
    <row r="38" spans="1:29">
      <c r="A38" s="369"/>
      <c r="B38" s="370" t="s">
        <v>945</v>
      </c>
      <c r="C38" s="371">
        <v>23581</v>
      </c>
      <c r="D38" s="372">
        <v>3728</v>
      </c>
      <c r="E38" s="372">
        <v>20124</v>
      </c>
      <c r="F38" s="372">
        <v>31308</v>
      </c>
      <c r="G38" s="372">
        <v>2962</v>
      </c>
      <c r="H38" s="372">
        <v>23098</v>
      </c>
      <c r="I38" s="371">
        <v>104801</v>
      </c>
      <c r="J38" s="371">
        <v>23465</v>
      </c>
      <c r="K38" s="372">
        <v>0</v>
      </c>
      <c r="L38" s="372">
        <v>4464</v>
      </c>
      <c r="M38" s="372">
        <v>9222</v>
      </c>
      <c r="N38" s="371">
        <v>37151</v>
      </c>
      <c r="O38" s="371">
        <v>0</v>
      </c>
      <c r="P38" s="372">
        <v>0</v>
      </c>
      <c r="Q38" s="371">
        <v>187514.2</v>
      </c>
      <c r="R38" s="371">
        <v>0</v>
      </c>
      <c r="S38" s="371">
        <v>187514.2</v>
      </c>
      <c r="T38" s="373">
        <v>0</v>
      </c>
      <c r="U38" s="373">
        <v>0</v>
      </c>
      <c r="V38" s="373">
        <v>0</v>
      </c>
      <c r="W38" s="374">
        <v>0</v>
      </c>
      <c r="X38" s="373">
        <v>0</v>
      </c>
      <c r="Y38" s="373">
        <v>0</v>
      </c>
      <c r="Z38" s="373">
        <v>0</v>
      </c>
      <c r="AA38" s="374">
        <v>0</v>
      </c>
      <c r="AB38" s="375"/>
      <c r="AC38" s="376"/>
    </row>
    <row r="39" spans="1:29">
      <c r="A39" s="369"/>
      <c r="B39" s="381" t="s">
        <v>946</v>
      </c>
      <c r="C39" s="377">
        <v>1.4304051569075176E-2</v>
      </c>
      <c r="D39" s="378">
        <v>8.5183196426327282E-3</v>
      </c>
      <c r="E39" s="378">
        <v>1.0679372721538795E-2</v>
      </c>
      <c r="F39" s="378">
        <v>2.2592148081182789E-2</v>
      </c>
      <c r="G39" s="378">
        <v>1.5239127741550978E-2</v>
      </c>
      <c r="H39" s="378">
        <v>3.412622560694388E-2</v>
      </c>
      <c r="I39" s="377">
        <v>1.682853086008702E-2</v>
      </c>
      <c r="J39" s="377">
        <v>4.8644504756858317E-2</v>
      </c>
      <c r="K39" s="378">
        <v>0</v>
      </c>
      <c r="L39" s="378">
        <v>3.4732531497364251E-2</v>
      </c>
      <c r="M39" s="378">
        <v>0.17913738994763795</v>
      </c>
      <c r="N39" s="377">
        <v>5.6086947253480256E-2</v>
      </c>
      <c r="O39" s="377">
        <v>0</v>
      </c>
      <c r="P39" s="378">
        <v>0</v>
      </c>
      <c r="Q39" s="377">
        <v>9.6087938761311706E-2</v>
      </c>
      <c r="R39" s="381">
        <v>0</v>
      </c>
      <c r="S39" s="381">
        <v>9.6087938761311706E-2</v>
      </c>
      <c r="T39" s="382">
        <v>0</v>
      </c>
      <c r="U39" s="382">
        <v>0</v>
      </c>
      <c r="V39" s="382">
        <v>0</v>
      </c>
      <c r="W39" s="383">
        <v>0</v>
      </c>
      <c r="X39" s="382">
        <v>0</v>
      </c>
      <c r="Y39" s="382">
        <v>0</v>
      </c>
      <c r="Z39" s="382">
        <v>0</v>
      </c>
      <c r="AA39" s="383">
        <v>0</v>
      </c>
      <c r="AB39" s="375"/>
      <c r="AC39" s="376"/>
    </row>
    <row r="40" spans="1:29">
      <c r="A40" s="384"/>
      <c r="B40" s="385" t="s">
        <v>947</v>
      </c>
      <c r="C40" s="386">
        <v>1.1825400671218313E-2</v>
      </c>
      <c r="D40" s="387">
        <v>1.3077185557663039E-4</v>
      </c>
      <c r="E40" s="387">
        <v>1.8346158419502677E-3</v>
      </c>
      <c r="F40" s="387">
        <v>5.3529875406319732E-3</v>
      </c>
      <c r="G40" s="387">
        <v>4.7514644766184812E-3</v>
      </c>
      <c r="H40" s="387">
        <v>7.662642078201113E-3</v>
      </c>
      <c r="I40" s="386">
        <v>5.6450531427146775E-3</v>
      </c>
      <c r="J40" s="386">
        <v>1.6378596644680526E-2</v>
      </c>
      <c r="K40" s="387">
        <v>-3.5440084882221522E-2</v>
      </c>
      <c r="L40" s="387">
        <v>1.1127736127376654E-2</v>
      </c>
      <c r="M40" s="387">
        <v>8.5188249932855398E-2</v>
      </c>
      <c r="N40" s="386">
        <v>2.0759171259622997E-2</v>
      </c>
      <c r="O40" s="386">
        <v>0</v>
      </c>
      <c r="P40" s="387">
        <v>0</v>
      </c>
      <c r="Q40" s="386">
        <v>2.9179598938865681E-2</v>
      </c>
      <c r="R40" s="386">
        <v>0</v>
      </c>
      <c r="S40" s="386">
        <v>2.9179598938865681E-2</v>
      </c>
      <c r="T40" s="388">
        <v>0</v>
      </c>
      <c r="U40" s="388">
        <v>0</v>
      </c>
      <c r="V40" s="388">
        <v>0</v>
      </c>
      <c r="W40" s="389">
        <v>0</v>
      </c>
      <c r="X40" s="388">
        <v>0</v>
      </c>
      <c r="Y40" s="388">
        <v>0</v>
      </c>
      <c r="Z40" s="388">
        <v>0</v>
      </c>
      <c r="AA40" s="389">
        <v>0</v>
      </c>
      <c r="AB40" s="375"/>
      <c r="AC40" s="376"/>
    </row>
    <row r="41" spans="1:29">
      <c r="A41" s="362" t="s">
        <v>268</v>
      </c>
      <c r="B41" s="346" t="s">
        <v>941</v>
      </c>
      <c r="C41" s="363">
        <v>1032573</v>
      </c>
      <c r="D41" s="364">
        <v>0</v>
      </c>
      <c r="E41" s="364">
        <v>1556219</v>
      </c>
      <c r="F41" s="364">
        <v>41156</v>
      </c>
      <c r="G41" s="364">
        <v>0</v>
      </c>
      <c r="H41" s="364">
        <v>0</v>
      </c>
      <c r="I41" s="363">
        <v>2629948</v>
      </c>
      <c r="J41" s="363">
        <v>0</v>
      </c>
      <c r="K41" s="364">
        <v>417933</v>
      </c>
      <c r="L41" s="364">
        <v>779972</v>
      </c>
      <c r="M41" s="364">
        <v>85750</v>
      </c>
      <c r="N41" s="363">
        <v>1283655</v>
      </c>
      <c r="O41" s="363">
        <v>0</v>
      </c>
      <c r="P41" s="364">
        <v>0</v>
      </c>
      <c r="Q41" s="363">
        <v>146961</v>
      </c>
      <c r="R41" s="363">
        <v>0</v>
      </c>
      <c r="S41" s="363">
        <v>146961</v>
      </c>
      <c r="T41" s="365">
        <v>0</v>
      </c>
      <c r="U41" s="365">
        <v>0</v>
      </c>
      <c r="V41" s="365">
        <v>0</v>
      </c>
      <c r="W41" s="366">
        <v>0</v>
      </c>
      <c r="X41" s="365">
        <v>0</v>
      </c>
      <c r="Y41" s="365">
        <v>0</v>
      </c>
      <c r="Z41" s="365">
        <v>0</v>
      </c>
      <c r="AA41" s="366">
        <v>0</v>
      </c>
      <c r="AB41" s="367"/>
      <c r="AC41" s="368"/>
    </row>
    <row r="42" spans="1:29">
      <c r="A42" s="369"/>
      <c r="B42" s="370" t="s">
        <v>942</v>
      </c>
      <c r="C42" s="371">
        <v>1972</v>
      </c>
      <c r="D42" s="372">
        <v>0</v>
      </c>
      <c r="E42" s="372">
        <v>53733</v>
      </c>
      <c r="F42" s="372">
        <v>1697</v>
      </c>
      <c r="G42" s="372">
        <v>0</v>
      </c>
      <c r="H42" s="372">
        <v>0</v>
      </c>
      <c r="I42" s="371">
        <v>57402</v>
      </c>
      <c r="J42" s="371">
        <v>0</v>
      </c>
      <c r="K42" s="372">
        <v>19319</v>
      </c>
      <c r="L42" s="372">
        <v>52286</v>
      </c>
      <c r="M42" s="372">
        <v>5273</v>
      </c>
      <c r="N42" s="371">
        <v>76878</v>
      </c>
      <c r="O42" s="371">
        <v>0</v>
      </c>
      <c r="P42" s="372">
        <v>0</v>
      </c>
      <c r="Q42" s="371">
        <v>11010</v>
      </c>
      <c r="R42" s="371">
        <v>0</v>
      </c>
      <c r="S42" s="371">
        <v>11010</v>
      </c>
      <c r="T42" s="373">
        <v>0</v>
      </c>
      <c r="U42" s="373">
        <v>0</v>
      </c>
      <c r="V42" s="373">
        <v>0</v>
      </c>
      <c r="W42" s="374">
        <v>0</v>
      </c>
      <c r="X42" s="373">
        <v>0</v>
      </c>
      <c r="Y42" s="373">
        <v>0</v>
      </c>
      <c r="Z42" s="373">
        <v>0</v>
      </c>
      <c r="AA42" s="374">
        <v>0</v>
      </c>
      <c r="AB42" s="375"/>
      <c r="AC42" s="376"/>
    </row>
    <row r="43" spans="1:29">
      <c r="A43" s="369"/>
      <c r="B43" s="377" t="s">
        <v>943</v>
      </c>
      <c r="C43" s="377">
        <v>1.9097923342950088E-3</v>
      </c>
      <c r="D43" s="378">
        <v>0</v>
      </c>
      <c r="E43" s="378">
        <v>3.4527916700670021E-2</v>
      </c>
      <c r="F43" s="378">
        <v>4.1233356011274175E-2</v>
      </c>
      <c r="G43" s="378">
        <v>0</v>
      </c>
      <c r="H43" s="378">
        <v>0</v>
      </c>
      <c r="I43" s="377">
        <v>2.18262870596681E-2</v>
      </c>
      <c r="J43" s="377">
        <v>0</v>
      </c>
      <c r="K43" s="378">
        <v>4.6225112637671588E-2</v>
      </c>
      <c r="L43" s="378">
        <v>6.703573974450365E-2</v>
      </c>
      <c r="M43" s="378">
        <v>6.1492711370262389E-2</v>
      </c>
      <c r="N43" s="377">
        <v>5.9889923694450613E-2</v>
      </c>
      <c r="O43" s="377">
        <v>0</v>
      </c>
      <c r="P43" s="378">
        <v>0</v>
      </c>
      <c r="Q43" s="377">
        <v>7.4917835344070871E-2</v>
      </c>
      <c r="R43" s="377">
        <v>0</v>
      </c>
      <c r="S43" s="377">
        <v>7.4917835344070871E-2</v>
      </c>
      <c r="T43" s="379">
        <v>0</v>
      </c>
      <c r="U43" s="379">
        <v>0</v>
      </c>
      <c r="V43" s="379">
        <v>0</v>
      </c>
      <c r="W43" s="380">
        <v>0</v>
      </c>
      <c r="X43" s="379">
        <v>0</v>
      </c>
      <c r="Y43" s="379">
        <v>0</v>
      </c>
      <c r="Z43" s="379">
        <v>0</v>
      </c>
      <c r="AA43" s="380">
        <v>0</v>
      </c>
      <c r="AB43" s="375"/>
      <c r="AC43" s="376"/>
    </row>
    <row r="44" spans="1:29">
      <c r="A44" s="369"/>
      <c r="B44" s="370" t="s">
        <v>944</v>
      </c>
      <c r="C44" s="371">
        <v>1022296</v>
      </c>
      <c r="D44" s="372">
        <v>0</v>
      </c>
      <c r="E44" s="372">
        <v>1539638</v>
      </c>
      <c r="F44" s="372">
        <v>37814</v>
      </c>
      <c r="G44" s="372">
        <v>0</v>
      </c>
      <c r="H44" s="372">
        <v>0</v>
      </c>
      <c r="I44" s="371">
        <v>2599748</v>
      </c>
      <c r="J44" s="371">
        <v>0</v>
      </c>
      <c r="K44" s="372">
        <v>390463</v>
      </c>
      <c r="L44" s="372">
        <v>758740</v>
      </c>
      <c r="M44" s="372">
        <v>83120</v>
      </c>
      <c r="N44" s="371">
        <v>1232323</v>
      </c>
      <c r="O44" s="371">
        <v>0</v>
      </c>
      <c r="P44" s="372">
        <v>0</v>
      </c>
      <c r="Q44" s="371">
        <v>146426</v>
      </c>
      <c r="R44" s="371">
        <v>0</v>
      </c>
      <c r="S44" s="371">
        <v>146426</v>
      </c>
      <c r="T44" s="373">
        <v>0</v>
      </c>
      <c r="U44" s="373">
        <v>0</v>
      </c>
      <c r="V44" s="373">
        <v>0</v>
      </c>
      <c r="W44" s="374">
        <v>0</v>
      </c>
      <c r="X44" s="373">
        <v>0</v>
      </c>
      <c r="Y44" s="373">
        <v>0</v>
      </c>
      <c r="Z44" s="373">
        <v>0</v>
      </c>
      <c r="AA44" s="374">
        <v>0</v>
      </c>
      <c r="AB44" s="375"/>
      <c r="AC44" s="376"/>
    </row>
    <row r="45" spans="1:29">
      <c r="A45" s="369"/>
      <c r="B45" s="370" t="s">
        <v>945</v>
      </c>
      <c r="C45" s="371">
        <v>1842</v>
      </c>
      <c r="D45" s="372">
        <v>0</v>
      </c>
      <c r="E45" s="372">
        <v>63715</v>
      </c>
      <c r="F45" s="372">
        <v>2316</v>
      </c>
      <c r="G45" s="372">
        <v>0</v>
      </c>
      <c r="H45" s="372">
        <v>0</v>
      </c>
      <c r="I45" s="371">
        <v>67873</v>
      </c>
      <c r="J45" s="371">
        <v>0</v>
      </c>
      <c r="K45" s="372">
        <v>23690</v>
      </c>
      <c r="L45" s="372">
        <v>59874</v>
      </c>
      <c r="M45" s="372">
        <v>4896</v>
      </c>
      <c r="N45" s="371">
        <v>88460</v>
      </c>
      <c r="O45" s="371">
        <v>0</v>
      </c>
      <c r="P45" s="372">
        <v>0</v>
      </c>
      <c r="Q45" s="371">
        <v>13023</v>
      </c>
      <c r="R45" s="371">
        <v>0</v>
      </c>
      <c r="S45" s="371">
        <v>13023</v>
      </c>
      <c r="T45" s="373">
        <v>0</v>
      </c>
      <c r="U45" s="373">
        <v>0</v>
      </c>
      <c r="V45" s="373">
        <v>0</v>
      </c>
      <c r="W45" s="374">
        <v>0</v>
      </c>
      <c r="X45" s="373">
        <v>0</v>
      </c>
      <c r="Y45" s="373">
        <v>0</v>
      </c>
      <c r="Z45" s="373">
        <v>0</v>
      </c>
      <c r="AA45" s="374">
        <v>0</v>
      </c>
      <c r="AB45" s="375"/>
      <c r="AC45" s="376"/>
    </row>
    <row r="46" spans="1:29">
      <c r="A46" s="369"/>
      <c r="B46" s="381" t="s">
        <v>946</v>
      </c>
      <c r="C46" s="377">
        <v>1.8018264768716692E-3</v>
      </c>
      <c r="D46" s="378">
        <v>0</v>
      </c>
      <c r="E46" s="378">
        <v>4.1383104340111117E-2</v>
      </c>
      <c r="F46" s="378">
        <v>6.1247157137568099E-2</v>
      </c>
      <c r="G46" s="378">
        <v>0</v>
      </c>
      <c r="H46" s="378">
        <v>0</v>
      </c>
      <c r="I46" s="377">
        <v>2.6107530422179382E-2</v>
      </c>
      <c r="J46" s="377">
        <v>0</v>
      </c>
      <c r="K46" s="378">
        <v>6.0671561710072403E-2</v>
      </c>
      <c r="L46" s="378">
        <v>7.891240741228879E-2</v>
      </c>
      <c r="M46" s="378">
        <v>5.8902791145332048E-2</v>
      </c>
      <c r="N46" s="377">
        <v>7.1783128286983203E-2</v>
      </c>
      <c r="O46" s="377">
        <v>0</v>
      </c>
      <c r="P46" s="378">
        <v>0</v>
      </c>
      <c r="Q46" s="377">
        <v>8.8939122833376585E-2</v>
      </c>
      <c r="R46" s="381">
        <v>0</v>
      </c>
      <c r="S46" s="381">
        <v>8.8939122833376585E-2</v>
      </c>
      <c r="T46" s="382">
        <v>0</v>
      </c>
      <c r="U46" s="382">
        <v>0</v>
      </c>
      <c r="V46" s="382">
        <v>0</v>
      </c>
      <c r="W46" s="383">
        <v>0</v>
      </c>
      <c r="X46" s="382">
        <v>0</v>
      </c>
      <c r="Y46" s="382">
        <v>0</v>
      </c>
      <c r="Z46" s="382">
        <v>0</v>
      </c>
      <c r="AA46" s="383">
        <v>0</v>
      </c>
      <c r="AB46" s="375"/>
      <c r="AC46" s="376"/>
    </row>
    <row r="47" spans="1:29">
      <c r="A47" s="384"/>
      <c r="B47" s="385" t="s">
        <v>947</v>
      </c>
      <c r="C47" s="386">
        <v>-1.0796585742333959E-4</v>
      </c>
      <c r="D47" s="387">
        <v>0</v>
      </c>
      <c r="E47" s="387">
        <v>6.855187639441096E-3</v>
      </c>
      <c r="F47" s="387">
        <v>2.0013801126293924E-2</v>
      </c>
      <c r="G47" s="387">
        <v>0</v>
      </c>
      <c r="H47" s="387">
        <v>0</v>
      </c>
      <c r="I47" s="386">
        <v>4.281243362511282E-3</v>
      </c>
      <c r="J47" s="386">
        <v>0</v>
      </c>
      <c r="K47" s="387">
        <v>1.4446449072400815E-2</v>
      </c>
      <c r="L47" s="387">
        <v>1.187666766778514E-2</v>
      </c>
      <c r="M47" s="387">
        <v>-2.5899202249303407E-3</v>
      </c>
      <c r="N47" s="386">
        <v>1.189320459253259E-2</v>
      </c>
      <c r="O47" s="386">
        <v>0</v>
      </c>
      <c r="P47" s="387">
        <v>0</v>
      </c>
      <c r="Q47" s="386">
        <v>1.4021287489305714E-2</v>
      </c>
      <c r="R47" s="386">
        <v>0</v>
      </c>
      <c r="S47" s="386">
        <v>1.4021287489305714E-2</v>
      </c>
      <c r="T47" s="388">
        <v>0</v>
      </c>
      <c r="U47" s="388">
        <v>0</v>
      </c>
      <c r="V47" s="388">
        <v>0</v>
      </c>
      <c r="W47" s="389">
        <v>0</v>
      </c>
      <c r="X47" s="388">
        <v>0</v>
      </c>
      <c r="Y47" s="388">
        <v>0</v>
      </c>
      <c r="Z47" s="388">
        <v>0</v>
      </c>
      <c r="AA47" s="389">
        <v>0</v>
      </c>
      <c r="AB47" s="375"/>
      <c r="AC47" s="376"/>
    </row>
    <row r="48" spans="1:29">
      <c r="A48" s="362" t="s">
        <v>547</v>
      </c>
      <c r="B48" s="346" t="s">
        <v>941</v>
      </c>
      <c r="C48" s="363">
        <v>738492</v>
      </c>
      <c r="D48" s="364">
        <v>838096</v>
      </c>
      <c r="E48" s="364">
        <v>649075</v>
      </c>
      <c r="F48" s="364">
        <v>712165</v>
      </c>
      <c r="G48" s="364">
        <v>60184</v>
      </c>
      <c r="H48" s="364">
        <v>60798</v>
      </c>
      <c r="I48" s="363">
        <v>3058810</v>
      </c>
      <c r="J48" s="363">
        <v>0</v>
      </c>
      <c r="K48" s="364">
        <v>688718</v>
      </c>
      <c r="L48" s="364">
        <v>276892</v>
      </c>
      <c r="M48" s="364">
        <v>134156</v>
      </c>
      <c r="N48" s="363">
        <v>1099766</v>
      </c>
      <c r="O48" s="363">
        <v>0</v>
      </c>
      <c r="P48" s="364">
        <v>0</v>
      </c>
      <c r="Q48" s="363">
        <v>292740</v>
      </c>
      <c r="R48" s="363">
        <v>0</v>
      </c>
      <c r="S48" s="363">
        <v>292740</v>
      </c>
      <c r="T48" s="365">
        <v>0</v>
      </c>
      <c r="U48" s="365">
        <v>0</v>
      </c>
      <c r="V48" s="365">
        <v>0</v>
      </c>
      <c r="W48" s="366">
        <v>0</v>
      </c>
      <c r="X48" s="365">
        <v>0</v>
      </c>
      <c r="Y48" s="365">
        <v>0</v>
      </c>
      <c r="Z48" s="365">
        <v>0</v>
      </c>
      <c r="AA48" s="366">
        <v>0</v>
      </c>
      <c r="AB48" s="367"/>
      <c r="AC48" s="368"/>
    </row>
    <row r="49" spans="1:29">
      <c r="A49" s="369"/>
      <c r="B49" s="370" t="s">
        <v>942</v>
      </c>
      <c r="C49" s="371">
        <v>5864</v>
      </c>
      <c r="D49" s="372">
        <v>23795</v>
      </c>
      <c r="E49" s="372">
        <v>35472</v>
      </c>
      <c r="F49" s="372">
        <v>22724</v>
      </c>
      <c r="G49" s="372">
        <v>1404</v>
      </c>
      <c r="H49" s="372">
        <v>5555</v>
      </c>
      <c r="I49" s="371">
        <v>94814</v>
      </c>
      <c r="J49" s="371">
        <v>0</v>
      </c>
      <c r="K49" s="372">
        <v>13347</v>
      </c>
      <c r="L49" s="372">
        <v>22091</v>
      </c>
      <c r="M49" s="372">
        <v>15261</v>
      </c>
      <c r="N49" s="371">
        <v>50699</v>
      </c>
      <c r="O49" s="371">
        <v>0</v>
      </c>
      <c r="P49" s="372">
        <v>0</v>
      </c>
      <c r="Q49" s="371">
        <v>44629.9</v>
      </c>
      <c r="R49" s="371">
        <v>0</v>
      </c>
      <c r="S49" s="371">
        <v>44629.9</v>
      </c>
      <c r="T49" s="373">
        <v>0</v>
      </c>
      <c r="U49" s="373">
        <v>0</v>
      </c>
      <c r="V49" s="373">
        <v>0</v>
      </c>
      <c r="W49" s="374">
        <v>0</v>
      </c>
      <c r="X49" s="373">
        <v>0</v>
      </c>
      <c r="Y49" s="373">
        <v>0</v>
      </c>
      <c r="Z49" s="373">
        <v>0</v>
      </c>
      <c r="AA49" s="374">
        <v>0</v>
      </c>
      <c r="AB49" s="375"/>
      <c r="AC49" s="376"/>
    </row>
    <row r="50" spans="1:29">
      <c r="A50" s="369"/>
      <c r="B50" s="377" t="s">
        <v>943</v>
      </c>
      <c r="C50" s="377">
        <v>7.9405057874696004E-3</v>
      </c>
      <c r="D50" s="378">
        <v>2.839173555296768E-2</v>
      </c>
      <c r="E50" s="378">
        <v>5.4650078958517888E-2</v>
      </c>
      <c r="F50" s="378">
        <v>3.1908335849136084E-2</v>
      </c>
      <c r="G50" s="378">
        <v>2.3328459391200318E-2</v>
      </c>
      <c r="H50" s="378">
        <v>9.1368137109773345E-2</v>
      </c>
      <c r="I50" s="377">
        <v>3.0997021717596059E-2</v>
      </c>
      <c r="J50" s="377">
        <v>0</v>
      </c>
      <c r="K50" s="378">
        <v>1.9379484781870085E-2</v>
      </c>
      <c r="L50" s="378">
        <v>7.9782008869884291E-2</v>
      </c>
      <c r="M50" s="378">
        <v>0.11375562777661827</v>
      </c>
      <c r="N50" s="377">
        <v>4.6099806686149603E-2</v>
      </c>
      <c r="O50" s="377">
        <v>0</v>
      </c>
      <c r="P50" s="378">
        <v>0</v>
      </c>
      <c r="Q50" s="377">
        <v>0.15245576279292206</v>
      </c>
      <c r="R50" s="377">
        <v>0</v>
      </c>
      <c r="S50" s="377">
        <v>0.15245576279292206</v>
      </c>
      <c r="T50" s="379">
        <v>0</v>
      </c>
      <c r="U50" s="379">
        <v>0</v>
      </c>
      <c r="V50" s="379">
        <v>0</v>
      </c>
      <c r="W50" s="380">
        <v>0</v>
      </c>
      <c r="X50" s="379">
        <v>0</v>
      </c>
      <c r="Y50" s="379">
        <v>0</v>
      </c>
      <c r="Z50" s="379">
        <v>0</v>
      </c>
      <c r="AA50" s="380">
        <v>0</v>
      </c>
      <c r="AB50" s="375"/>
      <c r="AC50" s="376"/>
    </row>
    <row r="51" spans="1:29">
      <c r="A51" s="369"/>
      <c r="B51" s="370" t="s">
        <v>944</v>
      </c>
      <c r="C51" s="371">
        <v>729888</v>
      </c>
      <c r="D51" s="372">
        <v>851847</v>
      </c>
      <c r="E51" s="372">
        <v>654575</v>
      </c>
      <c r="F51" s="372">
        <v>720352</v>
      </c>
      <c r="G51" s="372">
        <v>47288</v>
      </c>
      <c r="H51" s="372">
        <v>69103</v>
      </c>
      <c r="I51" s="371">
        <v>3073053</v>
      </c>
      <c r="J51" s="371">
        <v>0</v>
      </c>
      <c r="K51" s="372">
        <v>588855</v>
      </c>
      <c r="L51" s="372">
        <v>270265</v>
      </c>
      <c r="M51" s="372">
        <v>135767.5</v>
      </c>
      <c r="N51" s="371">
        <v>994887.5</v>
      </c>
      <c r="O51" s="371">
        <v>0</v>
      </c>
      <c r="P51" s="372">
        <v>0</v>
      </c>
      <c r="Q51" s="371">
        <v>270094</v>
      </c>
      <c r="R51" s="371">
        <v>0</v>
      </c>
      <c r="S51" s="371">
        <v>270094</v>
      </c>
      <c r="T51" s="373">
        <v>0</v>
      </c>
      <c r="U51" s="373">
        <v>0</v>
      </c>
      <c r="V51" s="373">
        <v>0</v>
      </c>
      <c r="W51" s="374">
        <v>0</v>
      </c>
      <c r="X51" s="373">
        <v>0</v>
      </c>
      <c r="Y51" s="373">
        <v>0</v>
      </c>
      <c r="Z51" s="373">
        <v>0</v>
      </c>
      <c r="AA51" s="374">
        <v>0</v>
      </c>
      <c r="AB51" s="375"/>
      <c r="AC51" s="376"/>
    </row>
    <row r="52" spans="1:29">
      <c r="A52" s="369"/>
      <c r="B52" s="370" t="s">
        <v>945</v>
      </c>
      <c r="C52" s="371">
        <v>8085</v>
      </c>
      <c r="D52" s="372">
        <v>30193</v>
      </c>
      <c r="E52" s="372">
        <v>39746</v>
      </c>
      <c r="F52" s="372">
        <v>25136</v>
      </c>
      <c r="G52" s="372">
        <v>1533</v>
      </c>
      <c r="H52" s="372">
        <v>6630</v>
      </c>
      <c r="I52" s="371">
        <v>111323</v>
      </c>
      <c r="J52" s="371">
        <v>0</v>
      </c>
      <c r="K52" s="372">
        <v>13979</v>
      </c>
      <c r="L52" s="372">
        <v>21641</v>
      </c>
      <c r="M52" s="372">
        <v>18546</v>
      </c>
      <c r="N52" s="371">
        <v>54166</v>
      </c>
      <c r="O52" s="371">
        <v>0</v>
      </c>
      <c r="P52" s="372">
        <v>0</v>
      </c>
      <c r="Q52" s="371">
        <v>36807.199999999997</v>
      </c>
      <c r="R52" s="371">
        <v>0</v>
      </c>
      <c r="S52" s="371">
        <v>36807.199999999997</v>
      </c>
      <c r="T52" s="373">
        <v>0</v>
      </c>
      <c r="U52" s="373">
        <v>0</v>
      </c>
      <c r="V52" s="373">
        <v>0</v>
      </c>
      <c r="W52" s="374">
        <v>0</v>
      </c>
      <c r="X52" s="373">
        <v>0</v>
      </c>
      <c r="Y52" s="373">
        <v>0</v>
      </c>
      <c r="Z52" s="373">
        <v>0</v>
      </c>
      <c r="AA52" s="374">
        <v>0</v>
      </c>
      <c r="AB52" s="375"/>
      <c r="AC52" s="376"/>
    </row>
    <row r="53" spans="1:29">
      <c r="A53" s="369"/>
      <c r="B53" s="381" t="s">
        <v>946</v>
      </c>
      <c r="C53" s="377">
        <v>1.1077041957122188E-2</v>
      </c>
      <c r="D53" s="378">
        <v>3.544415839933697E-2</v>
      </c>
      <c r="E53" s="378">
        <v>6.072031470801665E-2</v>
      </c>
      <c r="F53" s="378">
        <v>3.4894051796899292E-2</v>
      </c>
      <c r="G53" s="378">
        <v>3.2418372525799356E-2</v>
      </c>
      <c r="H53" s="378">
        <v>9.5943736161961127E-2</v>
      </c>
      <c r="I53" s="377">
        <v>3.6225538576783414E-2</v>
      </c>
      <c r="J53" s="377">
        <v>0</v>
      </c>
      <c r="K53" s="378">
        <v>2.3739290657292543E-2</v>
      </c>
      <c r="L53" s="378">
        <v>8.0073261428597858E-2</v>
      </c>
      <c r="M53" s="378">
        <v>0.13660117480251166</v>
      </c>
      <c r="N53" s="377">
        <v>5.4444346722619393E-2</v>
      </c>
      <c r="O53" s="377">
        <v>0</v>
      </c>
      <c r="P53" s="378">
        <v>0</v>
      </c>
      <c r="Q53" s="377">
        <v>0.13627551889342229</v>
      </c>
      <c r="R53" s="381">
        <v>0</v>
      </c>
      <c r="S53" s="381">
        <v>0.13627551889342229</v>
      </c>
      <c r="T53" s="382">
        <v>0</v>
      </c>
      <c r="U53" s="382">
        <v>0</v>
      </c>
      <c r="V53" s="382">
        <v>0</v>
      </c>
      <c r="W53" s="383">
        <v>0</v>
      </c>
      <c r="X53" s="382">
        <v>0</v>
      </c>
      <c r="Y53" s="382">
        <v>0</v>
      </c>
      <c r="Z53" s="382">
        <v>0</v>
      </c>
      <c r="AA53" s="383">
        <v>0</v>
      </c>
      <c r="AB53" s="375"/>
      <c r="AC53" s="376"/>
    </row>
    <row r="54" spans="1:29">
      <c r="A54" s="384"/>
      <c r="B54" s="385" t="s">
        <v>947</v>
      </c>
      <c r="C54" s="386">
        <v>3.1365361696525876E-3</v>
      </c>
      <c r="D54" s="387">
        <v>7.0524228463692898E-3</v>
      </c>
      <c r="E54" s="387">
        <v>6.0702357494987619E-3</v>
      </c>
      <c r="F54" s="387">
        <v>2.9857159477632081E-3</v>
      </c>
      <c r="G54" s="387">
        <v>9.0899131345990383E-3</v>
      </c>
      <c r="H54" s="387">
        <v>4.5755990521877815E-3</v>
      </c>
      <c r="I54" s="386">
        <v>5.2285168591873557E-3</v>
      </c>
      <c r="J54" s="386">
        <v>0</v>
      </c>
      <c r="K54" s="387">
        <v>4.3598058754224581E-3</v>
      </c>
      <c r="L54" s="387">
        <v>2.9125255871356726E-4</v>
      </c>
      <c r="M54" s="387">
        <v>2.2845547025893392E-2</v>
      </c>
      <c r="N54" s="386">
        <v>8.34454003646979E-3</v>
      </c>
      <c r="O54" s="386">
        <v>0</v>
      </c>
      <c r="P54" s="387">
        <v>0</v>
      </c>
      <c r="Q54" s="386">
        <v>-1.6180243899499763E-2</v>
      </c>
      <c r="R54" s="386">
        <v>0</v>
      </c>
      <c r="S54" s="386">
        <v>-1.6180243899499763E-2</v>
      </c>
      <c r="T54" s="388">
        <v>0</v>
      </c>
      <c r="U54" s="388">
        <v>0</v>
      </c>
      <c r="V54" s="388">
        <v>0</v>
      </c>
      <c r="W54" s="389">
        <v>0</v>
      </c>
      <c r="X54" s="388">
        <v>0</v>
      </c>
      <c r="Y54" s="388">
        <v>0</v>
      </c>
      <c r="Z54" s="388">
        <v>0</v>
      </c>
      <c r="AA54" s="389">
        <v>0</v>
      </c>
      <c r="AB54" s="375"/>
      <c r="AC54" s="376"/>
    </row>
    <row r="55" spans="1:29">
      <c r="A55" s="362" t="s">
        <v>578</v>
      </c>
      <c r="B55" s="346" t="s">
        <v>941</v>
      </c>
      <c r="C55" s="363">
        <v>0</v>
      </c>
      <c r="D55" s="364">
        <v>0</v>
      </c>
      <c r="E55" s="364">
        <v>0</v>
      </c>
      <c r="F55" s="364">
        <v>0</v>
      </c>
      <c r="G55" s="364">
        <v>0</v>
      </c>
      <c r="H55" s="364">
        <v>0</v>
      </c>
      <c r="I55" s="363">
        <v>0</v>
      </c>
      <c r="J55" s="363">
        <v>0</v>
      </c>
      <c r="K55" s="364">
        <v>0</v>
      </c>
      <c r="L55" s="364">
        <v>0</v>
      </c>
      <c r="M55" s="364">
        <v>0</v>
      </c>
      <c r="N55" s="363">
        <v>0</v>
      </c>
      <c r="O55" s="363">
        <v>0</v>
      </c>
      <c r="P55" s="364">
        <v>0</v>
      </c>
      <c r="Q55" s="363">
        <v>0</v>
      </c>
      <c r="R55" s="363">
        <v>0</v>
      </c>
      <c r="S55" s="363">
        <v>0</v>
      </c>
      <c r="T55" s="365">
        <v>0</v>
      </c>
      <c r="U55" s="365">
        <v>0</v>
      </c>
      <c r="V55" s="365">
        <v>0</v>
      </c>
      <c r="W55" s="366">
        <v>0</v>
      </c>
      <c r="X55" s="365">
        <v>0</v>
      </c>
      <c r="Y55" s="365">
        <v>0</v>
      </c>
      <c r="Z55" s="365">
        <v>0</v>
      </c>
      <c r="AA55" s="366">
        <v>0</v>
      </c>
      <c r="AB55" s="367"/>
      <c r="AC55" s="368"/>
    </row>
    <row r="56" spans="1:29">
      <c r="A56" s="369"/>
      <c r="B56" s="370" t="s">
        <v>942</v>
      </c>
      <c r="C56" s="371">
        <v>0</v>
      </c>
      <c r="D56" s="372">
        <v>0</v>
      </c>
      <c r="E56" s="372">
        <v>0</v>
      </c>
      <c r="F56" s="372">
        <v>0</v>
      </c>
      <c r="G56" s="372">
        <v>0</v>
      </c>
      <c r="H56" s="372">
        <v>0</v>
      </c>
      <c r="I56" s="371">
        <v>0</v>
      </c>
      <c r="J56" s="371">
        <v>0</v>
      </c>
      <c r="K56" s="372">
        <v>0</v>
      </c>
      <c r="L56" s="372">
        <v>0</v>
      </c>
      <c r="M56" s="372">
        <v>0</v>
      </c>
      <c r="N56" s="371">
        <v>0</v>
      </c>
      <c r="O56" s="371">
        <v>0</v>
      </c>
      <c r="P56" s="372">
        <v>0</v>
      </c>
      <c r="Q56" s="371">
        <v>0</v>
      </c>
      <c r="R56" s="371">
        <v>0</v>
      </c>
      <c r="S56" s="371">
        <v>0</v>
      </c>
      <c r="T56" s="373">
        <v>0</v>
      </c>
      <c r="U56" s="373">
        <v>0</v>
      </c>
      <c r="V56" s="373">
        <v>0</v>
      </c>
      <c r="W56" s="374">
        <v>0</v>
      </c>
      <c r="X56" s="373">
        <v>0</v>
      </c>
      <c r="Y56" s="373">
        <v>0</v>
      </c>
      <c r="Z56" s="373">
        <v>0</v>
      </c>
      <c r="AA56" s="374">
        <v>0</v>
      </c>
      <c r="AB56" s="375"/>
      <c r="AC56" s="376"/>
    </row>
    <row r="57" spans="1:29">
      <c r="A57" s="369"/>
      <c r="B57" s="377" t="s">
        <v>943</v>
      </c>
      <c r="C57" s="377">
        <v>0</v>
      </c>
      <c r="D57" s="378">
        <v>0</v>
      </c>
      <c r="E57" s="378">
        <v>0</v>
      </c>
      <c r="F57" s="378">
        <v>0</v>
      </c>
      <c r="G57" s="378">
        <v>0</v>
      </c>
      <c r="H57" s="378">
        <v>0</v>
      </c>
      <c r="I57" s="377">
        <v>0</v>
      </c>
      <c r="J57" s="377">
        <v>0</v>
      </c>
      <c r="K57" s="378">
        <v>0</v>
      </c>
      <c r="L57" s="378">
        <v>0</v>
      </c>
      <c r="M57" s="378">
        <v>0</v>
      </c>
      <c r="N57" s="377">
        <v>0</v>
      </c>
      <c r="O57" s="377">
        <v>0</v>
      </c>
      <c r="P57" s="378">
        <v>0</v>
      </c>
      <c r="Q57" s="377">
        <v>0</v>
      </c>
      <c r="R57" s="377">
        <v>0</v>
      </c>
      <c r="S57" s="377">
        <v>0</v>
      </c>
      <c r="T57" s="379">
        <v>0</v>
      </c>
      <c r="U57" s="379">
        <v>0</v>
      </c>
      <c r="V57" s="379">
        <v>0</v>
      </c>
      <c r="W57" s="380">
        <v>0</v>
      </c>
      <c r="X57" s="379">
        <v>0</v>
      </c>
      <c r="Y57" s="379">
        <v>0</v>
      </c>
      <c r="Z57" s="379">
        <v>0</v>
      </c>
      <c r="AA57" s="380">
        <v>0</v>
      </c>
      <c r="AB57" s="375"/>
      <c r="AC57" s="376"/>
    </row>
    <row r="58" spans="1:29">
      <c r="A58" s="369"/>
      <c r="B58" s="370" t="s">
        <v>944</v>
      </c>
      <c r="C58" s="371">
        <v>0</v>
      </c>
      <c r="D58" s="372">
        <v>0</v>
      </c>
      <c r="E58" s="372">
        <v>0</v>
      </c>
      <c r="F58" s="372">
        <v>0</v>
      </c>
      <c r="G58" s="372">
        <v>0</v>
      </c>
      <c r="H58" s="372">
        <v>0</v>
      </c>
      <c r="I58" s="371">
        <v>0</v>
      </c>
      <c r="J58" s="371">
        <v>0</v>
      </c>
      <c r="K58" s="372">
        <v>0</v>
      </c>
      <c r="L58" s="372">
        <v>0</v>
      </c>
      <c r="M58" s="372">
        <v>0</v>
      </c>
      <c r="N58" s="371">
        <v>0</v>
      </c>
      <c r="O58" s="371">
        <v>0</v>
      </c>
      <c r="P58" s="372">
        <v>0</v>
      </c>
      <c r="Q58" s="371">
        <v>0</v>
      </c>
      <c r="R58" s="371">
        <v>0</v>
      </c>
      <c r="S58" s="371">
        <v>0</v>
      </c>
      <c r="T58" s="373">
        <v>0</v>
      </c>
      <c r="U58" s="373">
        <v>0</v>
      </c>
      <c r="V58" s="373">
        <v>0</v>
      </c>
      <c r="W58" s="374">
        <v>0</v>
      </c>
      <c r="X58" s="373">
        <v>0</v>
      </c>
      <c r="Y58" s="373">
        <v>0</v>
      </c>
      <c r="Z58" s="373">
        <v>0</v>
      </c>
      <c r="AA58" s="374">
        <v>0</v>
      </c>
      <c r="AB58" s="375"/>
      <c r="AC58" s="376"/>
    </row>
    <row r="59" spans="1:29">
      <c r="A59" s="369"/>
      <c r="B59" s="370" t="s">
        <v>945</v>
      </c>
      <c r="C59" s="371">
        <v>0</v>
      </c>
      <c r="D59" s="372">
        <v>0</v>
      </c>
      <c r="E59" s="372">
        <v>0</v>
      </c>
      <c r="F59" s="372">
        <v>0</v>
      </c>
      <c r="G59" s="372">
        <v>0</v>
      </c>
      <c r="H59" s="372">
        <v>0</v>
      </c>
      <c r="I59" s="371">
        <v>0</v>
      </c>
      <c r="J59" s="371">
        <v>0</v>
      </c>
      <c r="K59" s="372">
        <v>0</v>
      </c>
      <c r="L59" s="372">
        <v>0</v>
      </c>
      <c r="M59" s="372">
        <v>0</v>
      </c>
      <c r="N59" s="371">
        <v>0</v>
      </c>
      <c r="O59" s="371">
        <v>0</v>
      </c>
      <c r="P59" s="372">
        <v>0</v>
      </c>
      <c r="Q59" s="371">
        <v>0</v>
      </c>
      <c r="R59" s="371">
        <v>0</v>
      </c>
      <c r="S59" s="371">
        <v>0</v>
      </c>
      <c r="T59" s="373">
        <v>0</v>
      </c>
      <c r="U59" s="373">
        <v>0</v>
      </c>
      <c r="V59" s="373">
        <v>0</v>
      </c>
      <c r="W59" s="374">
        <v>0</v>
      </c>
      <c r="X59" s="373">
        <v>0</v>
      </c>
      <c r="Y59" s="373">
        <v>0</v>
      </c>
      <c r="Z59" s="373">
        <v>0</v>
      </c>
      <c r="AA59" s="374">
        <v>0</v>
      </c>
      <c r="AB59" s="375"/>
      <c r="AC59" s="376"/>
    </row>
    <row r="60" spans="1:29">
      <c r="A60" s="369"/>
      <c r="B60" s="381" t="s">
        <v>946</v>
      </c>
      <c r="C60" s="377">
        <v>0</v>
      </c>
      <c r="D60" s="378">
        <v>0</v>
      </c>
      <c r="E60" s="378">
        <v>0</v>
      </c>
      <c r="F60" s="378">
        <v>0</v>
      </c>
      <c r="G60" s="378">
        <v>0</v>
      </c>
      <c r="H60" s="378">
        <v>0</v>
      </c>
      <c r="I60" s="377">
        <v>0</v>
      </c>
      <c r="J60" s="377">
        <v>0</v>
      </c>
      <c r="K60" s="378">
        <v>0</v>
      </c>
      <c r="L60" s="378">
        <v>0</v>
      </c>
      <c r="M60" s="378">
        <v>0</v>
      </c>
      <c r="N60" s="377">
        <v>0</v>
      </c>
      <c r="O60" s="377">
        <v>0</v>
      </c>
      <c r="P60" s="378">
        <v>0</v>
      </c>
      <c r="Q60" s="377">
        <v>0</v>
      </c>
      <c r="R60" s="381">
        <v>0</v>
      </c>
      <c r="S60" s="381">
        <v>0</v>
      </c>
      <c r="T60" s="382">
        <v>0</v>
      </c>
      <c r="U60" s="382">
        <v>0</v>
      </c>
      <c r="V60" s="382">
        <v>0</v>
      </c>
      <c r="W60" s="383">
        <v>0</v>
      </c>
      <c r="X60" s="382">
        <v>0</v>
      </c>
      <c r="Y60" s="382">
        <v>0</v>
      </c>
      <c r="Z60" s="382">
        <v>0</v>
      </c>
      <c r="AA60" s="383">
        <v>0</v>
      </c>
      <c r="AB60" s="375"/>
      <c r="AC60" s="376"/>
    </row>
    <row r="61" spans="1:29">
      <c r="A61" s="384"/>
      <c r="B61" s="385" t="s">
        <v>947</v>
      </c>
      <c r="C61" s="386">
        <v>0</v>
      </c>
      <c r="D61" s="387">
        <v>0</v>
      </c>
      <c r="E61" s="387">
        <v>0</v>
      </c>
      <c r="F61" s="387">
        <v>0</v>
      </c>
      <c r="G61" s="387">
        <v>0</v>
      </c>
      <c r="H61" s="387">
        <v>0</v>
      </c>
      <c r="I61" s="386">
        <v>0</v>
      </c>
      <c r="J61" s="386">
        <v>0</v>
      </c>
      <c r="K61" s="387">
        <v>0</v>
      </c>
      <c r="L61" s="387">
        <v>0</v>
      </c>
      <c r="M61" s="387">
        <v>0</v>
      </c>
      <c r="N61" s="386">
        <v>0</v>
      </c>
      <c r="O61" s="386">
        <v>0</v>
      </c>
      <c r="P61" s="387">
        <v>0</v>
      </c>
      <c r="Q61" s="386">
        <v>0</v>
      </c>
      <c r="R61" s="386">
        <v>0</v>
      </c>
      <c r="S61" s="386">
        <v>0</v>
      </c>
      <c r="T61" s="388">
        <v>0</v>
      </c>
      <c r="U61" s="388">
        <v>0</v>
      </c>
      <c r="V61" s="388">
        <v>0</v>
      </c>
      <c r="W61" s="389">
        <v>0</v>
      </c>
      <c r="X61" s="388">
        <v>0</v>
      </c>
      <c r="Y61" s="388">
        <v>0</v>
      </c>
      <c r="Z61" s="388">
        <v>0</v>
      </c>
      <c r="AA61" s="389">
        <v>0</v>
      </c>
      <c r="AB61" s="375"/>
      <c r="AC61" s="376"/>
    </row>
    <row r="62" spans="1:29">
      <c r="A62" s="362" t="s">
        <v>293</v>
      </c>
      <c r="B62" s="346" t="s">
        <v>941</v>
      </c>
      <c r="C62" s="363">
        <v>0</v>
      </c>
      <c r="D62" s="364">
        <v>0</v>
      </c>
      <c r="E62" s="364">
        <v>0</v>
      </c>
      <c r="F62" s="364">
        <v>0</v>
      </c>
      <c r="G62" s="364">
        <v>0</v>
      </c>
      <c r="H62" s="364">
        <v>0</v>
      </c>
      <c r="I62" s="363">
        <v>0</v>
      </c>
      <c r="J62" s="363">
        <v>0</v>
      </c>
      <c r="K62" s="364">
        <v>899728</v>
      </c>
      <c r="L62" s="364">
        <v>936959</v>
      </c>
      <c r="M62" s="364">
        <v>107750</v>
      </c>
      <c r="N62" s="363">
        <v>1944437</v>
      </c>
      <c r="O62" s="363">
        <v>0</v>
      </c>
      <c r="P62" s="364">
        <v>0</v>
      </c>
      <c r="Q62" s="363">
        <v>0</v>
      </c>
      <c r="R62" s="363">
        <v>0</v>
      </c>
      <c r="S62" s="363">
        <v>0</v>
      </c>
      <c r="T62" s="365">
        <v>0</v>
      </c>
      <c r="U62" s="365">
        <v>0</v>
      </c>
      <c r="V62" s="365">
        <v>0</v>
      </c>
      <c r="W62" s="366">
        <v>0</v>
      </c>
      <c r="X62" s="365">
        <v>0</v>
      </c>
      <c r="Y62" s="365">
        <v>0</v>
      </c>
      <c r="Z62" s="365">
        <v>0</v>
      </c>
      <c r="AA62" s="366">
        <v>0</v>
      </c>
      <c r="AB62" s="367"/>
      <c r="AC62" s="368"/>
    </row>
    <row r="63" spans="1:29">
      <c r="A63" s="369"/>
      <c r="B63" s="370" t="s">
        <v>942</v>
      </c>
      <c r="C63" s="371">
        <v>0</v>
      </c>
      <c r="D63" s="372">
        <v>0</v>
      </c>
      <c r="E63" s="372">
        <v>0</v>
      </c>
      <c r="F63" s="372">
        <v>0</v>
      </c>
      <c r="G63" s="372">
        <v>0</v>
      </c>
      <c r="H63" s="372">
        <v>0</v>
      </c>
      <c r="I63" s="371">
        <v>0</v>
      </c>
      <c r="J63" s="371">
        <v>0</v>
      </c>
      <c r="K63" s="372">
        <v>27927</v>
      </c>
      <c r="L63" s="372">
        <v>28817</v>
      </c>
      <c r="M63" s="372">
        <v>3372</v>
      </c>
      <c r="N63" s="371">
        <v>60116</v>
      </c>
      <c r="O63" s="371">
        <v>0</v>
      </c>
      <c r="P63" s="372">
        <v>0</v>
      </c>
      <c r="Q63" s="371">
        <v>0</v>
      </c>
      <c r="R63" s="371">
        <v>0</v>
      </c>
      <c r="S63" s="371">
        <v>0</v>
      </c>
      <c r="T63" s="373">
        <v>0</v>
      </c>
      <c r="U63" s="373">
        <v>0</v>
      </c>
      <c r="V63" s="373">
        <v>0</v>
      </c>
      <c r="W63" s="374">
        <v>0</v>
      </c>
      <c r="X63" s="373">
        <v>0</v>
      </c>
      <c r="Y63" s="373">
        <v>0</v>
      </c>
      <c r="Z63" s="373">
        <v>0</v>
      </c>
      <c r="AA63" s="374">
        <v>0</v>
      </c>
      <c r="AB63" s="375"/>
      <c r="AC63" s="376"/>
    </row>
    <row r="64" spans="1:29">
      <c r="A64" s="369"/>
      <c r="B64" s="377" t="s">
        <v>943</v>
      </c>
      <c r="C64" s="377">
        <v>0</v>
      </c>
      <c r="D64" s="378">
        <v>0</v>
      </c>
      <c r="E64" s="378">
        <v>0</v>
      </c>
      <c r="F64" s="378">
        <v>0</v>
      </c>
      <c r="G64" s="378">
        <v>0</v>
      </c>
      <c r="H64" s="378">
        <v>0</v>
      </c>
      <c r="I64" s="377">
        <v>0</v>
      </c>
      <c r="J64" s="377">
        <v>0</v>
      </c>
      <c r="K64" s="378">
        <v>3.1039380790638949E-2</v>
      </c>
      <c r="L64" s="378">
        <v>3.0755881527366725E-2</v>
      </c>
      <c r="M64" s="378">
        <v>3.129466357308585E-2</v>
      </c>
      <c r="N64" s="377">
        <v>3.091691836763032E-2</v>
      </c>
      <c r="O64" s="377">
        <v>0</v>
      </c>
      <c r="P64" s="378">
        <v>0</v>
      </c>
      <c r="Q64" s="377">
        <v>0</v>
      </c>
      <c r="R64" s="377">
        <v>0</v>
      </c>
      <c r="S64" s="377">
        <v>0</v>
      </c>
      <c r="T64" s="379">
        <v>0</v>
      </c>
      <c r="U64" s="379">
        <v>0</v>
      </c>
      <c r="V64" s="379">
        <v>0</v>
      </c>
      <c r="W64" s="380">
        <v>0</v>
      </c>
      <c r="X64" s="379">
        <v>0</v>
      </c>
      <c r="Y64" s="379">
        <v>0</v>
      </c>
      <c r="Z64" s="379">
        <v>0</v>
      </c>
      <c r="AA64" s="380">
        <v>0</v>
      </c>
      <c r="AB64" s="375"/>
      <c r="AC64" s="376"/>
    </row>
    <row r="65" spans="1:29">
      <c r="A65" s="369"/>
      <c r="B65" s="370" t="s">
        <v>944</v>
      </c>
      <c r="C65" s="371">
        <v>0</v>
      </c>
      <c r="D65" s="372">
        <v>0</v>
      </c>
      <c r="E65" s="372">
        <v>0</v>
      </c>
      <c r="F65" s="372">
        <v>0</v>
      </c>
      <c r="G65" s="372">
        <v>0</v>
      </c>
      <c r="H65" s="372">
        <v>0</v>
      </c>
      <c r="I65" s="371">
        <v>0</v>
      </c>
      <c r="J65" s="371">
        <v>0</v>
      </c>
      <c r="K65" s="372">
        <v>878653</v>
      </c>
      <c r="L65" s="372">
        <v>926563.5</v>
      </c>
      <c r="M65" s="372">
        <v>104006</v>
      </c>
      <c r="N65" s="371">
        <v>1909222.5</v>
      </c>
      <c r="O65" s="371">
        <v>0</v>
      </c>
      <c r="P65" s="372">
        <v>0</v>
      </c>
      <c r="Q65" s="371">
        <v>0</v>
      </c>
      <c r="R65" s="371">
        <v>0</v>
      </c>
      <c r="S65" s="371">
        <v>0</v>
      </c>
      <c r="T65" s="373">
        <v>0</v>
      </c>
      <c r="U65" s="373">
        <v>0</v>
      </c>
      <c r="V65" s="373">
        <v>0</v>
      </c>
      <c r="W65" s="374">
        <v>0</v>
      </c>
      <c r="X65" s="373">
        <v>0</v>
      </c>
      <c r="Y65" s="373">
        <v>0</v>
      </c>
      <c r="Z65" s="373">
        <v>0</v>
      </c>
      <c r="AA65" s="374">
        <v>0</v>
      </c>
      <c r="AB65" s="375"/>
      <c r="AC65" s="376"/>
    </row>
    <row r="66" spans="1:29">
      <c r="A66" s="369"/>
      <c r="B66" s="370" t="s">
        <v>945</v>
      </c>
      <c r="C66" s="371">
        <v>0</v>
      </c>
      <c r="D66" s="372">
        <v>0</v>
      </c>
      <c r="E66" s="372">
        <v>0</v>
      </c>
      <c r="F66" s="372">
        <v>0</v>
      </c>
      <c r="G66" s="372">
        <v>0</v>
      </c>
      <c r="H66" s="372">
        <v>0</v>
      </c>
      <c r="I66" s="371">
        <v>0</v>
      </c>
      <c r="J66" s="371">
        <v>0</v>
      </c>
      <c r="K66" s="372">
        <v>29191</v>
      </c>
      <c r="L66" s="372">
        <v>34033</v>
      </c>
      <c r="M66" s="372">
        <v>3765</v>
      </c>
      <c r="N66" s="371">
        <v>66989</v>
      </c>
      <c r="O66" s="371">
        <v>0</v>
      </c>
      <c r="P66" s="372">
        <v>0</v>
      </c>
      <c r="Q66" s="371">
        <v>0</v>
      </c>
      <c r="R66" s="371">
        <v>0</v>
      </c>
      <c r="S66" s="371">
        <v>0</v>
      </c>
      <c r="T66" s="373">
        <v>0</v>
      </c>
      <c r="U66" s="373">
        <v>0</v>
      </c>
      <c r="V66" s="373">
        <v>0</v>
      </c>
      <c r="W66" s="374">
        <v>0</v>
      </c>
      <c r="X66" s="373">
        <v>0</v>
      </c>
      <c r="Y66" s="373">
        <v>0</v>
      </c>
      <c r="Z66" s="373">
        <v>0</v>
      </c>
      <c r="AA66" s="374">
        <v>0</v>
      </c>
      <c r="AB66" s="375"/>
      <c r="AC66" s="376"/>
    </row>
    <row r="67" spans="1:29">
      <c r="A67" s="369"/>
      <c r="B67" s="381" t="s">
        <v>946</v>
      </c>
      <c r="C67" s="377">
        <v>0</v>
      </c>
      <c r="D67" s="378">
        <v>0</v>
      </c>
      <c r="E67" s="378">
        <v>0</v>
      </c>
      <c r="F67" s="378">
        <v>0</v>
      </c>
      <c r="G67" s="378">
        <v>0</v>
      </c>
      <c r="H67" s="378">
        <v>0</v>
      </c>
      <c r="I67" s="377">
        <v>0</v>
      </c>
      <c r="J67" s="377">
        <v>0</v>
      </c>
      <c r="K67" s="378">
        <v>3.3222443899924091E-2</v>
      </c>
      <c r="L67" s="378">
        <v>3.673034821682486E-2</v>
      </c>
      <c r="M67" s="378">
        <v>3.6199834624925487E-2</v>
      </c>
      <c r="N67" s="377">
        <v>3.5087057689714006E-2</v>
      </c>
      <c r="O67" s="377">
        <v>0</v>
      </c>
      <c r="P67" s="378">
        <v>0</v>
      </c>
      <c r="Q67" s="377">
        <v>0</v>
      </c>
      <c r="R67" s="381">
        <v>0</v>
      </c>
      <c r="S67" s="381">
        <v>0</v>
      </c>
      <c r="T67" s="382">
        <v>0</v>
      </c>
      <c r="U67" s="382">
        <v>0</v>
      </c>
      <c r="V67" s="382">
        <v>0</v>
      </c>
      <c r="W67" s="383">
        <v>0</v>
      </c>
      <c r="X67" s="382">
        <v>0</v>
      </c>
      <c r="Y67" s="382">
        <v>0</v>
      </c>
      <c r="Z67" s="382">
        <v>0</v>
      </c>
      <c r="AA67" s="383">
        <v>0</v>
      </c>
      <c r="AB67" s="375"/>
      <c r="AC67" s="376"/>
    </row>
    <row r="68" spans="1:29">
      <c r="A68" s="369"/>
      <c r="B68" s="385" t="s">
        <v>947</v>
      </c>
      <c r="C68" s="386">
        <v>0</v>
      </c>
      <c r="D68" s="387">
        <v>0</v>
      </c>
      <c r="E68" s="387">
        <v>0</v>
      </c>
      <c r="F68" s="387">
        <v>0</v>
      </c>
      <c r="G68" s="387">
        <v>0</v>
      </c>
      <c r="H68" s="387">
        <v>0</v>
      </c>
      <c r="I68" s="386">
        <v>0</v>
      </c>
      <c r="J68" s="386">
        <v>0</v>
      </c>
      <c r="K68" s="387">
        <v>2.1830631092851424E-3</v>
      </c>
      <c r="L68" s="387">
        <v>5.9744666894581341E-3</v>
      </c>
      <c r="M68" s="387">
        <v>4.9051710518396366E-3</v>
      </c>
      <c r="N68" s="386">
        <v>4.1701393220836859E-3</v>
      </c>
      <c r="O68" s="386">
        <v>0</v>
      </c>
      <c r="P68" s="387">
        <v>0</v>
      </c>
      <c r="Q68" s="386">
        <v>0</v>
      </c>
      <c r="R68" s="386">
        <v>0</v>
      </c>
      <c r="S68" s="386">
        <v>0</v>
      </c>
      <c r="T68" s="388">
        <v>0</v>
      </c>
      <c r="U68" s="388">
        <v>0</v>
      </c>
      <c r="V68" s="388">
        <v>0</v>
      </c>
      <c r="W68" s="389">
        <v>0</v>
      </c>
      <c r="X68" s="388">
        <v>0</v>
      </c>
      <c r="Y68" s="388">
        <v>0</v>
      </c>
      <c r="Z68" s="388">
        <v>0</v>
      </c>
      <c r="AA68" s="389">
        <v>0</v>
      </c>
      <c r="AB68" s="375"/>
      <c r="AC68" s="376"/>
    </row>
    <row r="69" spans="1:29">
      <c r="A69" s="362" t="s">
        <v>317</v>
      </c>
      <c r="B69" s="346" t="s">
        <v>941</v>
      </c>
      <c r="C69" s="363">
        <v>2248339</v>
      </c>
      <c r="D69" s="364">
        <v>615334</v>
      </c>
      <c r="E69" s="364">
        <v>1555846</v>
      </c>
      <c r="F69" s="364">
        <v>151383</v>
      </c>
      <c r="G69" s="364">
        <v>281211</v>
      </c>
      <c r="H69" s="364">
        <v>152030</v>
      </c>
      <c r="I69" s="363">
        <v>5004143</v>
      </c>
      <c r="J69" s="363">
        <v>0</v>
      </c>
      <c r="K69" s="364">
        <v>2182372.1</v>
      </c>
      <c r="L69" s="364">
        <v>1797906.5</v>
      </c>
      <c r="M69" s="364">
        <v>725770</v>
      </c>
      <c r="N69" s="363">
        <v>4706048.5999999996</v>
      </c>
      <c r="O69" s="363">
        <v>0</v>
      </c>
      <c r="P69" s="364">
        <v>0</v>
      </c>
      <c r="Q69" s="363">
        <v>0</v>
      </c>
      <c r="R69" s="363">
        <v>0</v>
      </c>
      <c r="S69" s="363">
        <v>0</v>
      </c>
      <c r="T69" s="365">
        <v>0</v>
      </c>
      <c r="U69" s="365">
        <v>0</v>
      </c>
      <c r="V69" s="365">
        <v>0</v>
      </c>
      <c r="W69" s="366">
        <v>0</v>
      </c>
      <c r="X69" s="365">
        <v>0</v>
      </c>
      <c r="Y69" s="365">
        <v>0</v>
      </c>
      <c r="Z69" s="365">
        <v>0</v>
      </c>
      <c r="AA69" s="366">
        <v>0</v>
      </c>
      <c r="AB69" s="367"/>
      <c r="AC69" s="368"/>
    </row>
    <row r="70" spans="1:29">
      <c r="A70" s="369"/>
      <c r="B70" s="370" t="s">
        <v>942</v>
      </c>
      <c r="C70" s="371">
        <v>5280</v>
      </c>
      <c r="D70" s="372">
        <v>6035</v>
      </c>
      <c r="E70" s="372">
        <v>6121</v>
      </c>
      <c r="F70" s="372">
        <v>2693</v>
      </c>
      <c r="G70" s="372">
        <v>0</v>
      </c>
      <c r="H70" s="372">
        <v>0</v>
      </c>
      <c r="I70" s="371">
        <v>20129</v>
      </c>
      <c r="J70" s="371">
        <v>0</v>
      </c>
      <c r="K70" s="372">
        <v>74758.100000000006</v>
      </c>
      <c r="L70" s="372">
        <v>189044.5</v>
      </c>
      <c r="M70" s="372">
        <v>111584.5</v>
      </c>
      <c r="N70" s="371">
        <v>375387.1</v>
      </c>
      <c r="O70" s="371">
        <v>0</v>
      </c>
      <c r="P70" s="372">
        <v>0</v>
      </c>
      <c r="Q70" s="371">
        <v>0</v>
      </c>
      <c r="R70" s="371">
        <v>0</v>
      </c>
      <c r="S70" s="371">
        <v>0</v>
      </c>
      <c r="T70" s="373">
        <v>0</v>
      </c>
      <c r="U70" s="373">
        <v>0</v>
      </c>
      <c r="V70" s="373">
        <v>0</v>
      </c>
      <c r="W70" s="374">
        <v>0</v>
      </c>
      <c r="X70" s="373">
        <v>0</v>
      </c>
      <c r="Y70" s="373">
        <v>0</v>
      </c>
      <c r="Z70" s="373">
        <v>0</v>
      </c>
      <c r="AA70" s="374">
        <v>0</v>
      </c>
      <c r="AB70" s="375"/>
      <c r="AC70" s="376"/>
    </row>
    <row r="71" spans="1:29">
      <c r="A71" s="369"/>
      <c r="B71" s="377" t="s">
        <v>943</v>
      </c>
      <c r="C71" s="377">
        <v>2.3484003079606765E-3</v>
      </c>
      <c r="D71" s="378">
        <v>9.8076816818183296E-3</v>
      </c>
      <c r="E71" s="378">
        <v>3.9341940012057753E-3</v>
      </c>
      <c r="F71" s="378">
        <v>1.778931584127676E-2</v>
      </c>
      <c r="G71" s="378">
        <v>0</v>
      </c>
      <c r="H71" s="378">
        <v>0</v>
      </c>
      <c r="I71" s="377">
        <v>4.022466983857176E-3</v>
      </c>
      <c r="J71" s="377">
        <v>0</v>
      </c>
      <c r="K71" s="378">
        <v>3.4255432426028541E-2</v>
      </c>
      <c r="L71" s="378">
        <v>0.10514701404105274</v>
      </c>
      <c r="M71" s="378">
        <v>0.15374636592859997</v>
      </c>
      <c r="N71" s="377">
        <v>7.9766940783399479E-2</v>
      </c>
      <c r="O71" s="377">
        <v>0</v>
      </c>
      <c r="P71" s="378">
        <v>0</v>
      </c>
      <c r="Q71" s="377">
        <v>0</v>
      </c>
      <c r="R71" s="377">
        <v>0</v>
      </c>
      <c r="S71" s="377">
        <v>0</v>
      </c>
      <c r="T71" s="379">
        <v>0</v>
      </c>
      <c r="U71" s="379">
        <v>0</v>
      </c>
      <c r="V71" s="379">
        <v>0</v>
      </c>
      <c r="W71" s="380">
        <v>0</v>
      </c>
      <c r="X71" s="379">
        <v>0</v>
      </c>
      <c r="Y71" s="379">
        <v>0</v>
      </c>
      <c r="Z71" s="379">
        <v>0</v>
      </c>
      <c r="AA71" s="380">
        <v>0</v>
      </c>
      <c r="AB71" s="375"/>
      <c r="AC71" s="376"/>
    </row>
    <row r="72" spans="1:29">
      <c r="A72" s="369"/>
      <c r="B72" s="370" t="s">
        <v>944</v>
      </c>
      <c r="C72" s="371">
        <v>2295260</v>
      </c>
      <c r="D72" s="372">
        <v>636002</v>
      </c>
      <c r="E72" s="372">
        <v>1610452</v>
      </c>
      <c r="F72" s="372">
        <v>147968</v>
      </c>
      <c r="G72" s="372">
        <v>285741</v>
      </c>
      <c r="H72" s="372">
        <v>146678</v>
      </c>
      <c r="I72" s="371">
        <v>5122101</v>
      </c>
      <c r="J72" s="371">
        <v>0</v>
      </c>
      <c r="K72" s="372">
        <v>2143014</v>
      </c>
      <c r="L72" s="372">
        <v>1736403</v>
      </c>
      <c r="M72" s="372">
        <v>709872.5</v>
      </c>
      <c r="N72" s="371">
        <v>4589289.5</v>
      </c>
      <c r="O72" s="371">
        <v>0</v>
      </c>
      <c r="P72" s="372">
        <v>0</v>
      </c>
      <c r="Q72" s="371">
        <v>0</v>
      </c>
      <c r="R72" s="371">
        <v>0</v>
      </c>
      <c r="S72" s="371">
        <v>0</v>
      </c>
      <c r="T72" s="373">
        <v>0</v>
      </c>
      <c r="U72" s="373">
        <v>0</v>
      </c>
      <c r="V72" s="373">
        <v>0</v>
      </c>
      <c r="W72" s="374">
        <v>0</v>
      </c>
      <c r="X72" s="373">
        <v>0</v>
      </c>
      <c r="Y72" s="373">
        <v>0</v>
      </c>
      <c r="Z72" s="373">
        <v>0</v>
      </c>
      <c r="AA72" s="374">
        <v>0</v>
      </c>
      <c r="AB72" s="375"/>
      <c r="AC72" s="376"/>
    </row>
    <row r="73" spans="1:29">
      <c r="A73" s="369"/>
      <c r="B73" s="370" t="s">
        <v>945</v>
      </c>
      <c r="C73" s="371">
        <v>4854</v>
      </c>
      <c r="D73" s="372">
        <v>2672</v>
      </c>
      <c r="E73" s="372">
        <v>2791</v>
      </c>
      <c r="F73" s="372">
        <v>7389</v>
      </c>
      <c r="G73" s="372">
        <v>0</v>
      </c>
      <c r="H73" s="372">
        <v>0</v>
      </c>
      <c r="I73" s="371">
        <v>17706</v>
      </c>
      <c r="J73" s="371">
        <v>0</v>
      </c>
      <c r="K73" s="372">
        <v>108574</v>
      </c>
      <c r="L73" s="372">
        <v>228483.5</v>
      </c>
      <c r="M73" s="372">
        <v>136780</v>
      </c>
      <c r="N73" s="371">
        <v>473837.5</v>
      </c>
      <c r="O73" s="371">
        <v>0</v>
      </c>
      <c r="P73" s="372">
        <v>0</v>
      </c>
      <c r="Q73" s="371">
        <v>0</v>
      </c>
      <c r="R73" s="371">
        <v>0</v>
      </c>
      <c r="S73" s="371">
        <v>0</v>
      </c>
      <c r="T73" s="373">
        <v>0</v>
      </c>
      <c r="U73" s="373">
        <v>0</v>
      </c>
      <c r="V73" s="373">
        <v>0</v>
      </c>
      <c r="W73" s="374">
        <v>0</v>
      </c>
      <c r="X73" s="373">
        <v>0</v>
      </c>
      <c r="Y73" s="373">
        <v>0</v>
      </c>
      <c r="Z73" s="373">
        <v>0</v>
      </c>
      <c r="AA73" s="374">
        <v>0</v>
      </c>
      <c r="AB73" s="375"/>
      <c r="AC73" s="376"/>
    </row>
    <row r="74" spans="1:29">
      <c r="A74" s="369"/>
      <c r="B74" s="381" t="s">
        <v>946</v>
      </c>
      <c r="C74" s="377">
        <v>2.1147930953356047E-3</v>
      </c>
      <c r="D74" s="378">
        <v>4.2012446501740559E-3</v>
      </c>
      <c r="E74" s="378">
        <v>1.733053825882423E-3</v>
      </c>
      <c r="F74" s="378">
        <v>4.9936472750865053E-2</v>
      </c>
      <c r="G74" s="378">
        <v>0</v>
      </c>
      <c r="H74" s="378">
        <v>0</v>
      </c>
      <c r="I74" s="377">
        <v>3.4567846280266633E-3</v>
      </c>
      <c r="J74" s="377">
        <v>0</v>
      </c>
      <c r="K74" s="378">
        <v>5.0664158050297385E-2</v>
      </c>
      <c r="L74" s="378">
        <v>0.13158437298253919</v>
      </c>
      <c r="M74" s="378">
        <v>0.19268248875678379</v>
      </c>
      <c r="N74" s="377">
        <v>0.10324855296228316</v>
      </c>
      <c r="O74" s="377">
        <v>0</v>
      </c>
      <c r="P74" s="378">
        <v>0</v>
      </c>
      <c r="Q74" s="377">
        <v>0</v>
      </c>
      <c r="R74" s="381">
        <v>0</v>
      </c>
      <c r="S74" s="381">
        <v>0</v>
      </c>
      <c r="T74" s="382">
        <v>0</v>
      </c>
      <c r="U74" s="382">
        <v>0</v>
      </c>
      <c r="V74" s="382">
        <v>0</v>
      </c>
      <c r="W74" s="383">
        <v>0</v>
      </c>
      <c r="X74" s="382">
        <v>0</v>
      </c>
      <c r="Y74" s="382">
        <v>0</v>
      </c>
      <c r="Z74" s="382">
        <v>0</v>
      </c>
      <c r="AA74" s="383">
        <v>0</v>
      </c>
      <c r="AB74" s="375"/>
      <c r="AC74" s="376"/>
    </row>
    <row r="75" spans="1:29">
      <c r="A75" s="369"/>
      <c r="B75" s="385" t="s">
        <v>947</v>
      </c>
      <c r="C75" s="386">
        <v>-2.3360721262507189E-4</v>
      </c>
      <c r="D75" s="387">
        <v>-5.6064370316442737E-3</v>
      </c>
      <c r="E75" s="387">
        <v>-2.2011401753233521E-3</v>
      </c>
      <c r="F75" s="387">
        <v>3.214715690958829E-2</v>
      </c>
      <c r="G75" s="387">
        <v>0</v>
      </c>
      <c r="H75" s="387">
        <v>0</v>
      </c>
      <c r="I75" s="386">
        <v>-5.656823558305127E-4</v>
      </c>
      <c r="J75" s="386">
        <v>0</v>
      </c>
      <c r="K75" s="387">
        <v>1.6408725624268844E-2</v>
      </c>
      <c r="L75" s="387">
        <v>2.6437358941486452E-2</v>
      </c>
      <c r="M75" s="387">
        <v>3.8936122828183817E-2</v>
      </c>
      <c r="N75" s="386">
        <v>2.3481612178883685E-2</v>
      </c>
      <c r="O75" s="386">
        <v>0</v>
      </c>
      <c r="P75" s="387">
        <v>0</v>
      </c>
      <c r="Q75" s="386">
        <v>0</v>
      </c>
      <c r="R75" s="386">
        <v>0</v>
      </c>
      <c r="S75" s="386">
        <v>0</v>
      </c>
      <c r="T75" s="388">
        <v>0</v>
      </c>
      <c r="U75" s="388">
        <v>0</v>
      </c>
      <c r="V75" s="388">
        <v>0</v>
      </c>
      <c r="W75" s="389">
        <v>0</v>
      </c>
      <c r="X75" s="388">
        <v>0</v>
      </c>
      <c r="Y75" s="388">
        <v>0</v>
      </c>
      <c r="Z75" s="388">
        <v>0</v>
      </c>
      <c r="AA75" s="389">
        <v>0</v>
      </c>
      <c r="AB75" s="375"/>
      <c r="AC75" s="376"/>
    </row>
    <row r="76" spans="1:29">
      <c r="A76" s="362" t="s">
        <v>391</v>
      </c>
      <c r="B76" s="346" t="s">
        <v>941</v>
      </c>
      <c r="C76" s="363">
        <v>1200783</v>
      </c>
      <c r="D76" s="364">
        <v>0</v>
      </c>
      <c r="E76" s="364">
        <v>537858</v>
      </c>
      <c r="F76" s="364">
        <v>84337</v>
      </c>
      <c r="G76" s="364">
        <v>439230</v>
      </c>
      <c r="H76" s="364">
        <v>146029</v>
      </c>
      <c r="I76" s="363">
        <v>2408237</v>
      </c>
      <c r="J76" s="363">
        <v>199431</v>
      </c>
      <c r="K76" s="364">
        <v>580306</v>
      </c>
      <c r="L76" s="364">
        <v>219080</v>
      </c>
      <c r="M76" s="364">
        <v>347388</v>
      </c>
      <c r="N76" s="363">
        <v>1346205</v>
      </c>
      <c r="O76" s="363">
        <v>0</v>
      </c>
      <c r="P76" s="364">
        <v>0</v>
      </c>
      <c r="Q76" s="363">
        <v>0</v>
      </c>
      <c r="R76" s="363">
        <v>0</v>
      </c>
      <c r="S76" s="363">
        <v>0</v>
      </c>
      <c r="T76" s="365">
        <v>0</v>
      </c>
      <c r="U76" s="365">
        <v>0</v>
      </c>
      <c r="V76" s="365">
        <v>0</v>
      </c>
      <c r="W76" s="366">
        <v>0</v>
      </c>
      <c r="X76" s="365">
        <v>0</v>
      </c>
      <c r="Y76" s="365">
        <v>0</v>
      </c>
      <c r="Z76" s="365">
        <v>0</v>
      </c>
      <c r="AA76" s="366">
        <v>0</v>
      </c>
      <c r="AB76" s="367"/>
      <c r="AC76" s="368"/>
    </row>
    <row r="77" spans="1:29">
      <c r="A77" s="369"/>
      <c r="B77" s="370" t="s">
        <v>942</v>
      </c>
      <c r="C77" s="371">
        <v>1919</v>
      </c>
      <c r="D77" s="372">
        <v>0</v>
      </c>
      <c r="E77" s="372">
        <v>6043</v>
      </c>
      <c r="F77" s="372">
        <v>1557</v>
      </c>
      <c r="G77" s="372">
        <v>6835</v>
      </c>
      <c r="H77" s="372">
        <v>4417</v>
      </c>
      <c r="I77" s="371">
        <v>20771</v>
      </c>
      <c r="J77" s="371">
        <v>7211</v>
      </c>
      <c r="K77" s="372">
        <v>28734</v>
      </c>
      <c r="L77" s="372">
        <v>5634</v>
      </c>
      <c r="M77" s="372">
        <v>31379</v>
      </c>
      <c r="N77" s="371">
        <v>72958</v>
      </c>
      <c r="O77" s="371">
        <v>0</v>
      </c>
      <c r="P77" s="372">
        <v>0</v>
      </c>
      <c r="Q77" s="371">
        <v>0</v>
      </c>
      <c r="R77" s="371">
        <v>0</v>
      </c>
      <c r="S77" s="371">
        <v>0</v>
      </c>
      <c r="T77" s="373">
        <v>0</v>
      </c>
      <c r="U77" s="373">
        <v>0</v>
      </c>
      <c r="V77" s="373">
        <v>0</v>
      </c>
      <c r="W77" s="374">
        <v>0</v>
      </c>
      <c r="X77" s="373">
        <v>0</v>
      </c>
      <c r="Y77" s="373">
        <v>0</v>
      </c>
      <c r="Z77" s="373">
        <v>0</v>
      </c>
      <c r="AA77" s="374">
        <v>0</v>
      </c>
      <c r="AB77" s="375"/>
      <c r="AC77" s="376"/>
    </row>
    <row r="78" spans="1:29">
      <c r="A78" s="369"/>
      <c r="B78" s="377" t="s">
        <v>943</v>
      </c>
      <c r="C78" s="377">
        <v>1.5981238908279014E-3</v>
      </c>
      <c r="D78" s="378">
        <v>0</v>
      </c>
      <c r="E78" s="378">
        <v>1.1235307460333396E-2</v>
      </c>
      <c r="F78" s="378">
        <v>1.8461647912541353E-2</v>
      </c>
      <c r="G78" s="378">
        <v>1.5561323224734193E-2</v>
      </c>
      <c r="H78" s="378">
        <v>3.0247416609029715E-2</v>
      </c>
      <c r="I78" s="377">
        <v>8.6249816774677905E-3</v>
      </c>
      <c r="J78" s="377">
        <v>3.6157869137696745E-2</v>
      </c>
      <c r="K78" s="378">
        <v>4.9515255744383133E-2</v>
      </c>
      <c r="L78" s="378">
        <v>2.5716633193354026E-2</v>
      </c>
      <c r="M78" s="378">
        <v>9.0328393611754002E-2</v>
      </c>
      <c r="N78" s="377">
        <v>5.4195312006715173E-2</v>
      </c>
      <c r="O78" s="377">
        <v>0</v>
      </c>
      <c r="P78" s="378">
        <v>0</v>
      </c>
      <c r="Q78" s="377">
        <v>0</v>
      </c>
      <c r="R78" s="377">
        <v>0</v>
      </c>
      <c r="S78" s="377">
        <v>0</v>
      </c>
      <c r="T78" s="379">
        <v>0</v>
      </c>
      <c r="U78" s="379">
        <v>0</v>
      </c>
      <c r="V78" s="379">
        <v>0</v>
      </c>
      <c r="W78" s="380">
        <v>0</v>
      </c>
      <c r="X78" s="379">
        <v>0</v>
      </c>
      <c r="Y78" s="379">
        <v>0</v>
      </c>
      <c r="Z78" s="379">
        <v>0</v>
      </c>
      <c r="AA78" s="380">
        <v>0</v>
      </c>
      <c r="AB78" s="375"/>
      <c r="AC78" s="376"/>
    </row>
    <row r="79" spans="1:29">
      <c r="A79" s="369"/>
      <c r="B79" s="370" t="s">
        <v>944</v>
      </c>
      <c r="C79" s="371">
        <v>1199258</v>
      </c>
      <c r="D79" s="372">
        <v>0</v>
      </c>
      <c r="E79" s="372">
        <v>529639</v>
      </c>
      <c r="F79" s="372">
        <v>81161</v>
      </c>
      <c r="G79" s="372">
        <v>449529</v>
      </c>
      <c r="H79" s="372">
        <v>143521</v>
      </c>
      <c r="I79" s="371">
        <v>2403108</v>
      </c>
      <c r="J79" s="371">
        <v>200921</v>
      </c>
      <c r="K79" s="372">
        <v>563681</v>
      </c>
      <c r="L79" s="372">
        <v>221929</v>
      </c>
      <c r="M79" s="372">
        <v>343740</v>
      </c>
      <c r="N79" s="371">
        <v>1330271</v>
      </c>
      <c r="O79" s="371">
        <v>0</v>
      </c>
      <c r="P79" s="372">
        <v>0</v>
      </c>
      <c r="Q79" s="371">
        <v>0</v>
      </c>
      <c r="R79" s="371">
        <v>0</v>
      </c>
      <c r="S79" s="371">
        <v>0</v>
      </c>
      <c r="T79" s="373">
        <v>0</v>
      </c>
      <c r="U79" s="373">
        <v>0</v>
      </c>
      <c r="V79" s="373">
        <v>0</v>
      </c>
      <c r="W79" s="374">
        <v>0</v>
      </c>
      <c r="X79" s="373">
        <v>0</v>
      </c>
      <c r="Y79" s="373">
        <v>0</v>
      </c>
      <c r="Z79" s="373">
        <v>0</v>
      </c>
      <c r="AA79" s="374">
        <v>0</v>
      </c>
      <c r="AB79" s="375"/>
      <c r="AC79" s="376"/>
    </row>
    <row r="80" spans="1:29">
      <c r="A80" s="369"/>
      <c r="B80" s="370" t="s">
        <v>945</v>
      </c>
      <c r="C80" s="371">
        <v>2787</v>
      </c>
      <c r="D80" s="372">
        <v>0</v>
      </c>
      <c r="E80" s="372">
        <v>7314</v>
      </c>
      <c r="F80" s="372">
        <v>1837</v>
      </c>
      <c r="G80" s="372">
        <v>7798</v>
      </c>
      <c r="H80" s="372">
        <v>4519</v>
      </c>
      <c r="I80" s="371">
        <v>24255</v>
      </c>
      <c r="J80" s="371">
        <v>5965</v>
      </c>
      <c r="K80" s="372">
        <v>30751</v>
      </c>
      <c r="L80" s="372">
        <v>7347</v>
      </c>
      <c r="M80" s="372">
        <v>36478</v>
      </c>
      <c r="N80" s="371">
        <v>80541</v>
      </c>
      <c r="O80" s="371">
        <v>0</v>
      </c>
      <c r="P80" s="372">
        <v>0</v>
      </c>
      <c r="Q80" s="371">
        <v>0</v>
      </c>
      <c r="R80" s="371">
        <v>0</v>
      </c>
      <c r="S80" s="371">
        <v>0</v>
      </c>
      <c r="T80" s="373">
        <v>0</v>
      </c>
      <c r="U80" s="373">
        <v>0</v>
      </c>
      <c r="V80" s="373">
        <v>0</v>
      </c>
      <c r="W80" s="374">
        <v>0</v>
      </c>
      <c r="X80" s="373">
        <v>0</v>
      </c>
      <c r="Y80" s="373">
        <v>0</v>
      </c>
      <c r="Z80" s="373">
        <v>0</v>
      </c>
      <c r="AA80" s="374">
        <v>0</v>
      </c>
      <c r="AB80" s="375"/>
      <c r="AC80" s="376"/>
    </row>
    <row r="81" spans="1:29">
      <c r="A81" s="369"/>
      <c r="B81" s="381" t="s">
        <v>946</v>
      </c>
      <c r="C81" s="377">
        <v>2.3239369676916893E-3</v>
      </c>
      <c r="D81" s="378">
        <v>0</v>
      </c>
      <c r="E81" s="378">
        <v>1.3809406029389829E-2</v>
      </c>
      <c r="F81" s="378">
        <v>2.2634023730609531E-2</v>
      </c>
      <c r="G81" s="378">
        <v>1.7347045463140309E-2</v>
      </c>
      <c r="H81" s="378">
        <v>3.148668139157336E-2</v>
      </c>
      <c r="I81" s="377">
        <v>1.0093179332764071E-2</v>
      </c>
      <c r="J81" s="377">
        <v>2.9688285445523366E-2</v>
      </c>
      <c r="K81" s="378">
        <v>5.4553905489097554E-2</v>
      </c>
      <c r="L81" s="378">
        <v>3.3105182288029056E-2</v>
      </c>
      <c r="M81" s="378">
        <v>0.10612090533542794</v>
      </c>
      <c r="N81" s="377">
        <v>6.0544806283832395E-2</v>
      </c>
      <c r="O81" s="377">
        <v>0</v>
      </c>
      <c r="P81" s="378">
        <v>0</v>
      </c>
      <c r="Q81" s="377">
        <v>0</v>
      </c>
      <c r="R81" s="381">
        <v>0</v>
      </c>
      <c r="S81" s="381">
        <v>0</v>
      </c>
      <c r="T81" s="382">
        <v>0</v>
      </c>
      <c r="U81" s="382">
        <v>0</v>
      </c>
      <c r="V81" s="382">
        <v>0</v>
      </c>
      <c r="W81" s="383">
        <v>0</v>
      </c>
      <c r="X81" s="382">
        <v>0</v>
      </c>
      <c r="Y81" s="382">
        <v>0</v>
      </c>
      <c r="Z81" s="382">
        <v>0</v>
      </c>
      <c r="AA81" s="383">
        <v>0</v>
      </c>
      <c r="AB81" s="375"/>
      <c r="AC81" s="376"/>
    </row>
    <row r="82" spans="1:29">
      <c r="A82" s="369"/>
      <c r="B82" s="385" t="s">
        <v>947</v>
      </c>
      <c r="C82" s="386">
        <v>7.2581307686378797E-4</v>
      </c>
      <c r="D82" s="387">
        <v>0</v>
      </c>
      <c r="E82" s="387">
        <v>2.5740985690564325E-3</v>
      </c>
      <c r="F82" s="387">
        <v>4.1723758180681782E-3</v>
      </c>
      <c r="G82" s="387">
        <v>1.785722238406116E-3</v>
      </c>
      <c r="H82" s="387">
        <v>1.2392647825436448E-3</v>
      </c>
      <c r="I82" s="386">
        <v>1.46819765529628E-3</v>
      </c>
      <c r="J82" s="386">
        <v>-6.4695836921733786E-3</v>
      </c>
      <c r="K82" s="387">
        <v>5.0386497447144213E-3</v>
      </c>
      <c r="L82" s="387">
        <v>7.3885490946750294E-3</v>
      </c>
      <c r="M82" s="387">
        <v>1.5792511723673935E-2</v>
      </c>
      <c r="N82" s="386">
        <v>6.3494942771172222E-3</v>
      </c>
      <c r="O82" s="386">
        <v>0</v>
      </c>
      <c r="P82" s="387">
        <v>0</v>
      </c>
      <c r="Q82" s="386">
        <v>0</v>
      </c>
      <c r="R82" s="386">
        <v>0</v>
      </c>
      <c r="S82" s="386">
        <v>0</v>
      </c>
      <c r="T82" s="388">
        <v>0</v>
      </c>
      <c r="U82" s="388">
        <v>0</v>
      </c>
      <c r="V82" s="388">
        <v>0</v>
      </c>
      <c r="W82" s="389">
        <v>0</v>
      </c>
      <c r="X82" s="388">
        <v>0</v>
      </c>
      <c r="Y82" s="388">
        <v>0</v>
      </c>
      <c r="Z82" s="388">
        <v>0</v>
      </c>
      <c r="AA82" s="389">
        <v>0</v>
      </c>
      <c r="AB82" s="375"/>
      <c r="AC82" s="376"/>
    </row>
    <row r="83" spans="1:29">
      <c r="A83" s="362" t="s">
        <v>606</v>
      </c>
      <c r="B83" s="346" t="s">
        <v>941</v>
      </c>
      <c r="C83" s="363">
        <v>540674</v>
      </c>
      <c r="D83" s="364">
        <v>0</v>
      </c>
      <c r="E83" s="364">
        <v>544472.5</v>
      </c>
      <c r="F83" s="364">
        <v>0</v>
      </c>
      <c r="G83" s="364">
        <v>172398</v>
      </c>
      <c r="H83" s="364">
        <v>76212.5</v>
      </c>
      <c r="I83" s="363">
        <v>1333757</v>
      </c>
      <c r="J83" s="363">
        <v>0</v>
      </c>
      <c r="K83" s="364">
        <v>1378239.9899999998</v>
      </c>
      <c r="L83" s="364">
        <v>501658.18000000005</v>
      </c>
      <c r="M83" s="364">
        <v>171221.98</v>
      </c>
      <c r="N83" s="363">
        <v>2051120.15</v>
      </c>
      <c r="O83" s="363">
        <v>0</v>
      </c>
      <c r="P83" s="364">
        <v>0</v>
      </c>
      <c r="Q83" s="363">
        <v>0</v>
      </c>
      <c r="R83" s="363">
        <v>0</v>
      </c>
      <c r="S83" s="363">
        <v>0</v>
      </c>
      <c r="T83" s="365">
        <v>0</v>
      </c>
      <c r="U83" s="365">
        <v>0</v>
      </c>
      <c r="V83" s="365">
        <v>0</v>
      </c>
      <c r="W83" s="366">
        <v>0</v>
      </c>
      <c r="X83" s="365">
        <v>0</v>
      </c>
      <c r="Y83" s="365">
        <v>0</v>
      </c>
      <c r="Z83" s="365">
        <v>0</v>
      </c>
      <c r="AA83" s="366">
        <v>0</v>
      </c>
      <c r="AB83" s="367"/>
      <c r="AC83" s="368"/>
    </row>
    <row r="84" spans="1:29">
      <c r="A84" s="369"/>
      <c r="B84" s="370" t="s">
        <v>942</v>
      </c>
      <c r="C84" s="371">
        <v>690</v>
      </c>
      <c r="D84" s="372">
        <v>0</v>
      </c>
      <c r="E84" s="372">
        <v>2154</v>
      </c>
      <c r="F84" s="372">
        <v>0</v>
      </c>
      <c r="G84" s="372">
        <v>2979</v>
      </c>
      <c r="H84" s="372">
        <v>173</v>
      </c>
      <c r="I84" s="371">
        <v>5996</v>
      </c>
      <c r="J84" s="371">
        <v>0</v>
      </c>
      <c r="K84" s="372">
        <v>52381</v>
      </c>
      <c r="L84" s="372">
        <v>34192</v>
      </c>
      <c r="M84" s="372">
        <v>7012</v>
      </c>
      <c r="N84" s="371">
        <v>93585</v>
      </c>
      <c r="O84" s="371">
        <v>0</v>
      </c>
      <c r="P84" s="372">
        <v>0</v>
      </c>
      <c r="Q84" s="371">
        <v>0</v>
      </c>
      <c r="R84" s="371">
        <v>0</v>
      </c>
      <c r="S84" s="371">
        <v>0</v>
      </c>
      <c r="T84" s="373">
        <v>0</v>
      </c>
      <c r="U84" s="373">
        <v>0</v>
      </c>
      <c r="V84" s="373">
        <v>0</v>
      </c>
      <c r="W84" s="374">
        <v>0</v>
      </c>
      <c r="X84" s="373">
        <v>0</v>
      </c>
      <c r="Y84" s="373">
        <v>0</v>
      </c>
      <c r="Z84" s="373">
        <v>0</v>
      </c>
      <c r="AA84" s="374">
        <v>0</v>
      </c>
      <c r="AB84" s="375"/>
      <c r="AC84" s="376"/>
    </row>
    <row r="85" spans="1:29">
      <c r="A85" s="369"/>
      <c r="B85" s="377" t="s">
        <v>943</v>
      </c>
      <c r="C85" s="377">
        <v>1.2761849099457343E-3</v>
      </c>
      <c r="D85" s="378">
        <v>0</v>
      </c>
      <c r="E85" s="378">
        <v>3.9561226691889858E-3</v>
      </c>
      <c r="F85" s="378">
        <v>0</v>
      </c>
      <c r="G85" s="378">
        <v>1.7279782828107056E-2</v>
      </c>
      <c r="H85" s="378">
        <v>2.2699688371330164E-3</v>
      </c>
      <c r="I85" s="377">
        <v>4.4955715321456603E-3</v>
      </c>
      <c r="J85" s="377">
        <v>0</v>
      </c>
      <c r="K85" s="378">
        <v>3.8005717712486349E-2</v>
      </c>
      <c r="L85" s="378">
        <v>6.8157963655650938E-2</v>
      </c>
      <c r="M85" s="378">
        <v>4.0952686097894674E-2</v>
      </c>
      <c r="N85" s="377">
        <v>4.5626288640380236E-2</v>
      </c>
      <c r="O85" s="377">
        <v>0</v>
      </c>
      <c r="P85" s="378">
        <v>0</v>
      </c>
      <c r="Q85" s="377">
        <v>0</v>
      </c>
      <c r="R85" s="377">
        <v>0</v>
      </c>
      <c r="S85" s="377">
        <v>0</v>
      </c>
      <c r="T85" s="379">
        <v>0</v>
      </c>
      <c r="U85" s="379">
        <v>0</v>
      </c>
      <c r="V85" s="379">
        <v>0</v>
      </c>
      <c r="W85" s="380">
        <v>0</v>
      </c>
      <c r="X85" s="379">
        <v>0</v>
      </c>
      <c r="Y85" s="379">
        <v>0</v>
      </c>
      <c r="Z85" s="379">
        <v>0</v>
      </c>
      <c r="AA85" s="380">
        <v>0</v>
      </c>
      <c r="AB85" s="375"/>
      <c r="AC85" s="376"/>
    </row>
    <row r="86" spans="1:29">
      <c r="A86" s="369"/>
      <c r="B86" s="370" t="s">
        <v>944</v>
      </c>
      <c r="C86" s="371">
        <v>578643</v>
      </c>
      <c r="D86" s="372">
        <v>0</v>
      </c>
      <c r="E86" s="372">
        <v>543612</v>
      </c>
      <c r="F86" s="372">
        <v>0</v>
      </c>
      <c r="G86" s="372">
        <v>95325</v>
      </c>
      <c r="H86" s="372">
        <v>76739.5</v>
      </c>
      <c r="I86" s="371">
        <v>1294319.5</v>
      </c>
      <c r="J86" s="371">
        <v>0</v>
      </c>
      <c r="K86" s="372">
        <v>1208783</v>
      </c>
      <c r="L86" s="372">
        <v>444238</v>
      </c>
      <c r="M86" s="372">
        <v>155888</v>
      </c>
      <c r="N86" s="371">
        <v>1808909</v>
      </c>
      <c r="O86" s="371">
        <v>0</v>
      </c>
      <c r="P86" s="372">
        <v>0</v>
      </c>
      <c r="Q86" s="371">
        <v>0</v>
      </c>
      <c r="R86" s="371">
        <v>0</v>
      </c>
      <c r="S86" s="371">
        <v>0</v>
      </c>
      <c r="T86" s="373">
        <v>0</v>
      </c>
      <c r="U86" s="373">
        <v>0</v>
      </c>
      <c r="V86" s="373">
        <v>0</v>
      </c>
      <c r="W86" s="374">
        <v>0</v>
      </c>
      <c r="X86" s="373">
        <v>0</v>
      </c>
      <c r="Y86" s="373">
        <v>0</v>
      </c>
      <c r="Z86" s="373">
        <v>0</v>
      </c>
      <c r="AA86" s="374">
        <v>0</v>
      </c>
      <c r="AB86" s="375"/>
      <c r="AC86" s="376"/>
    </row>
    <row r="87" spans="1:29">
      <c r="A87" s="369"/>
      <c r="B87" s="370" t="s">
        <v>945</v>
      </c>
      <c r="C87" s="371">
        <v>874</v>
      </c>
      <c r="D87" s="372">
        <v>0</v>
      </c>
      <c r="E87" s="372">
        <v>2521</v>
      </c>
      <c r="F87" s="372">
        <v>0</v>
      </c>
      <c r="G87" s="372">
        <v>951</v>
      </c>
      <c r="H87" s="372">
        <v>162</v>
      </c>
      <c r="I87" s="371">
        <v>4508</v>
      </c>
      <c r="J87" s="371">
        <v>0</v>
      </c>
      <c r="K87" s="372">
        <v>61338</v>
      </c>
      <c r="L87" s="372">
        <v>36272</v>
      </c>
      <c r="M87" s="372">
        <v>13361</v>
      </c>
      <c r="N87" s="371">
        <v>110971</v>
      </c>
      <c r="O87" s="371">
        <v>0</v>
      </c>
      <c r="P87" s="372">
        <v>0</v>
      </c>
      <c r="Q87" s="371">
        <v>0</v>
      </c>
      <c r="R87" s="371">
        <v>0</v>
      </c>
      <c r="S87" s="371">
        <v>0</v>
      </c>
      <c r="T87" s="373">
        <v>0</v>
      </c>
      <c r="U87" s="373">
        <v>0</v>
      </c>
      <c r="V87" s="373">
        <v>0</v>
      </c>
      <c r="W87" s="374">
        <v>0</v>
      </c>
      <c r="X87" s="373">
        <v>0</v>
      </c>
      <c r="Y87" s="373">
        <v>0</v>
      </c>
      <c r="Z87" s="373">
        <v>0</v>
      </c>
      <c r="AA87" s="374">
        <v>0</v>
      </c>
      <c r="AB87" s="375"/>
      <c r="AC87" s="376"/>
    </row>
    <row r="88" spans="1:29">
      <c r="A88" s="369"/>
      <c r="B88" s="381" t="s">
        <v>946</v>
      </c>
      <c r="C88" s="377">
        <v>1.5104304381112362E-3</v>
      </c>
      <c r="D88" s="378">
        <v>0</v>
      </c>
      <c r="E88" s="378">
        <v>4.6374988042942392E-3</v>
      </c>
      <c r="F88" s="378">
        <v>0</v>
      </c>
      <c r="G88" s="378">
        <v>9.9763965381589308E-3</v>
      </c>
      <c r="H88" s="378">
        <v>2.1110379921683098E-3</v>
      </c>
      <c r="I88" s="377">
        <v>3.4829112904503101E-3</v>
      </c>
      <c r="J88" s="377">
        <v>0</v>
      </c>
      <c r="K88" s="378">
        <v>5.0743599140623256E-2</v>
      </c>
      <c r="L88" s="378">
        <v>8.1649926390808536E-2</v>
      </c>
      <c r="M88" s="378">
        <v>8.5708970542953913E-2</v>
      </c>
      <c r="N88" s="377">
        <v>6.1346922371440467E-2</v>
      </c>
      <c r="O88" s="377">
        <v>0</v>
      </c>
      <c r="P88" s="378">
        <v>0</v>
      </c>
      <c r="Q88" s="377">
        <v>0</v>
      </c>
      <c r="R88" s="381">
        <v>0</v>
      </c>
      <c r="S88" s="381">
        <v>0</v>
      </c>
      <c r="T88" s="382">
        <v>0</v>
      </c>
      <c r="U88" s="382">
        <v>0</v>
      </c>
      <c r="V88" s="382">
        <v>0</v>
      </c>
      <c r="W88" s="383">
        <v>0</v>
      </c>
      <c r="X88" s="382">
        <v>0</v>
      </c>
      <c r="Y88" s="382">
        <v>0</v>
      </c>
      <c r="Z88" s="382">
        <v>0</v>
      </c>
      <c r="AA88" s="383">
        <v>0</v>
      </c>
      <c r="AB88" s="375"/>
      <c r="AC88" s="376"/>
    </row>
    <row r="89" spans="1:29">
      <c r="A89" s="369"/>
      <c r="B89" s="385" t="s">
        <v>947</v>
      </c>
      <c r="C89" s="386">
        <v>2.342455281655019E-4</v>
      </c>
      <c r="D89" s="387">
        <v>0</v>
      </c>
      <c r="E89" s="387">
        <v>6.813761351052534E-4</v>
      </c>
      <c r="F89" s="387">
        <v>0</v>
      </c>
      <c r="G89" s="387">
        <v>-7.3033862899481248E-3</v>
      </c>
      <c r="H89" s="387">
        <v>-1.5893084496470655E-4</v>
      </c>
      <c r="I89" s="386">
        <v>-1.0126602416953502E-3</v>
      </c>
      <c r="J89" s="386">
        <v>0</v>
      </c>
      <c r="K89" s="387">
        <v>1.2737881428136907E-2</v>
      </c>
      <c r="L89" s="387">
        <v>1.3491962735157598E-2</v>
      </c>
      <c r="M89" s="387">
        <v>4.475628444505924E-2</v>
      </c>
      <c r="N89" s="386">
        <v>1.5720633731060231E-2</v>
      </c>
      <c r="O89" s="386">
        <v>0</v>
      </c>
      <c r="P89" s="387">
        <v>0</v>
      </c>
      <c r="Q89" s="386">
        <v>0</v>
      </c>
      <c r="R89" s="386">
        <v>0</v>
      </c>
      <c r="S89" s="386">
        <v>0</v>
      </c>
      <c r="T89" s="388">
        <v>0</v>
      </c>
      <c r="U89" s="388">
        <v>0</v>
      </c>
      <c r="V89" s="388">
        <v>0</v>
      </c>
      <c r="W89" s="389">
        <v>0</v>
      </c>
      <c r="X89" s="388">
        <v>0</v>
      </c>
      <c r="Y89" s="388">
        <v>0</v>
      </c>
      <c r="Z89" s="388">
        <v>0</v>
      </c>
      <c r="AA89" s="389">
        <v>0</v>
      </c>
      <c r="AB89" s="375"/>
      <c r="AC89" s="376"/>
    </row>
    <row r="90" spans="1:29">
      <c r="A90" s="362" t="s">
        <v>468</v>
      </c>
      <c r="B90" s="346" t="s">
        <v>941</v>
      </c>
      <c r="C90" s="363">
        <v>1025731</v>
      </c>
      <c r="D90" s="364">
        <v>312940</v>
      </c>
      <c r="E90" s="364">
        <v>1321828</v>
      </c>
      <c r="F90" s="364">
        <v>0</v>
      </c>
      <c r="G90" s="364">
        <v>180848</v>
      </c>
      <c r="H90" s="364">
        <v>0</v>
      </c>
      <c r="I90" s="363">
        <v>2841347</v>
      </c>
      <c r="J90" s="363">
        <v>0</v>
      </c>
      <c r="K90" s="364">
        <v>950759</v>
      </c>
      <c r="L90" s="364">
        <v>721969</v>
      </c>
      <c r="M90" s="364">
        <v>49729</v>
      </c>
      <c r="N90" s="363">
        <v>1722457</v>
      </c>
      <c r="O90" s="363">
        <v>0</v>
      </c>
      <c r="P90" s="364">
        <v>0</v>
      </c>
      <c r="Q90" s="363">
        <v>0</v>
      </c>
      <c r="R90" s="363">
        <v>0</v>
      </c>
      <c r="S90" s="363">
        <v>0</v>
      </c>
      <c r="T90" s="365">
        <v>0</v>
      </c>
      <c r="U90" s="365">
        <v>0</v>
      </c>
      <c r="V90" s="365">
        <v>0</v>
      </c>
      <c r="W90" s="366">
        <v>0</v>
      </c>
      <c r="X90" s="365">
        <v>0</v>
      </c>
      <c r="Y90" s="365">
        <v>0</v>
      </c>
      <c r="Z90" s="365">
        <v>0</v>
      </c>
      <c r="AA90" s="366">
        <v>0</v>
      </c>
      <c r="AB90" s="367"/>
      <c r="AC90" s="368"/>
    </row>
    <row r="91" spans="1:29">
      <c r="A91" s="369"/>
      <c r="B91" s="370" t="s">
        <v>942</v>
      </c>
      <c r="C91" s="371">
        <v>7236</v>
      </c>
      <c r="D91" s="372">
        <v>1999</v>
      </c>
      <c r="E91" s="372">
        <v>5736</v>
      </c>
      <c r="F91" s="372">
        <v>0</v>
      </c>
      <c r="G91" s="372">
        <v>2288</v>
      </c>
      <c r="H91" s="372">
        <v>0</v>
      </c>
      <c r="I91" s="371">
        <v>17259</v>
      </c>
      <c r="J91" s="371">
        <v>0</v>
      </c>
      <c r="K91" s="372">
        <v>50272</v>
      </c>
      <c r="L91" s="372">
        <v>64318</v>
      </c>
      <c r="M91" s="372">
        <v>7262</v>
      </c>
      <c r="N91" s="371">
        <v>121852</v>
      </c>
      <c r="O91" s="371">
        <v>0</v>
      </c>
      <c r="P91" s="372">
        <v>0</v>
      </c>
      <c r="Q91" s="371">
        <v>0</v>
      </c>
      <c r="R91" s="371">
        <v>0</v>
      </c>
      <c r="S91" s="371">
        <v>0</v>
      </c>
      <c r="T91" s="373">
        <v>0</v>
      </c>
      <c r="U91" s="373">
        <v>0</v>
      </c>
      <c r="V91" s="373">
        <v>0</v>
      </c>
      <c r="W91" s="374">
        <v>0</v>
      </c>
      <c r="X91" s="373">
        <v>0</v>
      </c>
      <c r="Y91" s="373">
        <v>0</v>
      </c>
      <c r="Z91" s="373">
        <v>0</v>
      </c>
      <c r="AA91" s="374">
        <v>0</v>
      </c>
      <c r="AB91" s="375"/>
      <c r="AC91" s="376"/>
    </row>
    <row r="92" spans="1:29">
      <c r="A92" s="369"/>
      <c r="B92" s="377" t="s">
        <v>943</v>
      </c>
      <c r="C92" s="377">
        <v>7.0544811456414985E-3</v>
      </c>
      <c r="D92" s="378">
        <v>6.3878059691953731E-3</v>
      </c>
      <c r="E92" s="378">
        <v>4.3394450715221649E-3</v>
      </c>
      <c r="F92" s="378">
        <v>0</v>
      </c>
      <c r="G92" s="378">
        <v>1.2651508449084314E-2</v>
      </c>
      <c r="H92" s="378">
        <v>0</v>
      </c>
      <c r="I92" s="377">
        <v>6.074231693629817E-3</v>
      </c>
      <c r="J92" s="377">
        <v>0</v>
      </c>
      <c r="K92" s="378">
        <v>5.2875649875520507E-2</v>
      </c>
      <c r="L92" s="378">
        <v>8.9086927555061229E-2</v>
      </c>
      <c r="M92" s="378">
        <v>0.14603149067948279</v>
      </c>
      <c r="N92" s="377">
        <v>7.074313030746196E-2</v>
      </c>
      <c r="O92" s="377">
        <v>0</v>
      </c>
      <c r="P92" s="378">
        <v>0</v>
      </c>
      <c r="Q92" s="377">
        <v>0</v>
      </c>
      <c r="R92" s="377">
        <v>0</v>
      </c>
      <c r="S92" s="377">
        <v>0</v>
      </c>
      <c r="T92" s="379">
        <v>0</v>
      </c>
      <c r="U92" s="379">
        <v>0</v>
      </c>
      <c r="V92" s="379">
        <v>0</v>
      </c>
      <c r="W92" s="380">
        <v>0</v>
      </c>
      <c r="X92" s="379">
        <v>0</v>
      </c>
      <c r="Y92" s="379">
        <v>0</v>
      </c>
      <c r="Z92" s="379">
        <v>0</v>
      </c>
      <c r="AA92" s="380">
        <v>0</v>
      </c>
      <c r="AB92" s="375"/>
      <c r="AC92" s="376"/>
    </row>
    <row r="93" spans="1:29">
      <c r="A93" s="369"/>
      <c r="B93" s="370" t="s">
        <v>944</v>
      </c>
      <c r="C93" s="371">
        <v>1040996</v>
      </c>
      <c r="D93" s="372">
        <v>311147</v>
      </c>
      <c r="E93" s="372">
        <v>1309107</v>
      </c>
      <c r="F93" s="372">
        <v>0</v>
      </c>
      <c r="G93" s="372">
        <v>172384</v>
      </c>
      <c r="H93" s="372">
        <v>0</v>
      </c>
      <c r="I93" s="371">
        <v>2833634</v>
      </c>
      <c r="J93" s="371">
        <v>0</v>
      </c>
      <c r="K93" s="372">
        <v>910885</v>
      </c>
      <c r="L93" s="372">
        <v>744954</v>
      </c>
      <c r="M93" s="372">
        <v>50382</v>
      </c>
      <c r="N93" s="371">
        <v>1706221</v>
      </c>
      <c r="O93" s="371">
        <v>0</v>
      </c>
      <c r="P93" s="372">
        <v>0</v>
      </c>
      <c r="Q93" s="371">
        <v>0</v>
      </c>
      <c r="R93" s="371">
        <v>0</v>
      </c>
      <c r="S93" s="371">
        <v>0</v>
      </c>
      <c r="T93" s="373">
        <v>0</v>
      </c>
      <c r="U93" s="373">
        <v>0</v>
      </c>
      <c r="V93" s="373">
        <v>0</v>
      </c>
      <c r="W93" s="374">
        <v>0</v>
      </c>
      <c r="X93" s="373">
        <v>0</v>
      </c>
      <c r="Y93" s="373">
        <v>0</v>
      </c>
      <c r="Z93" s="373">
        <v>0</v>
      </c>
      <c r="AA93" s="374">
        <v>0</v>
      </c>
      <c r="AB93" s="375"/>
      <c r="AC93" s="376"/>
    </row>
    <row r="94" spans="1:29">
      <c r="A94" s="369"/>
      <c r="B94" s="370" t="s">
        <v>945</v>
      </c>
      <c r="C94" s="371">
        <v>7272</v>
      </c>
      <c r="D94" s="372">
        <v>1994</v>
      </c>
      <c r="E94" s="372">
        <v>9105</v>
      </c>
      <c r="F94" s="372">
        <v>0</v>
      </c>
      <c r="G94" s="372">
        <v>3863</v>
      </c>
      <c r="H94" s="372">
        <v>0</v>
      </c>
      <c r="I94" s="371">
        <v>22234</v>
      </c>
      <c r="J94" s="371">
        <v>0</v>
      </c>
      <c r="K94" s="372">
        <v>51941</v>
      </c>
      <c r="L94" s="372">
        <v>68141</v>
      </c>
      <c r="M94" s="372">
        <v>7284</v>
      </c>
      <c r="N94" s="371">
        <v>127366</v>
      </c>
      <c r="O94" s="371">
        <v>0</v>
      </c>
      <c r="P94" s="372">
        <v>0</v>
      </c>
      <c r="Q94" s="371">
        <v>0</v>
      </c>
      <c r="R94" s="371">
        <v>0</v>
      </c>
      <c r="S94" s="371">
        <v>0</v>
      </c>
      <c r="T94" s="373">
        <v>0</v>
      </c>
      <c r="U94" s="373">
        <v>0</v>
      </c>
      <c r="V94" s="373">
        <v>0</v>
      </c>
      <c r="W94" s="374">
        <v>0</v>
      </c>
      <c r="X94" s="373">
        <v>0</v>
      </c>
      <c r="Y94" s="373">
        <v>0</v>
      </c>
      <c r="Z94" s="373">
        <v>0</v>
      </c>
      <c r="AA94" s="374">
        <v>0</v>
      </c>
      <c r="AB94" s="375"/>
      <c r="AC94" s="376"/>
    </row>
    <row r="95" spans="1:29">
      <c r="A95" s="369"/>
      <c r="B95" s="381" t="s">
        <v>946</v>
      </c>
      <c r="C95" s="377">
        <v>6.9856176200484921E-3</v>
      </c>
      <c r="D95" s="378">
        <v>6.4085464426782198E-3</v>
      </c>
      <c r="E95" s="378">
        <v>6.9551228432817181E-3</v>
      </c>
      <c r="F95" s="378">
        <v>0</v>
      </c>
      <c r="G95" s="378">
        <v>2.2409272322257288E-2</v>
      </c>
      <c r="H95" s="378">
        <v>0</v>
      </c>
      <c r="I95" s="377">
        <v>7.8464614696181646E-3</v>
      </c>
      <c r="J95" s="377">
        <v>0</v>
      </c>
      <c r="K95" s="378">
        <v>5.7022565966065968E-2</v>
      </c>
      <c r="L95" s="378">
        <v>9.1470077347057671E-2</v>
      </c>
      <c r="M95" s="378">
        <v>0.1445754436108134</v>
      </c>
      <c r="N95" s="377">
        <v>7.4648008669451385E-2</v>
      </c>
      <c r="O95" s="377">
        <v>0</v>
      </c>
      <c r="P95" s="378">
        <v>0</v>
      </c>
      <c r="Q95" s="377">
        <v>0</v>
      </c>
      <c r="R95" s="381">
        <v>0</v>
      </c>
      <c r="S95" s="381">
        <v>0</v>
      </c>
      <c r="T95" s="382">
        <v>0</v>
      </c>
      <c r="U95" s="382">
        <v>0</v>
      </c>
      <c r="V95" s="382">
        <v>0</v>
      </c>
      <c r="W95" s="383">
        <v>0</v>
      </c>
      <c r="X95" s="382">
        <v>0</v>
      </c>
      <c r="Y95" s="382">
        <v>0</v>
      </c>
      <c r="Z95" s="382">
        <v>0</v>
      </c>
      <c r="AA95" s="383">
        <v>0</v>
      </c>
      <c r="AB95" s="375"/>
      <c r="AC95" s="376"/>
    </row>
    <row r="96" spans="1:29">
      <c r="A96" s="369"/>
      <c r="B96" s="385" t="s">
        <v>947</v>
      </c>
      <c r="C96" s="386">
        <v>-6.8863525593006354E-5</v>
      </c>
      <c r="D96" s="387">
        <v>2.0740473482846675E-5</v>
      </c>
      <c r="E96" s="387">
        <v>2.6156777717595532E-3</v>
      </c>
      <c r="F96" s="387">
        <v>0</v>
      </c>
      <c r="G96" s="387">
        <v>9.7577638731729741E-3</v>
      </c>
      <c r="H96" s="387">
        <v>0</v>
      </c>
      <c r="I96" s="386">
        <v>1.7722297759883475E-3</v>
      </c>
      <c r="J96" s="386">
        <v>0</v>
      </c>
      <c r="K96" s="387">
        <v>4.1469160905454605E-3</v>
      </c>
      <c r="L96" s="387">
        <v>2.3831497919964417E-3</v>
      </c>
      <c r="M96" s="387">
        <v>-1.4560470686693916E-3</v>
      </c>
      <c r="N96" s="386">
        <v>3.9048783619894251E-3</v>
      </c>
      <c r="O96" s="386">
        <v>0</v>
      </c>
      <c r="P96" s="387">
        <v>0</v>
      </c>
      <c r="Q96" s="386">
        <v>0</v>
      </c>
      <c r="R96" s="386">
        <v>0</v>
      </c>
      <c r="S96" s="386">
        <v>0</v>
      </c>
      <c r="T96" s="388">
        <v>0</v>
      </c>
      <c r="U96" s="388">
        <v>0</v>
      </c>
      <c r="V96" s="388">
        <v>0</v>
      </c>
      <c r="W96" s="389">
        <v>0</v>
      </c>
      <c r="X96" s="388">
        <v>0</v>
      </c>
      <c r="Y96" s="388">
        <v>0</v>
      </c>
      <c r="Z96" s="388">
        <v>0</v>
      </c>
      <c r="AA96" s="389">
        <v>0</v>
      </c>
      <c r="AB96" s="375"/>
      <c r="AC96" s="376"/>
    </row>
    <row r="97" spans="1:29">
      <c r="A97" s="362" t="s">
        <v>639</v>
      </c>
      <c r="B97" s="346" t="s">
        <v>941</v>
      </c>
      <c r="C97" s="363">
        <v>6321100</v>
      </c>
      <c r="D97" s="364">
        <v>1558014</v>
      </c>
      <c r="E97" s="364">
        <v>3836616</v>
      </c>
      <c r="F97" s="364">
        <v>141048</v>
      </c>
      <c r="G97" s="364">
        <v>421772</v>
      </c>
      <c r="H97" s="364">
        <v>0</v>
      </c>
      <c r="I97" s="363">
        <v>12278550</v>
      </c>
      <c r="J97" s="363">
        <v>785717</v>
      </c>
      <c r="K97" s="364">
        <v>10073282</v>
      </c>
      <c r="L97" s="364">
        <v>2426296</v>
      </c>
      <c r="M97" s="364">
        <v>416132</v>
      </c>
      <c r="N97" s="363">
        <v>13701427</v>
      </c>
      <c r="O97" s="363">
        <v>2417702</v>
      </c>
      <c r="P97" s="364">
        <v>2417702</v>
      </c>
      <c r="Q97" s="363">
        <v>0</v>
      </c>
      <c r="R97" s="363">
        <v>0</v>
      </c>
      <c r="S97" s="363">
        <v>0</v>
      </c>
      <c r="T97" s="365">
        <v>44047</v>
      </c>
      <c r="U97" s="365">
        <v>44047</v>
      </c>
      <c r="V97" s="365">
        <v>2060889</v>
      </c>
      <c r="W97" s="366">
        <v>2060889</v>
      </c>
      <c r="X97" s="365">
        <v>311352</v>
      </c>
      <c r="Y97" s="365">
        <v>311352</v>
      </c>
      <c r="Z97" s="365">
        <v>45461</v>
      </c>
      <c r="AA97" s="366">
        <v>45461</v>
      </c>
      <c r="AB97" s="367"/>
      <c r="AC97" s="368"/>
    </row>
    <row r="98" spans="1:29">
      <c r="A98" s="369"/>
      <c r="B98" s="370" t="s">
        <v>942</v>
      </c>
      <c r="C98" s="371">
        <v>1042</v>
      </c>
      <c r="D98" s="372">
        <v>4519</v>
      </c>
      <c r="E98" s="372">
        <v>63552</v>
      </c>
      <c r="F98" s="372">
        <v>0</v>
      </c>
      <c r="G98" s="372">
        <v>841</v>
      </c>
      <c r="H98" s="372">
        <v>0</v>
      </c>
      <c r="I98" s="371">
        <v>69954</v>
      </c>
      <c r="J98" s="371">
        <v>205205</v>
      </c>
      <c r="K98" s="372">
        <v>856394</v>
      </c>
      <c r="L98" s="372">
        <v>299793</v>
      </c>
      <c r="M98" s="372">
        <v>49508</v>
      </c>
      <c r="N98" s="371">
        <v>1410900</v>
      </c>
      <c r="O98" s="371">
        <v>254128</v>
      </c>
      <c r="P98" s="372">
        <v>254128</v>
      </c>
      <c r="Q98" s="371">
        <v>0</v>
      </c>
      <c r="R98" s="371">
        <v>0</v>
      </c>
      <c r="S98" s="371">
        <v>0</v>
      </c>
      <c r="T98" s="373">
        <v>0</v>
      </c>
      <c r="U98" s="373">
        <v>0</v>
      </c>
      <c r="V98" s="373">
        <v>201238</v>
      </c>
      <c r="W98" s="374">
        <v>201238</v>
      </c>
      <c r="X98" s="373">
        <v>52866</v>
      </c>
      <c r="Y98" s="373">
        <v>52866</v>
      </c>
      <c r="Z98" s="373">
        <v>24</v>
      </c>
      <c r="AA98" s="374">
        <v>24</v>
      </c>
      <c r="AB98" s="375"/>
      <c r="AC98" s="376"/>
    </row>
    <row r="99" spans="1:29">
      <c r="A99" s="369"/>
      <c r="B99" s="377" t="s">
        <v>943</v>
      </c>
      <c r="C99" s="377">
        <v>1.6484472639255825E-4</v>
      </c>
      <c r="D99" s="378">
        <v>2.9004874153890788E-3</v>
      </c>
      <c r="E99" s="378">
        <v>1.6564597551592342E-2</v>
      </c>
      <c r="F99" s="378">
        <v>0</v>
      </c>
      <c r="G99" s="378">
        <v>1.99396830515065E-3</v>
      </c>
      <c r="H99" s="378">
        <v>0</v>
      </c>
      <c r="I99" s="377">
        <v>5.6972525257461184E-3</v>
      </c>
      <c r="J99" s="377">
        <v>0.26116909777948039</v>
      </c>
      <c r="K99" s="378">
        <v>8.5016382942520619E-2</v>
      </c>
      <c r="L99" s="378">
        <v>0.12355994487070003</v>
      </c>
      <c r="M99" s="378">
        <v>0.11897186469677891</v>
      </c>
      <c r="N99" s="377">
        <v>0.10297467555751674</v>
      </c>
      <c r="O99" s="377">
        <v>0.10511138262697388</v>
      </c>
      <c r="P99" s="378">
        <v>0.10511138262697388</v>
      </c>
      <c r="Q99" s="377">
        <v>0</v>
      </c>
      <c r="R99" s="377">
        <v>0</v>
      </c>
      <c r="S99" s="377">
        <v>0</v>
      </c>
      <c r="T99" s="379">
        <v>0</v>
      </c>
      <c r="U99" s="379">
        <v>0</v>
      </c>
      <c r="V99" s="379">
        <v>9.7646209960846997E-2</v>
      </c>
      <c r="W99" s="380">
        <v>9.7646209960846997E-2</v>
      </c>
      <c r="X99" s="379">
        <v>0.16979495876050257</v>
      </c>
      <c r="Y99" s="379">
        <v>0.16979495876050257</v>
      </c>
      <c r="Z99" s="379">
        <v>5.2792503464508037E-4</v>
      </c>
      <c r="AA99" s="380">
        <v>5.2792503464508037E-4</v>
      </c>
      <c r="AB99" s="375"/>
      <c r="AC99" s="376"/>
    </row>
    <row r="100" spans="1:29">
      <c r="A100" s="369"/>
      <c r="B100" s="370" t="s">
        <v>944</v>
      </c>
      <c r="C100" s="371">
        <v>6557810</v>
      </c>
      <c r="D100" s="372">
        <v>1602629</v>
      </c>
      <c r="E100" s="372">
        <v>3937302</v>
      </c>
      <c r="F100" s="372">
        <v>145098</v>
      </c>
      <c r="G100" s="372">
        <v>425518</v>
      </c>
      <c r="H100" s="372">
        <v>0</v>
      </c>
      <c r="I100" s="371">
        <v>12668357</v>
      </c>
      <c r="J100" s="371">
        <v>1213347</v>
      </c>
      <c r="K100" s="372">
        <v>20839113</v>
      </c>
      <c r="L100" s="372">
        <v>6161033</v>
      </c>
      <c r="M100" s="372">
        <v>1167707</v>
      </c>
      <c r="N100" s="371">
        <v>29381200</v>
      </c>
      <c r="O100" s="371">
        <v>6131477</v>
      </c>
      <c r="P100" s="372">
        <v>6131477</v>
      </c>
      <c r="Q100" s="371">
        <v>0</v>
      </c>
      <c r="R100" s="371">
        <v>0</v>
      </c>
      <c r="S100" s="371">
        <v>0</v>
      </c>
      <c r="T100" s="373">
        <v>55570</v>
      </c>
      <c r="U100" s="373">
        <v>55570</v>
      </c>
      <c r="V100" s="373">
        <v>4909969</v>
      </c>
      <c r="W100" s="374">
        <v>4909969</v>
      </c>
      <c r="X100" s="373">
        <v>1145244</v>
      </c>
      <c r="Y100" s="373">
        <v>1145244</v>
      </c>
      <c r="Z100" s="373">
        <v>76264</v>
      </c>
      <c r="AA100" s="374">
        <v>76264</v>
      </c>
      <c r="AB100" s="375"/>
      <c r="AC100" s="376"/>
    </row>
    <row r="101" spans="1:29">
      <c r="A101" s="369"/>
      <c r="B101" s="370" t="s">
        <v>945</v>
      </c>
      <c r="C101" s="371">
        <v>770</v>
      </c>
      <c r="D101" s="372">
        <v>6687</v>
      </c>
      <c r="E101" s="372">
        <v>86179</v>
      </c>
      <c r="F101" s="372">
        <v>39</v>
      </c>
      <c r="G101" s="372">
        <v>539</v>
      </c>
      <c r="H101" s="372">
        <v>0</v>
      </c>
      <c r="I101" s="371">
        <v>94214</v>
      </c>
      <c r="J101" s="371">
        <v>220438</v>
      </c>
      <c r="K101" s="372">
        <v>1032450</v>
      </c>
      <c r="L101" s="372">
        <v>346606</v>
      </c>
      <c r="M101" s="372">
        <v>56716</v>
      </c>
      <c r="N101" s="371">
        <v>1656210</v>
      </c>
      <c r="O101" s="371">
        <v>298639</v>
      </c>
      <c r="P101" s="372">
        <v>298639</v>
      </c>
      <c r="Q101" s="371">
        <v>0</v>
      </c>
      <c r="R101" s="371">
        <v>0</v>
      </c>
      <c r="S101" s="371">
        <v>0</v>
      </c>
      <c r="T101" s="373">
        <v>0</v>
      </c>
      <c r="U101" s="373">
        <v>0</v>
      </c>
      <c r="V101" s="373">
        <v>238124</v>
      </c>
      <c r="W101" s="374">
        <v>238124</v>
      </c>
      <c r="X101" s="373">
        <v>60515</v>
      </c>
      <c r="Y101" s="373">
        <v>60515</v>
      </c>
      <c r="Z101" s="373">
        <v>0</v>
      </c>
      <c r="AA101" s="374">
        <v>0</v>
      </c>
      <c r="AB101" s="375"/>
      <c r="AC101" s="376"/>
    </row>
    <row r="102" spans="1:29">
      <c r="A102" s="369"/>
      <c r="B102" s="381" t="s">
        <v>946</v>
      </c>
      <c r="C102" s="377">
        <v>1.1741724752623209E-4</v>
      </c>
      <c r="D102" s="378">
        <v>4.1725190296693741E-3</v>
      </c>
      <c r="E102" s="378">
        <v>2.18878308039363E-2</v>
      </c>
      <c r="F102" s="378">
        <v>2.6878385642806928E-4</v>
      </c>
      <c r="G102" s="378">
        <v>1.2666914208094605E-3</v>
      </c>
      <c r="H102" s="378">
        <v>0</v>
      </c>
      <c r="I102" s="377">
        <v>7.4369549263570639E-3</v>
      </c>
      <c r="J102" s="377">
        <v>0.18167762396082901</v>
      </c>
      <c r="K102" s="378">
        <v>4.954385534547464E-2</v>
      </c>
      <c r="L102" s="378">
        <v>5.6257773655813886E-2</v>
      </c>
      <c r="M102" s="378">
        <v>4.8570403363172442E-2</v>
      </c>
      <c r="N102" s="377">
        <v>5.636971941241338E-2</v>
      </c>
      <c r="O102" s="377">
        <v>4.8705882775063825E-2</v>
      </c>
      <c r="P102" s="378">
        <v>4.8705882775063825E-2</v>
      </c>
      <c r="Q102" s="377">
        <v>0</v>
      </c>
      <c r="R102" s="381">
        <v>0</v>
      </c>
      <c r="S102" s="381">
        <v>0</v>
      </c>
      <c r="T102" s="382">
        <v>0</v>
      </c>
      <c r="U102" s="382">
        <v>0</v>
      </c>
      <c r="V102" s="382">
        <v>4.849806587373566E-2</v>
      </c>
      <c r="W102" s="383">
        <v>4.849806587373566E-2</v>
      </c>
      <c r="X102" s="382">
        <v>5.2840268100072994E-2</v>
      </c>
      <c r="Y102" s="382">
        <v>5.2840268100072994E-2</v>
      </c>
      <c r="Z102" s="382">
        <v>0</v>
      </c>
      <c r="AA102" s="383">
        <v>0</v>
      </c>
      <c r="AB102" s="375"/>
      <c r="AC102" s="376"/>
    </row>
    <row r="103" spans="1:29">
      <c r="A103" s="369"/>
      <c r="B103" s="385" t="s">
        <v>947</v>
      </c>
      <c r="C103" s="386">
        <v>-4.7427478866326168E-5</v>
      </c>
      <c r="D103" s="387">
        <v>1.2720316142802953E-3</v>
      </c>
      <c r="E103" s="387">
        <v>5.3232332523439584E-3</v>
      </c>
      <c r="F103" s="387">
        <v>2.6878385642806928E-4</v>
      </c>
      <c r="G103" s="387">
        <v>-7.2727688434118948E-4</v>
      </c>
      <c r="H103" s="387">
        <v>0</v>
      </c>
      <c r="I103" s="386">
        <v>1.7397024006109455E-3</v>
      </c>
      <c r="J103" s="386">
        <v>-7.9491473818651376E-2</v>
      </c>
      <c r="K103" s="387">
        <v>-3.5472527597045979E-2</v>
      </c>
      <c r="L103" s="387">
        <v>-6.7302171214886145E-2</v>
      </c>
      <c r="M103" s="387">
        <v>-7.0401461333606474E-2</v>
      </c>
      <c r="N103" s="386">
        <v>-4.6604956145103363E-2</v>
      </c>
      <c r="O103" s="386">
        <v>-5.6405499851910054E-2</v>
      </c>
      <c r="P103" s="387">
        <v>-5.6405499851910054E-2</v>
      </c>
      <c r="Q103" s="386">
        <v>0</v>
      </c>
      <c r="R103" s="386">
        <v>0</v>
      </c>
      <c r="S103" s="386">
        <v>0</v>
      </c>
      <c r="T103" s="388">
        <v>0</v>
      </c>
      <c r="U103" s="388">
        <v>0</v>
      </c>
      <c r="V103" s="388">
        <v>-4.9148144087111337E-2</v>
      </c>
      <c r="W103" s="389">
        <v>-4.9148144087111337E-2</v>
      </c>
      <c r="X103" s="388">
        <v>-0.11695469066042957</v>
      </c>
      <c r="Y103" s="388">
        <v>-0.11695469066042957</v>
      </c>
      <c r="Z103" s="388">
        <v>-5.2792503464508037E-4</v>
      </c>
      <c r="AA103" s="389">
        <v>-5.2792503464508037E-4</v>
      </c>
      <c r="AB103" s="375"/>
      <c r="AC103" s="376"/>
    </row>
    <row r="104" spans="1:29">
      <c r="A104" s="362" t="s">
        <v>757</v>
      </c>
      <c r="B104" s="346" t="s">
        <v>941</v>
      </c>
      <c r="C104" s="363">
        <v>3098218</v>
      </c>
      <c r="D104" s="364">
        <v>186329.90000000002</v>
      </c>
      <c r="E104" s="364">
        <v>1358175</v>
      </c>
      <c r="F104" s="364">
        <v>0</v>
      </c>
      <c r="G104" s="364">
        <v>147791</v>
      </c>
      <c r="H104" s="364">
        <v>52006</v>
      </c>
      <c r="I104" s="363">
        <v>4842519.9000000004</v>
      </c>
      <c r="J104" s="363">
        <v>0</v>
      </c>
      <c r="K104" s="364">
        <v>2147596.5</v>
      </c>
      <c r="L104" s="364">
        <v>1005870</v>
      </c>
      <c r="M104" s="364">
        <v>304136</v>
      </c>
      <c r="N104" s="363">
        <v>3457602.5</v>
      </c>
      <c r="O104" s="363">
        <v>3423293.5</v>
      </c>
      <c r="P104" s="364">
        <v>3423293.5</v>
      </c>
      <c r="Q104" s="363">
        <v>0</v>
      </c>
      <c r="R104" s="363">
        <v>0</v>
      </c>
      <c r="S104" s="363">
        <v>0</v>
      </c>
      <c r="T104" s="365">
        <v>0</v>
      </c>
      <c r="U104" s="365">
        <v>0</v>
      </c>
      <c r="V104" s="365">
        <v>2147596.5</v>
      </c>
      <c r="W104" s="366">
        <v>2147596.5</v>
      </c>
      <c r="X104" s="365">
        <v>1058991</v>
      </c>
      <c r="Y104" s="365">
        <v>1058991</v>
      </c>
      <c r="Z104" s="365">
        <v>251015</v>
      </c>
      <c r="AA104" s="366">
        <v>251015</v>
      </c>
      <c r="AB104" s="367"/>
      <c r="AC104" s="368"/>
    </row>
    <row r="105" spans="1:29">
      <c r="A105" s="369"/>
      <c r="B105" s="370" t="s">
        <v>942</v>
      </c>
      <c r="C105" s="371">
        <v>23880</v>
      </c>
      <c r="D105" s="372">
        <v>0</v>
      </c>
      <c r="E105" s="372">
        <v>7947</v>
      </c>
      <c r="F105" s="372">
        <v>0</v>
      </c>
      <c r="G105" s="372">
        <v>57</v>
      </c>
      <c r="H105" s="372">
        <v>449</v>
      </c>
      <c r="I105" s="371">
        <v>32333</v>
      </c>
      <c r="J105" s="371">
        <v>0</v>
      </c>
      <c r="K105" s="372">
        <v>167141</v>
      </c>
      <c r="L105" s="372">
        <v>397743</v>
      </c>
      <c r="M105" s="372">
        <v>141956</v>
      </c>
      <c r="N105" s="371">
        <v>706840</v>
      </c>
      <c r="O105" s="371">
        <v>693481</v>
      </c>
      <c r="P105" s="372">
        <v>693481</v>
      </c>
      <c r="Q105" s="371">
        <v>0</v>
      </c>
      <c r="R105" s="371">
        <v>0</v>
      </c>
      <c r="S105" s="371">
        <v>0</v>
      </c>
      <c r="T105" s="373">
        <v>0</v>
      </c>
      <c r="U105" s="373">
        <v>0</v>
      </c>
      <c r="V105" s="373">
        <v>167141</v>
      </c>
      <c r="W105" s="374">
        <v>167141</v>
      </c>
      <c r="X105" s="373">
        <v>421512</v>
      </c>
      <c r="Y105" s="373">
        <v>421512</v>
      </c>
      <c r="Z105" s="373">
        <v>118187</v>
      </c>
      <c r="AA105" s="374">
        <v>118187</v>
      </c>
      <c r="AB105" s="375"/>
      <c r="AC105" s="376"/>
    </row>
    <row r="106" spans="1:29">
      <c r="A106" s="369"/>
      <c r="B106" s="377" t="s">
        <v>943</v>
      </c>
      <c r="C106" s="377">
        <v>7.7076564657490212E-3</v>
      </c>
      <c r="D106" s="378">
        <v>0</v>
      </c>
      <c r="E106" s="378">
        <v>5.8512341929427359E-3</v>
      </c>
      <c r="F106" s="378">
        <v>0</v>
      </c>
      <c r="G106" s="378">
        <v>3.8567977752366518E-4</v>
      </c>
      <c r="H106" s="378">
        <v>8.6336191977848704E-3</v>
      </c>
      <c r="I106" s="377">
        <v>6.6768956385703229E-3</v>
      </c>
      <c r="J106" s="377">
        <v>0</v>
      </c>
      <c r="K106" s="378">
        <v>7.7827003350024085E-2</v>
      </c>
      <c r="L106" s="378">
        <v>0.39542187360195652</v>
      </c>
      <c r="M106" s="378">
        <v>0.46675171633742801</v>
      </c>
      <c r="N106" s="377">
        <v>0.20443067125269604</v>
      </c>
      <c r="O106" s="377">
        <v>0.20257713806893859</v>
      </c>
      <c r="P106" s="378">
        <v>0.20257713806893859</v>
      </c>
      <c r="Q106" s="377">
        <v>0</v>
      </c>
      <c r="R106" s="377">
        <v>0</v>
      </c>
      <c r="S106" s="377">
        <v>0</v>
      </c>
      <c r="T106" s="379">
        <v>0</v>
      </c>
      <c r="U106" s="379">
        <v>0</v>
      </c>
      <c r="V106" s="379">
        <v>7.7827003350024085E-2</v>
      </c>
      <c r="W106" s="380">
        <v>7.7827003350024085E-2</v>
      </c>
      <c r="X106" s="379">
        <v>0.39803171131765991</v>
      </c>
      <c r="Y106" s="379">
        <v>0.39803171131765991</v>
      </c>
      <c r="Z106" s="379">
        <v>0.47083640419895223</v>
      </c>
      <c r="AA106" s="380">
        <v>0.47083640419895223</v>
      </c>
      <c r="AB106" s="375"/>
      <c r="AC106" s="376"/>
    </row>
    <row r="107" spans="1:29">
      <c r="A107" s="369"/>
      <c r="B107" s="370" t="s">
        <v>944</v>
      </c>
      <c r="C107" s="371">
        <v>3135146.5</v>
      </c>
      <c r="D107" s="372">
        <v>186363.6</v>
      </c>
      <c r="E107" s="372">
        <v>1343351.4</v>
      </c>
      <c r="F107" s="372">
        <v>0</v>
      </c>
      <c r="G107" s="372">
        <v>145990</v>
      </c>
      <c r="H107" s="372">
        <v>49831</v>
      </c>
      <c r="I107" s="371">
        <v>4860682.5</v>
      </c>
      <c r="J107" s="371">
        <v>0</v>
      </c>
      <c r="K107" s="372">
        <v>2041798.5</v>
      </c>
      <c r="L107" s="372">
        <v>955879</v>
      </c>
      <c r="M107" s="372">
        <v>307203</v>
      </c>
      <c r="N107" s="371">
        <v>3304880.5</v>
      </c>
      <c r="O107" s="371">
        <v>3315752.5</v>
      </c>
      <c r="P107" s="372">
        <v>3315752.5</v>
      </c>
      <c r="Q107" s="371">
        <v>0</v>
      </c>
      <c r="R107" s="371">
        <v>0</v>
      </c>
      <c r="S107" s="371">
        <v>0</v>
      </c>
      <c r="T107" s="373">
        <v>0</v>
      </c>
      <c r="U107" s="373">
        <v>0</v>
      </c>
      <c r="V107" s="373">
        <v>2041798.5</v>
      </c>
      <c r="W107" s="374">
        <v>2041798.5</v>
      </c>
      <c r="X107" s="373">
        <v>955879</v>
      </c>
      <c r="Y107" s="373">
        <v>955879</v>
      </c>
      <c r="Z107" s="373">
        <v>307203</v>
      </c>
      <c r="AA107" s="374">
        <v>307203</v>
      </c>
      <c r="AB107" s="375"/>
      <c r="AC107" s="376"/>
    </row>
    <row r="108" spans="1:29">
      <c r="A108" s="369"/>
      <c r="B108" s="370" t="s">
        <v>945</v>
      </c>
      <c r="C108" s="371">
        <v>23614</v>
      </c>
      <c r="D108" s="372">
        <v>0</v>
      </c>
      <c r="E108" s="372">
        <v>7185</v>
      </c>
      <c r="F108" s="372">
        <v>0</v>
      </c>
      <c r="G108" s="372">
        <v>102</v>
      </c>
      <c r="H108" s="372">
        <v>432</v>
      </c>
      <c r="I108" s="371">
        <v>31333</v>
      </c>
      <c r="J108" s="371">
        <v>0</v>
      </c>
      <c r="K108" s="372">
        <v>207093</v>
      </c>
      <c r="L108" s="372">
        <v>410049</v>
      </c>
      <c r="M108" s="372">
        <v>160411</v>
      </c>
      <c r="N108" s="371">
        <v>777553</v>
      </c>
      <c r="O108" s="371">
        <v>757256</v>
      </c>
      <c r="P108" s="372">
        <v>757256</v>
      </c>
      <c r="Q108" s="371">
        <v>0</v>
      </c>
      <c r="R108" s="371">
        <v>0</v>
      </c>
      <c r="S108" s="371">
        <v>0</v>
      </c>
      <c r="T108" s="373">
        <v>0</v>
      </c>
      <c r="U108" s="373">
        <v>0</v>
      </c>
      <c r="V108" s="373">
        <v>207093</v>
      </c>
      <c r="W108" s="374">
        <v>207093</v>
      </c>
      <c r="X108" s="373">
        <v>410049</v>
      </c>
      <c r="Y108" s="373">
        <v>410049</v>
      </c>
      <c r="Z108" s="373">
        <v>160411</v>
      </c>
      <c r="AA108" s="374">
        <v>160411</v>
      </c>
      <c r="AB108" s="375"/>
      <c r="AC108" s="376"/>
    </row>
    <row r="109" spans="1:29">
      <c r="A109" s="369"/>
      <c r="B109" s="381" t="s">
        <v>946</v>
      </c>
      <c r="C109" s="377">
        <v>7.5320244205494069E-3</v>
      </c>
      <c r="D109" s="378">
        <v>0</v>
      </c>
      <c r="E109" s="378">
        <v>5.3485633022007503E-3</v>
      </c>
      <c r="F109" s="378">
        <v>0</v>
      </c>
      <c r="G109" s="378">
        <v>6.9867799164326325E-4</v>
      </c>
      <c r="H109" s="378">
        <v>8.6693022415765281E-3</v>
      </c>
      <c r="I109" s="377">
        <v>6.4462140861905708E-3</v>
      </c>
      <c r="J109" s="377">
        <v>0</v>
      </c>
      <c r="K109" s="378">
        <v>0.10142675685186368</v>
      </c>
      <c r="L109" s="378">
        <v>0.42897584317680376</v>
      </c>
      <c r="M109" s="378">
        <v>0.52216612467977197</v>
      </c>
      <c r="N109" s="377">
        <v>0.23527416498115439</v>
      </c>
      <c r="O109" s="377">
        <v>0.22838134028399285</v>
      </c>
      <c r="P109" s="378">
        <v>0.22838134028399285</v>
      </c>
      <c r="Q109" s="377">
        <v>0</v>
      </c>
      <c r="R109" s="381">
        <v>0</v>
      </c>
      <c r="S109" s="381">
        <v>0</v>
      </c>
      <c r="T109" s="382">
        <v>0</v>
      </c>
      <c r="U109" s="382">
        <v>0</v>
      </c>
      <c r="V109" s="382">
        <v>0.10142675685186368</v>
      </c>
      <c r="W109" s="383">
        <v>0.10142675685186368</v>
      </c>
      <c r="X109" s="382">
        <v>0.42897584317680376</v>
      </c>
      <c r="Y109" s="382">
        <v>0.42897584317680376</v>
      </c>
      <c r="Z109" s="382">
        <v>0.52216612467977197</v>
      </c>
      <c r="AA109" s="383">
        <v>0.52216612467977197</v>
      </c>
      <c r="AB109" s="375"/>
      <c r="AC109" s="376"/>
    </row>
    <row r="110" spans="1:29">
      <c r="A110" s="369"/>
      <c r="B110" s="385" t="s">
        <v>947</v>
      </c>
      <c r="C110" s="386">
        <v>-1.7563204519961424E-4</v>
      </c>
      <c r="D110" s="387">
        <v>0</v>
      </c>
      <c r="E110" s="387">
        <v>-5.0267089074198558E-4</v>
      </c>
      <c r="F110" s="387">
        <v>0</v>
      </c>
      <c r="G110" s="387">
        <v>3.1299821411959807E-4</v>
      </c>
      <c r="H110" s="387">
        <v>3.5683043791657695E-5</v>
      </c>
      <c r="I110" s="386">
        <v>-2.3068155237975212E-4</v>
      </c>
      <c r="J110" s="386">
        <v>0</v>
      </c>
      <c r="K110" s="387">
        <v>2.3599753501839599E-2</v>
      </c>
      <c r="L110" s="387">
        <v>3.3553969574847242E-2</v>
      </c>
      <c r="M110" s="387">
        <v>5.5414408342343957E-2</v>
      </c>
      <c r="N110" s="386">
        <v>3.0843493728458349E-2</v>
      </c>
      <c r="O110" s="386">
        <v>2.580420221505425E-2</v>
      </c>
      <c r="P110" s="387">
        <v>2.580420221505425E-2</v>
      </c>
      <c r="Q110" s="386">
        <v>0</v>
      </c>
      <c r="R110" s="386">
        <v>0</v>
      </c>
      <c r="S110" s="386">
        <v>0</v>
      </c>
      <c r="T110" s="388">
        <v>0</v>
      </c>
      <c r="U110" s="388">
        <v>0</v>
      </c>
      <c r="V110" s="388">
        <v>2.3599753501839599E-2</v>
      </c>
      <c r="W110" s="389">
        <v>2.3599753501839599E-2</v>
      </c>
      <c r="X110" s="388">
        <v>3.0944131859143853E-2</v>
      </c>
      <c r="Y110" s="388">
        <v>3.0944131859143853E-2</v>
      </c>
      <c r="Z110" s="388">
        <v>5.132972048081974E-2</v>
      </c>
      <c r="AA110" s="389">
        <v>5.132972048081974E-2</v>
      </c>
      <c r="AB110" s="375"/>
      <c r="AC110" s="376"/>
    </row>
    <row r="111" spans="1:29">
      <c r="A111" s="362" t="s">
        <v>519</v>
      </c>
      <c r="B111" s="346" t="s">
        <v>941</v>
      </c>
      <c r="C111" s="363">
        <v>652125</v>
      </c>
      <c r="D111" s="364">
        <v>0</v>
      </c>
      <c r="E111" s="364">
        <v>261748</v>
      </c>
      <c r="F111" s="364">
        <v>0</v>
      </c>
      <c r="G111" s="364">
        <v>327125</v>
      </c>
      <c r="H111" s="364">
        <v>237643.3</v>
      </c>
      <c r="I111" s="363">
        <v>1478641.3</v>
      </c>
      <c r="J111" s="363">
        <v>37552</v>
      </c>
      <c r="K111" s="364">
        <v>0</v>
      </c>
      <c r="L111" s="364">
        <v>0</v>
      </c>
      <c r="M111" s="364">
        <v>326683.69999999995</v>
      </c>
      <c r="N111" s="363">
        <v>364235.69999999995</v>
      </c>
      <c r="O111" s="363">
        <v>0</v>
      </c>
      <c r="P111" s="364">
        <v>0</v>
      </c>
      <c r="Q111" s="363">
        <v>0</v>
      </c>
      <c r="R111" s="363">
        <v>0</v>
      </c>
      <c r="S111" s="363">
        <v>0</v>
      </c>
      <c r="T111" s="365">
        <v>0</v>
      </c>
      <c r="U111" s="365">
        <v>0</v>
      </c>
      <c r="V111" s="365">
        <v>0</v>
      </c>
      <c r="W111" s="366">
        <v>0</v>
      </c>
      <c r="X111" s="365">
        <v>0</v>
      </c>
      <c r="Y111" s="365">
        <v>0</v>
      </c>
      <c r="Z111" s="365">
        <v>0</v>
      </c>
      <c r="AA111" s="366">
        <v>0</v>
      </c>
      <c r="AB111" s="367"/>
      <c r="AC111" s="368"/>
    </row>
    <row r="112" spans="1:29">
      <c r="A112" s="369"/>
      <c r="B112" s="370" t="s">
        <v>942</v>
      </c>
      <c r="C112" s="371">
        <v>4737</v>
      </c>
      <c r="D112" s="372">
        <v>0</v>
      </c>
      <c r="E112" s="372">
        <v>5608</v>
      </c>
      <c r="F112" s="372">
        <v>0</v>
      </c>
      <c r="G112" s="372">
        <v>2201</v>
      </c>
      <c r="H112" s="372">
        <v>12591</v>
      </c>
      <c r="I112" s="371">
        <v>25137</v>
      </c>
      <c r="J112" s="371">
        <v>2557</v>
      </c>
      <c r="K112" s="372">
        <v>0</v>
      </c>
      <c r="L112" s="372">
        <v>0</v>
      </c>
      <c r="M112" s="372">
        <v>16421.400000000001</v>
      </c>
      <c r="N112" s="371">
        <v>18978.400000000001</v>
      </c>
      <c r="O112" s="371">
        <v>0</v>
      </c>
      <c r="P112" s="372">
        <v>0</v>
      </c>
      <c r="Q112" s="371">
        <v>0</v>
      </c>
      <c r="R112" s="371">
        <v>0</v>
      </c>
      <c r="S112" s="371">
        <v>0</v>
      </c>
      <c r="T112" s="373">
        <v>0</v>
      </c>
      <c r="U112" s="373">
        <v>0</v>
      </c>
      <c r="V112" s="373">
        <v>0</v>
      </c>
      <c r="W112" s="374">
        <v>0</v>
      </c>
      <c r="X112" s="373">
        <v>0</v>
      </c>
      <c r="Y112" s="373">
        <v>0</v>
      </c>
      <c r="Z112" s="373">
        <v>0</v>
      </c>
      <c r="AA112" s="374">
        <v>0</v>
      </c>
      <c r="AB112" s="375"/>
      <c r="AC112" s="376"/>
    </row>
    <row r="113" spans="1:29">
      <c r="A113" s="369"/>
      <c r="B113" s="377" t="s">
        <v>943</v>
      </c>
      <c r="C113" s="377">
        <v>7.2639447958596894E-3</v>
      </c>
      <c r="D113" s="378">
        <v>0</v>
      </c>
      <c r="E113" s="378">
        <v>2.1425187585005424E-2</v>
      </c>
      <c r="F113" s="378">
        <v>0</v>
      </c>
      <c r="G113" s="378">
        <v>6.7283148643484903E-3</v>
      </c>
      <c r="H113" s="378">
        <v>5.2982768712604142E-2</v>
      </c>
      <c r="I113" s="377">
        <v>1.7000066209431591E-2</v>
      </c>
      <c r="J113" s="377">
        <v>6.8092245419684699E-2</v>
      </c>
      <c r="K113" s="378">
        <v>0</v>
      </c>
      <c r="L113" s="378">
        <v>0</v>
      </c>
      <c r="M113" s="378">
        <v>5.0266970773258673E-2</v>
      </c>
      <c r="N113" s="377">
        <v>5.2104722299324321E-2</v>
      </c>
      <c r="O113" s="377">
        <v>0</v>
      </c>
      <c r="P113" s="378">
        <v>0</v>
      </c>
      <c r="Q113" s="377">
        <v>0</v>
      </c>
      <c r="R113" s="377">
        <v>0</v>
      </c>
      <c r="S113" s="377">
        <v>0</v>
      </c>
      <c r="T113" s="379">
        <v>0</v>
      </c>
      <c r="U113" s="379">
        <v>0</v>
      </c>
      <c r="V113" s="379">
        <v>0</v>
      </c>
      <c r="W113" s="380">
        <v>0</v>
      </c>
      <c r="X113" s="379">
        <v>0</v>
      </c>
      <c r="Y113" s="379">
        <v>0</v>
      </c>
      <c r="Z113" s="379">
        <v>0</v>
      </c>
      <c r="AA113" s="380">
        <v>0</v>
      </c>
      <c r="AB113" s="375"/>
      <c r="AC113" s="376"/>
    </row>
    <row r="114" spans="1:29">
      <c r="A114" s="369"/>
      <c r="B114" s="370" t="s">
        <v>944</v>
      </c>
      <c r="C114" s="371">
        <v>645507</v>
      </c>
      <c r="D114" s="372">
        <v>0</v>
      </c>
      <c r="E114" s="372">
        <v>260079</v>
      </c>
      <c r="F114" s="372">
        <v>0</v>
      </c>
      <c r="G114" s="372">
        <v>317187</v>
      </c>
      <c r="H114" s="372">
        <v>229731.5</v>
      </c>
      <c r="I114" s="371">
        <v>1452504.5</v>
      </c>
      <c r="J114" s="371">
        <v>34802</v>
      </c>
      <c r="K114" s="372">
        <v>0</v>
      </c>
      <c r="L114" s="372">
        <v>0</v>
      </c>
      <c r="M114" s="372">
        <v>311554.69999999995</v>
      </c>
      <c r="N114" s="371">
        <v>346356.69999999995</v>
      </c>
      <c r="O114" s="371">
        <v>0</v>
      </c>
      <c r="P114" s="372">
        <v>0</v>
      </c>
      <c r="Q114" s="371">
        <v>0</v>
      </c>
      <c r="R114" s="371">
        <v>0</v>
      </c>
      <c r="S114" s="371">
        <v>0</v>
      </c>
      <c r="T114" s="373">
        <v>0</v>
      </c>
      <c r="U114" s="373">
        <v>0</v>
      </c>
      <c r="V114" s="373">
        <v>0</v>
      </c>
      <c r="W114" s="374">
        <v>0</v>
      </c>
      <c r="X114" s="373">
        <v>0</v>
      </c>
      <c r="Y114" s="373">
        <v>0</v>
      </c>
      <c r="Z114" s="373">
        <v>0</v>
      </c>
      <c r="AA114" s="374">
        <v>0</v>
      </c>
      <c r="AB114" s="375"/>
      <c r="AC114" s="376"/>
    </row>
    <row r="115" spans="1:29">
      <c r="A115" s="369"/>
      <c r="B115" s="370" t="s">
        <v>945</v>
      </c>
      <c r="C115" s="371">
        <v>6112</v>
      </c>
      <c r="D115" s="372">
        <v>0</v>
      </c>
      <c r="E115" s="372">
        <v>7934</v>
      </c>
      <c r="F115" s="372">
        <v>0</v>
      </c>
      <c r="G115" s="372">
        <v>2061</v>
      </c>
      <c r="H115" s="372">
        <v>14956</v>
      </c>
      <c r="I115" s="371">
        <v>31063</v>
      </c>
      <c r="J115" s="371">
        <v>2524</v>
      </c>
      <c r="K115" s="372">
        <v>0</v>
      </c>
      <c r="L115" s="372">
        <v>0</v>
      </c>
      <c r="M115" s="372">
        <v>17783.2</v>
      </c>
      <c r="N115" s="371">
        <v>20307.2</v>
      </c>
      <c r="O115" s="371">
        <v>0</v>
      </c>
      <c r="P115" s="372">
        <v>0</v>
      </c>
      <c r="Q115" s="371">
        <v>0</v>
      </c>
      <c r="R115" s="371">
        <v>0</v>
      </c>
      <c r="S115" s="371">
        <v>0</v>
      </c>
      <c r="T115" s="373">
        <v>0</v>
      </c>
      <c r="U115" s="373">
        <v>0</v>
      </c>
      <c r="V115" s="373">
        <v>0</v>
      </c>
      <c r="W115" s="374">
        <v>0</v>
      </c>
      <c r="X115" s="373">
        <v>0</v>
      </c>
      <c r="Y115" s="373">
        <v>0</v>
      </c>
      <c r="Z115" s="373">
        <v>0</v>
      </c>
      <c r="AA115" s="374">
        <v>0</v>
      </c>
      <c r="AB115" s="375"/>
      <c r="AC115" s="376"/>
    </row>
    <row r="116" spans="1:29">
      <c r="A116" s="369"/>
      <c r="B116" s="381" t="s">
        <v>946</v>
      </c>
      <c r="C116" s="377">
        <v>9.4685262901874033E-3</v>
      </c>
      <c r="D116" s="378">
        <v>0</v>
      </c>
      <c r="E116" s="378">
        <v>3.0506115449536488E-2</v>
      </c>
      <c r="F116" s="378">
        <v>0</v>
      </c>
      <c r="G116" s="378">
        <v>6.4977442328973132E-3</v>
      </c>
      <c r="H116" s="378">
        <v>6.5102086566274101E-2</v>
      </c>
      <c r="I116" s="377">
        <v>2.1385820147200921E-2</v>
      </c>
      <c r="J116" s="377">
        <v>7.2524567553588867E-2</v>
      </c>
      <c r="K116" s="378">
        <v>0</v>
      </c>
      <c r="L116" s="378">
        <v>0</v>
      </c>
      <c r="M116" s="378">
        <v>5.7078901393559471E-2</v>
      </c>
      <c r="N116" s="377">
        <v>5.8630885442666487E-2</v>
      </c>
      <c r="O116" s="377">
        <v>0</v>
      </c>
      <c r="P116" s="378">
        <v>0</v>
      </c>
      <c r="Q116" s="377">
        <v>0</v>
      </c>
      <c r="R116" s="381">
        <v>0</v>
      </c>
      <c r="S116" s="381">
        <v>0</v>
      </c>
      <c r="T116" s="382">
        <v>0</v>
      </c>
      <c r="U116" s="382">
        <v>0</v>
      </c>
      <c r="V116" s="382">
        <v>0</v>
      </c>
      <c r="W116" s="383">
        <v>0</v>
      </c>
      <c r="X116" s="382">
        <v>0</v>
      </c>
      <c r="Y116" s="382">
        <v>0</v>
      </c>
      <c r="Z116" s="382">
        <v>0</v>
      </c>
      <c r="AA116" s="383">
        <v>0</v>
      </c>
      <c r="AB116" s="375"/>
      <c r="AC116" s="376"/>
    </row>
    <row r="117" spans="1:29">
      <c r="A117" s="369"/>
      <c r="B117" s="385" t="s">
        <v>947</v>
      </c>
      <c r="C117" s="386">
        <v>2.2045814943277139E-3</v>
      </c>
      <c r="D117" s="387">
        <v>0</v>
      </c>
      <c r="E117" s="387">
        <v>9.0809278645310638E-3</v>
      </c>
      <c r="F117" s="387">
        <v>0</v>
      </c>
      <c r="G117" s="387">
        <v>-2.3057063145117719E-4</v>
      </c>
      <c r="H117" s="387">
        <v>1.2119317853669959E-2</v>
      </c>
      <c r="I117" s="386">
        <v>4.3857539377693301E-3</v>
      </c>
      <c r="J117" s="386">
        <v>4.432322133904168E-3</v>
      </c>
      <c r="K117" s="387">
        <v>0</v>
      </c>
      <c r="L117" s="387">
        <v>0</v>
      </c>
      <c r="M117" s="387">
        <v>6.8119306203007976E-3</v>
      </c>
      <c r="N117" s="386">
        <v>6.526163143342166E-3</v>
      </c>
      <c r="O117" s="386">
        <v>0</v>
      </c>
      <c r="P117" s="387">
        <v>0</v>
      </c>
      <c r="Q117" s="386">
        <v>0</v>
      </c>
      <c r="R117" s="386">
        <v>0</v>
      </c>
      <c r="S117" s="386">
        <v>0</v>
      </c>
      <c r="T117" s="388">
        <v>0</v>
      </c>
      <c r="U117" s="388">
        <v>0</v>
      </c>
      <c r="V117" s="388">
        <v>0</v>
      </c>
      <c r="W117" s="389">
        <v>0</v>
      </c>
      <c r="X117" s="388">
        <v>0</v>
      </c>
      <c r="Y117" s="388">
        <v>0</v>
      </c>
      <c r="Z117" s="388">
        <v>0</v>
      </c>
      <c r="AA117" s="389">
        <v>0</v>
      </c>
      <c r="AB117" s="375"/>
      <c r="AC117" s="376"/>
    </row>
    <row r="118" spans="1:29">
      <c r="A118" s="362" t="s">
        <v>948</v>
      </c>
      <c r="B118" s="346"/>
      <c r="C118" s="363">
        <v>26541344</v>
      </c>
      <c r="D118" s="364">
        <v>4574024.8900000006</v>
      </c>
      <c r="E118" s="364">
        <v>16085053.5</v>
      </c>
      <c r="F118" s="364">
        <v>3278558</v>
      </c>
      <c r="G118" s="364">
        <v>2413968</v>
      </c>
      <c r="H118" s="364">
        <v>1686326.8</v>
      </c>
      <c r="I118" s="363">
        <v>54579275.189999998</v>
      </c>
      <c r="J118" s="363">
        <v>24491001.5</v>
      </c>
      <c r="K118" s="364">
        <v>24691845.590000004</v>
      </c>
      <c r="L118" s="364">
        <v>10743493.68</v>
      </c>
      <c r="M118" s="364">
        <v>3815760.68</v>
      </c>
      <c r="N118" s="363">
        <v>63742101.450000003</v>
      </c>
      <c r="O118" s="363">
        <v>5840995.5</v>
      </c>
      <c r="P118" s="364">
        <v>5840995.5</v>
      </c>
      <c r="Q118" s="363">
        <v>2500975</v>
      </c>
      <c r="R118" s="363">
        <v>53235</v>
      </c>
      <c r="S118" s="363">
        <v>2554210</v>
      </c>
      <c r="T118" s="365">
        <v>44047</v>
      </c>
      <c r="U118" s="365">
        <v>44047</v>
      </c>
      <c r="V118" s="365">
        <v>4208485.5</v>
      </c>
      <c r="W118" s="366">
        <v>4208485.5</v>
      </c>
      <c r="X118" s="365">
        <v>1370343</v>
      </c>
      <c r="Y118" s="365">
        <v>1370343</v>
      </c>
      <c r="Z118" s="365">
        <v>296476</v>
      </c>
      <c r="AA118" s="366">
        <v>296476</v>
      </c>
      <c r="AB118" s="367"/>
      <c r="AC118" s="368"/>
    </row>
    <row r="119" spans="1:29">
      <c r="A119" s="369" t="s">
        <v>949</v>
      </c>
      <c r="B119" s="370"/>
      <c r="C119" s="371">
        <v>122574</v>
      </c>
      <c r="D119" s="372">
        <v>59201</v>
      </c>
      <c r="E119" s="372">
        <v>232071</v>
      </c>
      <c r="F119" s="372">
        <v>54312</v>
      </c>
      <c r="G119" s="372">
        <v>25353</v>
      </c>
      <c r="H119" s="372">
        <v>52456</v>
      </c>
      <c r="I119" s="371">
        <v>545967</v>
      </c>
      <c r="J119" s="371">
        <v>818897</v>
      </c>
      <c r="K119" s="372">
        <v>1490851.1</v>
      </c>
      <c r="L119" s="372">
        <v>1229485.5</v>
      </c>
      <c r="M119" s="372">
        <v>494619.9</v>
      </c>
      <c r="N119" s="371">
        <v>4033853.5</v>
      </c>
      <c r="O119" s="371">
        <v>947609</v>
      </c>
      <c r="P119" s="372">
        <v>947609</v>
      </c>
      <c r="Q119" s="371">
        <v>192241.8</v>
      </c>
      <c r="R119" s="371">
        <v>2440</v>
      </c>
      <c r="S119" s="371">
        <v>194681.8</v>
      </c>
      <c r="T119" s="373">
        <v>0</v>
      </c>
      <c r="U119" s="373">
        <v>0</v>
      </c>
      <c r="V119" s="373">
        <v>368379</v>
      </c>
      <c r="W119" s="374">
        <v>368379</v>
      </c>
      <c r="X119" s="373">
        <v>474378</v>
      </c>
      <c r="Y119" s="373">
        <v>474378</v>
      </c>
      <c r="Z119" s="373">
        <v>118211</v>
      </c>
      <c r="AA119" s="374">
        <v>118211</v>
      </c>
      <c r="AB119" s="367"/>
      <c r="AC119" s="368"/>
    </row>
    <row r="120" spans="1:29">
      <c r="A120" s="369" t="s">
        <v>950</v>
      </c>
      <c r="B120" s="377"/>
      <c r="C120" s="377">
        <v>4.6182288282010132E-3</v>
      </c>
      <c r="D120" s="378">
        <v>1.2942867916925567E-2</v>
      </c>
      <c r="E120" s="378">
        <v>1.4427741878508517E-2</v>
      </c>
      <c r="F120" s="378">
        <v>1.6565819485273709E-2</v>
      </c>
      <c r="G120" s="378">
        <v>1.0502624724105705E-2</v>
      </c>
      <c r="H120" s="378">
        <v>3.110666331104979E-2</v>
      </c>
      <c r="I120" s="377">
        <v>1.0003192568963098E-2</v>
      </c>
      <c r="J120" s="377">
        <v>3.3436648150137922E-2</v>
      </c>
      <c r="K120" s="378">
        <v>6.0378277296687072E-2</v>
      </c>
      <c r="L120" s="378">
        <v>0.11444000774988124</v>
      </c>
      <c r="M120" s="378">
        <v>0.12962550366235231</v>
      </c>
      <c r="N120" s="377">
        <v>6.3283974143277952E-2</v>
      </c>
      <c r="O120" s="377">
        <v>0.16223416025573037</v>
      </c>
      <c r="P120" s="378">
        <v>0.16223416025573037</v>
      </c>
      <c r="Q120" s="377">
        <v>7.6866741970631453E-2</v>
      </c>
      <c r="R120" s="377">
        <v>4.5834507372968909E-2</v>
      </c>
      <c r="S120" s="377">
        <v>7.6219966251796056E-2</v>
      </c>
      <c r="T120" s="379">
        <v>0</v>
      </c>
      <c r="U120" s="379">
        <v>0</v>
      </c>
      <c r="V120" s="379">
        <v>8.7532438926069725E-2</v>
      </c>
      <c r="W120" s="380">
        <v>8.7532438926069725E-2</v>
      </c>
      <c r="X120" s="379">
        <v>0.34617464386653563</v>
      </c>
      <c r="Y120" s="379">
        <v>0.34617464386653563</v>
      </c>
      <c r="Z120" s="379">
        <v>0.39872030113736018</v>
      </c>
      <c r="AA120" s="380">
        <v>0.39872030113736018</v>
      </c>
      <c r="AB120" s="390"/>
      <c r="AC120" s="391"/>
    </row>
    <row r="121" spans="1:29">
      <c r="A121" s="369" t="s">
        <v>951</v>
      </c>
      <c r="B121" s="370"/>
      <c r="C121" s="371">
        <v>27267642.399999999</v>
      </c>
      <c r="D121" s="372">
        <v>4674431.5999999996</v>
      </c>
      <c r="E121" s="372">
        <v>16267294.74</v>
      </c>
      <c r="F121" s="372">
        <v>3305166.2</v>
      </c>
      <c r="G121" s="372">
        <v>2323857.08</v>
      </c>
      <c r="H121" s="372">
        <v>1695733.1600000001</v>
      </c>
      <c r="I121" s="371">
        <v>55534125.18</v>
      </c>
      <c r="J121" s="371">
        <v>23628711.199999999</v>
      </c>
      <c r="K121" s="372">
        <v>34442622.5</v>
      </c>
      <c r="L121" s="372">
        <v>14268433.539999999</v>
      </c>
      <c r="M121" s="372">
        <v>4500138.74</v>
      </c>
      <c r="N121" s="371">
        <v>76839905.980000004</v>
      </c>
      <c r="O121" s="371">
        <v>9447229.5</v>
      </c>
      <c r="P121" s="372">
        <v>9447229.5</v>
      </c>
      <c r="Q121" s="371">
        <v>2406561.2999999998</v>
      </c>
      <c r="R121" s="371">
        <v>50361</v>
      </c>
      <c r="S121" s="371">
        <v>2456922.2999999998</v>
      </c>
      <c r="T121" s="373">
        <v>55570</v>
      </c>
      <c r="U121" s="373">
        <v>55570</v>
      </c>
      <c r="V121" s="373">
        <v>6951767.5</v>
      </c>
      <c r="W121" s="374">
        <v>6951767.5</v>
      </c>
      <c r="X121" s="373">
        <v>2101123</v>
      </c>
      <c r="Y121" s="373">
        <v>2101123</v>
      </c>
      <c r="Z121" s="373">
        <v>383467</v>
      </c>
      <c r="AA121" s="374">
        <v>383467</v>
      </c>
      <c r="AB121" s="367"/>
      <c r="AC121" s="368"/>
    </row>
    <row r="122" spans="1:29">
      <c r="A122" s="369" t="s">
        <v>952</v>
      </c>
      <c r="B122" s="370"/>
      <c r="C122" s="371">
        <v>138422</v>
      </c>
      <c r="D122" s="372">
        <v>66975</v>
      </c>
      <c r="E122" s="372">
        <v>281252</v>
      </c>
      <c r="F122" s="372">
        <v>72163</v>
      </c>
      <c r="G122" s="372">
        <v>27104</v>
      </c>
      <c r="H122" s="372">
        <v>62112</v>
      </c>
      <c r="I122" s="371">
        <v>648028</v>
      </c>
      <c r="J122" s="371">
        <v>877800</v>
      </c>
      <c r="K122" s="372">
        <v>1765301</v>
      </c>
      <c r="L122" s="372">
        <v>1360115.5</v>
      </c>
      <c r="M122" s="372">
        <v>575500.69999999995</v>
      </c>
      <c r="N122" s="371">
        <v>4578717.2</v>
      </c>
      <c r="O122" s="371">
        <v>1055895</v>
      </c>
      <c r="P122" s="372">
        <v>1055895</v>
      </c>
      <c r="Q122" s="371">
        <v>239329.40000000002</v>
      </c>
      <c r="R122" s="371">
        <v>1397</v>
      </c>
      <c r="S122" s="371">
        <v>240726.40000000002</v>
      </c>
      <c r="T122" s="373">
        <v>0</v>
      </c>
      <c r="U122" s="373">
        <v>0</v>
      </c>
      <c r="V122" s="373">
        <v>445217</v>
      </c>
      <c r="W122" s="374">
        <v>445217</v>
      </c>
      <c r="X122" s="373">
        <v>470564</v>
      </c>
      <c r="Y122" s="373">
        <v>470564</v>
      </c>
      <c r="Z122" s="373">
        <v>160411</v>
      </c>
      <c r="AA122" s="374">
        <v>160411</v>
      </c>
      <c r="AB122" s="367"/>
      <c r="AC122" s="368"/>
    </row>
    <row r="123" spans="1:29">
      <c r="A123" s="369" t="s">
        <v>953</v>
      </c>
      <c r="B123" s="381"/>
      <c r="C123" s="377">
        <v>5.0764198081165975E-3</v>
      </c>
      <c r="D123" s="378">
        <v>1.4327945241513429E-2</v>
      </c>
      <c r="E123" s="378">
        <v>1.7289414404499812E-2</v>
      </c>
      <c r="F123" s="378">
        <v>2.183339524650833E-2</v>
      </c>
      <c r="G123" s="378">
        <v>1.1663367869421643E-2</v>
      </c>
      <c r="H123" s="378">
        <v>3.6628404435990386E-2</v>
      </c>
      <c r="I123" s="377">
        <v>1.166900528097956E-2</v>
      </c>
      <c r="J123" s="377">
        <v>3.7149719786663607E-2</v>
      </c>
      <c r="K123" s="378">
        <v>5.1253385249627838E-2</v>
      </c>
      <c r="L123" s="378">
        <v>9.5323393152238076E-2</v>
      </c>
      <c r="M123" s="378">
        <v>0.1278851016046674</v>
      </c>
      <c r="N123" s="377">
        <v>5.958775120302405E-2</v>
      </c>
      <c r="O123" s="377">
        <v>0.11176768808252197</v>
      </c>
      <c r="P123" s="378">
        <v>0.11176768808252197</v>
      </c>
      <c r="Q123" s="377">
        <v>9.9448703010390813E-2</v>
      </c>
      <c r="R123" s="381">
        <v>2.7739719227179761E-2</v>
      </c>
      <c r="S123" s="381">
        <v>9.7978841251919135E-2</v>
      </c>
      <c r="T123" s="382">
        <v>0</v>
      </c>
      <c r="U123" s="382">
        <v>0</v>
      </c>
      <c r="V123" s="382">
        <v>6.4043712624163571E-2</v>
      </c>
      <c r="W123" s="383">
        <v>6.4043712624163571E-2</v>
      </c>
      <c r="X123" s="382">
        <v>0.22395833085450018</v>
      </c>
      <c r="Y123" s="382">
        <v>0.22395833085450018</v>
      </c>
      <c r="Z123" s="382">
        <v>0.41831761272808349</v>
      </c>
      <c r="AA123" s="383">
        <v>0.41831761272808349</v>
      </c>
      <c r="AB123" s="367"/>
      <c r="AC123" s="368"/>
    </row>
    <row r="124" spans="1:29">
      <c r="A124" s="369" t="s">
        <v>954</v>
      </c>
      <c r="B124" s="385"/>
      <c r="C124" s="386">
        <v>4.5819097991558425E-4</v>
      </c>
      <c r="D124" s="387">
        <v>1.385077324587862E-3</v>
      </c>
      <c r="E124" s="387">
        <v>2.8616725259912948E-3</v>
      </c>
      <c r="F124" s="387">
        <v>5.2675757612346205E-3</v>
      </c>
      <c r="G124" s="387">
        <v>1.1607431453159386E-3</v>
      </c>
      <c r="H124" s="387">
        <v>5.5217411249405962E-3</v>
      </c>
      <c r="I124" s="386">
        <v>1.6658127120164623E-3</v>
      </c>
      <c r="J124" s="386">
        <v>3.7130716365256847E-3</v>
      </c>
      <c r="K124" s="387">
        <v>-9.124892047059234E-3</v>
      </c>
      <c r="L124" s="387">
        <v>-1.9116614597643161E-2</v>
      </c>
      <c r="M124" s="387">
        <v>-1.7404020576849144E-3</v>
      </c>
      <c r="N124" s="386">
        <v>-3.6962229402539015E-3</v>
      </c>
      <c r="O124" s="386">
        <v>-5.0466472173208404E-2</v>
      </c>
      <c r="P124" s="387">
        <v>-5.0466472173208404E-2</v>
      </c>
      <c r="Q124" s="386">
        <v>2.258196103975936E-2</v>
      </c>
      <c r="R124" s="386">
        <v>-1.8094788145789149E-2</v>
      </c>
      <c r="S124" s="386">
        <v>2.1758875000123079E-2</v>
      </c>
      <c r="T124" s="388">
        <v>0</v>
      </c>
      <c r="U124" s="388">
        <v>0</v>
      </c>
      <c r="V124" s="388">
        <v>-2.3488726301906154E-2</v>
      </c>
      <c r="W124" s="389">
        <v>-2.3488726301906154E-2</v>
      </c>
      <c r="X124" s="388">
        <v>-0.12221631301203545</v>
      </c>
      <c r="Y124" s="388">
        <v>-0.12221631301203545</v>
      </c>
      <c r="Z124" s="388">
        <v>1.959731159072331E-2</v>
      </c>
      <c r="AA124" s="389">
        <v>1.959731159072331E-2</v>
      </c>
      <c r="AB124" s="392"/>
      <c r="AC124" s="393"/>
    </row>
    <row r="125" spans="1:29">
      <c r="A125" s="394" t="s">
        <v>955</v>
      </c>
      <c r="B125"/>
      <c r="C125" s="282"/>
      <c r="D125" s="282"/>
      <c r="E125" s="282"/>
      <c r="F125" s="282"/>
      <c r="G125" s="282"/>
      <c r="H125" s="282"/>
      <c r="I125" s="282"/>
      <c r="J125" s="282"/>
      <c r="K125" s="282"/>
      <c r="L125" s="282"/>
      <c r="M125" s="282"/>
      <c r="N125" s="282"/>
      <c r="O125" s="282"/>
      <c r="P125" s="282"/>
      <c r="Q125" s="282"/>
      <c r="R125" s="282"/>
      <c r="S125" s="282"/>
      <c r="T125"/>
      <c r="U125"/>
      <c r="V125"/>
      <c r="W125"/>
      <c r="X125"/>
      <c r="Y125"/>
      <c r="Z125"/>
      <c r="AA125"/>
    </row>
    <row r="126" spans="1:29">
      <c r="A126"/>
      <c r="B126"/>
      <c r="C126" s="282"/>
      <c r="D126" s="282"/>
      <c r="E126" s="282"/>
      <c r="F126" s="282"/>
      <c r="G126" s="282"/>
      <c r="H126" s="282"/>
      <c r="I126" s="282"/>
      <c r="J126" s="282"/>
      <c r="K126" s="282"/>
      <c r="L126" s="282"/>
      <c r="M126" s="282"/>
      <c r="N126" s="282"/>
      <c r="O126" s="282"/>
      <c r="P126" s="282"/>
      <c r="Q126" s="282"/>
      <c r="R126" s="282"/>
      <c r="S126" s="282"/>
      <c r="T126"/>
      <c r="U126"/>
      <c r="V126"/>
      <c r="W126"/>
      <c r="X126"/>
      <c r="Y126"/>
      <c r="Z126"/>
      <c r="AA126"/>
    </row>
    <row r="127" spans="1:29">
      <c r="A127"/>
      <c r="B127"/>
      <c r="C127" s="282"/>
      <c r="D127" s="282"/>
      <c r="E127" s="282"/>
      <c r="F127" s="282"/>
      <c r="G127" s="282"/>
      <c r="H127" s="282"/>
      <c r="I127" s="282"/>
      <c r="J127" s="282"/>
      <c r="K127" s="282"/>
      <c r="L127" s="282"/>
      <c r="M127" s="282"/>
      <c r="N127" s="282"/>
      <c r="O127" s="282"/>
      <c r="P127" s="282"/>
      <c r="Q127" s="282"/>
      <c r="R127" s="282"/>
      <c r="S127" s="282"/>
      <c r="T127"/>
      <c r="U127"/>
      <c r="V127"/>
      <c r="W127"/>
      <c r="X127"/>
      <c r="Y127"/>
      <c r="Z127"/>
      <c r="AA127"/>
    </row>
    <row r="128" spans="1:29">
      <c r="A128"/>
      <c r="B128"/>
      <c r="C128" s="282"/>
      <c r="D128" s="282"/>
      <c r="E128" s="282"/>
      <c r="F128" s="282"/>
      <c r="G128" s="282"/>
      <c r="H128" s="282"/>
      <c r="I128" s="282"/>
      <c r="J128" s="282"/>
      <c r="K128" s="282"/>
      <c r="L128" s="282"/>
      <c r="M128" s="282"/>
      <c r="N128" s="282"/>
      <c r="O128" s="282"/>
      <c r="P128" s="282"/>
      <c r="Q128" s="282"/>
      <c r="R128" s="282"/>
      <c r="S128" s="282"/>
      <c r="T128"/>
      <c r="U128"/>
      <c r="V128"/>
      <c r="W128"/>
      <c r="X128"/>
      <c r="Y128"/>
      <c r="Z128"/>
      <c r="AA128"/>
    </row>
    <row r="129" spans="1:27">
      <c r="A129"/>
      <c r="B129"/>
      <c r="C129" s="282"/>
      <c r="D129" s="282"/>
      <c r="E129" s="282"/>
      <c r="F129" s="282"/>
      <c r="G129" s="282"/>
      <c r="H129" s="282"/>
      <c r="I129" s="282"/>
      <c r="J129" s="282"/>
      <c r="K129" s="282"/>
      <c r="L129" s="282"/>
      <c r="M129" s="282"/>
      <c r="N129" s="282"/>
      <c r="O129" s="282"/>
      <c r="P129" s="282"/>
      <c r="Q129" s="282"/>
      <c r="R129" s="282"/>
      <c r="S129" s="282"/>
      <c r="T129"/>
      <c r="U129"/>
      <c r="V129"/>
      <c r="W129"/>
      <c r="X129"/>
      <c r="Y129"/>
      <c r="Z129"/>
      <c r="AA129"/>
    </row>
    <row r="130" spans="1:27">
      <c r="A130"/>
      <c r="B130"/>
      <c r="C130" s="282"/>
      <c r="D130" s="282"/>
      <c r="E130" s="282"/>
      <c r="F130" s="282"/>
      <c r="G130" s="282"/>
      <c r="H130" s="282"/>
      <c r="I130" s="282"/>
      <c r="J130" s="282"/>
      <c r="K130" s="282"/>
      <c r="L130" s="282"/>
      <c r="M130" s="282"/>
      <c r="N130" s="282"/>
      <c r="O130" s="282"/>
      <c r="P130" s="282"/>
      <c r="Q130" s="282"/>
      <c r="R130" s="282"/>
      <c r="S130" s="282"/>
      <c r="T130"/>
      <c r="U130"/>
      <c r="V130"/>
      <c r="W130"/>
      <c r="X130"/>
      <c r="Y130"/>
      <c r="Z130"/>
      <c r="AA130"/>
    </row>
    <row r="131" spans="1:27">
      <c r="A131"/>
      <c r="B131"/>
      <c r="C131" s="282"/>
      <c r="D131" s="282"/>
      <c r="E131" s="282"/>
      <c r="F131" s="282"/>
      <c r="G131" s="282"/>
      <c r="H131" s="282"/>
      <c r="I131" s="282"/>
      <c r="J131" s="282"/>
      <c r="K131" s="282"/>
      <c r="L131" s="282"/>
      <c r="M131" s="282"/>
      <c r="N131" s="282"/>
      <c r="O131" s="282"/>
      <c r="P131" s="282"/>
      <c r="Q131" s="282"/>
      <c r="R131" s="282"/>
      <c r="S131" s="282"/>
      <c r="T131"/>
      <c r="U131"/>
      <c r="V131"/>
      <c r="W131"/>
      <c r="X131"/>
      <c r="Y131"/>
      <c r="Z131"/>
      <c r="AA131"/>
    </row>
    <row r="132" spans="1:27">
      <c r="A132"/>
      <c r="B132"/>
      <c r="C132" s="282"/>
      <c r="D132" s="282"/>
      <c r="E132" s="282"/>
      <c r="F132" s="282"/>
      <c r="G132" s="282"/>
      <c r="H132" s="282"/>
      <c r="I132" s="282"/>
      <c r="J132" s="282"/>
      <c r="K132" s="282"/>
      <c r="L132" s="282"/>
      <c r="M132" s="282"/>
      <c r="N132" s="282"/>
      <c r="O132" s="282"/>
      <c r="P132" s="282"/>
      <c r="Q132" s="282"/>
      <c r="R132" s="282"/>
      <c r="S132" s="282"/>
      <c r="T132"/>
      <c r="X132"/>
    </row>
    <row r="133" spans="1:27">
      <c r="A133"/>
      <c r="B133"/>
      <c r="C133" s="282"/>
      <c r="D133" s="282"/>
      <c r="E133" s="282"/>
      <c r="F133" s="282"/>
      <c r="G133" s="282"/>
      <c r="H133" s="282"/>
      <c r="I133" s="282"/>
      <c r="J133" s="282"/>
      <c r="K133" s="282"/>
      <c r="L133" s="282"/>
      <c r="M133" s="282"/>
      <c r="N133" s="282"/>
      <c r="O133" s="282"/>
      <c r="P133" s="282"/>
      <c r="Q133" s="282"/>
      <c r="R133" s="282"/>
      <c r="S133" s="282"/>
      <c r="T133"/>
      <c r="X133"/>
    </row>
    <row r="134" spans="1:27">
      <c r="A134"/>
      <c r="B134"/>
      <c r="C134" s="282"/>
      <c r="D134" s="282"/>
      <c r="E134" s="282"/>
      <c r="F134" s="282"/>
      <c r="G134" s="282"/>
      <c r="H134" s="282"/>
      <c r="I134" s="282"/>
      <c r="J134" s="282"/>
      <c r="K134" s="282"/>
      <c r="L134" s="282"/>
      <c r="M134" s="282"/>
      <c r="N134" s="282"/>
      <c r="O134" s="282"/>
      <c r="P134" s="282"/>
      <c r="Q134" s="282"/>
      <c r="R134" s="282"/>
      <c r="S134" s="282"/>
      <c r="T134"/>
      <c r="X134"/>
    </row>
    <row r="135" spans="1:27">
      <c r="A135"/>
      <c r="B135"/>
      <c r="C135" s="282"/>
      <c r="D135" s="282"/>
      <c r="E135" s="282"/>
      <c r="F135" s="282"/>
      <c r="G135" s="282"/>
      <c r="H135" s="282"/>
      <c r="I135" s="282"/>
      <c r="J135" s="282"/>
      <c r="K135" s="282"/>
      <c r="L135" s="282"/>
      <c r="M135" s="282"/>
      <c r="N135" s="282"/>
      <c r="O135" s="282"/>
      <c r="P135" s="282"/>
      <c r="Q135" s="282"/>
      <c r="R135" s="282"/>
      <c r="S135" s="282"/>
      <c r="T135"/>
      <c r="X135"/>
    </row>
    <row r="136" spans="1:27">
      <c r="A136"/>
      <c r="B136"/>
      <c r="C136" s="282"/>
      <c r="D136" s="282"/>
      <c r="E136" s="282"/>
      <c r="F136" s="282"/>
      <c r="G136" s="282"/>
      <c r="H136" s="282"/>
      <c r="I136" s="282"/>
      <c r="J136" s="282"/>
      <c r="K136" s="282"/>
      <c r="L136" s="282"/>
      <c r="M136" s="282"/>
      <c r="N136" s="282"/>
      <c r="O136" s="282"/>
      <c r="P136" s="282"/>
      <c r="Q136" s="282"/>
      <c r="R136" s="282"/>
      <c r="S136" s="282"/>
      <c r="T136"/>
      <c r="X136"/>
    </row>
    <row r="137" spans="1:27">
      <c r="A137"/>
      <c r="B137"/>
      <c r="C137" s="282"/>
      <c r="D137" s="282"/>
      <c r="E137" s="282"/>
      <c r="F137" s="282"/>
      <c r="G137" s="282"/>
      <c r="H137" s="282"/>
      <c r="I137" s="282"/>
      <c r="J137" s="282"/>
      <c r="K137" s="282"/>
      <c r="L137" s="282"/>
      <c r="M137" s="282"/>
      <c r="N137" s="282"/>
      <c r="O137" s="282"/>
      <c r="P137" s="282"/>
      <c r="Q137" s="282"/>
      <c r="R137" s="282"/>
      <c r="S137" s="282"/>
      <c r="T137"/>
      <c r="X137"/>
    </row>
    <row r="138" spans="1:27">
      <c r="A138"/>
      <c r="B138"/>
      <c r="C138" s="282"/>
      <c r="D138" s="282"/>
      <c r="E138" s="282"/>
      <c r="F138" s="282"/>
      <c r="G138" s="282"/>
      <c r="H138" s="282"/>
      <c r="I138" s="282"/>
      <c r="J138" s="282"/>
      <c r="K138" s="282"/>
      <c r="L138" s="282"/>
      <c r="M138" s="282"/>
      <c r="N138" s="282"/>
      <c r="O138" s="282"/>
      <c r="P138" s="282"/>
      <c r="Q138" s="282"/>
      <c r="R138" s="282"/>
      <c r="S138" s="282"/>
      <c r="T138"/>
      <c r="X138"/>
    </row>
    <row r="139" spans="1:27">
      <c r="A139"/>
      <c r="B139"/>
      <c r="C139" s="282"/>
      <c r="D139" s="282"/>
      <c r="E139" s="282"/>
      <c r="F139" s="282"/>
      <c r="G139" s="282"/>
      <c r="H139" s="282"/>
      <c r="I139" s="282"/>
      <c r="J139" s="282"/>
      <c r="K139" s="282"/>
      <c r="L139" s="282"/>
      <c r="M139" s="282"/>
      <c r="N139" s="282"/>
      <c r="O139" s="282"/>
      <c r="P139" s="282"/>
      <c r="Q139" s="282"/>
      <c r="R139" s="282"/>
      <c r="S139" s="282"/>
      <c r="T139"/>
      <c r="X139"/>
    </row>
    <row r="140" spans="1:27">
      <c r="A140"/>
      <c r="B140"/>
      <c r="C140" s="282"/>
      <c r="D140" s="282"/>
      <c r="E140" s="282"/>
      <c r="F140" s="282"/>
      <c r="G140" s="282"/>
      <c r="H140" s="282"/>
      <c r="I140" s="282"/>
      <c r="J140" s="282"/>
      <c r="K140" s="282"/>
      <c r="L140" s="282"/>
      <c r="M140" s="282"/>
      <c r="N140" s="282"/>
      <c r="O140" s="282"/>
      <c r="P140" s="282"/>
      <c r="Q140" s="282"/>
      <c r="R140" s="282"/>
      <c r="S140" s="282"/>
      <c r="T140"/>
      <c r="X140"/>
    </row>
    <row r="141" spans="1:27">
      <c r="A141"/>
      <c r="B141"/>
      <c r="C141" s="282"/>
      <c r="D141" s="282"/>
      <c r="E141" s="282"/>
      <c r="F141" s="282"/>
      <c r="G141" s="282"/>
      <c r="H141" s="282"/>
      <c r="I141" s="282"/>
      <c r="J141" s="282"/>
      <c r="K141" s="282"/>
      <c r="L141" s="282"/>
      <c r="M141" s="282"/>
      <c r="N141" s="282"/>
      <c r="O141" s="282"/>
      <c r="P141" s="282"/>
      <c r="Q141" s="282"/>
      <c r="R141" s="282"/>
      <c r="S141" s="282"/>
      <c r="T141"/>
      <c r="X141"/>
    </row>
    <row r="145" spans="3:19">
      <c r="C145" s="345"/>
      <c r="D145" s="345"/>
      <c r="E145" s="345"/>
      <c r="F145" s="345"/>
      <c r="G145" s="345"/>
      <c r="H145" s="345"/>
      <c r="I145" s="345"/>
      <c r="J145" s="345"/>
      <c r="K145" s="345"/>
      <c r="L145" s="345"/>
      <c r="M145" s="345"/>
      <c r="N145" s="345"/>
      <c r="O145" s="345"/>
      <c r="P145" s="345"/>
      <c r="Q145" s="345"/>
      <c r="R145" s="345"/>
      <c r="S145" s="345"/>
    </row>
    <row r="146" spans="3:19">
      <c r="C146" s="345"/>
      <c r="D146" s="345"/>
      <c r="E146" s="345"/>
      <c r="F146" s="345"/>
      <c r="G146" s="345"/>
      <c r="H146" s="345"/>
      <c r="I146" s="345"/>
      <c r="J146" s="345"/>
      <c r="K146" s="345"/>
      <c r="L146" s="345"/>
      <c r="M146" s="345"/>
      <c r="N146" s="345"/>
      <c r="O146" s="345"/>
      <c r="P146" s="345"/>
      <c r="Q146" s="345"/>
      <c r="R146" s="345"/>
      <c r="S146" s="345"/>
    </row>
    <row r="147" spans="3:19">
      <c r="C147" s="345"/>
      <c r="D147" s="345"/>
      <c r="E147" s="345"/>
      <c r="F147" s="345"/>
      <c r="G147" s="345"/>
      <c r="H147" s="345"/>
      <c r="I147" s="345"/>
      <c r="J147" s="345"/>
      <c r="K147" s="345"/>
      <c r="L147" s="345"/>
      <c r="M147" s="345"/>
      <c r="N147" s="345"/>
      <c r="O147" s="345"/>
      <c r="P147" s="345"/>
      <c r="Q147" s="345"/>
      <c r="R147" s="345"/>
      <c r="S147" s="345"/>
    </row>
    <row r="148" spans="3:19">
      <c r="C148" s="345"/>
      <c r="D148" s="345"/>
      <c r="E148" s="345"/>
      <c r="F148" s="345"/>
      <c r="G148" s="345"/>
      <c r="H148" s="345"/>
      <c r="I148" s="345"/>
      <c r="J148" s="345"/>
      <c r="K148" s="345"/>
      <c r="L148" s="345"/>
      <c r="M148" s="345"/>
      <c r="N148" s="345"/>
      <c r="O148" s="345"/>
      <c r="P148" s="345"/>
      <c r="Q148" s="345"/>
      <c r="R148" s="345"/>
      <c r="S148" s="345"/>
    </row>
  </sheetData>
  <pageMargins left="0.7" right="0.7" top="0.75" bottom="0.75" header="0.3" footer="0.3"/>
  <pageSetup scale="77" pageOrder="overThenDown" orientation="landscape" r:id="rId2"/>
  <headerFooter>
    <oddHeader>&amp;L&amp;"Arial,Bold"SREB-State Data Exchange&amp;C&amp;"Arial,Bold"Preliminary Tables&amp;R&amp;"Arial,Bold"Part 4  -- High School Student Portion of FTE Enrollment</oddHeader>
    <oddFooter>&amp;L&amp;"Arial,Bold"For Agency Review Only&amp;R&amp;"Arial,Bold"October 2009</oddFooter>
  </headerFooter>
  <rowBreaks count="15" manualBreakCount="15">
    <brk id="11" min="2" max="23" man="1"/>
    <brk id="17" min="2" max="23" man="1"/>
    <brk id="23" min="2" max="23" man="1"/>
    <brk id="29" min="2" max="23" man="1"/>
    <brk id="35" min="2" max="23" man="1"/>
    <brk id="41" min="2" max="23" man="1"/>
    <brk id="47" min="2" max="23" man="1"/>
    <brk id="53" min="2" max="23" man="1"/>
    <brk id="59" min="2" max="23" man="1"/>
    <brk id="65" min="2" max="23" man="1"/>
    <brk id="71" min="2" max="23" man="1"/>
    <brk id="77" min="2" max="23" man="1"/>
    <brk id="83" min="2" max="23" man="1"/>
    <brk id="89" min="2" max="23" man="1"/>
    <brk id="95" min="2" max="23" man="1"/>
  </rowBreaks>
  <colBreaks count="1" manualBreakCount="1">
    <brk id="9" min="5" max="100" man="1"/>
  </col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indexed="12"/>
  </sheetPr>
  <dimension ref="A1:BA970"/>
  <sheetViews>
    <sheetView topLeftCell="A2" workbookViewId="0">
      <pane xSplit="5" ySplit="6" topLeftCell="L41" activePane="bottomRight" state="frozenSplit"/>
      <selection activeCell="A2" sqref="A2 A2"/>
      <selection pane="topRight" activeCell="A2" sqref="A2"/>
      <selection pane="bottomLeft" activeCell="A2" sqref="A2"/>
      <selection pane="bottomRight" activeCell="S49" sqref="S49"/>
    </sheetView>
  </sheetViews>
  <sheetFormatPr defaultColWidth="9" defaultRowHeight="12.75"/>
  <cols>
    <col min="1" max="1" width="6.33203125" style="55" customWidth="1"/>
    <col min="2" max="2" width="48.1640625" style="55" customWidth="1"/>
    <col min="3" max="3" width="22.83203125" style="55" customWidth="1"/>
    <col min="4" max="4" width="11.1640625" style="116" customWidth="1"/>
    <col min="5" max="5" width="11.1640625" style="114" customWidth="1"/>
    <col min="6" max="6" width="10.6640625" style="117" customWidth="1"/>
    <col min="7" max="7" width="8.83203125" style="118" customWidth="1"/>
    <col min="8" max="8" width="10.83203125" style="119" customWidth="1"/>
    <col min="9" max="9" width="12.33203125" style="120" customWidth="1"/>
    <col min="10" max="10" width="12.6640625" style="119" customWidth="1"/>
    <col min="11" max="11" width="12.33203125" style="120" customWidth="1"/>
    <col min="12" max="12" width="12.33203125" style="119" customWidth="1"/>
    <col min="13" max="13" width="12.1640625" style="120" customWidth="1"/>
    <col min="14" max="14" width="12.6640625" style="119" customWidth="1"/>
    <col min="15" max="15" width="12.6640625" style="120" customWidth="1"/>
    <col min="16" max="16" width="11.6640625" style="119" customWidth="1"/>
    <col min="17" max="17" width="10.83203125" style="119" customWidth="1"/>
    <col min="18" max="18" width="13.1640625" style="120" customWidth="1"/>
    <col min="19" max="19" width="9.33203125" style="120" customWidth="1"/>
    <col min="20" max="20" width="11.33203125" style="120" customWidth="1"/>
    <col min="21" max="21" width="11.1640625" style="120" bestFit="1" customWidth="1"/>
    <col min="22" max="22" width="13.33203125" style="119" customWidth="1"/>
    <col min="23" max="23" width="12.1640625" style="119" customWidth="1"/>
    <col min="24" max="24" width="12.83203125" style="119" customWidth="1"/>
    <col min="25" max="25" width="12.1640625" style="120" customWidth="1"/>
    <col min="26" max="26" width="11.33203125" style="119" customWidth="1"/>
    <col min="27" max="27" width="11.83203125" style="120" customWidth="1"/>
    <col min="28" max="28" width="13.33203125" style="119" customWidth="1"/>
    <col min="29" max="29" width="12.33203125" style="120" customWidth="1"/>
    <col min="30" max="30" width="15.1640625" style="119" customWidth="1"/>
    <col min="31" max="31" width="18.1640625" style="120" customWidth="1"/>
    <col min="32" max="32" width="12.6640625" style="119" customWidth="1"/>
    <col min="33" max="33" width="12" style="119" customWidth="1"/>
    <col min="34" max="34" width="13" style="120" customWidth="1"/>
    <col min="35" max="35" width="10.83203125" style="120" customWidth="1"/>
    <col min="36" max="36" width="12.33203125" style="120" customWidth="1"/>
    <col min="37" max="37" width="12" style="120" customWidth="1"/>
    <col min="38" max="39" width="12.6640625" style="119" customWidth="1"/>
    <col min="40" max="40" width="10.83203125" style="119" customWidth="1"/>
    <col min="41" max="41" width="10.83203125" style="120" customWidth="1"/>
    <col min="42" max="42" width="10.83203125" style="119" customWidth="1"/>
    <col min="43" max="43" width="10.83203125" style="120" customWidth="1"/>
    <col min="44" max="44" width="10.83203125" style="119" customWidth="1"/>
    <col min="45" max="45" width="10.83203125" style="120" customWidth="1"/>
    <col min="46" max="46" width="10.83203125" style="119" customWidth="1"/>
    <col min="47" max="47" width="10.83203125" style="120" customWidth="1"/>
    <col min="48" max="48" width="12.33203125" style="119" customWidth="1"/>
    <col min="49" max="49" width="10.83203125" style="119" customWidth="1"/>
    <col min="50" max="50" width="12.33203125" style="120" customWidth="1"/>
    <col min="51" max="53" width="10.83203125" style="55" customWidth="1"/>
    <col min="54" max="54" width="9" style="55" customWidth="1"/>
    <col min="55" max="16384" width="9" style="55"/>
  </cols>
  <sheetData>
    <row r="1" spans="1:53" hidden="1">
      <c r="A1" s="57"/>
      <c r="B1" s="57"/>
      <c r="C1" s="57"/>
      <c r="D1" s="58"/>
      <c r="E1" s="59"/>
      <c r="F1" s="60"/>
      <c r="G1" s="61"/>
      <c r="H1" s="62"/>
      <c r="I1" s="63"/>
      <c r="J1" s="62"/>
      <c r="K1" s="63"/>
      <c r="L1" s="62"/>
      <c r="M1" s="63"/>
      <c r="N1" s="62"/>
      <c r="O1" s="63"/>
      <c r="P1" s="64">
        <f>SUM(H1,J1,L1,N1)</f>
        <v>0</v>
      </c>
      <c r="Q1" s="65">
        <f>+P1/30</f>
        <v>0</v>
      </c>
      <c r="R1" s="66">
        <f>SUM(I1,K1,M1,O1)</f>
        <v>0</v>
      </c>
      <c r="S1" s="67">
        <f>+R1/30</f>
        <v>0</v>
      </c>
      <c r="T1" s="62"/>
      <c r="U1" s="63"/>
      <c r="V1" s="64">
        <f>IF(ISBLANK(T1),0,P1)</f>
        <v>0</v>
      </c>
      <c r="W1" s="68">
        <f>IF(ISBLANK(U1),0,R1)</f>
        <v>0</v>
      </c>
      <c r="X1" s="69"/>
      <c r="Y1" s="63"/>
      <c r="Z1" s="62"/>
      <c r="AA1" s="63"/>
      <c r="AB1" s="62"/>
      <c r="AC1" s="63"/>
      <c r="AD1" s="62"/>
      <c r="AE1" s="63"/>
      <c r="AF1" s="64">
        <f>SUM(X1,Z1,AB1,AD1)</f>
        <v>0</v>
      </c>
      <c r="AG1" s="65">
        <f>+AF1/900</f>
        <v>0</v>
      </c>
      <c r="AH1" s="66">
        <f>SUM(Y1,AA1,AC1,AE1)</f>
        <v>0</v>
      </c>
      <c r="AI1" s="66">
        <f>+AH1/900</f>
        <v>0</v>
      </c>
      <c r="AJ1" s="62"/>
      <c r="AK1" s="63"/>
      <c r="AL1" s="64">
        <f>IF(ISBLANK(AJ1),0,AF1)</f>
        <v>0</v>
      </c>
      <c r="AM1" s="67">
        <f>IF(ISBLANK(AK1),0,AH1)</f>
        <v>0</v>
      </c>
      <c r="AN1" s="62"/>
      <c r="AO1" s="62"/>
      <c r="AP1" s="62"/>
      <c r="AQ1" s="62"/>
      <c r="AR1" s="62"/>
      <c r="AS1" s="62"/>
      <c r="AT1" s="62"/>
      <c r="AU1" s="62"/>
      <c r="AV1" s="64">
        <f>SUM(AN1,AP1,AR1,AT1)</f>
        <v>0</v>
      </c>
      <c r="AW1" s="70">
        <f>+AV1/24</f>
        <v>0</v>
      </c>
      <c r="AX1" s="66">
        <f>SUM(AO1,AQ1,AS1,AU1)</f>
        <v>0</v>
      </c>
      <c r="AY1" s="71">
        <f>+AX1/24</f>
        <v>0</v>
      </c>
      <c r="AZ1" s="72">
        <f>SUM(Q1,AG1,AW1)</f>
        <v>0</v>
      </c>
      <c r="BA1" s="66">
        <f>SUM(S1,AI1,AY1)</f>
        <v>0</v>
      </c>
    </row>
    <row r="2" spans="1:53" s="54" customFormat="1" ht="18" customHeight="1" thickBot="1">
      <c r="A2" s="56" t="s">
        <v>0</v>
      </c>
      <c r="B2" s="56"/>
      <c r="C2" s="707" t="s">
        <v>995</v>
      </c>
      <c r="D2" s="56"/>
      <c r="E2" s="56"/>
      <c r="R2" s="54">
        <v>1</v>
      </c>
      <c r="S2" s="115">
        <f>SUM(Q7:Q8)</f>
        <v>50237.733333333337</v>
      </c>
    </row>
    <row r="3" spans="1:53" s="114" customFormat="1" ht="23.25" customHeight="1" thickTop="1">
      <c r="A3" s="73" t="s">
        <v>1</v>
      </c>
      <c r="B3" s="74"/>
      <c r="C3" s="74"/>
      <c r="D3" s="74"/>
      <c r="E3" s="74"/>
      <c r="F3" s="50"/>
      <c r="G3" s="46"/>
      <c r="H3" s="44" t="s">
        <v>2</v>
      </c>
      <c r="I3" s="39"/>
      <c r="J3" s="43"/>
      <c r="K3" s="45"/>
      <c r="L3" s="43"/>
      <c r="M3" s="45"/>
      <c r="N3" s="43"/>
      <c r="O3" s="45"/>
      <c r="P3" s="39" t="s">
        <v>3</v>
      </c>
      <c r="Q3" s="39"/>
      <c r="R3" s="39"/>
      <c r="S3" s="39"/>
      <c r="T3" s="51"/>
      <c r="U3" s="34"/>
      <c r="V3" s="39" t="s">
        <v>3</v>
      </c>
      <c r="W3" s="41"/>
      <c r="X3" s="42" t="s">
        <v>4</v>
      </c>
      <c r="Y3" s="39"/>
      <c r="Z3" s="43"/>
      <c r="AA3" s="45"/>
      <c r="AB3" s="43"/>
      <c r="AC3" s="45"/>
      <c r="AD3" s="43"/>
      <c r="AE3" s="45"/>
      <c r="AF3" s="39" t="s">
        <v>3</v>
      </c>
      <c r="AG3" s="39"/>
      <c r="AH3" s="39"/>
      <c r="AI3" s="39"/>
      <c r="AJ3" s="51"/>
      <c r="AK3" s="34"/>
      <c r="AL3" s="39" t="s">
        <v>3</v>
      </c>
      <c r="AM3" s="41"/>
      <c r="AN3" s="42" t="s">
        <v>5</v>
      </c>
      <c r="AO3" s="39"/>
      <c r="AP3" s="43"/>
      <c r="AQ3" s="45"/>
      <c r="AR3" s="43"/>
      <c r="AS3" s="45"/>
      <c r="AT3" s="43"/>
      <c r="AU3" s="45"/>
      <c r="AV3" s="40" t="s">
        <v>3</v>
      </c>
      <c r="AW3" s="39"/>
      <c r="AX3" s="49"/>
      <c r="AY3" s="39"/>
      <c r="AZ3" s="771" t="s">
        <v>6</v>
      </c>
      <c r="BA3" s="772"/>
    </row>
    <row r="4" spans="1:53" s="114" customFormat="1" ht="82.5" customHeight="1" thickBot="1">
      <c r="A4" s="75" t="s">
        <v>7</v>
      </c>
      <c r="B4" s="76"/>
      <c r="C4" s="76"/>
      <c r="D4" s="76"/>
      <c r="E4" s="76"/>
      <c r="F4" s="36" t="s">
        <v>8</v>
      </c>
      <c r="G4" s="37"/>
      <c r="H4" s="36" t="s">
        <v>9</v>
      </c>
      <c r="I4" s="37"/>
      <c r="J4" s="36" t="s">
        <v>10</v>
      </c>
      <c r="K4" s="37"/>
      <c r="L4" s="36" t="s">
        <v>11</v>
      </c>
      <c r="M4" s="37"/>
      <c r="N4" s="36" t="s">
        <v>12</v>
      </c>
      <c r="O4" s="37"/>
      <c r="P4" s="77" t="s">
        <v>13</v>
      </c>
      <c r="Q4" s="77" t="s">
        <v>14</v>
      </c>
      <c r="R4" s="78" t="s">
        <v>13</v>
      </c>
      <c r="S4" s="79" t="s">
        <v>14</v>
      </c>
      <c r="T4" s="36" t="s">
        <v>15</v>
      </c>
      <c r="U4" s="38"/>
      <c r="V4" s="36" t="s">
        <v>16</v>
      </c>
      <c r="W4" s="38"/>
      <c r="X4" s="36" t="s">
        <v>9</v>
      </c>
      <c r="Y4" s="37"/>
      <c r="Z4" s="36" t="s">
        <v>10</v>
      </c>
      <c r="AA4" s="37"/>
      <c r="AB4" s="36" t="s">
        <v>11</v>
      </c>
      <c r="AC4" s="37"/>
      <c r="AD4" s="36" t="s">
        <v>12</v>
      </c>
      <c r="AE4" s="37"/>
      <c r="AF4" s="77" t="s">
        <v>13</v>
      </c>
      <c r="AG4" s="77" t="s">
        <v>14</v>
      </c>
      <c r="AH4" s="78" t="s">
        <v>13</v>
      </c>
      <c r="AI4" s="79" t="s">
        <v>14</v>
      </c>
      <c r="AJ4" s="36" t="s">
        <v>15</v>
      </c>
      <c r="AK4" s="38"/>
      <c r="AL4" s="36" t="s">
        <v>16</v>
      </c>
      <c r="AM4" s="38"/>
      <c r="AN4" s="36" t="s">
        <v>9</v>
      </c>
      <c r="AO4" s="37"/>
      <c r="AP4" s="36" t="s">
        <v>10</v>
      </c>
      <c r="AQ4" s="37"/>
      <c r="AR4" s="36" t="s">
        <v>11</v>
      </c>
      <c r="AS4" s="37"/>
      <c r="AT4" s="36" t="s">
        <v>12</v>
      </c>
      <c r="AU4" s="37"/>
      <c r="AV4" s="77" t="s">
        <v>13</v>
      </c>
      <c r="AW4" s="77" t="s">
        <v>14</v>
      </c>
      <c r="AX4" s="78" t="s">
        <v>13</v>
      </c>
      <c r="AY4" s="78" t="s">
        <v>14</v>
      </c>
      <c r="AZ4" s="80" t="s">
        <v>17</v>
      </c>
      <c r="BA4" s="81"/>
    </row>
    <row r="5" spans="1:53" s="121" customFormat="1" ht="25.5" customHeight="1" thickTop="1" thickBot="1">
      <c r="A5" s="82" t="s">
        <v>18</v>
      </c>
      <c r="B5" s="83" t="s">
        <v>19</v>
      </c>
      <c r="C5" s="83" t="s">
        <v>20</v>
      </c>
      <c r="D5" s="82" t="s">
        <v>21</v>
      </c>
      <c r="E5" s="84" t="s">
        <v>22</v>
      </c>
      <c r="F5" s="85">
        <v>2015</v>
      </c>
      <c r="G5" s="35">
        <v>2016</v>
      </c>
      <c r="H5" s="85">
        <v>2015</v>
      </c>
      <c r="I5" s="35">
        <v>2016</v>
      </c>
      <c r="J5" s="85">
        <v>2015</v>
      </c>
      <c r="K5" s="35">
        <v>2016</v>
      </c>
      <c r="L5" s="85">
        <v>2015</v>
      </c>
      <c r="M5" s="35">
        <v>2016</v>
      </c>
      <c r="N5" s="85">
        <v>2015</v>
      </c>
      <c r="O5" s="35">
        <v>2016</v>
      </c>
      <c r="P5" s="86">
        <v>2015</v>
      </c>
      <c r="Q5" s="87">
        <v>2015</v>
      </c>
      <c r="R5" s="88">
        <v>2016</v>
      </c>
      <c r="S5" s="89">
        <v>2016</v>
      </c>
      <c r="T5" s="85">
        <v>2015</v>
      </c>
      <c r="U5" s="35">
        <v>2016</v>
      </c>
      <c r="V5" s="86">
        <v>2015</v>
      </c>
      <c r="W5" s="90">
        <v>2016</v>
      </c>
      <c r="X5" s="85">
        <v>2015</v>
      </c>
      <c r="Y5" s="35">
        <v>2016</v>
      </c>
      <c r="Z5" s="85">
        <v>2015</v>
      </c>
      <c r="AA5" s="35">
        <v>2016</v>
      </c>
      <c r="AB5" s="85">
        <v>2015</v>
      </c>
      <c r="AC5" s="35">
        <v>2016</v>
      </c>
      <c r="AD5" s="85">
        <v>2015</v>
      </c>
      <c r="AE5" s="35">
        <v>2016</v>
      </c>
      <c r="AF5" s="91">
        <v>2015</v>
      </c>
      <c r="AG5" s="92">
        <v>2015</v>
      </c>
      <c r="AH5" s="93">
        <v>2016</v>
      </c>
      <c r="AI5" s="93">
        <v>2016</v>
      </c>
      <c r="AJ5" s="85">
        <v>2015</v>
      </c>
      <c r="AK5" s="35">
        <v>2016</v>
      </c>
      <c r="AL5" s="92">
        <v>2015</v>
      </c>
      <c r="AM5" s="94">
        <v>2016</v>
      </c>
      <c r="AN5" s="85">
        <v>2015</v>
      </c>
      <c r="AO5" s="35">
        <v>2016</v>
      </c>
      <c r="AP5" s="85">
        <v>2015</v>
      </c>
      <c r="AQ5" s="35">
        <v>2016</v>
      </c>
      <c r="AR5" s="85">
        <v>2015</v>
      </c>
      <c r="AS5" s="35">
        <v>2016</v>
      </c>
      <c r="AT5" s="85">
        <v>2015</v>
      </c>
      <c r="AU5" s="35">
        <v>2016</v>
      </c>
      <c r="AV5" s="91">
        <v>2015</v>
      </c>
      <c r="AW5" s="91">
        <v>2015</v>
      </c>
      <c r="AX5" s="93">
        <v>2016</v>
      </c>
      <c r="AY5" s="95">
        <v>2016</v>
      </c>
      <c r="AZ5" s="96">
        <v>2015</v>
      </c>
      <c r="BA5" s="93">
        <v>2016</v>
      </c>
    </row>
    <row r="6" spans="1:53" s="122" customFormat="1" ht="66.599999999999994" customHeight="1" thickTop="1">
      <c r="A6" s="97" t="s">
        <v>18</v>
      </c>
      <c r="B6" s="97" t="s">
        <v>19</v>
      </c>
      <c r="C6" s="97" t="s">
        <v>23</v>
      </c>
      <c r="D6" s="98" t="s">
        <v>24</v>
      </c>
      <c r="E6" s="99" t="s">
        <v>22</v>
      </c>
      <c r="F6" s="100" t="s">
        <v>25</v>
      </c>
      <c r="G6" s="100" t="s">
        <v>26</v>
      </c>
      <c r="H6" s="100" t="s">
        <v>27</v>
      </c>
      <c r="I6" s="100" t="s">
        <v>28</v>
      </c>
      <c r="J6" s="100" t="s">
        <v>29</v>
      </c>
      <c r="K6" s="100" t="s">
        <v>30</v>
      </c>
      <c r="L6" s="100" t="s">
        <v>31</v>
      </c>
      <c r="M6" s="100" t="s">
        <v>32</v>
      </c>
      <c r="N6" s="100" t="s">
        <v>33</v>
      </c>
      <c r="O6" s="100" t="s">
        <v>34</v>
      </c>
      <c r="P6" s="100" t="s">
        <v>35</v>
      </c>
      <c r="Q6" s="100" t="s">
        <v>36</v>
      </c>
      <c r="R6" s="100" t="s">
        <v>37</v>
      </c>
      <c r="S6" s="100" t="s">
        <v>38</v>
      </c>
      <c r="T6" s="100" t="s">
        <v>39</v>
      </c>
      <c r="U6" s="100" t="s">
        <v>40</v>
      </c>
      <c r="V6" s="100" t="s">
        <v>41</v>
      </c>
      <c r="W6" s="100" t="s">
        <v>42</v>
      </c>
      <c r="X6" s="100" t="s">
        <v>43</v>
      </c>
      <c r="Y6" s="100" t="s">
        <v>44</v>
      </c>
      <c r="Z6" s="100" t="s">
        <v>45</v>
      </c>
      <c r="AA6" s="100" t="s">
        <v>46</v>
      </c>
      <c r="AB6" s="100" t="s">
        <v>47</v>
      </c>
      <c r="AC6" s="100" t="s">
        <v>48</v>
      </c>
      <c r="AD6" s="100" t="s">
        <v>49</v>
      </c>
      <c r="AE6" s="100" t="s">
        <v>50</v>
      </c>
      <c r="AF6" s="97" t="s">
        <v>51</v>
      </c>
      <c r="AG6" s="97" t="s">
        <v>52</v>
      </c>
      <c r="AH6" s="100" t="s">
        <v>53</v>
      </c>
      <c r="AI6" s="100" t="s">
        <v>54</v>
      </c>
      <c r="AJ6" s="100" t="s">
        <v>55</v>
      </c>
      <c r="AK6" s="100" t="s">
        <v>56</v>
      </c>
      <c r="AL6" s="100" t="s">
        <v>57</v>
      </c>
      <c r="AM6" s="100" t="s">
        <v>58</v>
      </c>
      <c r="AN6" s="100" t="s">
        <v>59</v>
      </c>
      <c r="AO6" s="100" t="s">
        <v>60</v>
      </c>
      <c r="AP6" s="100" t="s">
        <v>61</v>
      </c>
      <c r="AQ6" s="101" t="s">
        <v>62</v>
      </c>
      <c r="AR6" s="100" t="s">
        <v>63</v>
      </c>
      <c r="AS6" s="101" t="s">
        <v>64</v>
      </c>
      <c r="AT6" s="100" t="s">
        <v>65</v>
      </c>
      <c r="AU6" s="101" t="s">
        <v>66</v>
      </c>
      <c r="AV6" s="100" t="s">
        <v>67</v>
      </c>
      <c r="AW6" s="100" t="s">
        <v>68</v>
      </c>
      <c r="AX6" s="100" t="s">
        <v>69</v>
      </c>
      <c r="AY6" s="100" t="s">
        <v>70</v>
      </c>
      <c r="AZ6" s="102" t="s">
        <v>71</v>
      </c>
      <c r="BA6" s="99" t="s">
        <v>72</v>
      </c>
    </row>
    <row r="7" spans="1:53" s="115" customFormat="1" ht="13.9" customHeight="1">
      <c r="A7" s="103" t="s">
        <v>73</v>
      </c>
      <c r="B7" s="104" t="s">
        <v>74</v>
      </c>
      <c r="C7" s="688"/>
      <c r="D7" s="106">
        <v>100858</v>
      </c>
      <c r="E7" s="106">
        <v>1</v>
      </c>
      <c r="F7" s="107" t="s">
        <v>75</v>
      </c>
      <c r="G7" s="47"/>
      <c r="H7" s="108"/>
      <c r="I7" s="48"/>
      <c r="J7" s="108">
        <v>268440</v>
      </c>
      <c r="K7" s="109">
        <v>282499</v>
      </c>
      <c r="L7" s="108">
        <v>51741</v>
      </c>
      <c r="M7" s="48">
        <v>53683</v>
      </c>
      <c r="N7" s="108">
        <v>302489</v>
      </c>
      <c r="O7" s="48">
        <v>315484</v>
      </c>
      <c r="P7" s="64">
        <f t="shared" ref="P7:P70" si="0">SUM(H7,J7,L7,N7)</f>
        <v>622670</v>
      </c>
      <c r="Q7" s="65">
        <f t="shared" ref="Q7:Q70" si="1">+P7/30</f>
        <v>20755.666666666668</v>
      </c>
      <c r="R7" s="66">
        <f t="shared" ref="R7:R70" si="2">SUM(I7,K7,M7,O7)</f>
        <v>651666</v>
      </c>
      <c r="S7" s="67">
        <f t="shared" ref="S7:S70" si="3">+R7/30</f>
        <v>21722.2</v>
      </c>
      <c r="T7" s="108">
        <v>61</v>
      </c>
      <c r="U7" s="109">
        <v>57</v>
      </c>
      <c r="V7" s="64">
        <f t="shared" ref="V7:V70" si="4">IF(ISBLANK(T7),0,P7)</f>
        <v>622670</v>
      </c>
      <c r="W7" s="68">
        <f t="shared" ref="W7:W70" si="5">IF(ISBLANK(U7),0,R7)</f>
        <v>651666</v>
      </c>
      <c r="X7" s="108"/>
      <c r="Y7" s="48"/>
      <c r="Z7" s="108"/>
      <c r="AA7" s="48"/>
      <c r="AB7" s="108"/>
      <c r="AC7" s="48"/>
      <c r="AD7" s="108"/>
      <c r="AE7" s="48"/>
      <c r="AF7" s="64">
        <f t="shared" ref="AF7:AF70" si="6">SUM(X7,Z7,AB7,AD7)</f>
        <v>0</v>
      </c>
      <c r="AG7" s="65">
        <f t="shared" ref="AG7:AG70" si="7">+AF7/900</f>
        <v>0</v>
      </c>
      <c r="AH7" s="66">
        <f t="shared" ref="AH7:AH70" si="8">SUM(Y7,AA7,AC7,AE7)</f>
        <v>0</v>
      </c>
      <c r="AI7" s="66">
        <f t="shared" ref="AI7:AI70" si="9">+AH7/900</f>
        <v>0</v>
      </c>
      <c r="AJ7" s="108"/>
      <c r="AK7" s="48"/>
      <c r="AL7" s="64">
        <f t="shared" ref="AL7:AL70" si="10">IF(ISBLANK(AJ7),0,AF7)</f>
        <v>0</v>
      </c>
      <c r="AM7" s="67">
        <f t="shared" ref="AM7:AM70" si="11">IF(ISBLANK(AK7),0,AH7)</f>
        <v>0</v>
      </c>
      <c r="AN7" s="108"/>
      <c r="AO7" s="48"/>
      <c r="AP7" s="108">
        <v>39459</v>
      </c>
      <c r="AQ7" s="48">
        <v>40026</v>
      </c>
      <c r="AR7" s="108">
        <v>20650</v>
      </c>
      <c r="AS7" s="48">
        <v>21350</v>
      </c>
      <c r="AT7" s="108">
        <v>41441</v>
      </c>
      <c r="AU7" s="48">
        <v>42064</v>
      </c>
      <c r="AV7" s="64">
        <f t="shared" ref="AV7:AV70" si="12">SUM(AN7,AP7,AR7,AT7)</f>
        <v>101550</v>
      </c>
      <c r="AW7" s="70">
        <f t="shared" ref="AW7:AW70" si="13">+AV7/24</f>
        <v>4231.25</v>
      </c>
      <c r="AX7" s="66">
        <f t="shared" ref="AX7:AX70" si="14">SUM(AO7,AQ7,AS7,AU7)</f>
        <v>103440</v>
      </c>
      <c r="AY7" s="71">
        <f t="shared" ref="AY7:AY70" si="15">+AX7/24</f>
        <v>4310</v>
      </c>
      <c r="AZ7" s="72">
        <f t="shared" ref="AZ7:AZ70" si="16">SUM(Q7,AG7,AW7)</f>
        <v>24986.916666666668</v>
      </c>
      <c r="BA7" s="66">
        <f t="shared" ref="BA7:BA70" si="17">SUM(S7,AI7,AY7)</f>
        <v>26032.2</v>
      </c>
    </row>
    <row r="8" spans="1:53" s="115" customFormat="1" ht="15">
      <c r="A8" s="103" t="s">
        <v>73</v>
      </c>
      <c r="B8" s="104" t="s">
        <v>76</v>
      </c>
      <c r="C8" s="689"/>
      <c r="D8" s="106">
        <v>100751</v>
      </c>
      <c r="E8" s="106">
        <v>1</v>
      </c>
      <c r="F8" s="107" t="s">
        <v>75</v>
      </c>
      <c r="G8" s="47"/>
      <c r="H8" s="108"/>
      <c r="I8" s="48"/>
      <c r="J8" s="108">
        <v>386563</v>
      </c>
      <c r="K8" s="48">
        <v>403250</v>
      </c>
      <c r="L8" s="108">
        <v>67656</v>
      </c>
      <c r="M8" s="48">
        <v>65716</v>
      </c>
      <c r="N8" s="108">
        <v>430243</v>
      </c>
      <c r="O8" s="48">
        <v>440877</v>
      </c>
      <c r="P8" s="64">
        <f t="shared" si="0"/>
        <v>884462</v>
      </c>
      <c r="Q8" s="65">
        <f t="shared" si="1"/>
        <v>29482.066666666666</v>
      </c>
      <c r="R8" s="66">
        <f t="shared" si="2"/>
        <v>909843</v>
      </c>
      <c r="S8" s="67">
        <f t="shared" si="3"/>
        <v>30328.1</v>
      </c>
      <c r="T8" s="108">
        <v>5593</v>
      </c>
      <c r="U8" s="109">
        <v>6160</v>
      </c>
      <c r="V8" s="64">
        <f t="shared" si="4"/>
        <v>884462</v>
      </c>
      <c r="W8" s="68">
        <f t="shared" si="5"/>
        <v>909843</v>
      </c>
      <c r="X8" s="108"/>
      <c r="Y8" s="48"/>
      <c r="Z8" s="108"/>
      <c r="AA8" s="48"/>
      <c r="AB8" s="108"/>
      <c r="AC8" s="48"/>
      <c r="AD8" s="108"/>
      <c r="AE8" s="48"/>
      <c r="AF8" s="64">
        <f t="shared" si="6"/>
        <v>0</v>
      </c>
      <c r="AG8" s="65">
        <f t="shared" si="7"/>
        <v>0</v>
      </c>
      <c r="AH8" s="66">
        <f t="shared" si="8"/>
        <v>0</v>
      </c>
      <c r="AI8" s="66">
        <f t="shared" si="9"/>
        <v>0</v>
      </c>
      <c r="AJ8" s="108"/>
      <c r="AK8" s="48"/>
      <c r="AL8" s="64">
        <f t="shared" si="10"/>
        <v>0</v>
      </c>
      <c r="AM8" s="67">
        <f t="shared" si="11"/>
        <v>0</v>
      </c>
      <c r="AN8" s="108"/>
      <c r="AO8" s="48"/>
      <c r="AP8" s="108">
        <v>42143</v>
      </c>
      <c r="AQ8" s="48">
        <v>43122</v>
      </c>
      <c r="AR8" s="108">
        <v>11721</v>
      </c>
      <c r="AS8" s="48">
        <v>11420</v>
      </c>
      <c r="AT8" s="108">
        <v>43177</v>
      </c>
      <c r="AU8" s="48">
        <v>42370</v>
      </c>
      <c r="AV8" s="64">
        <f t="shared" si="12"/>
        <v>97041</v>
      </c>
      <c r="AW8" s="70">
        <f t="shared" si="13"/>
        <v>4043.375</v>
      </c>
      <c r="AX8" s="66">
        <f t="shared" si="14"/>
        <v>96912</v>
      </c>
      <c r="AY8" s="71">
        <f t="shared" si="15"/>
        <v>4038</v>
      </c>
      <c r="AZ8" s="72">
        <f t="shared" si="16"/>
        <v>33525.441666666666</v>
      </c>
      <c r="BA8" s="66">
        <f t="shared" si="17"/>
        <v>34366.1</v>
      </c>
    </row>
    <row r="9" spans="1:53" s="115" customFormat="1" ht="15">
      <c r="A9" s="103" t="s">
        <v>73</v>
      </c>
      <c r="B9" s="104" t="s">
        <v>77</v>
      </c>
      <c r="C9" s="689" t="s">
        <v>960</v>
      </c>
      <c r="D9" s="106">
        <v>100663</v>
      </c>
      <c r="E9" s="106">
        <v>2</v>
      </c>
      <c r="F9" s="107" t="s">
        <v>75</v>
      </c>
      <c r="G9" s="47"/>
      <c r="H9" s="108"/>
      <c r="I9" s="48"/>
      <c r="J9" s="108">
        <v>112991</v>
      </c>
      <c r="K9" s="48">
        <v>112871</v>
      </c>
      <c r="L9" s="108">
        <v>26100</v>
      </c>
      <c r="M9" s="109">
        <v>27708</v>
      </c>
      <c r="N9" s="108">
        <v>123892</v>
      </c>
      <c r="O9" s="109">
        <v>132973</v>
      </c>
      <c r="P9" s="64">
        <f t="shared" si="0"/>
        <v>262983</v>
      </c>
      <c r="Q9" s="65">
        <f t="shared" si="1"/>
        <v>8766.1</v>
      </c>
      <c r="R9" s="66">
        <f t="shared" si="2"/>
        <v>273552</v>
      </c>
      <c r="S9" s="67">
        <f t="shared" si="3"/>
        <v>9118.4</v>
      </c>
      <c r="T9" s="108">
        <v>31</v>
      </c>
      <c r="U9" s="109">
        <v>170</v>
      </c>
      <c r="V9" s="64">
        <f t="shared" si="4"/>
        <v>262983</v>
      </c>
      <c r="W9" s="68">
        <f t="shared" si="5"/>
        <v>273552</v>
      </c>
      <c r="X9" s="108"/>
      <c r="Y9" s="48"/>
      <c r="Z9" s="108"/>
      <c r="AA9" s="48"/>
      <c r="AB9" s="108"/>
      <c r="AC9" s="48"/>
      <c r="AD9" s="108"/>
      <c r="AE9" s="48"/>
      <c r="AF9" s="64">
        <f t="shared" si="6"/>
        <v>0</v>
      </c>
      <c r="AG9" s="65">
        <f t="shared" si="7"/>
        <v>0</v>
      </c>
      <c r="AH9" s="66">
        <f t="shared" si="8"/>
        <v>0</v>
      </c>
      <c r="AI9" s="66">
        <f t="shared" si="9"/>
        <v>0</v>
      </c>
      <c r="AJ9" s="108"/>
      <c r="AK9" s="48"/>
      <c r="AL9" s="64">
        <f t="shared" si="10"/>
        <v>0</v>
      </c>
      <c r="AM9" s="67">
        <f t="shared" si="11"/>
        <v>0</v>
      </c>
      <c r="AN9" s="108"/>
      <c r="AO9" s="48"/>
      <c r="AP9" s="108">
        <v>16232</v>
      </c>
      <c r="AQ9" s="48">
        <v>15530</v>
      </c>
      <c r="AR9" s="108">
        <v>11030</v>
      </c>
      <c r="AS9" s="48">
        <v>10975</v>
      </c>
      <c r="AT9" s="108">
        <v>15886</v>
      </c>
      <c r="AU9" s="109">
        <v>16825</v>
      </c>
      <c r="AV9" s="64">
        <f t="shared" si="12"/>
        <v>43148</v>
      </c>
      <c r="AW9" s="70">
        <f t="shared" si="13"/>
        <v>1797.8333333333333</v>
      </c>
      <c r="AX9" s="66">
        <f t="shared" si="14"/>
        <v>43330</v>
      </c>
      <c r="AY9" s="71">
        <f t="shared" si="15"/>
        <v>1805.4166666666667</v>
      </c>
      <c r="AZ9" s="72">
        <f t="shared" si="16"/>
        <v>10563.933333333334</v>
      </c>
      <c r="BA9" s="66">
        <f t="shared" si="17"/>
        <v>10923.816666666666</v>
      </c>
    </row>
    <row r="10" spans="1:53" s="115" customFormat="1" ht="15">
      <c r="A10" s="103" t="s">
        <v>73</v>
      </c>
      <c r="B10" s="104" t="s">
        <v>78</v>
      </c>
      <c r="C10" s="689"/>
      <c r="D10" s="106">
        <v>100706</v>
      </c>
      <c r="E10" s="106">
        <v>2</v>
      </c>
      <c r="F10" s="107" t="s">
        <v>75</v>
      </c>
      <c r="G10" s="47"/>
      <c r="H10" s="108"/>
      <c r="I10" s="48"/>
      <c r="J10" s="108">
        <v>64786</v>
      </c>
      <c r="K10" s="109">
        <v>70191</v>
      </c>
      <c r="L10" s="108">
        <v>13914</v>
      </c>
      <c r="M10" s="109">
        <v>13171</v>
      </c>
      <c r="N10" s="108">
        <v>75343</v>
      </c>
      <c r="O10" s="109">
        <v>82944</v>
      </c>
      <c r="P10" s="64">
        <f t="shared" si="0"/>
        <v>154043</v>
      </c>
      <c r="Q10" s="65">
        <f t="shared" si="1"/>
        <v>5134.7666666666664</v>
      </c>
      <c r="R10" s="66">
        <f t="shared" si="2"/>
        <v>166306</v>
      </c>
      <c r="S10" s="67">
        <f t="shared" si="3"/>
        <v>5543.5333333333338</v>
      </c>
      <c r="T10" s="108">
        <v>511</v>
      </c>
      <c r="U10" s="109">
        <v>640</v>
      </c>
      <c r="V10" s="64">
        <f t="shared" si="4"/>
        <v>154043</v>
      </c>
      <c r="W10" s="68">
        <f t="shared" si="5"/>
        <v>166306</v>
      </c>
      <c r="X10" s="108"/>
      <c r="Y10" s="48"/>
      <c r="Z10" s="108"/>
      <c r="AA10" s="48"/>
      <c r="AB10" s="108"/>
      <c r="AC10" s="48"/>
      <c r="AD10" s="108"/>
      <c r="AE10" s="48"/>
      <c r="AF10" s="64">
        <f t="shared" si="6"/>
        <v>0</v>
      </c>
      <c r="AG10" s="65">
        <f t="shared" si="7"/>
        <v>0</v>
      </c>
      <c r="AH10" s="66">
        <f t="shared" si="8"/>
        <v>0</v>
      </c>
      <c r="AI10" s="66">
        <f t="shared" si="9"/>
        <v>0</v>
      </c>
      <c r="AJ10" s="108"/>
      <c r="AK10" s="48"/>
      <c r="AL10" s="64">
        <f t="shared" si="10"/>
        <v>0</v>
      </c>
      <c r="AM10" s="67">
        <f t="shared" si="11"/>
        <v>0</v>
      </c>
      <c r="AN10" s="108"/>
      <c r="AO10" s="48"/>
      <c r="AP10" s="108">
        <v>10519</v>
      </c>
      <c r="AQ10" s="109">
        <v>11246</v>
      </c>
      <c r="AR10" s="108">
        <v>4510</v>
      </c>
      <c r="AS10" s="109">
        <v>4935</v>
      </c>
      <c r="AT10" s="108">
        <v>12387</v>
      </c>
      <c r="AU10" s="109">
        <v>13325</v>
      </c>
      <c r="AV10" s="64">
        <f t="shared" si="12"/>
        <v>27416</v>
      </c>
      <c r="AW10" s="70">
        <f t="shared" si="13"/>
        <v>1142.3333333333333</v>
      </c>
      <c r="AX10" s="66">
        <f t="shared" si="14"/>
        <v>29506</v>
      </c>
      <c r="AY10" s="71">
        <f t="shared" si="15"/>
        <v>1229.4166666666667</v>
      </c>
      <c r="AZ10" s="72">
        <f t="shared" si="16"/>
        <v>6277.0999999999995</v>
      </c>
      <c r="BA10" s="66">
        <f t="shared" si="17"/>
        <v>6772.9500000000007</v>
      </c>
    </row>
    <row r="11" spans="1:53" s="115" customFormat="1" ht="15">
      <c r="A11" s="103" t="s">
        <v>73</v>
      </c>
      <c r="B11" s="104" t="s">
        <v>79</v>
      </c>
      <c r="C11" s="689"/>
      <c r="D11" s="106">
        <v>100654</v>
      </c>
      <c r="E11" s="106">
        <v>3</v>
      </c>
      <c r="F11" s="107" t="s">
        <v>75</v>
      </c>
      <c r="G11" s="47"/>
      <c r="H11" s="108"/>
      <c r="I11" s="48"/>
      <c r="J11" s="108">
        <v>48321</v>
      </c>
      <c r="K11" s="109">
        <v>51436</v>
      </c>
      <c r="L11" s="108">
        <v>4202</v>
      </c>
      <c r="M11" s="48">
        <v>4209</v>
      </c>
      <c r="N11" s="108">
        <v>65574</v>
      </c>
      <c r="O11" s="109">
        <v>71575</v>
      </c>
      <c r="P11" s="64">
        <f t="shared" si="0"/>
        <v>118097</v>
      </c>
      <c r="Q11" s="65">
        <f t="shared" si="1"/>
        <v>3936.5666666666666</v>
      </c>
      <c r="R11" s="66">
        <f t="shared" si="2"/>
        <v>127220</v>
      </c>
      <c r="S11" s="67">
        <f t="shared" si="3"/>
        <v>4240.666666666667</v>
      </c>
      <c r="T11" s="108">
        <v>0</v>
      </c>
      <c r="U11" s="48">
        <v>0</v>
      </c>
      <c r="V11" s="64">
        <f t="shared" si="4"/>
        <v>118097</v>
      </c>
      <c r="W11" s="68">
        <f t="shared" si="5"/>
        <v>127220</v>
      </c>
      <c r="X11" s="108"/>
      <c r="Y11" s="48"/>
      <c r="Z11" s="108"/>
      <c r="AA11" s="48"/>
      <c r="AB11" s="108"/>
      <c r="AC11" s="48"/>
      <c r="AD11" s="108"/>
      <c r="AE11" s="48"/>
      <c r="AF11" s="64">
        <f t="shared" si="6"/>
        <v>0</v>
      </c>
      <c r="AG11" s="65">
        <f t="shared" si="7"/>
        <v>0</v>
      </c>
      <c r="AH11" s="66">
        <f t="shared" si="8"/>
        <v>0</v>
      </c>
      <c r="AI11" s="66">
        <f t="shared" si="9"/>
        <v>0</v>
      </c>
      <c r="AJ11" s="108"/>
      <c r="AK11" s="48"/>
      <c r="AL11" s="64">
        <f t="shared" si="10"/>
        <v>0</v>
      </c>
      <c r="AM11" s="67">
        <f t="shared" si="11"/>
        <v>0</v>
      </c>
      <c r="AN11" s="108"/>
      <c r="AO11" s="48"/>
      <c r="AP11" s="108">
        <v>8228</v>
      </c>
      <c r="AQ11" s="109">
        <v>7709</v>
      </c>
      <c r="AR11" s="108">
        <v>3673</v>
      </c>
      <c r="AS11" s="109">
        <v>3205</v>
      </c>
      <c r="AT11" s="108">
        <v>9039</v>
      </c>
      <c r="AU11" s="109">
        <v>8028</v>
      </c>
      <c r="AV11" s="64">
        <f t="shared" si="12"/>
        <v>20940</v>
      </c>
      <c r="AW11" s="70">
        <f t="shared" si="13"/>
        <v>872.5</v>
      </c>
      <c r="AX11" s="66">
        <f t="shared" si="14"/>
        <v>18942</v>
      </c>
      <c r="AY11" s="71">
        <f t="shared" si="15"/>
        <v>789.25</v>
      </c>
      <c r="AZ11" s="72">
        <f t="shared" si="16"/>
        <v>4809.0666666666666</v>
      </c>
      <c r="BA11" s="66">
        <f t="shared" si="17"/>
        <v>5029.916666666667</v>
      </c>
    </row>
    <row r="12" spans="1:53" s="115" customFormat="1" ht="15">
      <c r="A12" s="103" t="s">
        <v>73</v>
      </c>
      <c r="B12" s="104" t="s">
        <v>80</v>
      </c>
      <c r="C12" s="689"/>
      <c r="D12" s="106">
        <v>101480</v>
      </c>
      <c r="E12" s="106">
        <v>3</v>
      </c>
      <c r="F12" s="107" t="s">
        <v>75</v>
      </c>
      <c r="G12" s="47"/>
      <c r="H12" s="108"/>
      <c r="I12" s="48"/>
      <c r="J12" s="108">
        <v>83498</v>
      </c>
      <c r="K12" s="48">
        <v>81171</v>
      </c>
      <c r="L12" s="108">
        <v>17065</v>
      </c>
      <c r="M12" s="48">
        <v>17221</v>
      </c>
      <c r="N12" s="108">
        <v>87002</v>
      </c>
      <c r="O12" s="48">
        <v>88712</v>
      </c>
      <c r="P12" s="64">
        <f t="shared" si="0"/>
        <v>187565</v>
      </c>
      <c r="Q12" s="65">
        <f t="shared" si="1"/>
        <v>6252.166666666667</v>
      </c>
      <c r="R12" s="66">
        <f t="shared" si="2"/>
        <v>187104</v>
      </c>
      <c r="S12" s="67">
        <f t="shared" si="3"/>
        <v>6236.8</v>
      </c>
      <c r="T12" s="108">
        <v>3573</v>
      </c>
      <c r="U12" s="109">
        <v>5067</v>
      </c>
      <c r="V12" s="64">
        <f t="shared" si="4"/>
        <v>187565</v>
      </c>
      <c r="W12" s="68">
        <f t="shared" si="5"/>
        <v>187104</v>
      </c>
      <c r="X12" s="108"/>
      <c r="Y12" s="48"/>
      <c r="Z12" s="108"/>
      <c r="AA12" s="48"/>
      <c r="AB12" s="108"/>
      <c r="AC12" s="48"/>
      <c r="AD12" s="108"/>
      <c r="AE12" s="48"/>
      <c r="AF12" s="64">
        <f t="shared" si="6"/>
        <v>0</v>
      </c>
      <c r="AG12" s="65">
        <f t="shared" si="7"/>
        <v>0</v>
      </c>
      <c r="AH12" s="66">
        <f t="shared" si="8"/>
        <v>0</v>
      </c>
      <c r="AI12" s="66">
        <f t="shared" si="9"/>
        <v>0</v>
      </c>
      <c r="AJ12" s="108"/>
      <c r="AK12" s="48"/>
      <c r="AL12" s="64">
        <f t="shared" si="10"/>
        <v>0</v>
      </c>
      <c r="AM12" s="67">
        <f t="shared" si="11"/>
        <v>0</v>
      </c>
      <c r="AN12" s="108"/>
      <c r="AO12" s="48"/>
      <c r="AP12" s="108">
        <v>5640</v>
      </c>
      <c r="AQ12" s="48">
        <v>5638</v>
      </c>
      <c r="AR12" s="108">
        <v>3462</v>
      </c>
      <c r="AS12" s="109">
        <v>3238</v>
      </c>
      <c r="AT12" s="108">
        <v>5679</v>
      </c>
      <c r="AU12" s="109">
        <v>6110</v>
      </c>
      <c r="AV12" s="64">
        <f t="shared" si="12"/>
        <v>14781</v>
      </c>
      <c r="AW12" s="70">
        <f t="shared" si="13"/>
        <v>615.875</v>
      </c>
      <c r="AX12" s="66">
        <f t="shared" si="14"/>
        <v>14986</v>
      </c>
      <c r="AY12" s="71">
        <f t="shared" si="15"/>
        <v>624.41666666666663</v>
      </c>
      <c r="AZ12" s="72">
        <f t="shared" si="16"/>
        <v>6868.041666666667</v>
      </c>
      <c r="BA12" s="66">
        <f t="shared" si="17"/>
        <v>6861.2166666666672</v>
      </c>
    </row>
    <row r="13" spans="1:53" s="115" customFormat="1" ht="15">
      <c r="A13" s="103" t="s">
        <v>73</v>
      </c>
      <c r="B13" s="104" t="s">
        <v>81</v>
      </c>
      <c r="C13" s="689"/>
      <c r="D13" s="106">
        <v>102368</v>
      </c>
      <c r="E13" s="106">
        <v>3</v>
      </c>
      <c r="F13" s="107" t="s">
        <v>75</v>
      </c>
      <c r="G13" s="47"/>
      <c r="H13" s="108"/>
      <c r="I13" s="48"/>
      <c r="J13" s="108">
        <v>116695</v>
      </c>
      <c r="K13" s="48">
        <v>118926</v>
      </c>
      <c r="L13" s="108">
        <v>20021</v>
      </c>
      <c r="M13" s="48">
        <v>19382</v>
      </c>
      <c r="N13" s="108">
        <v>127244</v>
      </c>
      <c r="O13" s="109">
        <v>134033</v>
      </c>
      <c r="P13" s="64">
        <f t="shared" si="0"/>
        <v>263960</v>
      </c>
      <c r="Q13" s="65">
        <f t="shared" si="1"/>
        <v>8798.6666666666661</v>
      </c>
      <c r="R13" s="66">
        <f t="shared" si="2"/>
        <v>272341</v>
      </c>
      <c r="S13" s="67">
        <f t="shared" si="3"/>
        <v>9078.0333333333328</v>
      </c>
      <c r="T13" s="108">
        <v>1531</v>
      </c>
      <c r="U13" s="109">
        <v>1997</v>
      </c>
      <c r="V13" s="64">
        <f t="shared" si="4"/>
        <v>263960</v>
      </c>
      <c r="W13" s="68">
        <f t="shared" si="5"/>
        <v>272341</v>
      </c>
      <c r="X13" s="108"/>
      <c r="Y13" s="48"/>
      <c r="Z13" s="108"/>
      <c r="AA13" s="48"/>
      <c r="AB13" s="108"/>
      <c r="AC13" s="48"/>
      <c r="AD13" s="108"/>
      <c r="AE13" s="48"/>
      <c r="AF13" s="64">
        <f t="shared" si="6"/>
        <v>0</v>
      </c>
      <c r="AG13" s="65">
        <f t="shared" si="7"/>
        <v>0</v>
      </c>
      <c r="AH13" s="66">
        <f t="shared" si="8"/>
        <v>0</v>
      </c>
      <c r="AI13" s="66">
        <f t="shared" si="9"/>
        <v>0</v>
      </c>
      <c r="AJ13" s="108"/>
      <c r="AK13" s="48"/>
      <c r="AL13" s="64">
        <f t="shared" si="10"/>
        <v>0</v>
      </c>
      <c r="AM13" s="67">
        <f t="shared" si="11"/>
        <v>0</v>
      </c>
      <c r="AN13" s="108"/>
      <c r="AO13" s="48"/>
      <c r="AP13" s="108">
        <v>14671</v>
      </c>
      <c r="AQ13" s="48">
        <v>15280</v>
      </c>
      <c r="AR13" s="108">
        <v>5405</v>
      </c>
      <c r="AS13" s="109">
        <v>5844</v>
      </c>
      <c r="AT13" s="108">
        <v>15119</v>
      </c>
      <c r="AU13" s="48">
        <v>15379</v>
      </c>
      <c r="AV13" s="64">
        <f t="shared" si="12"/>
        <v>35195</v>
      </c>
      <c r="AW13" s="70">
        <f t="shared" si="13"/>
        <v>1466.4583333333333</v>
      </c>
      <c r="AX13" s="66">
        <f t="shared" si="14"/>
        <v>36503</v>
      </c>
      <c r="AY13" s="71">
        <f t="shared" si="15"/>
        <v>1520.9583333333333</v>
      </c>
      <c r="AZ13" s="72">
        <f t="shared" si="16"/>
        <v>10265.125</v>
      </c>
      <c r="BA13" s="66">
        <f t="shared" si="17"/>
        <v>10598.991666666667</v>
      </c>
    </row>
    <row r="14" spans="1:53" s="115" customFormat="1" ht="15">
      <c r="A14" s="103" t="s">
        <v>73</v>
      </c>
      <c r="B14" s="104" t="s">
        <v>82</v>
      </c>
      <c r="C14" s="689" t="s">
        <v>961</v>
      </c>
      <c r="D14" s="106">
        <v>102094</v>
      </c>
      <c r="E14" s="106">
        <v>3</v>
      </c>
      <c r="F14" s="107" t="s">
        <v>75</v>
      </c>
      <c r="G14" s="47"/>
      <c r="H14" s="108"/>
      <c r="I14" s="48"/>
      <c r="J14" s="108">
        <v>121008</v>
      </c>
      <c r="K14" s="109">
        <v>128650</v>
      </c>
      <c r="L14" s="108">
        <v>23609</v>
      </c>
      <c r="M14" s="109">
        <v>25714</v>
      </c>
      <c r="N14" s="108">
        <v>137096</v>
      </c>
      <c r="O14" s="48">
        <v>141442</v>
      </c>
      <c r="P14" s="64">
        <f t="shared" si="0"/>
        <v>281713</v>
      </c>
      <c r="Q14" s="65">
        <f t="shared" si="1"/>
        <v>9390.4333333333325</v>
      </c>
      <c r="R14" s="66">
        <f t="shared" si="2"/>
        <v>295806</v>
      </c>
      <c r="S14" s="67">
        <f t="shared" si="3"/>
        <v>9860.2000000000007</v>
      </c>
      <c r="T14" s="108">
        <v>712</v>
      </c>
      <c r="U14" s="109">
        <v>816</v>
      </c>
      <c r="V14" s="64">
        <f t="shared" si="4"/>
        <v>281713</v>
      </c>
      <c r="W14" s="68">
        <f t="shared" si="5"/>
        <v>295806</v>
      </c>
      <c r="X14" s="108"/>
      <c r="Y14" s="48"/>
      <c r="Z14" s="108"/>
      <c r="AA14" s="48"/>
      <c r="AB14" s="108"/>
      <c r="AC14" s="48"/>
      <c r="AD14" s="108"/>
      <c r="AE14" s="48"/>
      <c r="AF14" s="64">
        <f t="shared" si="6"/>
        <v>0</v>
      </c>
      <c r="AG14" s="65">
        <f t="shared" si="7"/>
        <v>0</v>
      </c>
      <c r="AH14" s="66">
        <f t="shared" si="8"/>
        <v>0</v>
      </c>
      <c r="AI14" s="66">
        <f t="shared" si="9"/>
        <v>0</v>
      </c>
      <c r="AJ14" s="108"/>
      <c r="AK14" s="48"/>
      <c r="AL14" s="64">
        <f t="shared" si="10"/>
        <v>0</v>
      </c>
      <c r="AM14" s="67">
        <f t="shared" si="11"/>
        <v>0</v>
      </c>
      <c r="AN14" s="108"/>
      <c r="AO14" s="48"/>
      <c r="AP14" s="108">
        <v>7822</v>
      </c>
      <c r="AQ14" s="48">
        <v>7493</v>
      </c>
      <c r="AR14" s="108">
        <v>5043</v>
      </c>
      <c r="AS14" s="48">
        <v>4889</v>
      </c>
      <c r="AT14" s="108">
        <v>8032</v>
      </c>
      <c r="AU14" s="109">
        <v>7321</v>
      </c>
      <c r="AV14" s="64">
        <f t="shared" si="12"/>
        <v>20897</v>
      </c>
      <c r="AW14" s="70">
        <f t="shared" si="13"/>
        <v>870.70833333333337</v>
      </c>
      <c r="AX14" s="66">
        <f t="shared" si="14"/>
        <v>19703</v>
      </c>
      <c r="AY14" s="71">
        <f t="shared" si="15"/>
        <v>820.95833333333337</v>
      </c>
      <c r="AZ14" s="72">
        <f t="shared" si="16"/>
        <v>10261.141666666666</v>
      </c>
      <c r="BA14" s="66">
        <f t="shared" si="17"/>
        <v>10681.158333333335</v>
      </c>
    </row>
    <row r="15" spans="1:53" s="115" customFormat="1" ht="15">
      <c r="A15" s="103" t="s">
        <v>73</v>
      </c>
      <c r="B15" s="104" t="s">
        <v>83</v>
      </c>
      <c r="C15" s="689"/>
      <c r="D15" s="106">
        <v>100724</v>
      </c>
      <c r="E15" s="106">
        <v>4</v>
      </c>
      <c r="F15" s="107" t="s">
        <v>75</v>
      </c>
      <c r="G15" s="47"/>
      <c r="H15" s="108"/>
      <c r="I15" s="48"/>
      <c r="J15" s="108">
        <v>66828</v>
      </c>
      <c r="K15" s="109">
        <v>63470</v>
      </c>
      <c r="L15" s="108">
        <v>10100</v>
      </c>
      <c r="M15" s="109">
        <v>11537</v>
      </c>
      <c r="N15" s="108">
        <v>72910</v>
      </c>
      <c r="O15" s="48">
        <v>71475</v>
      </c>
      <c r="P15" s="64">
        <f t="shared" si="0"/>
        <v>149838</v>
      </c>
      <c r="Q15" s="65">
        <f t="shared" si="1"/>
        <v>4994.6000000000004</v>
      </c>
      <c r="R15" s="66">
        <f t="shared" si="2"/>
        <v>146482</v>
      </c>
      <c r="S15" s="67">
        <f t="shared" si="3"/>
        <v>4882.7333333333336</v>
      </c>
      <c r="T15" s="108">
        <v>120</v>
      </c>
      <c r="U15" s="109">
        <v>399</v>
      </c>
      <c r="V15" s="64">
        <f t="shared" si="4"/>
        <v>149838</v>
      </c>
      <c r="W15" s="68">
        <f t="shared" si="5"/>
        <v>146482</v>
      </c>
      <c r="X15" s="108"/>
      <c r="Y15" s="48"/>
      <c r="Z15" s="108"/>
      <c r="AA15" s="48"/>
      <c r="AB15" s="108"/>
      <c r="AC15" s="48"/>
      <c r="AD15" s="108"/>
      <c r="AE15" s="48"/>
      <c r="AF15" s="64">
        <f t="shared" si="6"/>
        <v>0</v>
      </c>
      <c r="AG15" s="65">
        <f t="shared" si="7"/>
        <v>0</v>
      </c>
      <c r="AH15" s="66">
        <f t="shared" si="8"/>
        <v>0</v>
      </c>
      <c r="AI15" s="66">
        <f t="shared" si="9"/>
        <v>0</v>
      </c>
      <c r="AJ15" s="108"/>
      <c r="AK15" s="48"/>
      <c r="AL15" s="64">
        <f t="shared" si="10"/>
        <v>0</v>
      </c>
      <c r="AM15" s="67">
        <f t="shared" si="11"/>
        <v>0</v>
      </c>
      <c r="AN15" s="108"/>
      <c r="AO15" s="48"/>
      <c r="AP15" s="108">
        <v>6183</v>
      </c>
      <c r="AQ15" s="109">
        <v>5472</v>
      </c>
      <c r="AR15" s="108">
        <v>2937</v>
      </c>
      <c r="AS15" s="109">
        <v>2488</v>
      </c>
      <c r="AT15" s="108">
        <v>5951</v>
      </c>
      <c r="AU15" s="48">
        <v>6215</v>
      </c>
      <c r="AV15" s="64">
        <f t="shared" si="12"/>
        <v>15071</v>
      </c>
      <c r="AW15" s="70">
        <f t="shared" si="13"/>
        <v>627.95833333333337</v>
      </c>
      <c r="AX15" s="66">
        <f t="shared" si="14"/>
        <v>14175</v>
      </c>
      <c r="AY15" s="71">
        <f t="shared" si="15"/>
        <v>590.625</v>
      </c>
      <c r="AZ15" s="72">
        <f t="shared" si="16"/>
        <v>5622.5583333333334</v>
      </c>
      <c r="BA15" s="66">
        <f t="shared" si="17"/>
        <v>5473.3583333333336</v>
      </c>
    </row>
    <row r="16" spans="1:53" s="115" customFormat="1" ht="15">
      <c r="A16" s="103" t="s">
        <v>73</v>
      </c>
      <c r="B16" s="104" t="s">
        <v>84</v>
      </c>
      <c r="C16" s="689" t="s">
        <v>962</v>
      </c>
      <c r="D16" s="106">
        <v>100830</v>
      </c>
      <c r="E16" s="106">
        <v>4</v>
      </c>
      <c r="F16" s="107" t="s">
        <v>75</v>
      </c>
      <c r="G16" s="47"/>
      <c r="H16" s="108"/>
      <c r="I16" s="48"/>
      <c r="J16" s="108">
        <v>45597</v>
      </c>
      <c r="K16" s="48">
        <v>44602</v>
      </c>
      <c r="L16" s="108">
        <v>10864</v>
      </c>
      <c r="M16" s="109">
        <v>10284</v>
      </c>
      <c r="N16" s="108">
        <v>50202</v>
      </c>
      <c r="O16" s="48">
        <v>50643</v>
      </c>
      <c r="P16" s="64">
        <f t="shared" si="0"/>
        <v>106663</v>
      </c>
      <c r="Q16" s="65">
        <f t="shared" si="1"/>
        <v>3555.4333333333334</v>
      </c>
      <c r="R16" s="66">
        <f t="shared" si="2"/>
        <v>105529</v>
      </c>
      <c r="S16" s="67">
        <f t="shared" si="3"/>
        <v>3517.6333333333332</v>
      </c>
      <c r="T16" s="108">
        <v>108</v>
      </c>
      <c r="U16" s="109">
        <v>120</v>
      </c>
      <c r="V16" s="64">
        <f t="shared" si="4"/>
        <v>106663</v>
      </c>
      <c r="W16" s="68">
        <f t="shared" si="5"/>
        <v>105529</v>
      </c>
      <c r="X16" s="108"/>
      <c r="Y16" s="48"/>
      <c r="Z16" s="108"/>
      <c r="AA16" s="48"/>
      <c r="AB16" s="108"/>
      <c r="AC16" s="48"/>
      <c r="AD16" s="108"/>
      <c r="AE16" s="48"/>
      <c r="AF16" s="64">
        <f t="shared" si="6"/>
        <v>0</v>
      </c>
      <c r="AG16" s="65">
        <f t="shared" si="7"/>
        <v>0</v>
      </c>
      <c r="AH16" s="66">
        <f t="shared" si="8"/>
        <v>0</v>
      </c>
      <c r="AI16" s="66">
        <f t="shared" si="9"/>
        <v>0</v>
      </c>
      <c r="AJ16" s="108"/>
      <c r="AK16" s="48"/>
      <c r="AL16" s="64">
        <f t="shared" si="10"/>
        <v>0</v>
      </c>
      <c r="AM16" s="67">
        <f t="shared" si="11"/>
        <v>0</v>
      </c>
      <c r="AN16" s="108"/>
      <c r="AO16" s="48"/>
      <c r="AP16" s="108">
        <v>4185</v>
      </c>
      <c r="AQ16" s="109">
        <v>3970</v>
      </c>
      <c r="AR16" s="108">
        <v>2152</v>
      </c>
      <c r="AS16" s="109">
        <v>2007</v>
      </c>
      <c r="AT16" s="108">
        <v>4362</v>
      </c>
      <c r="AU16" s="109">
        <v>3986</v>
      </c>
      <c r="AV16" s="64">
        <f t="shared" si="12"/>
        <v>10699</v>
      </c>
      <c r="AW16" s="70">
        <f t="shared" si="13"/>
        <v>445.79166666666669</v>
      </c>
      <c r="AX16" s="66">
        <f t="shared" si="14"/>
        <v>9963</v>
      </c>
      <c r="AY16" s="71">
        <f t="shared" si="15"/>
        <v>415.125</v>
      </c>
      <c r="AZ16" s="72">
        <f t="shared" si="16"/>
        <v>4001.2249999999999</v>
      </c>
      <c r="BA16" s="66">
        <f t="shared" si="17"/>
        <v>3932.7583333333332</v>
      </c>
    </row>
    <row r="17" spans="1:53" s="115" customFormat="1" ht="15">
      <c r="A17" s="103" t="s">
        <v>73</v>
      </c>
      <c r="B17" s="104" t="s">
        <v>85</v>
      </c>
      <c r="C17" s="690" t="s">
        <v>963</v>
      </c>
      <c r="D17" s="106">
        <v>101879</v>
      </c>
      <c r="E17" s="113">
        <v>3</v>
      </c>
      <c r="F17" s="107" t="s">
        <v>75</v>
      </c>
      <c r="G17" s="47"/>
      <c r="H17" s="108"/>
      <c r="I17" s="48"/>
      <c r="J17" s="108">
        <v>65539</v>
      </c>
      <c r="K17" s="109">
        <v>69435</v>
      </c>
      <c r="L17" s="108">
        <v>11357</v>
      </c>
      <c r="M17" s="109">
        <v>12579</v>
      </c>
      <c r="N17" s="108">
        <v>74779</v>
      </c>
      <c r="O17" s="48">
        <v>78234</v>
      </c>
      <c r="P17" s="64">
        <f t="shared" si="0"/>
        <v>151675</v>
      </c>
      <c r="Q17" s="65">
        <f t="shared" si="1"/>
        <v>5055.833333333333</v>
      </c>
      <c r="R17" s="66">
        <f t="shared" si="2"/>
        <v>160248</v>
      </c>
      <c r="S17" s="67">
        <f t="shared" si="3"/>
        <v>5341.6</v>
      </c>
      <c r="T17" s="108">
        <v>1905</v>
      </c>
      <c r="U17" s="109">
        <v>2084</v>
      </c>
      <c r="V17" s="64">
        <f t="shared" si="4"/>
        <v>151675</v>
      </c>
      <c r="W17" s="68">
        <f t="shared" si="5"/>
        <v>160248</v>
      </c>
      <c r="X17" s="108"/>
      <c r="Y17" s="48"/>
      <c r="Z17" s="108"/>
      <c r="AA17" s="48"/>
      <c r="AB17" s="108"/>
      <c r="AC17" s="48"/>
      <c r="AD17" s="108"/>
      <c r="AE17" s="48"/>
      <c r="AF17" s="64">
        <f t="shared" si="6"/>
        <v>0</v>
      </c>
      <c r="AG17" s="65">
        <f t="shared" si="7"/>
        <v>0</v>
      </c>
      <c r="AH17" s="66">
        <f t="shared" si="8"/>
        <v>0</v>
      </c>
      <c r="AI17" s="66">
        <f t="shared" si="9"/>
        <v>0</v>
      </c>
      <c r="AJ17" s="108"/>
      <c r="AK17" s="48"/>
      <c r="AL17" s="64">
        <f t="shared" si="10"/>
        <v>0</v>
      </c>
      <c r="AM17" s="67">
        <f t="shared" si="11"/>
        <v>0</v>
      </c>
      <c r="AN17" s="108"/>
      <c r="AO17" s="48"/>
      <c r="AP17" s="108">
        <v>5192</v>
      </c>
      <c r="AQ17" s="109">
        <v>5613</v>
      </c>
      <c r="AR17" s="108">
        <v>3143</v>
      </c>
      <c r="AS17" s="109">
        <v>3939</v>
      </c>
      <c r="AT17" s="108">
        <v>5760</v>
      </c>
      <c r="AU17" s="109">
        <v>6902</v>
      </c>
      <c r="AV17" s="64">
        <f t="shared" si="12"/>
        <v>14095</v>
      </c>
      <c r="AW17" s="70">
        <f t="shared" si="13"/>
        <v>587.29166666666663</v>
      </c>
      <c r="AX17" s="66">
        <f t="shared" si="14"/>
        <v>16454</v>
      </c>
      <c r="AY17" s="71">
        <f t="shared" si="15"/>
        <v>685.58333333333337</v>
      </c>
      <c r="AZ17" s="72">
        <f t="shared" si="16"/>
        <v>5643.125</v>
      </c>
      <c r="BA17" s="66">
        <f t="shared" si="17"/>
        <v>6027.1833333333334</v>
      </c>
    </row>
    <row r="18" spans="1:53" s="115" customFormat="1" ht="15">
      <c r="A18" s="103" t="s">
        <v>73</v>
      </c>
      <c r="B18" s="104" t="s">
        <v>86</v>
      </c>
      <c r="C18" s="689"/>
      <c r="D18" s="106">
        <v>101709</v>
      </c>
      <c r="E18" s="106">
        <v>5</v>
      </c>
      <c r="F18" s="107" t="s">
        <v>75</v>
      </c>
      <c r="G18" s="47"/>
      <c r="H18" s="108"/>
      <c r="I18" s="48"/>
      <c r="J18" s="108">
        <v>32692</v>
      </c>
      <c r="K18" s="48">
        <v>31118</v>
      </c>
      <c r="L18" s="108">
        <v>3960</v>
      </c>
      <c r="M18" s="109">
        <v>3748</v>
      </c>
      <c r="N18" s="108">
        <v>34467</v>
      </c>
      <c r="O18" s="48">
        <v>32828</v>
      </c>
      <c r="P18" s="64">
        <f t="shared" si="0"/>
        <v>71119</v>
      </c>
      <c r="Q18" s="65">
        <f t="shared" si="1"/>
        <v>2370.6333333333332</v>
      </c>
      <c r="R18" s="66">
        <f t="shared" si="2"/>
        <v>67694</v>
      </c>
      <c r="S18" s="67">
        <f t="shared" si="3"/>
        <v>2256.4666666666667</v>
      </c>
      <c r="T18" s="108">
        <v>79</v>
      </c>
      <c r="U18" s="109">
        <v>67</v>
      </c>
      <c r="V18" s="64">
        <f t="shared" si="4"/>
        <v>71119</v>
      </c>
      <c r="W18" s="68">
        <f t="shared" si="5"/>
        <v>67694</v>
      </c>
      <c r="X18" s="108"/>
      <c r="Y18" s="48"/>
      <c r="Z18" s="108"/>
      <c r="AA18" s="48"/>
      <c r="AB18" s="108"/>
      <c r="AC18" s="48"/>
      <c r="AD18" s="108"/>
      <c r="AE18" s="48"/>
      <c r="AF18" s="64">
        <f t="shared" si="6"/>
        <v>0</v>
      </c>
      <c r="AG18" s="65">
        <f t="shared" si="7"/>
        <v>0</v>
      </c>
      <c r="AH18" s="66">
        <f t="shared" si="8"/>
        <v>0</v>
      </c>
      <c r="AI18" s="66">
        <f t="shared" si="9"/>
        <v>0</v>
      </c>
      <c r="AJ18" s="108"/>
      <c r="AK18" s="48"/>
      <c r="AL18" s="64">
        <f t="shared" si="10"/>
        <v>0</v>
      </c>
      <c r="AM18" s="67">
        <f t="shared" si="11"/>
        <v>0</v>
      </c>
      <c r="AN18" s="108"/>
      <c r="AO18" s="48"/>
      <c r="AP18" s="108">
        <v>3015</v>
      </c>
      <c r="AQ18" s="48">
        <v>3024</v>
      </c>
      <c r="AR18" s="108">
        <v>2003</v>
      </c>
      <c r="AS18" s="48">
        <v>2068</v>
      </c>
      <c r="AT18" s="108">
        <v>3451</v>
      </c>
      <c r="AU18" s="109">
        <v>2822</v>
      </c>
      <c r="AV18" s="64">
        <f t="shared" si="12"/>
        <v>8469</v>
      </c>
      <c r="AW18" s="70">
        <f t="shared" si="13"/>
        <v>352.875</v>
      </c>
      <c r="AX18" s="66">
        <f t="shared" si="14"/>
        <v>7914</v>
      </c>
      <c r="AY18" s="71">
        <f t="shared" si="15"/>
        <v>329.75</v>
      </c>
      <c r="AZ18" s="72">
        <f t="shared" si="16"/>
        <v>2723.5083333333332</v>
      </c>
      <c r="BA18" s="66">
        <f t="shared" si="17"/>
        <v>2586.2166666666667</v>
      </c>
    </row>
    <row r="19" spans="1:53" s="115" customFormat="1" ht="15">
      <c r="A19" s="103" t="s">
        <v>73</v>
      </c>
      <c r="B19" s="104" t="s">
        <v>87</v>
      </c>
      <c r="C19" s="689"/>
      <c r="D19" s="106">
        <v>101587</v>
      </c>
      <c r="E19" s="106">
        <v>5</v>
      </c>
      <c r="F19" s="107" t="s">
        <v>75</v>
      </c>
      <c r="G19" s="47"/>
      <c r="H19" s="108"/>
      <c r="I19" s="48"/>
      <c r="J19" s="108">
        <v>23194</v>
      </c>
      <c r="K19" s="48">
        <v>24240</v>
      </c>
      <c r="L19" s="108">
        <v>3417</v>
      </c>
      <c r="M19" s="48">
        <v>3517</v>
      </c>
      <c r="N19" s="108">
        <v>26347</v>
      </c>
      <c r="O19" s="48">
        <v>27398</v>
      </c>
      <c r="P19" s="64">
        <f t="shared" si="0"/>
        <v>52958</v>
      </c>
      <c r="Q19" s="65">
        <f t="shared" si="1"/>
        <v>1765.2666666666667</v>
      </c>
      <c r="R19" s="66">
        <f t="shared" si="2"/>
        <v>55155</v>
      </c>
      <c r="S19" s="67">
        <f t="shared" si="3"/>
        <v>1838.5</v>
      </c>
      <c r="T19" s="108">
        <v>538</v>
      </c>
      <c r="U19" s="109">
        <v>459</v>
      </c>
      <c r="V19" s="64">
        <f t="shared" si="4"/>
        <v>52958</v>
      </c>
      <c r="W19" s="68">
        <f t="shared" si="5"/>
        <v>55155</v>
      </c>
      <c r="X19" s="108"/>
      <c r="Y19" s="48"/>
      <c r="Z19" s="108"/>
      <c r="AA19" s="48"/>
      <c r="AB19" s="108"/>
      <c r="AC19" s="48"/>
      <c r="AD19" s="108"/>
      <c r="AE19" s="48"/>
      <c r="AF19" s="64">
        <f t="shared" si="6"/>
        <v>0</v>
      </c>
      <c r="AG19" s="65">
        <f t="shared" si="7"/>
        <v>0</v>
      </c>
      <c r="AH19" s="66">
        <f t="shared" si="8"/>
        <v>0</v>
      </c>
      <c r="AI19" s="66">
        <f t="shared" si="9"/>
        <v>0</v>
      </c>
      <c r="AJ19" s="108"/>
      <c r="AK19" s="48"/>
      <c r="AL19" s="64">
        <f t="shared" si="10"/>
        <v>0</v>
      </c>
      <c r="AM19" s="67">
        <f t="shared" si="11"/>
        <v>0</v>
      </c>
      <c r="AN19" s="108"/>
      <c r="AO19" s="48"/>
      <c r="AP19" s="108">
        <v>12677</v>
      </c>
      <c r="AQ19" s="48">
        <v>12927</v>
      </c>
      <c r="AR19" s="108">
        <v>7202</v>
      </c>
      <c r="AS19" s="109">
        <v>10778</v>
      </c>
      <c r="AT19" s="108">
        <v>12664</v>
      </c>
      <c r="AU19" s="109">
        <v>11999</v>
      </c>
      <c r="AV19" s="64">
        <f t="shared" si="12"/>
        <v>32543</v>
      </c>
      <c r="AW19" s="70">
        <f t="shared" si="13"/>
        <v>1355.9583333333333</v>
      </c>
      <c r="AX19" s="66">
        <f t="shared" si="14"/>
        <v>35704</v>
      </c>
      <c r="AY19" s="71">
        <f t="shared" si="15"/>
        <v>1487.6666666666667</v>
      </c>
      <c r="AZ19" s="72">
        <f t="shared" si="16"/>
        <v>3121.2249999999999</v>
      </c>
      <c r="BA19" s="66">
        <f t="shared" si="17"/>
        <v>3326.166666666667</v>
      </c>
    </row>
    <row r="20" spans="1:53" s="115" customFormat="1" ht="15">
      <c r="A20" s="103" t="s">
        <v>73</v>
      </c>
      <c r="B20" s="104" t="s">
        <v>88</v>
      </c>
      <c r="C20" s="689"/>
      <c r="D20" s="103" t="s">
        <v>89</v>
      </c>
      <c r="E20" s="106">
        <v>6</v>
      </c>
      <c r="F20" s="107" t="s">
        <v>75</v>
      </c>
      <c r="G20" s="47"/>
      <c r="H20" s="108"/>
      <c r="I20" s="48"/>
      <c r="J20" s="108">
        <v>27909</v>
      </c>
      <c r="K20" s="48">
        <v>27438</v>
      </c>
      <c r="L20" s="108">
        <v>13925</v>
      </c>
      <c r="M20" s="48">
        <v>13758</v>
      </c>
      <c r="N20" s="108">
        <v>28582</v>
      </c>
      <c r="O20" s="48">
        <v>28322</v>
      </c>
      <c r="P20" s="64">
        <f t="shared" si="0"/>
        <v>70416</v>
      </c>
      <c r="Q20" s="65">
        <f t="shared" si="1"/>
        <v>2347.1999999999998</v>
      </c>
      <c r="R20" s="66">
        <f t="shared" si="2"/>
        <v>69518</v>
      </c>
      <c r="S20" s="67">
        <f t="shared" si="3"/>
        <v>2317.2666666666669</v>
      </c>
      <c r="T20" s="108">
        <v>0</v>
      </c>
      <c r="U20" s="48">
        <v>0</v>
      </c>
      <c r="V20" s="64">
        <f t="shared" si="4"/>
        <v>70416</v>
      </c>
      <c r="W20" s="68">
        <f t="shared" si="5"/>
        <v>69518</v>
      </c>
      <c r="X20" s="108"/>
      <c r="Y20" s="48"/>
      <c r="Z20" s="108"/>
      <c r="AA20" s="48"/>
      <c r="AB20" s="108"/>
      <c r="AC20" s="48"/>
      <c r="AD20" s="108"/>
      <c r="AE20" s="48"/>
      <c r="AF20" s="64">
        <f t="shared" si="6"/>
        <v>0</v>
      </c>
      <c r="AG20" s="65">
        <f t="shared" si="7"/>
        <v>0</v>
      </c>
      <c r="AH20" s="66">
        <f t="shared" si="8"/>
        <v>0</v>
      </c>
      <c r="AI20" s="66">
        <f t="shared" si="9"/>
        <v>0</v>
      </c>
      <c r="AJ20" s="108"/>
      <c r="AK20" s="48"/>
      <c r="AL20" s="64">
        <f t="shared" si="10"/>
        <v>0</v>
      </c>
      <c r="AM20" s="67">
        <f t="shared" si="11"/>
        <v>0</v>
      </c>
      <c r="AN20" s="108"/>
      <c r="AO20" s="48"/>
      <c r="AP20" s="108"/>
      <c r="AQ20" s="109">
        <v>48</v>
      </c>
      <c r="AR20" s="108"/>
      <c r="AS20" s="109">
        <v>36</v>
      </c>
      <c r="AT20" s="108"/>
      <c r="AU20" s="109">
        <v>225</v>
      </c>
      <c r="AV20" s="64">
        <f t="shared" si="12"/>
        <v>0</v>
      </c>
      <c r="AW20" s="70">
        <f t="shared" si="13"/>
        <v>0</v>
      </c>
      <c r="AX20" s="66">
        <f t="shared" si="14"/>
        <v>309</v>
      </c>
      <c r="AY20" s="71">
        <f t="shared" si="15"/>
        <v>12.875</v>
      </c>
      <c r="AZ20" s="72">
        <f t="shared" si="16"/>
        <v>2347.1999999999998</v>
      </c>
      <c r="BA20" s="66">
        <f t="shared" si="17"/>
        <v>2330.1416666666669</v>
      </c>
    </row>
    <row r="21" spans="1:53" s="115" customFormat="1" ht="15">
      <c r="A21" s="103" t="s">
        <v>73</v>
      </c>
      <c r="B21" s="104" t="s">
        <v>90</v>
      </c>
      <c r="C21" s="689"/>
      <c r="D21" s="106">
        <v>101505</v>
      </c>
      <c r="E21" s="106">
        <v>8</v>
      </c>
      <c r="F21" s="107" t="s">
        <v>75</v>
      </c>
      <c r="G21" s="47"/>
      <c r="H21" s="108"/>
      <c r="I21" s="48"/>
      <c r="J21" s="108">
        <v>63475</v>
      </c>
      <c r="K21" s="48">
        <v>63108</v>
      </c>
      <c r="L21" s="108">
        <v>34347</v>
      </c>
      <c r="M21" s="48">
        <v>33576</v>
      </c>
      <c r="N21" s="108">
        <v>72520</v>
      </c>
      <c r="O21" s="48">
        <v>72945</v>
      </c>
      <c r="P21" s="64">
        <f t="shared" si="0"/>
        <v>170342</v>
      </c>
      <c r="Q21" s="65">
        <f t="shared" si="1"/>
        <v>5678.0666666666666</v>
      </c>
      <c r="R21" s="66">
        <f t="shared" si="2"/>
        <v>169629</v>
      </c>
      <c r="S21" s="67">
        <f t="shared" si="3"/>
        <v>5654.3</v>
      </c>
      <c r="T21" s="108">
        <v>8099</v>
      </c>
      <c r="U21" s="109">
        <v>9603</v>
      </c>
      <c r="V21" s="64">
        <f t="shared" si="4"/>
        <v>170342</v>
      </c>
      <c r="W21" s="68">
        <f t="shared" si="5"/>
        <v>169629</v>
      </c>
      <c r="X21" s="108"/>
      <c r="Y21" s="48"/>
      <c r="Z21" s="108"/>
      <c r="AA21" s="48"/>
      <c r="AB21" s="108"/>
      <c r="AC21" s="48"/>
      <c r="AD21" s="108"/>
      <c r="AE21" s="48"/>
      <c r="AF21" s="64">
        <f t="shared" si="6"/>
        <v>0</v>
      </c>
      <c r="AG21" s="65">
        <f t="shared" si="7"/>
        <v>0</v>
      </c>
      <c r="AH21" s="66">
        <f t="shared" si="8"/>
        <v>0</v>
      </c>
      <c r="AI21" s="66">
        <f t="shared" si="9"/>
        <v>0</v>
      </c>
      <c r="AJ21" s="108"/>
      <c r="AK21" s="48"/>
      <c r="AL21" s="64">
        <f t="shared" si="10"/>
        <v>0</v>
      </c>
      <c r="AM21" s="67">
        <f t="shared" si="11"/>
        <v>0</v>
      </c>
      <c r="AN21" s="108"/>
      <c r="AO21" s="48"/>
      <c r="AP21" s="108"/>
      <c r="AQ21" s="48"/>
      <c r="AR21" s="108"/>
      <c r="AS21" s="48"/>
      <c r="AT21" s="108"/>
      <c r="AU21" s="48"/>
      <c r="AV21" s="64">
        <f t="shared" si="12"/>
        <v>0</v>
      </c>
      <c r="AW21" s="70">
        <f t="shared" si="13"/>
        <v>0</v>
      </c>
      <c r="AX21" s="66">
        <f t="shared" si="14"/>
        <v>0</v>
      </c>
      <c r="AY21" s="71">
        <f t="shared" si="15"/>
        <v>0</v>
      </c>
      <c r="AZ21" s="72">
        <f t="shared" si="16"/>
        <v>5678.0666666666666</v>
      </c>
      <c r="BA21" s="66">
        <f t="shared" si="17"/>
        <v>5654.3</v>
      </c>
    </row>
    <row r="22" spans="1:53" s="115" customFormat="1" ht="15">
      <c r="A22" s="103" t="s">
        <v>73</v>
      </c>
      <c r="B22" s="104" t="s">
        <v>91</v>
      </c>
      <c r="C22" s="689"/>
      <c r="D22" s="106">
        <v>101514</v>
      </c>
      <c r="E22" s="106">
        <v>8</v>
      </c>
      <c r="F22" s="107" t="s">
        <v>75</v>
      </c>
      <c r="G22" s="47"/>
      <c r="H22" s="108"/>
      <c r="I22" s="48"/>
      <c r="J22" s="108">
        <v>88381</v>
      </c>
      <c r="K22" s="109">
        <v>81719</v>
      </c>
      <c r="L22" s="108">
        <v>39190</v>
      </c>
      <c r="M22" s="109">
        <v>36350</v>
      </c>
      <c r="N22" s="108">
        <v>89515</v>
      </c>
      <c r="O22" s="48">
        <v>88103</v>
      </c>
      <c r="P22" s="64">
        <f t="shared" si="0"/>
        <v>217086</v>
      </c>
      <c r="Q22" s="65">
        <f t="shared" si="1"/>
        <v>7236.2</v>
      </c>
      <c r="R22" s="66">
        <f t="shared" si="2"/>
        <v>206172</v>
      </c>
      <c r="S22" s="67">
        <f t="shared" si="3"/>
        <v>6872.4</v>
      </c>
      <c r="T22" s="108">
        <v>8700</v>
      </c>
      <c r="U22" s="109">
        <v>9765</v>
      </c>
      <c r="V22" s="64">
        <f t="shared" si="4"/>
        <v>217086</v>
      </c>
      <c r="W22" s="68">
        <f t="shared" si="5"/>
        <v>206172</v>
      </c>
      <c r="X22" s="108"/>
      <c r="Y22" s="48"/>
      <c r="Z22" s="108"/>
      <c r="AA22" s="48"/>
      <c r="AB22" s="108"/>
      <c r="AC22" s="48"/>
      <c r="AD22" s="108"/>
      <c r="AE22" s="48"/>
      <c r="AF22" s="64">
        <f t="shared" si="6"/>
        <v>0</v>
      </c>
      <c r="AG22" s="65">
        <f t="shared" si="7"/>
        <v>0</v>
      </c>
      <c r="AH22" s="66">
        <f t="shared" si="8"/>
        <v>0</v>
      </c>
      <c r="AI22" s="66">
        <f t="shared" si="9"/>
        <v>0</v>
      </c>
      <c r="AJ22" s="108"/>
      <c r="AK22" s="48"/>
      <c r="AL22" s="64">
        <f t="shared" si="10"/>
        <v>0</v>
      </c>
      <c r="AM22" s="67">
        <f t="shared" si="11"/>
        <v>0</v>
      </c>
      <c r="AN22" s="108"/>
      <c r="AO22" s="48"/>
      <c r="AP22" s="108"/>
      <c r="AQ22" s="48"/>
      <c r="AR22" s="108"/>
      <c r="AS22" s="48"/>
      <c r="AT22" s="108"/>
      <c r="AU22" s="48"/>
      <c r="AV22" s="64">
        <f t="shared" si="12"/>
        <v>0</v>
      </c>
      <c r="AW22" s="70">
        <f t="shared" si="13"/>
        <v>0</v>
      </c>
      <c r="AX22" s="66">
        <f t="shared" si="14"/>
        <v>0</v>
      </c>
      <c r="AY22" s="71">
        <f t="shared" si="15"/>
        <v>0</v>
      </c>
      <c r="AZ22" s="72">
        <f t="shared" si="16"/>
        <v>7236.2</v>
      </c>
      <c r="BA22" s="66">
        <f t="shared" si="17"/>
        <v>6872.4</v>
      </c>
    </row>
    <row r="23" spans="1:53" s="115" customFormat="1" ht="15">
      <c r="A23" s="103" t="s">
        <v>73</v>
      </c>
      <c r="B23" s="104" t="s">
        <v>92</v>
      </c>
      <c r="C23" s="689"/>
      <c r="D23" s="106">
        <v>102429</v>
      </c>
      <c r="E23" s="106">
        <v>9</v>
      </c>
      <c r="F23" s="107" t="s">
        <v>75</v>
      </c>
      <c r="G23" s="47"/>
      <c r="H23" s="108"/>
      <c r="I23" s="48"/>
      <c r="J23" s="108">
        <v>33070</v>
      </c>
      <c r="K23" s="48">
        <v>34096</v>
      </c>
      <c r="L23" s="108">
        <v>15523</v>
      </c>
      <c r="M23" s="48">
        <v>16188</v>
      </c>
      <c r="N23" s="108">
        <v>35895</v>
      </c>
      <c r="O23" s="48">
        <v>36363</v>
      </c>
      <c r="P23" s="64">
        <f t="shared" si="0"/>
        <v>84488</v>
      </c>
      <c r="Q23" s="65">
        <f t="shared" si="1"/>
        <v>2816.2666666666669</v>
      </c>
      <c r="R23" s="66">
        <f t="shared" si="2"/>
        <v>86647</v>
      </c>
      <c r="S23" s="67">
        <f t="shared" si="3"/>
        <v>2888.2333333333331</v>
      </c>
      <c r="T23" s="108">
        <v>4969</v>
      </c>
      <c r="U23" s="109">
        <v>5606</v>
      </c>
      <c r="V23" s="64">
        <f t="shared" si="4"/>
        <v>84488</v>
      </c>
      <c r="W23" s="68">
        <f t="shared" si="5"/>
        <v>86647</v>
      </c>
      <c r="X23" s="108"/>
      <c r="Y23" s="48"/>
      <c r="Z23" s="108"/>
      <c r="AA23" s="48"/>
      <c r="AB23" s="108"/>
      <c r="AC23" s="48"/>
      <c r="AD23" s="108"/>
      <c r="AE23" s="48"/>
      <c r="AF23" s="64">
        <f t="shared" si="6"/>
        <v>0</v>
      </c>
      <c r="AG23" s="65">
        <f t="shared" si="7"/>
        <v>0</v>
      </c>
      <c r="AH23" s="66">
        <f t="shared" si="8"/>
        <v>0</v>
      </c>
      <c r="AI23" s="66">
        <f t="shared" si="9"/>
        <v>0</v>
      </c>
      <c r="AJ23" s="108"/>
      <c r="AK23" s="48"/>
      <c r="AL23" s="64">
        <f t="shared" si="10"/>
        <v>0</v>
      </c>
      <c r="AM23" s="67">
        <f t="shared" si="11"/>
        <v>0</v>
      </c>
      <c r="AN23" s="108"/>
      <c r="AO23" s="48"/>
      <c r="AP23" s="108"/>
      <c r="AQ23" s="48"/>
      <c r="AR23" s="108"/>
      <c r="AS23" s="48"/>
      <c r="AT23" s="108"/>
      <c r="AU23" s="48"/>
      <c r="AV23" s="64">
        <f t="shared" si="12"/>
        <v>0</v>
      </c>
      <c r="AW23" s="70">
        <f t="shared" si="13"/>
        <v>0</v>
      </c>
      <c r="AX23" s="66">
        <f t="shared" si="14"/>
        <v>0</v>
      </c>
      <c r="AY23" s="71">
        <f t="shared" si="15"/>
        <v>0</v>
      </c>
      <c r="AZ23" s="72">
        <f t="shared" si="16"/>
        <v>2816.2666666666669</v>
      </c>
      <c r="BA23" s="66">
        <f t="shared" si="17"/>
        <v>2888.2333333333331</v>
      </c>
    </row>
    <row r="24" spans="1:53" ht="15">
      <c r="A24" s="103" t="s">
        <v>73</v>
      </c>
      <c r="B24" s="111" t="s">
        <v>93</v>
      </c>
      <c r="C24" s="689"/>
      <c r="D24" s="106">
        <v>102030</v>
      </c>
      <c r="E24" s="106">
        <v>9</v>
      </c>
      <c r="F24" s="107" t="s">
        <v>75</v>
      </c>
      <c r="G24" s="47"/>
      <c r="H24" s="108"/>
      <c r="I24" s="48"/>
      <c r="J24" s="108">
        <v>30950</v>
      </c>
      <c r="K24" s="109">
        <v>29366</v>
      </c>
      <c r="L24" s="108">
        <v>10858</v>
      </c>
      <c r="M24" s="109">
        <v>10188</v>
      </c>
      <c r="N24" s="108">
        <v>30316</v>
      </c>
      <c r="O24" s="48">
        <v>29533</v>
      </c>
      <c r="P24" s="64">
        <f t="shared" si="0"/>
        <v>72124</v>
      </c>
      <c r="Q24" s="65">
        <f t="shared" si="1"/>
        <v>2404.1333333333332</v>
      </c>
      <c r="R24" s="66">
        <f t="shared" si="2"/>
        <v>69087</v>
      </c>
      <c r="S24" s="67">
        <f t="shared" si="3"/>
        <v>2302.9</v>
      </c>
      <c r="T24" s="108">
        <v>3022</v>
      </c>
      <c r="U24" s="109">
        <v>3488</v>
      </c>
      <c r="V24" s="64">
        <f t="shared" si="4"/>
        <v>72124</v>
      </c>
      <c r="W24" s="68">
        <f t="shared" si="5"/>
        <v>69087</v>
      </c>
      <c r="X24" s="108"/>
      <c r="Y24" s="48"/>
      <c r="Z24" s="108"/>
      <c r="AA24" s="48"/>
      <c r="AB24" s="108"/>
      <c r="AC24" s="48"/>
      <c r="AD24" s="108"/>
      <c r="AE24" s="48"/>
      <c r="AF24" s="64">
        <f t="shared" si="6"/>
        <v>0</v>
      </c>
      <c r="AG24" s="65">
        <f t="shared" si="7"/>
        <v>0</v>
      </c>
      <c r="AH24" s="66">
        <f t="shared" si="8"/>
        <v>0</v>
      </c>
      <c r="AI24" s="66">
        <f t="shared" si="9"/>
        <v>0</v>
      </c>
      <c r="AJ24" s="108"/>
      <c r="AK24" s="48"/>
      <c r="AL24" s="64">
        <f t="shared" si="10"/>
        <v>0</v>
      </c>
      <c r="AM24" s="67">
        <f t="shared" si="11"/>
        <v>0</v>
      </c>
      <c r="AN24" s="108"/>
      <c r="AO24" s="48"/>
      <c r="AP24" s="108"/>
      <c r="AQ24" s="48"/>
      <c r="AR24" s="108"/>
      <c r="AS24" s="48"/>
      <c r="AT24" s="108"/>
      <c r="AU24" s="48"/>
      <c r="AV24" s="64">
        <f t="shared" si="12"/>
        <v>0</v>
      </c>
      <c r="AW24" s="70">
        <f t="shared" si="13"/>
        <v>0</v>
      </c>
      <c r="AX24" s="66">
        <f t="shared" si="14"/>
        <v>0</v>
      </c>
      <c r="AY24" s="71">
        <f t="shared" si="15"/>
        <v>0</v>
      </c>
      <c r="AZ24" s="72">
        <f t="shared" si="16"/>
        <v>2404.1333333333332</v>
      </c>
      <c r="BA24" s="66">
        <f t="shared" si="17"/>
        <v>2302.9</v>
      </c>
    </row>
    <row r="25" spans="1:53" ht="15">
      <c r="A25" s="103" t="s">
        <v>73</v>
      </c>
      <c r="B25" s="104" t="s">
        <v>94</v>
      </c>
      <c r="C25" s="690" t="s">
        <v>964</v>
      </c>
      <c r="D25" s="106">
        <v>101143</v>
      </c>
      <c r="E25" s="113">
        <v>10</v>
      </c>
      <c r="F25" s="107" t="s">
        <v>75</v>
      </c>
      <c r="G25" s="47"/>
      <c r="H25" s="108"/>
      <c r="I25" s="48"/>
      <c r="J25" s="108">
        <v>18637</v>
      </c>
      <c r="K25" s="109">
        <v>17337</v>
      </c>
      <c r="L25" s="108">
        <v>6708</v>
      </c>
      <c r="M25" s="109">
        <v>5827</v>
      </c>
      <c r="N25" s="108">
        <v>19300</v>
      </c>
      <c r="O25" s="109">
        <v>17619</v>
      </c>
      <c r="P25" s="64">
        <f t="shared" si="0"/>
        <v>44645</v>
      </c>
      <c r="Q25" s="65">
        <f t="shared" si="1"/>
        <v>1488.1666666666667</v>
      </c>
      <c r="R25" s="66">
        <f t="shared" si="2"/>
        <v>40783</v>
      </c>
      <c r="S25" s="67">
        <f t="shared" si="3"/>
        <v>1359.4333333333334</v>
      </c>
      <c r="T25" s="108">
        <v>3899</v>
      </c>
      <c r="U25" s="109">
        <v>4549.5</v>
      </c>
      <c r="V25" s="64">
        <f t="shared" si="4"/>
        <v>44645</v>
      </c>
      <c r="W25" s="68">
        <f t="shared" si="5"/>
        <v>40783</v>
      </c>
      <c r="X25" s="108"/>
      <c r="Y25" s="48"/>
      <c r="Z25" s="108"/>
      <c r="AA25" s="48"/>
      <c r="AB25" s="108"/>
      <c r="AC25" s="48"/>
      <c r="AD25" s="108"/>
      <c r="AE25" s="48"/>
      <c r="AF25" s="64">
        <f t="shared" si="6"/>
        <v>0</v>
      </c>
      <c r="AG25" s="65">
        <f t="shared" si="7"/>
        <v>0</v>
      </c>
      <c r="AH25" s="66">
        <f t="shared" si="8"/>
        <v>0</v>
      </c>
      <c r="AI25" s="66">
        <f t="shared" si="9"/>
        <v>0</v>
      </c>
      <c r="AJ25" s="108"/>
      <c r="AK25" s="48"/>
      <c r="AL25" s="64">
        <f t="shared" si="10"/>
        <v>0</v>
      </c>
      <c r="AM25" s="67">
        <f t="shared" si="11"/>
        <v>0</v>
      </c>
      <c r="AN25" s="108"/>
      <c r="AO25" s="48"/>
      <c r="AP25" s="108"/>
      <c r="AQ25" s="48"/>
      <c r="AR25" s="108"/>
      <c r="AS25" s="48"/>
      <c r="AT25" s="108"/>
      <c r="AU25" s="48"/>
      <c r="AV25" s="64">
        <f t="shared" si="12"/>
        <v>0</v>
      </c>
      <c r="AW25" s="70">
        <f t="shared" si="13"/>
        <v>0</v>
      </c>
      <c r="AX25" s="66">
        <f t="shared" si="14"/>
        <v>0</v>
      </c>
      <c r="AY25" s="71">
        <f t="shared" si="15"/>
        <v>0</v>
      </c>
      <c r="AZ25" s="72">
        <f t="shared" si="16"/>
        <v>1488.1666666666667</v>
      </c>
      <c r="BA25" s="66">
        <f t="shared" si="17"/>
        <v>1359.4333333333334</v>
      </c>
    </row>
    <row r="26" spans="1:53" ht="15">
      <c r="A26" s="103" t="s">
        <v>73</v>
      </c>
      <c r="B26" s="104" t="s">
        <v>95</v>
      </c>
      <c r="C26" s="689"/>
      <c r="D26" s="106">
        <v>101240</v>
      </c>
      <c r="E26" s="113">
        <v>9</v>
      </c>
      <c r="F26" s="107" t="s">
        <v>75</v>
      </c>
      <c r="G26" s="47"/>
      <c r="H26" s="108"/>
      <c r="I26" s="48"/>
      <c r="J26" s="108">
        <v>48967</v>
      </c>
      <c r="K26" s="48">
        <v>46880</v>
      </c>
      <c r="L26" s="108">
        <v>19473</v>
      </c>
      <c r="M26" s="48">
        <v>20126</v>
      </c>
      <c r="N26" s="108">
        <v>50607</v>
      </c>
      <c r="O26" s="48">
        <v>50963</v>
      </c>
      <c r="P26" s="64">
        <f t="shared" si="0"/>
        <v>119047</v>
      </c>
      <c r="Q26" s="65">
        <f t="shared" si="1"/>
        <v>3968.2333333333331</v>
      </c>
      <c r="R26" s="66">
        <f t="shared" si="2"/>
        <v>117969</v>
      </c>
      <c r="S26" s="67">
        <f t="shared" si="3"/>
        <v>3932.3</v>
      </c>
      <c r="T26" s="108">
        <v>3356</v>
      </c>
      <c r="U26" s="109">
        <v>4713</v>
      </c>
      <c r="V26" s="64">
        <f t="shared" si="4"/>
        <v>119047</v>
      </c>
      <c r="W26" s="68">
        <f t="shared" si="5"/>
        <v>117969</v>
      </c>
      <c r="X26" s="108"/>
      <c r="Y26" s="48"/>
      <c r="Z26" s="108"/>
      <c r="AA26" s="48"/>
      <c r="AB26" s="108"/>
      <c r="AC26" s="48"/>
      <c r="AD26" s="108"/>
      <c r="AE26" s="48"/>
      <c r="AF26" s="64">
        <f t="shared" si="6"/>
        <v>0</v>
      </c>
      <c r="AG26" s="65">
        <f t="shared" si="7"/>
        <v>0</v>
      </c>
      <c r="AH26" s="66">
        <f t="shared" si="8"/>
        <v>0</v>
      </c>
      <c r="AI26" s="66">
        <f t="shared" si="9"/>
        <v>0</v>
      </c>
      <c r="AJ26" s="108"/>
      <c r="AK26" s="48"/>
      <c r="AL26" s="64">
        <f t="shared" si="10"/>
        <v>0</v>
      </c>
      <c r="AM26" s="67">
        <f t="shared" si="11"/>
        <v>0</v>
      </c>
      <c r="AN26" s="108"/>
      <c r="AO26" s="48"/>
      <c r="AP26" s="108"/>
      <c r="AQ26" s="48"/>
      <c r="AR26" s="108"/>
      <c r="AS26" s="48"/>
      <c r="AT26" s="108"/>
      <c r="AU26" s="48"/>
      <c r="AV26" s="64">
        <f t="shared" si="12"/>
        <v>0</v>
      </c>
      <c r="AW26" s="70">
        <f t="shared" si="13"/>
        <v>0</v>
      </c>
      <c r="AX26" s="66">
        <f t="shared" si="14"/>
        <v>0</v>
      </c>
      <c r="AY26" s="71">
        <f t="shared" si="15"/>
        <v>0</v>
      </c>
      <c r="AZ26" s="72">
        <f t="shared" si="16"/>
        <v>3968.2333333333331</v>
      </c>
      <c r="BA26" s="66">
        <f t="shared" si="17"/>
        <v>3932.3</v>
      </c>
    </row>
    <row r="27" spans="1:53" ht="15">
      <c r="A27" s="103" t="s">
        <v>73</v>
      </c>
      <c r="B27" s="104" t="s">
        <v>96</v>
      </c>
      <c r="C27" s="689"/>
      <c r="D27" s="106">
        <v>101286</v>
      </c>
      <c r="E27" s="106">
        <v>9</v>
      </c>
      <c r="F27" s="107" t="s">
        <v>75</v>
      </c>
      <c r="G27" s="47"/>
      <c r="H27" s="108"/>
      <c r="I27" s="48"/>
      <c r="J27" s="108">
        <v>43238</v>
      </c>
      <c r="K27" s="109">
        <v>40110</v>
      </c>
      <c r="L27" s="108">
        <v>19161</v>
      </c>
      <c r="M27" s="109">
        <v>17372</v>
      </c>
      <c r="N27" s="108">
        <v>45555</v>
      </c>
      <c r="O27" s="109">
        <v>42446</v>
      </c>
      <c r="P27" s="64">
        <f t="shared" si="0"/>
        <v>107954</v>
      </c>
      <c r="Q27" s="65">
        <f t="shared" si="1"/>
        <v>3598.4666666666667</v>
      </c>
      <c r="R27" s="66">
        <f t="shared" si="2"/>
        <v>99928</v>
      </c>
      <c r="S27" s="67">
        <f t="shared" si="3"/>
        <v>3330.9333333333334</v>
      </c>
      <c r="T27" s="108">
        <v>5240</v>
      </c>
      <c r="U27" s="109">
        <v>5542</v>
      </c>
      <c r="V27" s="64">
        <f t="shared" si="4"/>
        <v>107954</v>
      </c>
      <c r="W27" s="68">
        <f t="shared" si="5"/>
        <v>99928</v>
      </c>
      <c r="X27" s="108"/>
      <c r="Y27" s="48"/>
      <c r="Z27" s="108"/>
      <c r="AA27" s="48"/>
      <c r="AB27" s="108"/>
      <c r="AC27" s="48"/>
      <c r="AD27" s="108"/>
      <c r="AE27" s="48"/>
      <c r="AF27" s="64">
        <f t="shared" si="6"/>
        <v>0</v>
      </c>
      <c r="AG27" s="65">
        <f t="shared" si="7"/>
        <v>0</v>
      </c>
      <c r="AH27" s="66">
        <f t="shared" si="8"/>
        <v>0</v>
      </c>
      <c r="AI27" s="66">
        <f t="shared" si="9"/>
        <v>0</v>
      </c>
      <c r="AJ27" s="108"/>
      <c r="AK27" s="48"/>
      <c r="AL27" s="64">
        <f t="shared" si="10"/>
        <v>0</v>
      </c>
      <c r="AM27" s="67">
        <f t="shared" si="11"/>
        <v>0</v>
      </c>
      <c r="AN27" s="108"/>
      <c r="AO27" s="48"/>
      <c r="AP27" s="108"/>
      <c r="AQ27" s="48"/>
      <c r="AR27" s="108"/>
      <c r="AS27" s="48"/>
      <c r="AT27" s="108"/>
      <c r="AU27" s="48"/>
      <c r="AV27" s="64">
        <f t="shared" si="12"/>
        <v>0</v>
      </c>
      <c r="AW27" s="70">
        <f t="shared" si="13"/>
        <v>0</v>
      </c>
      <c r="AX27" s="66">
        <f t="shared" si="14"/>
        <v>0</v>
      </c>
      <c r="AY27" s="71">
        <f t="shared" si="15"/>
        <v>0</v>
      </c>
      <c r="AZ27" s="72">
        <f t="shared" si="16"/>
        <v>3598.4666666666667</v>
      </c>
      <c r="BA27" s="66">
        <f t="shared" si="17"/>
        <v>3330.9333333333334</v>
      </c>
    </row>
    <row r="28" spans="1:53" ht="15">
      <c r="A28" s="103" t="s">
        <v>73</v>
      </c>
      <c r="B28" s="104" t="s">
        <v>97</v>
      </c>
      <c r="C28" s="689"/>
      <c r="D28" s="106">
        <v>101161</v>
      </c>
      <c r="E28" s="106">
        <v>9</v>
      </c>
      <c r="F28" s="107" t="s">
        <v>75</v>
      </c>
      <c r="G28" s="47"/>
      <c r="H28" s="108"/>
      <c r="I28" s="48"/>
      <c r="J28" s="108">
        <v>45677</v>
      </c>
      <c r="K28" s="48">
        <v>45876</v>
      </c>
      <c r="L28" s="108">
        <v>19322</v>
      </c>
      <c r="M28" s="48">
        <v>18866</v>
      </c>
      <c r="N28" s="108">
        <v>49973</v>
      </c>
      <c r="O28" s="48">
        <v>50261</v>
      </c>
      <c r="P28" s="64">
        <f t="shared" si="0"/>
        <v>114972</v>
      </c>
      <c r="Q28" s="65">
        <f t="shared" si="1"/>
        <v>3832.4</v>
      </c>
      <c r="R28" s="66">
        <f t="shared" si="2"/>
        <v>115003</v>
      </c>
      <c r="S28" s="67">
        <f t="shared" si="3"/>
        <v>3833.4333333333334</v>
      </c>
      <c r="T28" s="108">
        <v>3028</v>
      </c>
      <c r="U28" s="109">
        <v>2051</v>
      </c>
      <c r="V28" s="64">
        <f t="shared" si="4"/>
        <v>114972</v>
      </c>
      <c r="W28" s="68">
        <f t="shared" si="5"/>
        <v>115003</v>
      </c>
      <c r="X28" s="108"/>
      <c r="Y28" s="48"/>
      <c r="Z28" s="108"/>
      <c r="AA28" s="48"/>
      <c r="AB28" s="108"/>
      <c r="AC28" s="48"/>
      <c r="AD28" s="108"/>
      <c r="AE28" s="48"/>
      <c r="AF28" s="64">
        <f t="shared" si="6"/>
        <v>0</v>
      </c>
      <c r="AG28" s="65">
        <f t="shared" si="7"/>
        <v>0</v>
      </c>
      <c r="AH28" s="66">
        <f t="shared" si="8"/>
        <v>0</v>
      </c>
      <c r="AI28" s="66">
        <f t="shared" si="9"/>
        <v>0</v>
      </c>
      <c r="AJ28" s="108"/>
      <c r="AK28" s="48"/>
      <c r="AL28" s="64">
        <f t="shared" si="10"/>
        <v>0</v>
      </c>
      <c r="AM28" s="67">
        <f t="shared" si="11"/>
        <v>0</v>
      </c>
      <c r="AN28" s="108"/>
      <c r="AO28" s="48"/>
      <c r="AP28" s="108"/>
      <c r="AQ28" s="48"/>
      <c r="AR28" s="108"/>
      <c r="AS28" s="48"/>
      <c r="AT28" s="108"/>
      <c r="AU28" s="48"/>
      <c r="AV28" s="64">
        <f t="shared" si="12"/>
        <v>0</v>
      </c>
      <c r="AW28" s="70">
        <f t="shared" si="13"/>
        <v>0</v>
      </c>
      <c r="AX28" s="66">
        <f t="shared" si="14"/>
        <v>0</v>
      </c>
      <c r="AY28" s="71">
        <f t="shared" si="15"/>
        <v>0</v>
      </c>
      <c r="AZ28" s="72">
        <f t="shared" si="16"/>
        <v>3832.4</v>
      </c>
      <c r="BA28" s="66">
        <f t="shared" si="17"/>
        <v>3833.4333333333334</v>
      </c>
    </row>
    <row r="29" spans="1:53" ht="15">
      <c r="A29" s="103" t="s">
        <v>73</v>
      </c>
      <c r="B29" s="104" t="s">
        <v>98</v>
      </c>
      <c r="C29" s="689"/>
      <c r="D29" s="106">
        <v>101569</v>
      </c>
      <c r="E29" s="106">
        <v>9</v>
      </c>
      <c r="F29" s="107" t="s">
        <v>75</v>
      </c>
      <c r="G29" s="47"/>
      <c r="H29" s="108"/>
      <c r="I29" s="48"/>
      <c r="J29" s="108">
        <v>29363</v>
      </c>
      <c r="K29" s="48">
        <v>30199</v>
      </c>
      <c r="L29" s="108">
        <v>11150</v>
      </c>
      <c r="M29" s="48">
        <v>11234</v>
      </c>
      <c r="N29" s="108">
        <v>33450</v>
      </c>
      <c r="O29" s="48">
        <v>32929</v>
      </c>
      <c r="P29" s="64">
        <f t="shared" si="0"/>
        <v>73963</v>
      </c>
      <c r="Q29" s="65">
        <f t="shared" si="1"/>
        <v>2465.4333333333334</v>
      </c>
      <c r="R29" s="66">
        <f t="shared" si="2"/>
        <v>74362</v>
      </c>
      <c r="S29" s="67">
        <f t="shared" si="3"/>
        <v>2478.7333333333331</v>
      </c>
      <c r="T29" s="108">
        <v>1283</v>
      </c>
      <c r="U29" s="109">
        <v>2166</v>
      </c>
      <c r="V29" s="64">
        <f t="shared" si="4"/>
        <v>73963</v>
      </c>
      <c r="W29" s="68">
        <f t="shared" si="5"/>
        <v>74362</v>
      </c>
      <c r="X29" s="108"/>
      <c r="Y29" s="48"/>
      <c r="Z29" s="108"/>
      <c r="AA29" s="48"/>
      <c r="AB29" s="108"/>
      <c r="AC29" s="48"/>
      <c r="AD29" s="108"/>
      <c r="AE29" s="48"/>
      <c r="AF29" s="64">
        <f t="shared" si="6"/>
        <v>0</v>
      </c>
      <c r="AG29" s="65">
        <f t="shared" si="7"/>
        <v>0</v>
      </c>
      <c r="AH29" s="66">
        <f t="shared" si="8"/>
        <v>0</v>
      </c>
      <c r="AI29" s="66">
        <f t="shared" si="9"/>
        <v>0</v>
      </c>
      <c r="AJ29" s="108"/>
      <c r="AK29" s="48"/>
      <c r="AL29" s="64">
        <f t="shared" si="10"/>
        <v>0</v>
      </c>
      <c r="AM29" s="67">
        <f t="shared" si="11"/>
        <v>0</v>
      </c>
      <c r="AN29" s="108"/>
      <c r="AO29" s="48"/>
      <c r="AP29" s="108"/>
      <c r="AQ29" s="48"/>
      <c r="AR29" s="108"/>
      <c r="AS29" s="48"/>
      <c r="AT29" s="108"/>
      <c r="AU29" s="48"/>
      <c r="AV29" s="64">
        <f t="shared" si="12"/>
        <v>0</v>
      </c>
      <c r="AW29" s="70">
        <f t="shared" si="13"/>
        <v>0</v>
      </c>
      <c r="AX29" s="66">
        <f t="shared" si="14"/>
        <v>0</v>
      </c>
      <c r="AY29" s="71">
        <f t="shared" si="15"/>
        <v>0</v>
      </c>
      <c r="AZ29" s="72">
        <f t="shared" si="16"/>
        <v>2465.4333333333334</v>
      </c>
      <c r="BA29" s="66">
        <f t="shared" si="17"/>
        <v>2478.7333333333331</v>
      </c>
    </row>
    <row r="30" spans="1:53" ht="15">
      <c r="A30" s="103" t="s">
        <v>73</v>
      </c>
      <c r="B30" s="111" t="s">
        <v>99</v>
      </c>
      <c r="C30" s="689" t="s">
        <v>965</v>
      </c>
      <c r="D30" s="106">
        <v>101897</v>
      </c>
      <c r="E30" s="106">
        <v>9</v>
      </c>
      <c r="F30" s="107" t="s">
        <v>75</v>
      </c>
      <c r="G30" s="47"/>
      <c r="H30" s="108"/>
      <c r="I30" s="48"/>
      <c r="J30" s="108">
        <v>22853</v>
      </c>
      <c r="K30" s="48">
        <v>22693</v>
      </c>
      <c r="L30" s="108">
        <v>9114</v>
      </c>
      <c r="M30" s="109">
        <v>9856</v>
      </c>
      <c r="N30" s="108">
        <v>25274</v>
      </c>
      <c r="O30" s="48">
        <v>24625</v>
      </c>
      <c r="P30" s="64">
        <f t="shared" si="0"/>
        <v>57241</v>
      </c>
      <c r="Q30" s="65">
        <f t="shared" si="1"/>
        <v>1908.0333333333333</v>
      </c>
      <c r="R30" s="66">
        <f t="shared" si="2"/>
        <v>57174</v>
      </c>
      <c r="S30" s="67">
        <f t="shared" si="3"/>
        <v>1905.8</v>
      </c>
      <c r="T30" s="108">
        <v>5915</v>
      </c>
      <c r="U30" s="48">
        <v>6188</v>
      </c>
      <c r="V30" s="64">
        <f t="shared" si="4"/>
        <v>57241</v>
      </c>
      <c r="W30" s="68">
        <f t="shared" si="5"/>
        <v>57174</v>
      </c>
      <c r="X30" s="108"/>
      <c r="Y30" s="48"/>
      <c r="Z30" s="108"/>
      <c r="AA30" s="48"/>
      <c r="AB30" s="108"/>
      <c r="AC30" s="48"/>
      <c r="AD30" s="108"/>
      <c r="AE30" s="48"/>
      <c r="AF30" s="64">
        <f t="shared" si="6"/>
        <v>0</v>
      </c>
      <c r="AG30" s="65">
        <f t="shared" si="7"/>
        <v>0</v>
      </c>
      <c r="AH30" s="66">
        <f t="shared" si="8"/>
        <v>0</v>
      </c>
      <c r="AI30" s="66">
        <f t="shared" si="9"/>
        <v>0</v>
      </c>
      <c r="AJ30" s="108"/>
      <c r="AK30" s="48"/>
      <c r="AL30" s="64">
        <f t="shared" si="10"/>
        <v>0</v>
      </c>
      <c r="AM30" s="67">
        <f t="shared" si="11"/>
        <v>0</v>
      </c>
      <c r="AN30" s="108"/>
      <c r="AO30" s="48"/>
      <c r="AP30" s="108"/>
      <c r="AQ30" s="48"/>
      <c r="AR30" s="108"/>
      <c r="AS30" s="48"/>
      <c r="AT30" s="108"/>
      <c r="AU30" s="48"/>
      <c r="AV30" s="64">
        <f t="shared" si="12"/>
        <v>0</v>
      </c>
      <c r="AW30" s="70">
        <f t="shared" si="13"/>
        <v>0</v>
      </c>
      <c r="AX30" s="66">
        <f t="shared" si="14"/>
        <v>0</v>
      </c>
      <c r="AY30" s="71">
        <f t="shared" si="15"/>
        <v>0</v>
      </c>
      <c r="AZ30" s="72">
        <f t="shared" si="16"/>
        <v>1908.0333333333333</v>
      </c>
      <c r="BA30" s="66">
        <f t="shared" si="17"/>
        <v>1905.8</v>
      </c>
    </row>
    <row r="31" spans="1:53" ht="15">
      <c r="A31" s="103" t="s">
        <v>73</v>
      </c>
      <c r="B31" s="104" t="s">
        <v>100</v>
      </c>
      <c r="C31" s="689"/>
      <c r="D31" s="106">
        <v>101736</v>
      </c>
      <c r="E31" s="106">
        <v>9</v>
      </c>
      <c r="F31" s="107" t="s">
        <v>75</v>
      </c>
      <c r="G31" s="47"/>
      <c r="H31" s="108"/>
      <c r="I31" s="48"/>
      <c r="J31" s="108">
        <v>32099</v>
      </c>
      <c r="K31" s="109">
        <v>29500</v>
      </c>
      <c r="L31" s="108">
        <v>12217</v>
      </c>
      <c r="M31" s="109">
        <v>11564</v>
      </c>
      <c r="N31" s="108">
        <v>33729</v>
      </c>
      <c r="O31" s="48">
        <v>33313</v>
      </c>
      <c r="P31" s="64">
        <f t="shared" si="0"/>
        <v>78045</v>
      </c>
      <c r="Q31" s="65">
        <f t="shared" si="1"/>
        <v>2601.5</v>
      </c>
      <c r="R31" s="66">
        <f t="shared" si="2"/>
        <v>74377</v>
      </c>
      <c r="S31" s="67">
        <f t="shared" si="3"/>
        <v>2479.2333333333331</v>
      </c>
      <c r="T31" s="108">
        <v>5282</v>
      </c>
      <c r="U31" s="48">
        <v>5438</v>
      </c>
      <c r="V31" s="64">
        <f t="shared" si="4"/>
        <v>78045</v>
      </c>
      <c r="W31" s="68">
        <f t="shared" si="5"/>
        <v>74377</v>
      </c>
      <c r="X31" s="108"/>
      <c r="Y31" s="48"/>
      <c r="Z31" s="108"/>
      <c r="AA31" s="48"/>
      <c r="AB31" s="108"/>
      <c r="AC31" s="48"/>
      <c r="AD31" s="108"/>
      <c r="AE31" s="48"/>
      <c r="AF31" s="64">
        <f t="shared" si="6"/>
        <v>0</v>
      </c>
      <c r="AG31" s="65">
        <f t="shared" si="7"/>
        <v>0</v>
      </c>
      <c r="AH31" s="66">
        <f t="shared" si="8"/>
        <v>0</v>
      </c>
      <c r="AI31" s="66">
        <f t="shared" si="9"/>
        <v>0</v>
      </c>
      <c r="AJ31" s="108"/>
      <c r="AK31" s="48"/>
      <c r="AL31" s="64">
        <f t="shared" si="10"/>
        <v>0</v>
      </c>
      <c r="AM31" s="67">
        <f t="shared" si="11"/>
        <v>0</v>
      </c>
      <c r="AN31" s="108"/>
      <c r="AO31" s="48"/>
      <c r="AP31" s="108"/>
      <c r="AQ31" s="48"/>
      <c r="AR31" s="108"/>
      <c r="AS31" s="48"/>
      <c r="AT31" s="108"/>
      <c r="AU31" s="48"/>
      <c r="AV31" s="64">
        <f t="shared" si="12"/>
        <v>0</v>
      </c>
      <c r="AW31" s="70">
        <f t="shared" si="13"/>
        <v>0</v>
      </c>
      <c r="AX31" s="66">
        <f t="shared" si="14"/>
        <v>0</v>
      </c>
      <c r="AY31" s="71">
        <f t="shared" si="15"/>
        <v>0</v>
      </c>
      <c r="AZ31" s="72">
        <f t="shared" si="16"/>
        <v>2601.5</v>
      </c>
      <c r="BA31" s="66">
        <f t="shared" si="17"/>
        <v>2479.2333333333331</v>
      </c>
    </row>
    <row r="32" spans="1:53" ht="15">
      <c r="A32" s="103" t="s">
        <v>73</v>
      </c>
      <c r="B32" s="104" t="s">
        <v>101</v>
      </c>
      <c r="C32" s="689"/>
      <c r="D32" s="106">
        <v>102067</v>
      </c>
      <c r="E32" s="106">
        <v>9</v>
      </c>
      <c r="F32" s="107" t="s">
        <v>75</v>
      </c>
      <c r="G32" s="47"/>
      <c r="H32" s="108"/>
      <c r="I32" s="48"/>
      <c r="J32" s="108">
        <v>43730</v>
      </c>
      <c r="K32" s="109">
        <v>40846</v>
      </c>
      <c r="L32" s="108">
        <v>20194</v>
      </c>
      <c r="M32" s="109">
        <v>21217</v>
      </c>
      <c r="N32" s="108">
        <v>47297</v>
      </c>
      <c r="O32" s="48">
        <v>46389</v>
      </c>
      <c r="P32" s="64">
        <f t="shared" si="0"/>
        <v>111221</v>
      </c>
      <c r="Q32" s="65">
        <f t="shared" si="1"/>
        <v>3707.3666666666668</v>
      </c>
      <c r="R32" s="66">
        <f t="shared" si="2"/>
        <v>108452</v>
      </c>
      <c r="S32" s="67">
        <f t="shared" si="3"/>
        <v>3615.0666666666666</v>
      </c>
      <c r="T32" s="108">
        <v>1713</v>
      </c>
      <c r="U32" s="48">
        <v>1774</v>
      </c>
      <c r="V32" s="64">
        <f t="shared" si="4"/>
        <v>111221</v>
      </c>
      <c r="W32" s="68">
        <f t="shared" si="5"/>
        <v>108452</v>
      </c>
      <c r="X32" s="108"/>
      <c r="Y32" s="48"/>
      <c r="Z32" s="108"/>
      <c r="AA32" s="48"/>
      <c r="AB32" s="108"/>
      <c r="AC32" s="48"/>
      <c r="AD32" s="108"/>
      <c r="AE32" s="48"/>
      <c r="AF32" s="64">
        <f t="shared" si="6"/>
        <v>0</v>
      </c>
      <c r="AG32" s="65">
        <f t="shared" si="7"/>
        <v>0</v>
      </c>
      <c r="AH32" s="66">
        <f t="shared" si="8"/>
        <v>0</v>
      </c>
      <c r="AI32" s="66">
        <f t="shared" si="9"/>
        <v>0</v>
      </c>
      <c r="AJ32" s="108"/>
      <c r="AK32" s="48"/>
      <c r="AL32" s="64">
        <f t="shared" si="10"/>
        <v>0</v>
      </c>
      <c r="AM32" s="67">
        <f t="shared" si="11"/>
        <v>0</v>
      </c>
      <c r="AN32" s="108"/>
      <c r="AO32" s="48"/>
      <c r="AP32" s="108"/>
      <c r="AQ32" s="48"/>
      <c r="AR32" s="108"/>
      <c r="AS32" s="48"/>
      <c r="AT32" s="108"/>
      <c r="AU32" s="48"/>
      <c r="AV32" s="64">
        <f t="shared" si="12"/>
        <v>0</v>
      </c>
      <c r="AW32" s="70">
        <f t="shared" si="13"/>
        <v>0</v>
      </c>
      <c r="AX32" s="66">
        <f t="shared" si="14"/>
        <v>0</v>
      </c>
      <c r="AY32" s="71">
        <f t="shared" si="15"/>
        <v>0</v>
      </c>
      <c r="AZ32" s="72">
        <f t="shared" si="16"/>
        <v>3707.3666666666668</v>
      </c>
      <c r="BA32" s="66">
        <f t="shared" si="17"/>
        <v>3615.0666666666666</v>
      </c>
    </row>
    <row r="33" spans="1:53" ht="15">
      <c r="A33" s="103" t="s">
        <v>73</v>
      </c>
      <c r="B33" s="104" t="s">
        <v>102</v>
      </c>
      <c r="C33" s="689"/>
      <c r="D33" s="106">
        <v>251260</v>
      </c>
      <c r="E33" s="106">
        <v>9</v>
      </c>
      <c r="F33" s="107" t="s">
        <v>75</v>
      </c>
      <c r="G33" s="47"/>
      <c r="H33" s="108"/>
      <c r="I33" s="48"/>
      <c r="J33" s="108">
        <v>47479</v>
      </c>
      <c r="K33" s="48">
        <v>46483</v>
      </c>
      <c r="L33" s="108">
        <v>20187</v>
      </c>
      <c r="M33" s="48">
        <v>19741</v>
      </c>
      <c r="N33" s="108">
        <v>50250</v>
      </c>
      <c r="O33" s="48">
        <v>49024</v>
      </c>
      <c r="P33" s="64">
        <f t="shared" si="0"/>
        <v>117916</v>
      </c>
      <c r="Q33" s="65">
        <f t="shared" si="1"/>
        <v>3930.5333333333333</v>
      </c>
      <c r="R33" s="66">
        <f t="shared" si="2"/>
        <v>115248</v>
      </c>
      <c r="S33" s="67">
        <f t="shared" si="3"/>
        <v>3841.6</v>
      </c>
      <c r="T33" s="108">
        <v>1443</v>
      </c>
      <c r="U33" s="109">
        <v>2055</v>
      </c>
      <c r="V33" s="64">
        <f t="shared" si="4"/>
        <v>117916</v>
      </c>
      <c r="W33" s="68">
        <f t="shared" si="5"/>
        <v>115248</v>
      </c>
      <c r="X33" s="108"/>
      <c r="Y33" s="48"/>
      <c r="Z33" s="108"/>
      <c r="AA33" s="48"/>
      <c r="AB33" s="108"/>
      <c r="AC33" s="48"/>
      <c r="AD33" s="108"/>
      <c r="AE33" s="48"/>
      <c r="AF33" s="64">
        <f t="shared" si="6"/>
        <v>0</v>
      </c>
      <c r="AG33" s="65">
        <f t="shared" si="7"/>
        <v>0</v>
      </c>
      <c r="AH33" s="66">
        <f t="shared" si="8"/>
        <v>0</v>
      </c>
      <c r="AI33" s="66">
        <f t="shared" si="9"/>
        <v>0</v>
      </c>
      <c r="AJ33" s="108"/>
      <c r="AK33" s="48"/>
      <c r="AL33" s="64">
        <f t="shared" si="10"/>
        <v>0</v>
      </c>
      <c r="AM33" s="67">
        <f t="shared" si="11"/>
        <v>0</v>
      </c>
      <c r="AN33" s="108"/>
      <c r="AO33" s="48"/>
      <c r="AP33" s="108"/>
      <c r="AQ33" s="48"/>
      <c r="AR33" s="108"/>
      <c r="AS33" s="48"/>
      <c r="AT33" s="108"/>
      <c r="AU33" s="48"/>
      <c r="AV33" s="64">
        <f t="shared" si="12"/>
        <v>0</v>
      </c>
      <c r="AW33" s="70">
        <f t="shared" si="13"/>
        <v>0</v>
      </c>
      <c r="AX33" s="66">
        <f t="shared" si="14"/>
        <v>0</v>
      </c>
      <c r="AY33" s="71">
        <f t="shared" si="15"/>
        <v>0</v>
      </c>
      <c r="AZ33" s="72">
        <f t="shared" si="16"/>
        <v>3930.5333333333333</v>
      </c>
      <c r="BA33" s="66">
        <f t="shared" si="17"/>
        <v>3841.6</v>
      </c>
    </row>
    <row r="34" spans="1:53" ht="15">
      <c r="A34" s="103" t="s">
        <v>73</v>
      </c>
      <c r="B34" s="104" t="s">
        <v>103</v>
      </c>
      <c r="C34" s="689"/>
      <c r="D34" s="106">
        <v>101295</v>
      </c>
      <c r="E34" s="106">
        <v>9</v>
      </c>
      <c r="F34" s="107" t="s">
        <v>75</v>
      </c>
      <c r="G34" s="47"/>
      <c r="H34" s="108"/>
      <c r="I34" s="48"/>
      <c r="J34" s="108">
        <v>51463</v>
      </c>
      <c r="K34" s="48">
        <v>50671</v>
      </c>
      <c r="L34" s="108">
        <v>21595</v>
      </c>
      <c r="M34" s="48">
        <v>21620</v>
      </c>
      <c r="N34" s="108">
        <v>56467</v>
      </c>
      <c r="O34" s="48">
        <v>56916</v>
      </c>
      <c r="P34" s="64">
        <f t="shared" si="0"/>
        <v>129525</v>
      </c>
      <c r="Q34" s="65">
        <f t="shared" si="1"/>
        <v>4317.5</v>
      </c>
      <c r="R34" s="66">
        <f t="shared" si="2"/>
        <v>129207</v>
      </c>
      <c r="S34" s="67">
        <f t="shared" si="3"/>
        <v>4306.8999999999996</v>
      </c>
      <c r="T34" s="108">
        <v>7022</v>
      </c>
      <c r="U34" s="109">
        <v>5387</v>
      </c>
      <c r="V34" s="64">
        <f t="shared" si="4"/>
        <v>129525</v>
      </c>
      <c r="W34" s="68">
        <f t="shared" si="5"/>
        <v>129207</v>
      </c>
      <c r="X34" s="108"/>
      <c r="Y34" s="48"/>
      <c r="Z34" s="108"/>
      <c r="AA34" s="48"/>
      <c r="AB34" s="108"/>
      <c r="AC34" s="48"/>
      <c r="AD34" s="108"/>
      <c r="AE34" s="48"/>
      <c r="AF34" s="64">
        <f t="shared" si="6"/>
        <v>0</v>
      </c>
      <c r="AG34" s="65">
        <f t="shared" si="7"/>
        <v>0</v>
      </c>
      <c r="AH34" s="66">
        <f t="shared" si="8"/>
        <v>0</v>
      </c>
      <c r="AI34" s="66">
        <f t="shared" si="9"/>
        <v>0</v>
      </c>
      <c r="AJ34" s="108"/>
      <c r="AK34" s="48"/>
      <c r="AL34" s="64">
        <f t="shared" si="10"/>
        <v>0</v>
      </c>
      <c r="AM34" s="67">
        <f t="shared" si="11"/>
        <v>0</v>
      </c>
      <c r="AN34" s="108"/>
      <c r="AO34" s="48"/>
      <c r="AP34" s="108"/>
      <c r="AQ34" s="48"/>
      <c r="AR34" s="108"/>
      <c r="AS34" s="48"/>
      <c r="AT34" s="108"/>
      <c r="AU34" s="48"/>
      <c r="AV34" s="64">
        <f t="shared" si="12"/>
        <v>0</v>
      </c>
      <c r="AW34" s="70">
        <f t="shared" si="13"/>
        <v>0</v>
      </c>
      <c r="AX34" s="66">
        <f t="shared" si="14"/>
        <v>0</v>
      </c>
      <c r="AY34" s="71">
        <f t="shared" si="15"/>
        <v>0</v>
      </c>
      <c r="AZ34" s="72">
        <f t="shared" si="16"/>
        <v>4317.5</v>
      </c>
      <c r="BA34" s="66">
        <f t="shared" si="17"/>
        <v>4306.8999999999996</v>
      </c>
    </row>
    <row r="35" spans="1:53" ht="15">
      <c r="A35" s="103" t="s">
        <v>73</v>
      </c>
      <c r="B35" s="104" t="s">
        <v>104</v>
      </c>
      <c r="C35" s="689"/>
      <c r="D35" s="106">
        <v>101949</v>
      </c>
      <c r="E35" s="106">
        <v>10</v>
      </c>
      <c r="F35" s="107" t="s">
        <v>75</v>
      </c>
      <c r="G35" s="47"/>
      <c r="H35" s="108"/>
      <c r="I35" s="48"/>
      <c r="J35" s="108">
        <v>14544</v>
      </c>
      <c r="K35" s="109">
        <v>13603</v>
      </c>
      <c r="L35" s="108">
        <v>4295</v>
      </c>
      <c r="M35" s="109">
        <v>4794</v>
      </c>
      <c r="N35" s="108">
        <v>14742</v>
      </c>
      <c r="O35" s="48">
        <v>14255</v>
      </c>
      <c r="P35" s="64">
        <f t="shared" si="0"/>
        <v>33581</v>
      </c>
      <c r="Q35" s="65">
        <f t="shared" si="1"/>
        <v>1119.3666666666666</v>
      </c>
      <c r="R35" s="66">
        <f t="shared" si="2"/>
        <v>32652</v>
      </c>
      <c r="S35" s="67">
        <f t="shared" si="3"/>
        <v>1088.4000000000001</v>
      </c>
      <c r="T35" s="108">
        <v>2127</v>
      </c>
      <c r="U35" s="48">
        <v>2125</v>
      </c>
      <c r="V35" s="64">
        <f t="shared" si="4"/>
        <v>33581</v>
      </c>
      <c r="W35" s="68">
        <f t="shared" si="5"/>
        <v>32652</v>
      </c>
      <c r="X35" s="108"/>
      <c r="Y35" s="48"/>
      <c r="Z35" s="108"/>
      <c r="AA35" s="48"/>
      <c r="AB35" s="108"/>
      <c r="AC35" s="48"/>
      <c r="AD35" s="108"/>
      <c r="AE35" s="48"/>
      <c r="AF35" s="64">
        <f t="shared" si="6"/>
        <v>0</v>
      </c>
      <c r="AG35" s="65">
        <f t="shared" si="7"/>
        <v>0</v>
      </c>
      <c r="AH35" s="66">
        <f t="shared" si="8"/>
        <v>0</v>
      </c>
      <c r="AI35" s="66">
        <f t="shared" si="9"/>
        <v>0</v>
      </c>
      <c r="AJ35" s="108"/>
      <c r="AK35" s="48"/>
      <c r="AL35" s="64">
        <f t="shared" si="10"/>
        <v>0</v>
      </c>
      <c r="AM35" s="67">
        <f t="shared" si="11"/>
        <v>0</v>
      </c>
      <c r="AN35" s="108"/>
      <c r="AO35" s="48"/>
      <c r="AP35" s="108"/>
      <c r="AQ35" s="48"/>
      <c r="AR35" s="108"/>
      <c r="AS35" s="48"/>
      <c r="AT35" s="108"/>
      <c r="AU35" s="48"/>
      <c r="AV35" s="64">
        <f t="shared" si="12"/>
        <v>0</v>
      </c>
      <c r="AW35" s="70">
        <f t="shared" si="13"/>
        <v>0</v>
      </c>
      <c r="AX35" s="66">
        <f t="shared" si="14"/>
        <v>0</v>
      </c>
      <c r="AY35" s="71">
        <f t="shared" si="15"/>
        <v>0</v>
      </c>
      <c r="AZ35" s="72">
        <f t="shared" si="16"/>
        <v>1119.3666666666666</v>
      </c>
      <c r="BA35" s="66">
        <f t="shared" si="17"/>
        <v>1088.4000000000001</v>
      </c>
    </row>
    <row r="36" spans="1:53" ht="15">
      <c r="A36" s="103" t="s">
        <v>73</v>
      </c>
      <c r="B36" s="104" t="s">
        <v>105</v>
      </c>
      <c r="C36" s="689"/>
      <c r="D36" s="106">
        <v>100760</v>
      </c>
      <c r="E36" s="106">
        <v>10</v>
      </c>
      <c r="F36" s="107" t="s">
        <v>75</v>
      </c>
      <c r="G36" s="47"/>
      <c r="H36" s="108"/>
      <c r="I36" s="48"/>
      <c r="J36" s="108">
        <v>17716</v>
      </c>
      <c r="K36" s="109">
        <v>16720</v>
      </c>
      <c r="L36" s="108">
        <v>6577</v>
      </c>
      <c r="M36" s="109">
        <v>6157</v>
      </c>
      <c r="N36" s="108">
        <v>18575</v>
      </c>
      <c r="O36" s="48">
        <v>18080</v>
      </c>
      <c r="P36" s="64">
        <f t="shared" si="0"/>
        <v>42868</v>
      </c>
      <c r="Q36" s="65">
        <f t="shared" si="1"/>
        <v>1428.9333333333334</v>
      </c>
      <c r="R36" s="66">
        <f t="shared" si="2"/>
        <v>40957</v>
      </c>
      <c r="S36" s="67">
        <f t="shared" si="3"/>
        <v>1365.2333333333333</v>
      </c>
      <c r="T36" s="108">
        <v>1489</v>
      </c>
      <c r="U36" s="109">
        <v>2248</v>
      </c>
      <c r="V36" s="64">
        <f t="shared" si="4"/>
        <v>42868</v>
      </c>
      <c r="W36" s="68">
        <f t="shared" si="5"/>
        <v>40957</v>
      </c>
      <c r="X36" s="108"/>
      <c r="Y36" s="48"/>
      <c r="Z36" s="108"/>
      <c r="AA36" s="48"/>
      <c r="AB36" s="108"/>
      <c r="AC36" s="48"/>
      <c r="AD36" s="108"/>
      <c r="AE36" s="48"/>
      <c r="AF36" s="64">
        <f t="shared" si="6"/>
        <v>0</v>
      </c>
      <c r="AG36" s="65">
        <f t="shared" si="7"/>
        <v>0</v>
      </c>
      <c r="AH36" s="66">
        <f t="shared" si="8"/>
        <v>0</v>
      </c>
      <c r="AI36" s="66">
        <f t="shared" si="9"/>
        <v>0</v>
      </c>
      <c r="AJ36" s="108"/>
      <c r="AK36" s="48"/>
      <c r="AL36" s="64">
        <f t="shared" si="10"/>
        <v>0</v>
      </c>
      <c r="AM36" s="67">
        <f t="shared" si="11"/>
        <v>0</v>
      </c>
      <c r="AN36" s="108"/>
      <c r="AO36" s="48"/>
      <c r="AP36" s="108"/>
      <c r="AQ36" s="48"/>
      <c r="AR36" s="108"/>
      <c r="AS36" s="48"/>
      <c r="AT36" s="108"/>
      <c r="AU36" s="48"/>
      <c r="AV36" s="64">
        <f t="shared" si="12"/>
        <v>0</v>
      </c>
      <c r="AW36" s="70">
        <f t="shared" si="13"/>
        <v>0</v>
      </c>
      <c r="AX36" s="66">
        <f t="shared" si="14"/>
        <v>0</v>
      </c>
      <c r="AY36" s="71">
        <f t="shared" si="15"/>
        <v>0</v>
      </c>
      <c r="AZ36" s="72">
        <f t="shared" si="16"/>
        <v>1428.9333333333334</v>
      </c>
      <c r="BA36" s="66">
        <f t="shared" si="17"/>
        <v>1365.2333333333333</v>
      </c>
    </row>
    <row r="37" spans="1:53" ht="15">
      <c r="A37" s="103" t="s">
        <v>73</v>
      </c>
      <c r="B37" s="104" t="s">
        <v>106</v>
      </c>
      <c r="C37" s="689"/>
      <c r="D37" s="106">
        <v>101028</v>
      </c>
      <c r="E37" s="106">
        <v>10</v>
      </c>
      <c r="F37" s="107" t="s">
        <v>75</v>
      </c>
      <c r="G37" s="47"/>
      <c r="H37" s="108"/>
      <c r="I37" s="48"/>
      <c r="J37" s="108">
        <v>17771</v>
      </c>
      <c r="K37" s="109">
        <v>16745</v>
      </c>
      <c r="L37" s="108">
        <v>6812</v>
      </c>
      <c r="M37" s="109">
        <v>6066</v>
      </c>
      <c r="N37" s="108">
        <v>17259</v>
      </c>
      <c r="O37" s="109">
        <v>15709</v>
      </c>
      <c r="P37" s="64">
        <f t="shared" si="0"/>
        <v>41842</v>
      </c>
      <c r="Q37" s="65">
        <f t="shared" si="1"/>
        <v>1394.7333333333333</v>
      </c>
      <c r="R37" s="66">
        <f t="shared" si="2"/>
        <v>38520</v>
      </c>
      <c r="S37" s="67">
        <f t="shared" si="3"/>
        <v>1284</v>
      </c>
      <c r="T37" s="108">
        <v>748</v>
      </c>
      <c r="U37" s="109">
        <v>1070</v>
      </c>
      <c r="V37" s="64">
        <f t="shared" si="4"/>
        <v>41842</v>
      </c>
      <c r="W37" s="68">
        <f t="shared" si="5"/>
        <v>38520</v>
      </c>
      <c r="X37" s="108"/>
      <c r="Y37" s="48"/>
      <c r="Z37" s="108"/>
      <c r="AA37" s="48"/>
      <c r="AB37" s="108"/>
      <c r="AC37" s="48"/>
      <c r="AD37" s="108"/>
      <c r="AE37" s="48"/>
      <c r="AF37" s="64">
        <f t="shared" si="6"/>
        <v>0</v>
      </c>
      <c r="AG37" s="65">
        <f t="shared" si="7"/>
        <v>0</v>
      </c>
      <c r="AH37" s="66">
        <f t="shared" si="8"/>
        <v>0</v>
      </c>
      <c r="AI37" s="66">
        <f t="shared" si="9"/>
        <v>0</v>
      </c>
      <c r="AJ37" s="108"/>
      <c r="AK37" s="48"/>
      <c r="AL37" s="64">
        <f t="shared" si="10"/>
        <v>0</v>
      </c>
      <c r="AM37" s="67">
        <f t="shared" si="11"/>
        <v>0</v>
      </c>
      <c r="AN37" s="108"/>
      <c r="AO37" s="48"/>
      <c r="AP37" s="108"/>
      <c r="AQ37" s="48"/>
      <c r="AR37" s="108"/>
      <c r="AS37" s="48"/>
      <c r="AT37" s="108"/>
      <c r="AU37" s="48"/>
      <c r="AV37" s="64">
        <f t="shared" si="12"/>
        <v>0</v>
      </c>
      <c r="AW37" s="70">
        <f t="shared" si="13"/>
        <v>0</v>
      </c>
      <c r="AX37" s="66">
        <f t="shared" si="14"/>
        <v>0</v>
      </c>
      <c r="AY37" s="71">
        <f t="shared" si="15"/>
        <v>0</v>
      </c>
      <c r="AZ37" s="72">
        <f t="shared" si="16"/>
        <v>1394.7333333333333</v>
      </c>
      <c r="BA37" s="66">
        <f t="shared" si="17"/>
        <v>1284</v>
      </c>
    </row>
    <row r="38" spans="1:53" ht="15">
      <c r="A38" s="103" t="s">
        <v>73</v>
      </c>
      <c r="B38" s="104" t="s">
        <v>107</v>
      </c>
      <c r="C38" s="689"/>
      <c r="D38" s="106">
        <v>101301</v>
      </c>
      <c r="E38" s="106">
        <v>10</v>
      </c>
      <c r="F38" s="107" t="s">
        <v>75</v>
      </c>
      <c r="G38" s="47"/>
      <c r="H38" s="108"/>
      <c r="I38" s="48"/>
      <c r="J38" s="108">
        <v>17041</v>
      </c>
      <c r="K38" s="109">
        <v>15830</v>
      </c>
      <c r="L38" s="108">
        <v>9634</v>
      </c>
      <c r="M38" s="109">
        <v>10898</v>
      </c>
      <c r="N38" s="108">
        <v>16887</v>
      </c>
      <c r="O38" s="48">
        <v>17187</v>
      </c>
      <c r="P38" s="64">
        <f t="shared" si="0"/>
        <v>43562</v>
      </c>
      <c r="Q38" s="65">
        <f t="shared" si="1"/>
        <v>1452.0666666666666</v>
      </c>
      <c r="R38" s="66">
        <f t="shared" si="2"/>
        <v>43915</v>
      </c>
      <c r="S38" s="67">
        <f t="shared" si="3"/>
        <v>1463.8333333333333</v>
      </c>
      <c r="T38" s="108">
        <v>2893</v>
      </c>
      <c r="U38" s="109">
        <v>2488</v>
      </c>
      <c r="V38" s="64">
        <f t="shared" si="4"/>
        <v>43562</v>
      </c>
      <c r="W38" s="68">
        <f t="shared" si="5"/>
        <v>43915</v>
      </c>
      <c r="X38" s="108"/>
      <c r="Y38" s="48"/>
      <c r="Z38" s="108"/>
      <c r="AA38" s="48"/>
      <c r="AB38" s="108"/>
      <c r="AC38" s="48"/>
      <c r="AD38" s="108"/>
      <c r="AE38" s="48"/>
      <c r="AF38" s="64">
        <f t="shared" si="6"/>
        <v>0</v>
      </c>
      <c r="AG38" s="65">
        <f t="shared" si="7"/>
        <v>0</v>
      </c>
      <c r="AH38" s="66">
        <f t="shared" si="8"/>
        <v>0</v>
      </c>
      <c r="AI38" s="66">
        <f t="shared" si="9"/>
        <v>0</v>
      </c>
      <c r="AJ38" s="108"/>
      <c r="AK38" s="48"/>
      <c r="AL38" s="64">
        <f t="shared" si="10"/>
        <v>0</v>
      </c>
      <c r="AM38" s="67">
        <f t="shared" si="11"/>
        <v>0</v>
      </c>
      <c r="AN38" s="108"/>
      <c r="AO38" s="48"/>
      <c r="AP38" s="108"/>
      <c r="AQ38" s="48"/>
      <c r="AR38" s="108"/>
      <c r="AS38" s="48"/>
      <c r="AT38" s="108"/>
      <c r="AU38" s="48"/>
      <c r="AV38" s="64">
        <f t="shared" si="12"/>
        <v>0</v>
      </c>
      <c r="AW38" s="70">
        <f t="shared" si="13"/>
        <v>0</v>
      </c>
      <c r="AX38" s="66">
        <f t="shared" si="14"/>
        <v>0</v>
      </c>
      <c r="AY38" s="71">
        <f t="shared" si="15"/>
        <v>0</v>
      </c>
      <c r="AZ38" s="72">
        <f t="shared" si="16"/>
        <v>1452.0666666666666</v>
      </c>
      <c r="BA38" s="66">
        <f t="shared" si="17"/>
        <v>1463.8333333333333</v>
      </c>
    </row>
    <row r="39" spans="1:53" ht="15">
      <c r="A39" s="103" t="s">
        <v>73</v>
      </c>
      <c r="B39" s="104" t="s">
        <v>108</v>
      </c>
      <c r="C39" s="689"/>
      <c r="D39" s="106">
        <v>101499</v>
      </c>
      <c r="E39" s="106">
        <v>10</v>
      </c>
      <c r="F39" s="107" t="s">
        <v>75</v>
      </c>
      <c r="G39" s="47"/>
      <c r="H39" s="108"/>
      <c r="I39" s="48"/>
      <c r="J39" s="108">
        <v>11210</v>
      </c>
      <c r="K39" s="48">
        <v>11750</v>
      </c>
      <c r="L39" s="108">
        <v>4765</v>
      </c>
      <c r="M39" s="48">
        <v>4951</v>
      </c>
      <c r="N39" s="108">
        <v>12093</v>
      </c>
      <c r="O39" s="109">
        <v>10899</v>
      </c>
      <c r="P39" s="64">
        <f t="shared" si="0"/>
        <v>28068</v>
      </c>
      <c r="Q39" s="65">
        <f t="shared" si="1"/>
        <v>935.6</v>
      </c>
      <c r="R39" s="66">
        <f t="shared" si="2"/>
        <v>27600</v>
      </c>
      <c r="S39" s="67">
        <f t="shared" si="3"/>
        <v>920</v>
      </c>
      <c r="T39" s="108">
        <v>376</v>
      </c>
      <c r="U39" s="109">
        <v>275</v>
      </c>
      <c r="V39" s="64">
        <f t="shared" si="4"/>
        <v>28068</v>
      </c>
      <c r="W39" s="68">
        <f t="shared" si="5"/>
        <v>27600</v>
      </c>
      <c r="X39" s="108"/>
      <c r="Y39" s="48"/>
      <c r="Z39" s="108"/>
      <c r="AA39" s="48"/>
      <c r="AB39" s="108"/>
      <c r="AC39" s="48"/>
      <c r="AD39" s="108"/>
      <c r="AE39" s="48"/>
      <c r="AF39" s="64">
        <f t="shared" si="6"/>
        <v>0</v>
      </c>
      <c r="AG39" s="65">
        <f t="shared" si="7"/>
        <v>0</v>
      </c>
      <c r="AH39" s="66">
        <f t="shared" si="8"/>
        <v>0</v>
      </c>
      <c r="AI39" s="66">
        <f t="shared" si="9"/>
        <v>0</v>
      </c>
      <c r="AJ39" s="108"/>
      <c r="AK39" s="48"/>
      <c r="AL39" s="64">
        <f t="shared" si="10"/>
        <v>0</v>
      </c>
      <c r="AM39" s="67">
        <f t="shared" si="11"/>
        <v>0</v>
      </c>
      <c r="AN39" s="108"/>
      <c r="AO39" s="48"/>
      <c r="AP39" s="108"/>
      <c r="AQ39" s="48"/>
      <c r="AR39" s="108"/>
      <c r="AS39" s="48"/>
      <c r="AT39" s="108"/>
      <c r="AU39" s="48"/>
      <c r="AV39" s="64">
        <f t="shared" si="12"/>
        <v>0</v>
      </c>
      <c r="AW39" s="70">
        <f t="shared" si="13"/>
        <v>0</v>
      </c>
      <c r="AX39" s="66">
        <f t="shared" si="14"/>
        <v>0</v>
      </c>
      <c r="AY39" s="71">
        <f t="shared" si="15"/>
        <v>0</v>
      </c>
      <c r="AZ39" s="72">
        <f t="shared" si="16"/>
        <v>935.6</v>
      </c>
      <c r="BA39" s="66">
        <f t="shared" si="17"/>
        <v>920</v>
      </c>
    </row>
    <row r="40" spans="1:53" ht="15">
      <c r="A40" s="103" t="s">
        <v>73</v>
      </c>
      <c r="B40" s="104" t="s">
        <v>109</v>
      </c>
      <c r="C40" s="689"/>
      <c r="D40" s="106">
        <v>101602</v>
      </c>
      <c r="E40" s="106">
        <v>10</v>
      </c>
      <c r="F40" s="107" t="s">
        <v>75</v>
      </c>
      <c r="G40" s="47"/>
      <c r="H40" s="108"/>
      <c r="I40" s="48"/>
      <c r="J40" s="108">
        <v>14667</v>
      </c>
      <c r="K40" s="109">
        <v>16503</v>
      </c>
      <c r="L40" s="108">
        <v>7250</v>
      </c>
      <c r="M40" s="48">
        <v>7100</v>
      </c>
      <c r="N40" s="108">
        <v>17982</v>
      </c>
      <c r="O40" s="48">
        <v>18189</v>
      </c>
      <c r="P40" s="64">
        <f t="shared" si="0"/>
        <v>39899</v>
      </c>
      <c r="Q40" s="65">
        <f t="shared" si="1"/>
        <v>1329.9666666666667</v>
      </c>
      <c r="R40" s="66">
        <f t="shared" si="2"/>
        <v>41792</v>
      </c>
      <c r="S40" s="67">
        <f t="shared" si="3"/>
        <v>1393.0666666666666</v>
      </c>
      <c r="T40" s="108">
        <v>2537</v>
      </c>
      <c r="U40" s="48">
        <v>2450</v>
      </c>
      <c r="V40" s="64">
        <f t="shared" si="4"/>
        <v>39899</v>
      </c>
      <c r="W40" s="68">
        <f t="shared" si="5"/>
        <v>41792</v>
      </c>
      <c r="X40" s="108"/>
      <c r="Y40" s="48"/>
      <c r="Z40" s="108"/>
      <c r="AA40" s="48"/>
      <c r="AB40" s="108"/>
      <c r="AC40" s="48"/>
      <c r="AD40" s="108"/>
      <c r="AE40" s="48"/>
      <c r="AF40" s="64">
        <f t="shared" si="6"/>
        <v>0</v>
      </c>
      <c r="AG40" s="65">
        <f t="shared" si="7"/>
        <v>0</v>
      </c>
      <c r="AH40" s="66">
        <f t="shared" si="8"/>
        <v>0</v>
      </c>
      <c r="AI40" s="66">
        <f t="shared" si="9"/>
        <v>0</v>
      </c>
      <c r="AJ40" s="108"/>
      <c r="AK40" s="48"/>
      <c r="AL40" s="64">
        <f t="shared" si="10"/>
        <v>0</v>
      </c>
      <c r="AM40" s="67">
        <f t="shared" si="11"/>
        <v>0</v>
      </c>
      <c r="AN40" s="108"/>
      <c r="AO40" s="48"/>
      <c r="AP40" s="108"/>
      <c r="AQ40" s="48"/>
      <c r="AR40" s="108"/>
      <c r="AS40" s="48"/>
      <c r="AT40" s="108"/>
      <c r="AU40" s="48"/>
      <c r="AV40" s="64">
        <f t="shared" si="12"/>
        <v>0</v>
      </c>
      <c r="AW40" s="70">
        <f t="shared" si="13"/>
        <v>0</v>
      </c>
      <c r="AX40" s="66">
        <f t="shared" si="14"/>
        <v>0</v>
      </c>
      <c r="AY40" s="71">
        <f t="shared" si="15"/>
        <v>0</v>
      </c>
      <c r="AZ40" s="72">
        <f t="shared" si="16"/>
        <v>1329.9666666666667</v>
      </c>
      <c r="BA40" s="66">
        <f t="shared" si="17"/>
        <v>1393.0666666666666</v>
      </c>
    </row>
    <row r="41" spans="1:53" ht="15">
      <c r="A41" s="103" t="s">
        <v>73</v>
      </c>
      <c r="B41" s="104" t="s">
        <v>110</v>
      </c>
      <c r="C41" s="689" t="s">
        <v>966</v>
      </c>
      <c r="D41" s="106">
        <v>102076</v>
      </c>
      <c r="E41" s="106">
        <v>10</v>
      </c>
      <c r="F41" s="107" t="s">
        <v>75</v>
      </c>
      <c r="G41" s="47"/>
      <c r="H41" s="108"/>
      <c r="I41" s="48"/>
      <c r="J41" s="108">
        <v>25199</v>
      </c>
      <c r="K41" s="48">
        <v>25795</v>
      </c>
      <c r="L41" s="108">
        <v>8981</v>
      </c>
      <c r="M41" s="109">
        <v>9897</v>
      </c>
      <c r="N41" s="108">
        <v>28862</v>
      </c>
      <c r="O41" s="109">
        <v>26251</v>
      </c>
      <c r="P41" s="64">
        <f t="shared" si="0"/>
        <v>63042</v>
      </c>
      <c r="Q41" s="65">
        <f t="shared" si="1"/>
        <v>2101.4</v>
      </c>
      <c r="R41" s="66">
        <f t="shared" si="2"/>
        <v>61943</v>
      </c>
      <c r="S41" s="67">
        <f t="shared" si="3"/>
        <v>2064.7666666666669</v>
      </c>
      <c r="T41" s="108">
        <v>2241</v>
      </c>
      <c r="U41" s="48">
        <v>2326</v>
      </c>
      <c r="V41" s="64">
        <f t="shared" si="4"/>
        <v>63042</v>
      </c>
      <c r="W41" s="68">
        <f t="shared" si="5"/>
        <v>61943</v>
      </c>
      <c r="X41" s="108"/>
      <c r="Y41" s="48"/>
      <c r="Z41" s="108"/>
      <c r="AA41" s="48"/>
      <c r="AB41" s="108"/>
      <c r="AC41" s="48"/>
      <c r="AD41" s="108"/>
      <c r="AE41" s="48"/>
      <c r="AF41" s="64">
        <f t="shared" si="6"/>
        <v>0</v>
      </c>
      <c r="AG41" s="65">
        <f t="shared" si="7"/>
        <v>0</v>
      </c>
      <c r="AH41" s="66">
        <f t="shared" si="8"/>
        <v>0</v>
      </c>
      <c r="AI41" s="66">
        <f t="shared" si="9"/>
        <v>0</v>
      </c>
      <c r="AJ41" s="108"/>
      <c r="AK41" s="48"/>
      <c r="AL41" s="64">
        <f t="shared" si="10"/>
        <v>0</v>
      </c>
      <c r="AM41" s="67">
        <f t="shared" si="11"/>
        <v>0</v>
      </c>
      <c r="AN41" s="108"/>
      <c r="AO41" s="48"/>
      <c r="AP41" s="108"/>
      <c r="AQ41" s="48"/>
      <c r="AR41" s="108"/>
      <c r="AS41" s="48"/>
      <c r="AT41" s="108"/>
      <c r="AU41" s="48"/>
      <c r="AV41" s="64">
        <f t="shared" si="12"/>
        <v>0</v>
      </c>
      <c r="AW41" s="70">
        <f t="shared" si="13"/>
        <v>0</v>
      </c>
      <c r="AX41" s="66">
        <f t="shared" si="14"/>
        <v>0</v>
      </c>
      <c r="AY41" s="71">
        <f t="shared" si="15"/>
        <v>0</v>
      </c>
      <c r="AZ41" s="72">
        <f t="shared" si="16"/>
        <v>2101.4</v>
      </c>
      <c r="BA41" s="66">
        <f t="shared" si="17"/>
        <v>2064.7666666666669</v>
      </c>
    </row>
    <row r="42" spans="1:53" ht="15">
      <c r="A42" s="103" t="s">
        <v>73</v>
      </c>
      <c r="B42" s="104" t="s">
        <v>111</v>
      </c>
      <c r="C42" s="689"/>
      <c r="D42" s="106">
        <v>102313</v>
      </c>
      <c r="E42" s="106">
        <v>12</v>
      </c>
      <c r="F42" s="107" t="s">
        <v>75</v>
      </c>
      <c r="G42" s="47"/>
      <c r="H42" s="108"/>
      <c r="I42" s="48"/>
      <c r="J42" s="108">
        <v>13213</v>
      </c>
      <c r="K42" s="109">
        <v>14750</v>
      </c>
      <c r="L42" s="108">
        <v>8511</v>
      </c>
      <c r="M42" s="48">
        <v>8319</v>
      </c>
      <c r="N42" s="108">
        <v>14363</v>
      </c>
      <c r="O42" s="109">
        <v>15487</v>
      </c>
      <c r="P42" s="64">
        <f t="shared" si="0"/>
        <v>36087</v>
      </c>
      <c r="Q42" s="65">
        <f t="shared" si="1"/>
        <v>1202.9000000000001</v>
      </c>
      <c r="R42" s="66">
        <f t="shared" si="2"/>
        <v>38556</v>
      </c>
      <c r="S42" s="67">
        <f t="shared" si="3"/>
        <v>1285.2</v>
      </c>
      <c r="T42" s="108">
        <v>1100</v>
      </c>
      <c r="U42" s="109">
        <v>1985</v>
      </c>
      <c r="V42" s="64">
        <f t="shared" si="4"/>
        <v>36087</v>
      </c>
      <c r="W42" s="68">
        <f t="shared" si="5"/>
        <v>38556</v>
      </c>
      <c r="X42" s="108"/>
      <c r="Y42" s="48"/>
      <c r="Z42" s="108"/>
      <c r="AA42" s="48"/>
      <c r="AB42" s="108"/>
      <c r="AC42" s="48"/>
      <c r="AD42" s="108"/>
      <c r="AE42" s="48"/>
      <c r="AF42" s="64">
        <f t="shared" si="6"/>
        <v>0</v>
      </c>
      <c r="AG42" s="65">
        <f t="shared" si="7"/>
        <v>0</v>
      </c>
      <c r="AH42" s="66">
        <f t="shared" si="8"/>
        <v>0</v>
      </c>
      <c r="AI42" s="66">
        <f t="shared" si="9"/>
        <v>0</v>
      </c>
      <c r="AJ42" s="108"/>
      <c r="AK42" s="48"/>
      <c r="AL42" s="64">
        <f t="shared" si="10"/>
        <v>0</v>
      </c>
      <c r="AM42" s="67">
        <f t="shared" si="11"/>
        <v>0</v>
      </c>
      <c r="AN42" s="108"/>
      <c r="AO42" s="48"/>
      <c r="AP42" s="108"/>
      <c r="AQ42" s="48"/>
      <c r="AR42" s="108"/>
      <c r="AS42" s="48"/>
      <c r="AT42" s="108"/>
      <c r="AU42" s="48"/>
      <c r="AV42" s="64">
        <f t="shared" si="12"/>
        <v>0</v>
      </c>
      <c r="AW42" s="70">
        <f t="shared" si="13"/>
        <v>0</v>
      </c>
      <c r="AX42" s="66">
        <f t="shared" si="14"/>
        <v>0</v>
      </c>
      <c r="AY42" s="71">
        <f t="shared" si="15"/>
        <v>0</v>
      </c>
      <c r="AZ42" s="72">
        <f t="shared" si="16"/>
        <v>1202.9000000000001</v>
      </c>
      <c r="BA42" s="66">
        <f t="shared" si="17"/>
        <v>1285.2</v>
      </c>
    </row>
    <row r="43" spans="1:53" ht="15">
      <c r="A43" s="103" t="s">
        <v>73</v>
      </c>
      <c r="B43" s="104" t="s">
        <v>112</v>
      </c>
      <c r="C43" s="689"/>
      <c r="D43" s="106">
        <v>101462</v>
      </c>
      <c r="E43" s="106">
        <v>13</v>
      </c>
      <c r="F43" s="107" t="s">
        <v>75</v>
      </c>
      <c r="G43" s="47"/>
      <c r="H43" s="108"/>
      <c r="I43" s="48"/>
      <c r="J43" s="108">
        <v>9324</v>
      </c>
      <c r="K43" s="109">
        <v>8249</v>
      </c>
      <c r="L43" s="108">
        <v>4358</v>
      </c>
      <c r="M43" s="109">
        <v>3909</v>
      </c>
      <c r="N43" s="108">
        <v>9187</v>
      </c>
      <c r="O43" s="109">
        <v>8374</v>
      </c>
      <c r="P43" s="64">
        <f t="shared" si="0"/>
        <v>22869</v>
      </c>
      <c r="Q43" s="65">
        <f t="shared" si="1"/>
        <v>762.3</v>
      </c>
      <c r="R43" s="66">
        <f t="shared" si="2"/>
        <v>20532</v>
      </c>
      <c r="S43" s="67">
        <f t="shared" si="3"/>
        <v>684.4</v>
      </c>
      <c r="T43" s="108">
        <v>974</v>
      </c>
      <c r="U43" s="109">
        <v>320</v>
      </c>
      <c r="V43" s="64">
        <f t="shared" si="4"/>
        <v>22869</v>
      </c>
      <c r="W43" s="68">
        <f t="shared" si="5"/>
        <v>20532</v>
      </c>
      <c r="X43" s="108"/>
      <c r="Y43" s="48"/>
      <c r="Z43" s="108"/>
      <c r="AA43" s="48"/>
      <c r="AB43" s="108"/>
      <c r="AC43" s="48"/>
      <c r="AD43" s="108"/>
      <c r="AE43" s="48"/>
      <c r="AF43" s="64">
        <f t="shared" si="6"/>
        <v>0</v>
      </c>
      <c r="AG43" s="65">
        <f t="shared" si="7"/>
        <v>0</v>
      </c>
      <c r="AH43" s="66">
        <f t="shared" si="8"/>
        <v>0</v>
      </c>
      <c r="AI43" s="66">
        <f t="shared" si="9"/>
        <v>0</v>
      </c>
      <c r="AJ43" s="108"/>
      <c r="AK43" s="48"/>
      <c r="AL43" s="64">
        <f t="shared" si="10"/>
        <v>0</v>
      </c>
      <c r="AM43" s="67">
        <f t="shared" si="11"/>
        <v>0</v>
      </c>
      <c r="AN43" s="108"/>
      <c r="AO43" s="48"/>
      <c r="AP43" s="108"/>
      <c r="AQ43" s="48"/>
      <c r="AR43" s="108"/>
      <c r="AS43" s="48"/>
      <c r="AT43" s="108"/>
      <c r="AU43" s="48"/>
      <c r="AV43" s="64">
        <f t="shared" si="12"/>
        <v>0</v>
      </c>
      <c r="AW43" s="70">
        <f t="shared" si="13"/>
        <v>0</v>
      </c>
      <c r="AX43" s="66">
        <f t="shared" si="14"/>
        <v>0</v>
      </c>
      <c r="AY43" s="71">
        <f t="shared" si="15"/>
        <v>0</v>
      </c>
      <c r="AZ43" s="72">
        <f t="shared" si="16"/>
        <v>762.3</v>
      </c>
      <c r="BA43" s="66">
        <f t="shared" si="17"/>
        <v>684.4</v>
      </c>
    </row>
    <row r="44" spans="1:53" ht="15">
      <c r="A44" s="103" t="s">
        <v>73</v>
      </c>
      <c r="B44" s="104" t="s">
        <v>113</v>
      </c>
      <c r="C44" s="689"/>
      <c r="D44" s="106">
        <v>101471</v>
      </c>
      <c r="E44" s="106">
        <v>13</v>
      </c>
      <c r="F44" s="107" t="s">
        <v>75</v>
      </c>
      <c r="G44" s="47"/>
      <c r="H44" s="108"/>
      <c r="I44" s="48"/>
      <c r="J44" s="108">
        <v>6408</v>
      </c>
      <c r="K44" s="109">
        <v>5665</v>
      </c>
      <c r="L44" s="108">
        <v>5621</v>
      </c>
      <c r="M44" s="109">
        <v>6664</v>
      </c>
      <c r="N44" s="108">
        <v>5555</v>
      </c>
      <c r="O44" s="109">
        <v>5995</v>
      </c>
      <c r="P44" s="64">
        <f t="shared" si="0"/>
        <v>17584</v>
      </c>
      <c r="Q44" s="65">
        <f t="shared" si="1"/>
        <v>586.13333333333333</v>
      </c>
      <c r="R44" s="66">
        <f t="shared" si="2"/>
        <v>18324</v>
      </c>
      <c r="S44" s="67">
        <f t="shared" si="3"/>
        <v>610.79999999999995</v>
      </c>
      <c r="T44" s="108">
        <v>0</v>
      </c>
      <c r="U44" s="48">
        <v>0</v>
      </c>
      <c r="V44" s="64">
        <f t="shared" si="4"/>
        <v>17584</v>
      </c>
      <c r="W44" s="68">
        <f t="shared" si="5"/>
        <v>18324</v>
      </c>
      <c r="X44" s="108"/>
      <c r="Y44" s="48"/>
      <c r="Z44" s="108"/>
      <c r="AA44" s="48"/>
      <c r="AB44" s="108"/>
      <c r="AC44" s="48"/>
      <c r="AD44" s="108"/>
      <c r="AE44" s="48"/>
      <c r="AF44" s="64">
        <f t="shared" si="6"/>
        <v>0</v>
      </c>
      <c r="AG44" s="65">
        <f t="shared" si="7"/>
        <v>0</v>
      </c>
      <c r="AH44" s="66">
        <f t="shared" si="8"/>
        <v>0</v>
      </c>
      <c r="AI44" s="66">
        <f t="shared" si="9"/>
        <v>0</v>
      </c>
      <c r="AJ44" s="108"/>
      <c r="AK44" s="48"/>
      <c r="AL44" s="64">
        <f t="shared" si="10"/>
        <v>0</v>
      </c>
      <c r="AM44" s="67">
        <f t="shared" si="11"/>
        <v>0</v>
      </c>
      <c r="AN44" s="108"/>
      <c r="AO44" s="48"/>
      <c r="AP44" s="108"/>
      <c r="AQ44" s="48"/>
      <c r="AR44" s="108"/>
      <c r="AS44" s="48"/>
      <c r="AT44" s="108"/>
      <c r="AU44" s="48"/>
      <c r="AV44" s="64">
        <f t="shared" si="12"/>
        <v>0</v>
      </c>
      <c r="AW44" s="70">
        <f t="shared" si="13"/>
        <v>0</v>
      </c>
      <c r="AX44" s="66">
        <f t="shared" si="14"/>
        <v>0</v>
      </c>
      <c r="AY44" s="71">
        <f t="shared" si="15"/>
        <v>0</v>
      </c>
      <c r="AZ44" s="72">
        <f t="shared" si="16"/>
        <v>586.13333333333333</v>
      </c>
      <c r="BA44" s="66">
        <f t="shared" si="17"/>
        <v>610.79999999999995</v>
      </c>
    </row>
    <row r="45" spans="1:53" ht="15">
      <c r="A45" s="103" t="s">
        <v>73</v>
      </c>
      <c r="B45" s="104" t="s">
        <v>114</v>
      </c>
      <c r="C45" s="689"/>
      <c r="D45" s="106">
        <v>101994</v>
      </c>
      <c r="E45" s="106">
        <v>13</v>
      </c>
      <c r="F45" s="107" t="s">
        <v>75</v>
      </c>
      <c r="G45" s="47"/>
      <c r="H45" s="108"/>
      <c r="I45" s="48"/>
      <c r="J45" s="108">
        <v>4265</v>
      </c>
      <c r="K45" s="48">
        <v>4321</v>
      </c>
      <c r="L45" s="108">
        <v>3166</v>
      </c>
      <c r="M45" s="109">
        <v>2588</v>
      </c>
      <c r="N45" s="108">
        <v>5351</v>
      </c>
      <c r="O45" s="109">
        <v>4596</v>
      </c>
      <c r="P45" s="64">
        <f t="shared" si="0"/>
        <v>12782</v>
      </c>
      <c r="Q45" s="65">
        <f t="shared" si="1"/>
        <v>426.06666666666666</v>
      </c>
      <c r="R45" s="66">
        <f t="shared" si="2"/>
        <v>11505</v>
      </c>
      <c r="S45" s="67">
        <f t="shared" si="3"/>
        <v>383.5</v>
      </c>
      <c r="T45" s="108">
        <v>1466</v>
      </c>
      <c r="U45" s="109">
        <v>1077</v>
      </c>
      <c r="V45" s="64">
        <f t="shared" si="4"/>
        <v>12782</v>
      </c>
      <c r="W45" s="68">
        <f t="shared" si="5"/>
        <v>11505</v>
      </c>
      <c r="X45" s="108"/>
      <c r="Y45" s="48"/>
      <c r="Z45" s="108"/>
      <c r="AA45" s="48"/>
      <c r="AB45" s="108"/>
      <c r="AC45" s="48"/>
      <c r="AD45" s="108"/>
      <c r="AE45" s="48"/>
      <c r="AF45" s="64">
        <f t="shared" si="6"/>
        <v>0</v>
      </c>
      <c r="AG45" s="65">
        <f t="shared" si="7"/>
        <v>0</v>
      </c>
      <c r="AH45" s="66">
        <f t="shared" si="8"/>
        <v>0</v>
      </c>
      <c r="AI45" s="66">
        <f t="shared" si="9"/>
        <v>0</v>
      </c>
      <c r="AJ45" s="108"/>
      <c r="AK45" s="48"/>
      <c r="AL45" s="64">
        <f t="shared" si="10"/>
        <v>0</v>
      </c>
      <c r="AM45" s="67">
        <f t="shared" si="11"/>
        <v>0</v>
      </c>
      <c r="AN45" s="108"/>
      <c r="AO45" s="48"/>
      <c r="AP45" s="108"/>
      <c r="AQ45" s="48"/>
      <c r="AR45" s="108"/>
      <c r="AS45" s="48"/>
      <c r="AT45" s="108"/>
      <c r="AU45" s="48"/>
      <c r="AV45" s="64">
        <f t="shared" si="12"/>
        <v>0</v>
      </c>
      <c r="AW45" s="70">
        <f t="shared" si="13"/>
        <v>0</v>
      </c>
      <c r="AX45" s="66">
        <f t="shared" si="14"/>
        <v>0</v>
      </c>
      <c r="AY45" s="71">
        <f t="shared" si="15"/>
        <v>0</v>
      </c>
      <c r="AZ45" s="72">
        <f t="shared" si="16"/>
        <v>426.06666666666666</v>
      </c>
      <c r="BA45" s="66">
        <f t="shared" si="17"/>
        <v>383.5</v>
      </c>
    </row>
    <row r="46" spans="1:53" s="54" customFormat="1" ht="13.5" customHeight="1">
      <c r="A46" s="33" t="s">
        <v>115</v>
      </c>
      <c r="B46" s="32" t="s">
        <v>116</v>
      </c>
      <c r="C46" s="691"/>
      <c r="D46" s="30">
        <v>106397</v>
      </c>
      <c r="E46" s="30">
        <v>1</v>
      </c>
      <c r="F46" s="29" t="s">
        <v>75</v>
      </c>
      <c r="G46" s="28" t="s">
        <v>75</v>
      </c>
      <c r="H46" s="27"/>
      <c r="I46" s="26"/>
      <c r="J46" s="27">
        <v>278945</v>
      </c>
      <c r="K46" s="26">
        <v>284249</v>
      </c>
      <c r="L46" s="27">
        <v>42509</v>
      </c>
      <c r="M46" s="26">
        <v>42737</v>
      </c>
      <c r="N46" s="27">
        <v>307647</v>
      </c>
      <c r="O46" s="26">
        <v>311746</v>
      </c>
      <c r="P46" s="64">
        <f t="shared" si="0"/>
        <v>629101</v>
      </c>
      <c r="Q46" s="65">
        <f t="shared" si="1"/>
        <v>20970.033333333333</v>
      </c>
      <c r="R46" s="66">
        <f t="shared" si="2"/>
        <v>638732</v>
      </c>
      <c r="S46" s="67">
        <f t="shared" si="3"/>
        <v>21291.066666666666</v>
      </c>
      <c r="T46" s="27">
        <v>4956</v>
      </c>
      <c r="U46" s="109">
        <v>2313</v>
      </c>
      <c r="V46" s="64">
        <f t="shared" si="4"/>
        <v>629101</v>
      </c>
      <c r="W46" s="68">
        <f t="shared" si="5"/>
        <v>638732</v>
      </c>
      <c r="X46" s="27"/>
      <c r="Y46" s="26"/>
      <c r="Z46" s="27"/>
      <c r="AA46" s="26"/>
      <c r="AB46" s="27"/>
      <c r="AC46" s="26"/>
      <c r="AD46" s="27"/>
      <c r="AE46" s="26"/>
      <c r="AF46" s="64">
        <f t="shared" si="6"/>
        <v>0</v>
      </c>
      <c r="AG46" s="65">
        <f t="shared" si="7"/>
        <v>0</v>
      </c>
      <c r="AH46" s="66">
        <f t="shared" si="8"/>
        <v>0</v>
      </c>
      <c r="AI46" s="66">
        <f t="shared" si="9"/>
        <v>0</v>
      </c>
      <c r="AJ46" s="27"/>
      <c r="AK46" s="26"/>
      <c r="AL46" s="64">
        <f t="shared" si="10"/>
        <v>0</v>
      </c>
      <c r="AM46" s="67">
        <f t="shared" si="11"/>
        <v>0</v>
      </c>
      <c r="AN46" s="27"/>
      <c r="AO46" s="26"/>
      <c r="AP46" s="27">
        <v>33245</v>
      </c>
      <c r="AQ46" s="26">
        <v>33661</v>
      </c>
      <c r="AR46" s="27">
        <v>11879</v>
      </c>
      <c r="AS46" s="26">
        <v>12163</v>
      </c>
      <c r="AT46" s="27">
        <v>35111</v>
      </c>
      <c r="AU46" s="26">
        <v>35370</v>
      </c>
      <c r="AV46" s="64">
        <f t="shared" si="12"/>
        <v>80235</v>
      </c>
      <c r="AW46" s="70">
        <f t="shared" si="13"/>
        <v>3343.125</v>
      </c>
      <c r="AX46" s="66">
        <f t="shared" si="14"/>
        <v>81194</v>
      </c>
      <c r="AY46" s="71">
        <f t="shared" si="15"/>
        <v>3383.0833333333335</v>
      </c>
      <c r="AZ46" s="72">
        <f t="shared" si="16"/>
        <v>24313.158333333333</v>
      </c>
      <c r="BA46" s="66">
        <f t="shared" si="17"/>
        <v>24674.149999999998</v>
      </c>
    </row>
    <row r="47" spans="1:53" ht="15">
      <c r="A47" s="33" t="s">
        <v>115</v>
      </c>
      <c r="B47" s="32" t="s">
        <v>117</v>
      </c>
      <c r="C47" s="691"/>
      <c r="D47" s="30">
        <v>106245</v>
      </c>
      <c r="E47" s="30">
        <v>2</v>
      </c>
      <c r="F47" s="29" t="s">
        <v>75</v>
      </c>
      <c r="G47" s="28" t="s">
        <v>75</v>
      </c>
      <c r="H47" s="27"/>
      <c r="I47" s="26"/>
      <c r="J47" s="27">
        <v>91192</v>
      </c>
      <c r="K47" s="26">
        <v>90564</v>
      </c>
      <c r="L47" s="27">
        <v>20591</v>
      </c>
      <c r="M47" s="109">
        <v>18671</v>
      </c>
      <c r="N47" s="27">
        <v>100883</v>
      </c>
      <c r="O47" s="26">
        <v>99705</v>
      </c>
      <c r="P47" s="64">
        <f t="shared" si="0"/>
        <v>212666</v>
      </c>
      <c r="Q47" s="65">
        <f t="shared" si="1"/>
        <v>7088.8666666666668</v>
      </c>
      <c r="R47" s="66">
        <f t="shared" si="2"/>
        <v>208940</v>
      </c>
      <c r="S47" s="67">
        <f t="shared" si="3"/>
        <v>6964.666666666667</v>
      </c>
      <c r="T47" s="27">
        <v>18674</v>
      </c>
      <c r="U47" s="109">
        <v>20891</v>
      </c>
      <c r="V47" s="64">
        <f t="shared" si="4"/>
        <v>212666</v>
      </c>
      <c r="W47" s="68">
        <f t="shared" si="5"/>
        <v>208940</v>
      </c>
      <c r="X47" s="27"/>
      <c r="Y47" s="26"/>
      <c r="Z47" s="27"/>
      <c r="AA47" s="26"/>
      <c r="AB47" s="27"/>
      <c r="AC47" s="26"/>
      <c r="AD47" s="27"/>
      <c r="AE47" s="26"/>
      <c r="AF47" s="64">
        <f t="shared" si="6"/>
        <v>0</v>
      </c>
      <c r="AG47" s="65">
        <f t="shared" si="7"/>
        <v>0</v>
      </c>
      <c r="AH47" s="66">
        <f t="shared" si="8"/>
        <v>0</v>
      </c>
      <c r="AI47" s="66">
        <f t="shared" si="9"/>
        <v>0</v>
      </c>
      <c r="AJ47" s="27"/>
      <c r="AK47" s="26"/>
      <c r="AL47" s="64">
        <f t="shared" si="10"/>
        <v>0</v>
      </c>
      <c r="AM47" s="67">
        <f t="shared" si="11"/>
        <v>0</v>
      </c>
      <c r="AN47" s="27"/>
      <c r="AO47" s="26"/>
      <c r="AP47" s="27">
        <v>18619</v>
      </c>
      <c r="AQ47" s="26">
        <v>18504</v>
      </c>
      <c r="AR47" s="27">
        <v>5192</v>
      </c>
      <c r="AS47" s="109">
        <v>4601</v>
      </c>
      <c r="AT47" s="27">
        <v>19379</v>
      </c>
      <c r="AU47" s="26">
        <v>19615</v>
      </c>
      <c r="AV47" s="64">
        <f t="shared" si="12"/>
        <v>43190</v>
      </c>
      <c r="AW47" s="70">
        <f t="shared" si="13"/>
        <v>1799.5833333333333</v>
      </c>
      <c r="AX47" s="66">
        <f t="shared" si="14"/>
        <v>42720</v>
      </c>
      <c r="AY47" s="71">
        <f t="shared" si="15"/>
        <v>1780</v>
      </c>
      <c r="AZ47" s="72">
        <f t="shared" si="16"/>
        <v>8888.4500000000007</v>
      </c>
      <c r="BA47" s="66">
        <f t="shared" si="17"/>
        <v>8744.6666666666679</v>
      </c>
    </row>
    <row r="48" spans="1:53" ht="15">
      <c r="A48" s="33" t="s">
        <v>115</v>
      </c>
      <c r="B48" s="32" t="s">
        <v>118</v>
      </c>
      <c r="C48" s="691"/>
      <c r="D48" s="30">
        <v>106458</v>
      </c>
      <c r="E48" s="30">
        <v>3</v>
      </c>
      <c r="F48" s="29" t="s">
        <v>75</v>
      </c>
      <c r="G48" s="28" t="s">
        <v>75</v>
      </c>
      <c r="H48" s="27"/>
      <c r="I48" s="26"/>
      <c r="J48" s="27">
        <v>118647</v>
      </c>
      <c r="K48" s="26">
        <v>118628</v>
      </c>
      <c r="L48" s="27">
        <v>20368</v>
      </c>
      <c r="M48" s="26">
        <v>20790</v>
      </c>
      <c r="N48" s="27">
        <v>126257</v>
      </c>
      <c r="O48" s="26">
        <v>129184</v>
      </c>
      <c r="P48" s="64">
        <f t="shared" si="0"/>
        <v>265272</v>
      </c>
      <c r="Q48" s="65">
        <f t="shared" si="1"/>
        <v>8842.4</v>
      </c>
      <c r="R48" s="66">
        <f t="shared" si="2"/>
        <v>268602</v>
      </c>
      <c r="S48" s="67">
        <f t="shared" si="3"/>
        <v>8953.4</v>
      </c>
      <c r="T48" s="27">
        <v>3769</v>
      </c>
      <c r="U48" s="109">
        <v>5801</v>
      </c>
      <c r="V48" s="64">
        <f t="shared" si="4"/>
        <v>265272</v>
      </c>
      <c r="W48" s="68">
        <f t="shared" si="5"/>
        <v>268602</v>
      </c>
      <c r="X48" s="27"/>
      <c r="Y48" s="26"/>
      <c r="Z48" s="27"/>
      <c r="AA48" s="26"/>
      <c r="AB48" s="27"/>
      <c r="AC48" s="26"/>
      <c r="AD48" s="27"/>
      <c r="AE48" s="26"/>
      <c r="AF48" s="64">
        <f t="shared" si="6"/>
        <v>0</v>
      </c>
      <c r="AG48" s="65">
        <f t="shared" si="7"/>
        <v>0</v>
      </c>
      <c r="AH48" s="66">
        <f t="shared" si="8"/>
        <v>0</v>
      </c>
      <c r="AI48" s="66">
        <f t="shared" si="9"/>
        <v>0</v>
      </c>
      <c r="AJ48" s="27"/>
      <c r="AK48" s="26"/>
      <c r="AL48" s="64">
        <f t="shared" si="10"/>
        <v>0</v>
      </c>
      <c r="AM48" s="67">
        <f t="shared" si="11"/>
        <v>0</v>
      </c>
      <c r="AN48" s="27"/>
      <c r="AO48" s="26"/>
      <c r="AP48" s="27">
        <v>26764</v>
      </c>
      <c r="AQ48" s="109">
        <v>31222</v>
      </c>
      <c r="AR48" s="27">
        <v>23767</v>
      </c>
      <c r="AS48" s="109">
        <v>27592</v>
      </c>
      <c r="AT48" s="27">
        <v>29652</v>
      </c>
      <c r="AU48" s="109">
        <v>33323</v>
      </c>
      <c r="AV48" s="64">
        <f t="shared" si="12"/>
        <v>80183</v>
      </c>
      <c r="AW48" s="70">
        <f t="shared" si="13"/>
        <v>3340.9583333333335</v>
      </c>
      <c r="AX48" s="66">
        <f t="shared" si="14"/>
        <v>92137</v>
      </c>
      <c r="AY48" s="71">
        <f t="shared" si="15"/>
        <v>3839.0416666666665</v>
      </c>
      <c r="AZ48" s="72">
        <f t="shared" si="16"/>
        <v>12183.358333333334</v>
      </c>
      <c r="BA48" s="66">
        <f t="shared" si="17"/>
        <v>12792.441666666666</v>
      </c>
    </row>
    <row r="49" spans="1:53" ht="15">
      <c r="A49" s="33" t="s">
        <v>115</v>
      </c>
      <c r="B49" s="32" t="s">
        <v>119</v>
      </c>
      <c r="C49" s="691"/>
      <c r="D49" s="30">
        <v>106467</v>
      </c>
      <c r="E49" s="30">
        <v>3</v>
      </c>
      <c r="F49" s="29" t="s">
        <v>75</v>
      </c>
      <c r="G49" s="28" t="s">
        <v>75</v>
      </c>
      <c r="H49" s="27"/>
      <c r="I49" s="26"/>
      <c r="J49" s="27">
        <v>103407</v>
      </c>
      <c r="K49" s="26">
        <v>100720</v>
      </c>
      <c r="L49" s="27">
        <v>12561</v>
      </c>
      <c r="M49" s="109">
        <v>11465</v>
      </c>
      <c r="N49" s="27">
        <v>114789</v>
      </c>
      <c r="O49" s="26">
        <v>111424</v>
      </c>
      <c r="P49" s="64">
        <f t="shared" si="0"/>
        <v>230757</v>
      </c>
      <c r="Q49" s="65">
        <f t="shared" si="1"/>
        <v>7691.9</v>
      </c>
      <c r="R49" s="66">
        <f t="shared" si="2"/>
        <v>223609</v>
      </c>
      <c r="S49" s="67">
        <f t="shared" si="3"/>
        <v>7453.6333333333332</v>
      </c>
      <c r="T49" s="27">
        <v>11586</v>
      </c>
      <c r="U49" s="109">
        <v>12620</v>
      </c>
      <c r="V49" s="64">
        <f t="shared" si="4"/>
        <v>230757</v>
      </c>
      <c r="W49" s="68">
        <f t="shared" si="5"/>
        <v>223609</v>
      </c>
      <c r="X49" s="27"/>
      <c r="Y49" s="26"/>
      <c r="Z49" s="27"/>
      <c r="AA49" s="26"/>
      <c r="AB49" s="27"/>
      <c r="AC49" s="26"/>
      <c r="AD49" s="27"/>
      <c r="AE49" s="26"/>
      <c r="AF49" s="64">
        <f t="shared" si="6"/>
        <v>0</v>
      </c>
      <c r="AG49" s="65">
        <f t="shared" si="7"/>
        <v>0</v>
      </c>
      <c r="AH49" s="66">
        <f t="shared" si="8"/>
        <v>0</v>
      </c>
      <c r="AI49" s="66">
        <f t="shared" si="9"/>
        <v>0</v>
      </c>
      <c r="AJ49" s="27"/>
      <c r="AK49" s="26"/>
      <c r="AL49" s="64">
        <f t="shared" si="10"/>
        <v>0</v>
      </c>
      <c r="AM49" s="67">
        <f t="shared" si="11"/>
        <v>0</v>
      </c>
      <c r="AN49" s="27"/>
      <c r="AO49" s="26"/>
      <c r="AP49" s="27">
        <v>5162</v>
      </c>
      <c r="AQ49" s="26">
        <v>5190</v>
      </c>
      <c r="AR49" s="27">
        <v>5718</v>
      </c>
      <c r="AS49" s="109">
        <v>5074</v>
      </c>
      <c r="AT49" s="27">
        <v>5193</v>
      </c>
      <c r="AU49" s="26">
        <v>5142</v>
      </c>
      <c r="AV49" s="64">
        <f t="shared" si="12"/>
        <v>16073</v>
      </c>
      <c r="AW49" s="70">
        <f t="shared" si="13"/>
        <v>669.70833333333337</v>
      </c>
      <c r="AX49" s="66">
        <f t="shared" si="14"/>
        <v>15406</v>
      </c>
      <c r="AY49" s="71">
        <f t="shared" si="15"/>
        <v>641.91666666666663</v>
      </c>
      <c r="AZ49" s="72">
        <f t="shared" si="16"/>
        <v>8361.6083333333336</v>
      </c>
      <c r="BA49" s="66">
        <f t="shared" si="17"/>
        <v>8095.55</v>
      </c>
    </row>
    <row r="50" spans="1:53" ht="15">
      <c r="A50" s="33" t="s">
        <v>115</v>
      </c>
      <c r="B50" s="32" t="s">
        <v>120</v>
      </c>
      <c r="C50" s="691"/>
      <c r="D50" s="30">
        <v>106704</v>
      </c>
      <c r="E50" s="30">
        <v>3</v>
      </c>
      <c r="F50" s="29" t="s">
        <v>75</v>
      </c>
      <c r="G50" s="28" t="s">
        <v>75</v>
      </c>
      <c r="H50" s="27"/>
      <c r="I50" s="26"/>
      <c r="J50" s="27">
        <v>120885</v>
      </c>
      <c r="K50" s="26">
        <v>121281</v>
      </c>
      <c r="L50" s="27">
        <v>17934</v>
      </c>
      <c r="M50" s="109">
        <v>19371</v>
      </c>
      <c r="N50" s="27">
        <v>134060</v>
      </c>
      <c r="O50" s="26">
        <v>129803</v>
      </c>
      <c r="P50" s="64">
        <f t="shared" si="0"/>
        <v>272879</v>
      </c>
      <c r="Q50" s="65">
        <f t="shared" si="1"/>
        <v>9095.9666666666672</v>
      </c>
      <c r="R50" s="66">
        <f t="shared" si="2"/>
        <v>270455</v>
      </c>
      <c r="S50" s="67">
        <f t="shared" si="3"/>
        <v>9015.1666666666661</v>
      </c>
      <c r="T50" s="27">
        <v>2592</v>
      </c>
      <c r="U50" s="109">
        <v>2750</v>
      </c>
      <c r="V50" s="64">
        <f t="shared" si="4"/>
        <v>272879</v>
      </c>
      <c r="W50" s="68">
        <f t="shared" si="5"/>
        <v>270455</v>
      </c>
      <c r="X50" s="27"/>
      <c r="Y50" s="26"/>
      <c r="Z50" s="27"/>
      <c r="AA50" s="26"/>
      <c r="AB50" s="27"/>
      <c r="AC50" s="26"/>
      <c r="AD50" s="27"/>
      <c r="AE50" s="26"/>
      <c r="AF50" s="64">
        <f t="shared" si="6"/>
        <v>0</v>
      </c>
      <c r="AG50" s="65">
        <f t="shared" si="7"/>
        <v>0</v>
      </c>
      <c r="AH50" s="66">
        <f t="shared" si="8"/>
        <v>0</v>
      </c>
      <c r="AI50" s="66">
        <f t="shared" si="9"/>
        <v>0</v>
      </c>
      <c r="AJ50" s="27"/>
      <c r="AK50" s="26"/>
      <c r="AL50" s="64">
        <f t="shared" si="10"/>
        <v>0</v>
      </c>
      <c r="AM50" s="67">
        <f t="shared" si="11"/>
        <v>0</v>
      </c>
      <c r="AN50" s="27"/>
      <c r="AO50" s="26"/>
      <c r="AP50" s="27">
        <v>13680</v>
      </c>
      <c r="AQ50" s="26">
        <v>12998</v>
      </c>
      <c r="AR50" s="27">
        <v>9572</v>
      </c>
      <c r="AS50" s="109">
        <v>10070</v>
      </c>
      <c r="AT50" s="27">
        <v>14366</v>
      </c>
      <c r="AU50" s="26">
        <v>14419</v>
      </c>
      <c r="AV50" s="64">
        <f t="shared" si="12"/>
        <v>37618</v>
      </c>
      <c r="AW50" s="70">
        <f t="shared" si="13"/>
        <v>1567.4166666666667</v>
      </c>
      <c r="AX50" s="66">
        <f t="shared" si="14"/>
        <v>37487</v>
      </c>
      <c r="AY50" s="71">
        <f t="shared" si="15"/>
        <v>1561.9583333333333</v>
      </c>
      <c r="AZ50" s="72">
        <f t="shared" si="16"/>
        <v>10663.383333333333</v>
      </c>
      <c r="BA50" s="66">
        <f t="shared" si="17"/>
        <v>10577.125</v>
      </c>
    </row>
    <row r="51" spans="1:53" ht="15">
      <c r="A51" s="33" t="s">
        <v>115</v>
      </c>
      <c r="B51" s="32" t="s">
        <v>121</v>
      </c>
      <c r="C51" s="691"/>
      <c r="D51" s="30">
        <v>107071</v>
      </c>
      <c r="E51" s="30">
        <v>4</v>
      </c>
      <c r="F51" s="29" t="s">
        <v>75</v>
      </c>
      <c r="G51" s="28" t="s">
        <v>75</v>
      </c>
      <c r="H51" s="27"/>
      <c r="I51" s="26"/>
      <c r="J51" s="27">
        <v>40270</v>
      </c>
      <c r="K51" s="26">
        <v>40143</v>
      </c>
      <c r="L51" s="27">
        <v>5167</v>
      </c>
      <c r="M51" s="26">
        <v>5172</v>
      </c>
      <c r="N51" s="27">
        <v>43649</v>
      </c>
      <c r="O51" s="26">
        <v>43523</v>
      </c>
      <c r="P51" s="64">
        <f t="shared" si="0"/>
        <v>89086</v>
      </c>
      <c r="Q51" s="65">
        <f t="shared" si="1"/>
        <v>2969.5333333333333</v>
      </c>
      <c r="R51" s="66">
        <f t="shared" si="2"/>
        <v>88838</v>
      </c>
      <c r="S51" s="67">
        <f t="shared" si="3"/>
        <v>2961.2666666666669</v>
      </c>
      <c r="T51" s="27">
        <v>40</v>
      </c>
      <c r="U51" s="109">
        <v>166</v>
      </c>
      <c r="V51" s="64">
        <f t="shared" si="4"/>
        <v>89086</v>
      </c>
      <c r="W51" s="68">
        <f t="shared" si="5"/>
        <v>88838</v>
      </c>
      <c r="X51" s="27"/>
      <c r="Y51" s="26"/>
      <c r="Z51" s="27"/>
      <c r="AA51" s="26"/>
      <c r="AB51" s="27"/>
      <c r="AC51" s="26"/>
      <c r="AD51" s="27"/>
      <c r="AE51" s="26"/>
      <c r="AF51" s="64">
        <f t="shared" si="6"/>
        <v>0</v>
      </c>
      <c r="AG51" s="65">
        <f t="shared" si="7"/>
        <v>0</v>
      </c>
      <c r="AH51" s="66">
        <f t="shared" si="8"/>
        <v>0</v>
      </c>
      <c r="AI51" s="66">
        <f t="shared" si="9"/>
        <v>0</v>
      </c>
      <c r="AJ51" s="27"/>
      <c r="AK51" s="26"/>
      <c r="AL51" s="64">
        <f t="shared" si="10"/>
        <v>0</v>
      </c>
      <c r="AM51" s="67">
        <f t="shared" si="11"/>
        <v>0</v>
      </c>
      <c r="AN51" s="27"/>
      <c r="AO51" s="26"/>
      <c r="AP51" s="27">
        <v>2290</v>
      </c>
      <c r="AQ51" s="109">
        <v>2634</v>
      </c>
      <c r="AR51" s="27">
        <v>1563</v>
      </c>
      <c r="AS51" s="109">
        <v>1974</v>
      </c>
      <c r="AT51" s="27">
        <v>2460</v>
      </c>
      <c r="AU51" s="109">
        <v>2882</v>
      </c>
      <c r="AV51" s="64">
        <f t="shared" si="12"/>
        <v>6313</v>
      </c>
      <c r="AW51" s="70">
        <f t="shared" si="13"/>
        <v>263.04166666666669</v>
      </c>
      <c r="AX51" s="66">
        <f t="shared" si="14"/>
        <v>7490</v>
      </c>
      <c r="AY51" s="71">
        <f t="shared" si="15"/>
        <v>312.08333333333331</v>
      </c>
      <c r="AZ51" s="72">
        <f t="shared" si="16"/>
        <v>3232.5749999999998</v>
      </c>
      <c r="BA51" s="66">
        <f t="shared" si="17"/>
        <v>3273.3500000000004</v>
      </c>
    </row>
    <row r="52" spans="1:53" ht="15">
      <c r="A52" s="33" t="s">
        <v>115</v>
      </c>
      <c r="B52" s="32" t="s">
        <v>122</v>
      </c>
      <c r="C52" s="691"/>
      <c r="D52" s="30">
        <v>107983</v>
      </c>
      <c r="E52" s="30">
        <v>4</v>
      </c>
      <c r="F52" s="29" t="s">
        <v>75</v>
      </c>
      <c r="G52" s="28" t="s">
        <v>75</v>
      </c>
      <c r="H52" s="27"/>
      <c r="I52" s="26"/>
      <c r="J52" s="27">
        <v>37408</v>
      </c>
      <c r="K52" s="109">
        <v>40633</v>
      </c>
      <c r="L52" s="27">
        <v>4817</v>
      </c>
      <c r="M52" s="26">
        <v>4738</v>
      </c>
      <c r="N52" s="27">
        <v>44073</v>
      </c>
      <c r="O52" s="109">
        <v>46293</v>
      </c>
      <c r="P52" s="64">
        <f t="shared" si="0"/>
        <v>86298</v>
      </c>
      <c r="Q52" s="65">
        <f t="shared" si="1"/>
        <v>2876.6</v>
      </c>
      <c r="R52" s="66">
        <f t="shared" si="2"/>
        <v>91664</v>
      </c>
      <c r="S52" s="67">
        <f t="shared" si="3"/>
        <v>3055.4666666666667</v>
      </c>
      <c r="T52" s="27">
        <v>1276</v>
      </c>
      <c r="U52" s="109">
        <v>2029</v>
      </c>
      <c r="V52" s="64">
        <f t="shared" si="4"/>
        <v>86298</v>
      </c>
      <c r="W52" s="68">
        <f t="shared" si="5"/>
        <v>91664</v>
      </c>
      <c r="X52" s="27"/>
      <c r="Y52" s="26"/>
      <c r="Z52" s="27"/>
      <c r="AA52" s="26"/>
      <c r="AB52" s="27"/>
      <c r="AC52" s="26"/>
      <c r="AD52" s="27"/>
      <c r="AE52" s="26"/>
      <c r="AF52" s="64">
        <f t="shared" si="6"/>
        <v>0</v>
      </c>
      <c r="AG52" s="65">
        <f t="shared" si="7"/>
        <v>0</v>
      </c>
      <c r="AH52" s="66">
        <f t="shared" si="8"/>
        <v>0</v>
      </c>
      <c r="AI52" s="66">
        <f t="shared" si="9"/>
        <v>0</v>
      </c>
      <c r="AJ52" s="27"/>
      <c r="AK52" s="26"/>
      <c r="AL52" s="64">
        <f t="shared" si="10"/>
        <v>0</v>
      </c>
      <c r="AM52" s="67">
        <f t="shared" si="11"/>
        <v>0</v>
      </c>
      <c r="AN52" s="27"/>
      <c r="AO52" s="26"/>
      <c r="AP52" s="27">
        <v>3831</v>
      </c>
      <c r="AQ52" s="109">
        <v>9243</v>
      </c>
      <c r="AR52" s="27">
        <v>3639</v>
      </c>
      <c r="AS52" s="109">
        <v>9462</v>
      </c>
      <c r="AT52" s="27">
        <v>6519</v>
      </c>
      <c r="AU52" s="109">
        <v>10596</v>
      </c>
      <c r="AV52" s="64">
        <f t="shared" si="12"/>
        <v>13989</v>
      </c>
      <c r="AW52" s="70">
        <f t="shared" si="13"/>
        <v>582.875</v>
      </c>
      <c r="AX52" s="66">
        <f t="shared" si="14"/>
        <v>29301</v>
      </c>
      <c r="AY52" s="71">
        <f t="shared" si="15"/>
        <v>1220.875</v>
      </c>
      <c r="AZ52" s="72">
        <f t="shared" si="16"/>
        <v>3459.4749999999999</v>
      </c>
      <c r="BA52" s="66">
        <f t="shared" si="17"/>
        <v>4276.3416666666672</v>
      </c>
    </row>
    <row r="53" spans="1:53" ht="15">
      <c r="A53" s="33" t="s">
        <v>115</v>
      </c>
      <c r="B53" s="32" t="s">
        <v>123</v>
      </c>
      <c r="C53" s="691"/>
      <c r="D53" s="30">
        <v>106485</v>
      </c>
      <c r="E53" s="30">
        <v>5</v>
      </c>
      <c r="F53" s="29" t="s">
        <v>75</v>
      </c>
      <c r="G53" s="28" t="s">
        <v>75</v>
      </c>
      <c r="H53" s="27"/>
      <c r="I53" s="26"/>
      <c r="J53" s="27">
        <v>31377</v>
      </c>
      <c r="K53" s="109">
        <v>29710</v>
      </c>
      <c r="L53" s="27">
        <v>3838</v>
      </c>
      <c r="M53" s="26">
        <v>4029</v>
      </c>
      <c r="N53" s="27">
        <v>32940</v>
      </c>
      <c r="O53" s="26">
        <v>33939</v>
      </c>
      <c r="P53" s="64">
        <f t="shared" si="0"/>
        <v>68155</v>
      </c>
      <c r="Q53" s="65">
        <f t="shared" si="1"/>
        <v>2271.8333333333335</v>
      </c>
      <c r="R53" s="66">
        <f t="shared" si="2"/>
        <v>67678</v>
      </c>
      <c r="S53" s="67">
        <f t="shared" si="3"/>
        <v>2255.9333333333334</v>
      </c>
      <c r="T53" s="27">
        <v>6126</v>
      </c>
      <c r="U53" s="109">
        <v>6769</v>
      </c>
      <c r="V53" s="64">
        <f t="shared" si="4"/>
        <v>68155</v>
      </c>
      <c r="W53" s="68">
        <f t="shared" si="5"/>
        <v>67678</v>
      </c>
      <c r="X53" s="27"/>
      <c r="Y53" s="26"/>
      <c r="Z53" s="27"/>
      <c r="AA53" s="26"/>
      <c r="AB53" s="27"/>
      <c r="AC53" s="26"/>
      <c r="AD53" s="27"/>
      <c r="AE53" s="26"/>
      <c r="AF53" s="64">
        <f t="shared" si="6"/>
        <v>0</v>
      </c>
      <c r="AG53" s="65">
        <f t="shared" si="7"/>
        <v>0</v>
      </c>
      <c r="AH53" s="66">
        <f t="shared" si="8"/>
        <v>0</v>
      </c>
      <c r="AI53" s="66">
        <f t="shared" si="9"/>
        <v>0</v>
      </c>
      <c r="AJ53" s="27"/>
      <c r="AK53" s="26"/>
      <c r="AL53" s="64">
        <f t="shared" si="10"/>
        <v>0</v>
      </c>
      <c r="AM53" s="67">
        <f t="shared" si="11"/>
        <v>0</v>
      </c>
      <c r="AN53" s="27"/>
      <c r="AO53" s="26"/>
      <c r="AP53" s="27">
        <v>1076</v>
      </c>
      <c r="AQ53" s="109">
        <v>1255</v>
      </c>
      <c r="AR53" s="27">
        <v>1276</v>
      </c>
      <c r="AS53" s="109">
        <v>1644</v>
      </c>
      <c r="AT53" s="27">
        <v>1158</v>
      </c>
      <c r="AU53" s="109">
        <v>1638</v>
      </c>
      <c r="AV53" s="64">
        <f t="shared" si="12"/>
        <v>3510</v>
      </c>
      <c r="AW53" s="70">
        <f t="shared" si="13"/>
        <v>146.25</v>
      </c>
      <c r="AX53" s="66">
        <f t="shared" si="14"/>
        <v>4537</v>
      </c>
      <c r="AY53" s="71">
        <f t="shared" si="15"/>
        <v>189.04166666666666</v>
      </c>
      <c r="AZ53" s="72">
        <f t="shared" si="16"/>
        <v>2418.0833333333335</v>
      </c>
      <c r="BA53" s="66">
        <f t="shared" si="17"/>
        <v>2444.9749999999999</v>
      </c>
    </row>
    <row r="54" spans="1:53" ht="15">
      <c r="A54" s="33" t="s">
        <v>115</v>
      </c>
      <c r="B54" s="32" t="s">
        <v>124</v>
      </c>
      <c r="C54" s="691"/>
      <c r="D54" s="30">
        <v>108092</v>
      </c>
      <c r="E54" s="30">
        <v>6</v>
      </c>
      <c r="F54" s="29" t="s">
        <v>75</v>
      </c>
      <c r="G54" s="28" t="s">
        <v>75</v>
      </c>
      <c r="H54" s="27"/>
      <c r="I54" s="26"/>
      <c r="J54" s="27">
        <v>76417</v>
      </c>
      <c r="K54" s="26">
        <v>72626</v>
      </c>
      <c r="L54" s="27">
        <v>8422</v>
      </c>
      <c r="M54" s="109">
        <v>7698</v>
      </c>
      <c r="N54" s="27">
        <v>81335</v>
      </c>
      <c r="O54" s="26">
        <v>78210</v>
      </c>
      <c r="P54" s="64">
        <f t="shared" si="0"/>
        <v>166174</v>
      </c>
      <c r="Q54" s="65">
        <f t="shared" si="1"/>
        <v>5539.1333333333332</v>
      </c>
      <c r="R54" s="66">
        <f t="shared" si="2"/>
        <v>158534</v>
      </c>
      <c r="S54" s="67">
        <f t="shared" si="3"/>
        <v>5284.4666666666662</v>
      </c>
      <c r="T54" s="27">
        <v>11956</v>
      </c>
      <c r="U54" s="26">
        <v>12315</v>
      </c>
      <c r="V54" s="64">
        <f t="shared" si="4"/>
        <v>166174</v>
      </c>
      <c r="W54" s="68">
        <f t="shared" si="5"/>
        <v>158534</v>
      </c>
      <c r="X54" s="27"/>
      <c r="Y54" s="26"/>
      <c r="Z54" s="27"/>
      <c r="AA54" s="26"/>
      <c r="AB54" s="27"/>
      <c r="AC54" s="26"/>
      <c r="AD54" s="27"/>
      <c r="AE54" s="26"/>
      <c r="AF54" s="64">
        <f t="shared" si="6"/>
        <v>0</v>
      </c>
      <c r="AG54" s="65">
        <f t="shared" si="7"/>
        <v>0</v>
      </c>
      <c r="AH54" s="66">
        <f t="shared" si="8"/>
        <v>0</v>
      </c>
      <c r="AI54" s="66">
        <f t="shared" si="9"/>
        <v>0</v>
      </c>
      <c r="AJ54" s="27"/>
      <c r="AK54" s="26"/>
      <c r="AL54" s="64">
        <f t="shared" si="10"/>
        <v>0</v>
      </c>
      <c r="AM54" s="67">
        <f t="shared" si="11"/>
        <v>0</v>
      </c>
      <c r="AN54" s="27"/>
      <c r="AO54" s="26"/>
      <c r="AP54" s="27">
        <v>0</v>
      </c>
      <c r="AQ54" s="109">
        <v>99</v>
      </c>
      <c r="AR54" s="27">
        <v>0</v>
      </c>
      <c r="AS54" s="109">
        <v>9</v>
      </c>
      <c r="AT54" s="27">
        <v>36</v>
      </c>
      <c r="AU54" s="109">
        <v>102</v>
      </c>
      <c r="AV54" s="64">
        <f t="shared" si="12"/>
        <v>36</v>
      </c>
      <c r="AW54" s="70">
        <f t="shared" si="13"/>
        <v>1.5</v>
      </c>
      <c r="AX54" s="66">
        <f t="shared" si="14"/>
        <v>210</v>
      </c>
      <c r="AY54" s="71">
        <f t="shared" si="15"/>
        <v>8.75</v>
      </c>
      <c r="AZ54" s="72">
        <f t="shared" si="16"/>
        <v>5540.6333333333332</v>
      </c>
      <c r="BA54" s="66">
        <f t="shared" si="17"/>
        <v>5293.2166666666662</v>
      </c>
    </row>
    <row r="55" spans="1:53" ht="15">
      <c r="A55" s="33" t="s">
        <v>115</v>
      </c>
      <c r="B55" s="32" t="s">
        <v>125</v>
      </c>
      <c r="C55" s="691" t="s">
        <v>967</v>
      </c>
      <c r="D55" s="30">
        <v>106412</v>
      </c>
      <c r="E55" s="30">
        <v>6</v>
      </c>
      <c r="F55" s="29" t="s">
        <v>75</v>
      </c>
      <c r="G55" s="28" t="s">
        <v>75</v>
      </c>
      <c r="H55" s="27"/>
      <c r="I55" s="26"/>
      <c r="J55" s="27">
        <v>29717</v>
      </c>
      <c r="K55" s="109">
        <v>31943</v>
      </c>
      <c r="L55" s="27">
        <v>5052</v>
      </c>
      <c r="M55" s="109">
        <v>4489</v>
      </c>
      <c r="N55" s="27">
        <v>36067</v>
      </c>
      <c r="O55" s="109">
        <v>38805</v>
      </c>
      <c r="P55" s="64">
        <f t="shared" si="0"/>
        <v>70836</v>
      </c>
      <c r="Q55" s="65">
        <f t="shared" si="1"/>
        <v>2361.1999999999998</v>
      </c>
      <c r="R55" s="66">
        <f t="shared" si="2"/>
        <v>75237</v>
      </c>
      <c r="S55" s="67">
        <f t="shared" si="3"/>
        <v>2507.9</v>
      </c>
      <c r="T55" s="27">
        <v>3</v>
      </c>
      <c r="U55" s="109">
        <v>0</v>
      </c>
      <c r="V55" s="64">
        <f t="shared" si="4"/>
        <v>70836</v>
      </c>
      <c r="W55" s="68">
        <f t="shared" si="5"/>
        <v>75237</v>
      </c>
      <c r="X55" s="27"/>
      <c r="Y55" s="26"/>
      <c r="Z55" s="27"/>
      <c r="AA55" s="26"/>
      <c r="AB55" s="27"/>
      <c r="AC55" s="26"/>
      <c r="AD55" s="27"/>
      <c r="AE55" s="26"/>
      <c r="AF55" s="64">
        <f t="shared" si="6"/>
        <v>0</v>
      </c>
      <c r="AG55" s="65">
        <f t="shared" si="7"/>
        <v>0</v>
      </c>
      <c r="AH55" s="66">
        <f t="shared" si="8"/>
        <v>0</v>
      </c>
      <c r="AI55" s="66">
        <f t="shared" si="9"/>
        <v>0</v>
      </c>
      <c r="AJ55" s="27"/>
      <c r="AK55" s="26"/>
      <c r="AL55" s="64">
        <f t="shared" si="10"/>
        <v>0</v>
      </c>
      <c r="AM55" s="67">
        <f t="shared" si="11"/>
        <v>0</v>
      </c>
      <c r="AN55" s="27"/>
      <c r="AO55" s="26"/>
      <c r="AP55" s="27">
        <v>775</v>
      </c>
      <c r="AQ55" s="109">
        <v>655</v>
      </c>
      <c r="AR55" s="27">
        <v>383</v>
      </c>
      <c r="AS55" s="109">
        <v>253</v>
      </c>
      <c r="AT55" s="27">
        <v>732</v>
      </c>
      <c r="AU55" s="109">
        <v>619</v>
      </c>
      <c r="AV55" s="64">
        <f t="shared" si="12"/>
        <v>1890</v>
      </c>
      <c r="AW55" s="70">
        <f t="shared" si="13"/>
        <v>78.75</v>
      </c>
      <c r="AX55" s="66">
        <f t="shared" si="14"/>
        <v>1527</v>
      </c>
      <c r="AY55" s="71">
        <f t="shared" si="15"/>
        <v>63.625</v>
      </c>
      <c r="AZ55" s="72">
        <f t="shared" si="16"/>
        <v>2439.9499999999998</v>
      </c>
      <c r="BA55" s="66">
        <f t="shared" si="17"/>
        <v>2571.5250000000001</v>
      </c>
    </row>
    <row r="56" spans="1:53" ht="15">
      <c r="A56" s="33" t="s">
        <v>115</v>
      </c>
      <c r="B56" s="32" t="s">
        <v>126</v>
      </c>
      <c r="C56" s="691" t="s">
        <v>968</v>
      </c>
      <c r="D56" s="30">
        <v>367459</v>
      </c>
      <c r="E56" s="30">
        <v>8</v>
      </c>
      <c r="F56" s="29" t="s">
        <v>75</v>
      </c>
      <c r="G56" s="28" t="s">
        <v>75</v>
      </c>
      <c r="H56" s="27"/>
      <c r="I56" s="26"/>
      <c r="J56" s="27">
        <v>65320</v>
      </c>
      <c r="K56" s="26">
        <v>62602</v>
      </c>
      <c r="L56" s="27">
        <v>14583</v>
      </c>
      <c r="M56" s="26">
        <v>14597</v>
      </c>
      <c r="N56" s="27">
        <v>69268</v>
      </c>
      <c r="O56" s="26">
        <v>70033</v>
      </c>
      <c r="P56" s="64">
        <f t="shared" si="0"/>
        <v>149171</v>
      </c>
      <c r="Q56" s="65">
        <f t="shared" si="1"/>
        <v>4972.3666666666668</v>
      </c>
      <c r="R56" s="66">
        <f t="shared" si="2"/>
        <v>147232</v>
      </c>
      <c r="S56" s="67">
        <f t="shared" si="3"/>
        <v>4907.7333333333336</v>
      </c>
      <c r="T56" s="27">
        <v>15089</v>
      </c>
      <c r="U56" s="109">
        <v>17624</v>
      </c>
      <c r="V56" s="64">
        <f t="shared" si="4"/>
        <v>149171</v>
      </c>
      <c r="W56" s="68">
        <f t="shared" si="5"/>
        <v>147232</v>
      </c>
      <c r="X56" s="27"/>
      <c r="Y56" s="26"/>
      <c r="Z56" s="27"/>
      <c r="AA56" s="26"/>
      <c r="AB56" s="27"/>
      <c r="AC56" s="26"/>
      <c r="AD56" s="27"/>
      <c r="AE56" s="26"/>
      <c r="AF56" s="64">
        <f t="shared" si="6"/>
        <v>0</v>
      </c>
      <c r="AG56" s="65">
        <f t="shared" si="7"/>
        <v>0</v>
      </c>
      <c r="AH56" s="66">
        <f t="shared" si="8"/>
        <v>0</v>
      </c>
      <c r="AI56" s="66">
        <f t="shared" si="9"/>
        <v>0</v>
      </c>
      <c r="AJ56" s="27"/>
      <c r="AK56" s="26"/>
      <c r="AL56" s="64">
        <f t="shared" si="10"/>
        <v>0</v>
      </c>
      <c r="AM56" s="67">
        <f t="shared" si="11"/>
        <v>0</v>
      </c>
      <c r="AN56" s="27"/>
      <c r="AO56" s="26"/>
      <c r="AP56" s="27"/>
      <c r="AQ56" s="26"/>
      <c r="AR56" s="27"/>
      <c r="AS56" s="26"/>
      <c r="AT56" s="27"/>
      <c r="AU56" s="26"/>
      <c r="AV56" s="64">
        <f t="shared" si="12"/>
        <v>0</v>
      </c>
      <c r="AW56" s="70">
        <f t="shared" si="13"/>
        <v>0</v>
      </c>
      <c r="AX56" s="66">
        <f t="shared" si="14"/>
        <v>0</v>
      </c>
      <c r="AY56" s="71">
        <f t="shared" si="15"/>
        <v>0</v>
      </c>
      <c r="AZ56" s="72">
        <f t="shared" si="16"/>
        <v>4972.3666666666668</v>
      </c>
      <c r="BA56" s="66">
        <f t="shared" si="17"/>
        <v>4907.7333333333336</v>
      </c>
    </row>
    <row r="57" spans="1:53" ht="15">
      <c r="A57" s="33" t="s">
        <v>115</v>
      </c>
      <c r="B57" s="32" t="s">
        <v>127</v>
      </c>
      <c r="C57" s="691" t="s">
        <v>969</v>
      </c>
      <c r="D57" s="30">
        <v>107664</v>
      </c>
      <c r="E57" s="24">
        <v>8</v>
      </c>
      <c r="F57" s="29" t="s">
        <v>75</v>
      </c>
      <c r="G57" s="28" t="s">
        <v>75</v>
      </c>
      <c r="H57" s="27"/>
      <c r="I57" s="26"/>
      <c r="J57" s="27">
        <v>81915</v>
      </c>
      <c r="K57" s="109">
        <v>67566</v>
      </c>
      <c r="L57" s="27">
        <v>14732</v>
      </c>
      <c r="M57" s="109">
        <v>12726</v>
      </c>
      <c r="N57" s="27">
        <v>73881</v>
      </c>
      <c r="O57" s="109">
        <v>63785</v>
      </c>
      <c r="P57" s="64">
        <f t="shared" si="0"/>
        <v>170528</v>
      </c>
      <c r="Q57" s="65">
        <f t="shared" si="1"/>
        <v>5684.2666666666664</v>
      </c>
      <c r="R57" s="66">
        <f t="shared" si="2"/>
        <v>144077</v>
      </c>
      <c r="S57" s="67">
        <f t="shared" si="3"/>
        <v>4802.5666666666666</v>
      </c>
      <c r="T57" s="27">
        <v>5180</v>
      </c>
      <c r="U57" s="109">
        <v>5982</v>
      </c>
      <c r="V57" s="64">
        <f t="shared" si="4"/>
        <v>170528</v>
      </c>
      <c r="W57" s="68">
        <f t="shared" si="5"/>
        <v>144077</v>
      </c>
      <c r="X57" s="27"/>
      <c r="Y57" s="26"/>
      <c r="Z57" s="27"/>
      <c r="AA57" s="26"/>
      <c r="AB57" s="27"/>
      <c r="AC57" s="26"/>
      <c r="AD57" s="27"/>
      <c r="AE57" s="26"/>
      <c r="AF57" s="64">
        <f t="shared" si="6"/>
        <v>0</v>
      </c>
      <c r="AG57" s="65">
        <f t="shared" si="7"/>
        <v>0</v>
      </c>
      <c r="AH57" s="66">
        <f t="shared" si="8"/>
        <v>0</v>
      </c>
      <c r="AI57" s="66">
        <f t="shared" si="9"/>
        <v>0</v>
      </c>
      <c r="AJ57" s="27"/>
      <c r="AK57" s="26"/>
      <c r="AL57" s="64">
        <f t="shared" si="10"/>
        <v>0</v>
      </c>
      <c r="AM57" s="67">
        <f t="shared" si="11"/>
        <v>0</v>
      </c>
      <c r="AN57" s="27"/>
      <c r="AO57" s="26"/>
      <c r="AP57" s="27"/>
      <c r="AQ57" s="26"/>
      <c r="AR57" s="27"/>
      <c r="AS57" s="26"/>
      <c r="AT57" s="27"/>
      <c r="AU57" s="26"/>
      <c r="AV57" s="64">
        <f t="shared" si="12"/>
        <v>0</v>
      </c>
      <c r="AW57" s="70">
        <f t="shared" si="13"/>
        <v>0</v>
      </c>
      <c r="AX57" s="66">
        <f t="shared" si="14"/>
        <v>0</v>
      </c>
      <c r="AY57" s="71">
        <f t="shared" si="15"/>
        <v>0</v>
      </c>
      <c r="AZ57" s="72">
        <f t="shared" si="16"/>
        <v>5684.2666666666664</v>
      </c>
      <c r="BA57" s="66">
        <f t="shared" si="17"/>
        <v>4802.5666666666666</v>
      </c>
    </row>
    <row r="58" spans="1:53" ht="15">
      <c r="A58" s="33" t="s">
        <v>115</v>
      </c>
      <c r="B58" s="32" t="s">
        <v>128</v>
      </c>
      <c r="C58" s="691"/>
      <c r="D58" s="30">
        <v>106449</v>
      </c>
      <c r="E58" s="30">
        <v>9</v>
      </c>
      <c r="F58" s="29" t="s">
        <v>75</v>
      </c>
      <c r="G58" s="28" t="s">
        <v>75</v>
      </c>
      <c r="H58" s="27"/>
      <c r="I58" s="26"/>
      <c r="J58" s="27">
        <v>39417</v>
      </c>
      <c r="K58" s="109">
        <v>37244</v>
      </c>
      <c r="L58" s="27">
        <v>8153</v>
      </c>
      <c r="M58" s="109">
        <v>7503</v>
      </c>
      <c r="N58" s="27">
        <v>41906</v>
      </c>
      <c r="O58" s="26">
        <v>41854</v>
      </c>
      <c r="P58" s="64">
        <f t="shared" si="0"/>
        <v>89476</v>
      </c>
      <c r="Q58" s="65">
        <f t="shared" si="1"/>
        <v>2982.5333333333333</v>
      </c>
      <c r="R58" s="66">
        <f t="shared" si="2"/>
        <v>86601</v>
      </c>
      <c r="S58" s="67">
        <f t="shared" si="3"/>
        <v>2886.7</v>
      </c>
      <c r="T58" s="27">
        <v>8243</v>
      </c>
      <c r="U58" s="109">
        <v>8674</v>
      </c>
      <c r="V58" s="64">
        <f t="shared" si="4"/>
        <v>89476</v>
      </c>
      <c r="W58" s="68">
        <f t="shared" si="5"/>
        <v>86601</v>
      </c>
      <c r="X58" s="27"/>
      <c r="Y58" s="26"/>
      <c r="Z58" s="27"/>
      <c r="AA58" s="26"/>
      <c r="AB58" s="27"/>
      <c r="AC58" s="26"/>
      <c r="AD58" s="27"/>
      <c r="AE58" s="26"/>
      <c r="AF58" s="64">
        <f t="shared" si="6"/>
        <v>0</v>
      </c>
      <c r="AG58" s="65">
        <f t="shared" si="7"/>
        <v>0</v>
      </c>
      <c r="AH58" s="66">
        <f t="shared" si="8"/>
        <v>0</v>
      </c>
      <c r="AI58" s="66">
        <f t="shared" si="9"/>
        <v>0</v>
      </c>
      <c r="AJ58" s="27"/>
      <c r="AK58" s="26"/>
      <c r="AL58" s="64">
        <f t="shared" si="10"/>
        <v>0</v>
      </c>
      <c r="AM58" s="67">
        <f t="shared" si="11"/>
        <v>0</v>
      </c>
      <c r="AN58" s="27"/>
      <c r="AO58" s="26"/>
      <c r="AP58" s="27"/>
      <c r="AQ58" s="26"/>
      <c r="AR58" s="27"/>
      <c r="AS58" s="26"/>
      <c r="AT58" s="27"/>
      <c r="AU58" s="26"/>
      <c r="AV58" s="64">
        <f t="shared" si="12"/>
        <v>0</v>
      </c>
      <c r="AW58" s="70">
        <f t="shared" si="13"/>
        <v>0</v>
      </c>
      <c r="AX58" s="66">
        <f t="shared" si="14"/>
        <v>0</v>
      </c>
      <c r="AY58" s="71">
        <f t="shared" si="15"/>
        <v>0</v>
      </c>
      <c r="AZ58" s="72">
        <f t="shared" si="16"/>
        <v>2982.5333333333333</v>
      </c>
      <c r="BA58" s="66">
        <f t="shared" si="17"/>
        <v>2886.7</v>
      </c>
    </row>
    <row r="59" spans="1:53" ht="15">
      <c r="A59" s="33" t="s">
        <v>115</v>
      </c>
      <c r="B59" s="23" t="s">
        <v>129</v>
      </c>
      <c r="C59" s="691" t="s">
        <v>970</v>
      </c>
      <c r="D59" s="30">
        <v>106980</v>
      </c>
      <c r="E59" s="30">
        <v>9</v>
      </c>
      <c r="F59" s="29" t="s">
        <v>75</v>
      </c>
      <c r="G59" s="28" t="s">
        <v>75</v>
      </c>
      <c r="H59" s="27"/>
      <c r="I59" s="26"/>
      <c r="J59" s="27">
        <v>24727</v>
      </c>
      <c r="K59" s="26">
        <v>24163</v>
      </c>
      <c r="L59" s="27">
        <v>3677</v>
      </c>
      <c r="M59" s="109">
        <v>3405</v>
      </c>
      <c r="N59" s="27">
        <v>29680</v>
      </c>
      <c r="O59" s="109">
        <v>28110</v>
      </c>
      <c r="P59" s="64">
        <f t="shared" si="0"/>
        <v>58084</v>
      </c>
      <c r="Q59" s="65">
        <f t="shared" si="1"/>
        <v>1936.1333333333334</v>
      </c>
      <c r="R59" s="66">
        <f t="shared" si="2"/>
        <v>55678</v>
      </c>
      <c r="S59" s="67">
        <f t="shared" si="3"/>
        <v>1855.9333333333334</v>
      </c>
      <c r="T59" s="27">
        <v>6979</v>
      </c>
      <c r="U59" s="26">
        <v>6880</v>
      </c>
      <c r="V59" s="64">
        <f t="shared" si="4"/>
        <v>58084</v>
      </c>
      <c r="W59" s="68">
        <f t="shared" si="5"/>
        <v>55678</v>
      </c>
      <c r="X59" s="27"/>
      <c r="Y59" s="26"/>
      <c r="Z59" s="27"/>
      <c r="AA59" s="26"/>
      <c r="AB59" s="27"/>
      <c r="AC59" s="26"/>
      <c r="AD59" s="27"/>
      <c r="AE59" s="26"/>
      <c r="AF59" s="64">
        <f t="shared" si="6"/>
        <v>0</v>
      </c>
      <c r="AG59" s="65">
        <f t="shared" si="7"/>
        <v>0</v>
      </c>
      <c r="AH59" s="66">
        <f t="shared" si="8"/>
        <v>0</v>
      </c>
      <c r="AI59" s="66">
        <f t="shared" si="9"/>
        <v>0</v>
      </c>
      <c r="AJ59" s="27"/>
      <c r="AK59" s="26"/>
      <c r="AL59" s="64">
        <f t="shared" si="10"/>
        <v>0</v>
      </c>
      <c r="AM59" s="67">
        <f t="shared" si="11"/>
        <v>0</v>
      </c>
      <c r="AN59" s="27"/>
      <c r="AO59" s="26"/>
      <c r="AP59" s="27"/>
      <c r="AQ59" s="26"/>
      <c r="AR59" s="27"/>
      <c r="AS59" s="26"/>
      <c r="AT59" s="27"/>
      <c r="AU59" s="26"/>
      <c r="AV59" s="64">
        <f t="shared" si="12"/>
        <v>0</v>
      </c>
      <c r="AW59" s="70">
        <f t="shared" si="13"/>
        <v>0</v>
      </c>
      <c r="AX59" s="66">
        <f t="shared" si="14"/>
        <v>0</v>
      </c>
      <c r="AY59" s="71">
        <f t="shared" si="15"/>
        <v>0</v>
      </c>
      <c r="AZ59" s="72">
        <f t="shared" si="16"/>
        <v>1936.1333333333334</v>
      </c>
      <c r="BA59" s="66">
        <f t="shared" si="17"/>
        <v>1855.9333333333334</v>
      </c>
    </row>
    <row r="60" spans="1:53" ht="15">
      <c r="A60" s="22" t="s">
        <v>115</v>
      </c>
      <c r="B60" s="32" t="s">
        <v>130</v>
      </c>
      <c r="C60" s="691"/>
      <c r="D60" s="30">
        <v>107327</v>
      </c>
      <c r="E60" s="30">
        <v>10</v>
      </c>
      <c r="F60" s="29" t="s">
        <v>75</v>
      </c>
      <c r="G60" s="28" t="s">
        <v>75</v>
      </c>
      <c r="H60" s="27"/>
      <c r="I60" s="26"/>
      <c r="J60" s="27">
        <v>12276</v>
      </c>
      <c r="K60" s="26">
        <v>11883</v>
      </c>
      <c r="L60" s="27">
        <v>2476</v>
      </c>
      <c r="M60" s="109">
        <v>2658</v>
      </c>
      <c r="N60" s="27">
        <v>12918</v>
      </c>
      <c r="O60" s="26">
        <v>13497</v>
      </c>
      <c r="P60" s="64">
        <f t="shared" si="0"/>
        <v>27670</v>
      </c>
      <c r="Q60" s="65">
        <f t="shared" si="1"/>
        <v>922.33333333333337</v>
      </c>
      <c r="R60" s="66">
        <f t="shared" si="2"/>
        <v>28038</v>
      </c>
      <c r="S60" s="67">
        <f t="shared" si="3"/>
        <v>934.6</v>
      </c>
      <c r="T60" s="27">
        <v>2208</v>
      </c>
      <c r="U60" s="109">
        <v>2431</v>
      </c>
      <c r="V60" s="64">
        <f t="shared" si="4"/>
        <v>27670</v>
      </c>
      <c r="W60" s="68">
        <f t="shared" si="5"/>
        <v>28038</v>
      </c>
      <c r="X60" s="27"/>
      <c r="Y60" s="26"/>
      <c r="Z60" s="27"/>
      <c r="AA60" s="26"/>
      <c r="AB60" s="27"/>
      <c r="AC60" s="26"/>
      <c r="AD60" s="27"/>
      <c r="AE60" s="26"/>
      <c r="AF60" s="64">
        <f t="shared" si="6"/>
        <v>0</v>
      </c>
      <c r="AG60" s="65">
        <f t="shared" si="7"/>
        <v>0</v>
      </c>
      <c r="AH60" s="66">
        <f t="shared" si="8"/>
        <v>0</v>
      </c>
      <c r="AI60" s="66">
        <f t="shared" si="9"/>
        <v>0</v>
      </c>
      <c r="AJ60" s="27"/>
      <c r="AK60" s="26"/>
      <c r="AL60" s="64">
        <f t="shared" si="10"/>
        <v>0</v>
      </c>
      <c r="AM60" s="67">
        <f t="shared" si="11"/>
        <v>0</v>
      </c>
      <c r="AN60" s="27"/>
      <c r="AO60" s="26"/>
      <c r="AP60" s="27"/>
      <c r="AQ60" s="26"/>
      <c r="AR60" s="27"/>
      <c r="AS60" s="26"/>
      <c r="AT60" s="27"/>
      <c r="AU60" s="26"/>
      <c r="AV60" s="64">
        <f t="shared" si="12"/>
        <v>0</v>
      </c>
      <c r="AW60" s="70">
        <f t="shared" si="13"/>
        <v>0</v>
      </c>
      <c r="AX60" s="66">
        <f t="shared" si="14"/>
        <v>0</v>
      </c>
      <c r="AY60" s="71">
        <f t="shared" si="15"/>
        <v>0</v>
      </c>
      <c r="AZ60" s="72">
        <f t="shared" si="16"/>
        <v>922.33333333333337</v>
      </c>
      <c r="BA60" s="66">
        <f t="shared" si="17"/>
        <v>934.6</v>
      </c>
    </row>
    <row r="61" spans="1:53" ht="15">
      <c r="A61" s="22" t="s">
        <v>115</v>
      </c>
      <c r="B61" s="21" t="s">
        <v>131</v>
      </c>
      <c r="C61" s="691"/>
      <c r="D61" s="30">
        <v>107318</v>
      </c>
      <c r="E61" s="30">
        <v>10</v>
      </c>
      <c r="F61" s="29" t="s">
        <v>75</v>
      </c>
      <c r="G61" s="28" t="s">
        <v>75</v>
      </c>
      <c r="H61" s="27"/>
      <c r="I61" s="26"/>
      <c r="J61" s="27">
        <v>13838</v>
      </c>
      <c r="K61" s="26">
        <v>14013</v>
      </c>
      <c r="L61" s="27">
        <v>2055</v>
      </c>
      <c r="M61" s="26">
        <v>2105</v>
      </c>
      <c r="N61" s="27">
        <v>15950</v>
      </c>
      <c r="O61" s="26">
        <v>15246</v>
      </c>
      <c r="P61" s="64">
        <f t="shared" si="0"/>
        <v>31843</v>
      </c>
      <c r="Q61" s="65">
        <f t="shared" si="1"/>
        <v>1061.4333333333334</v>
      </c>
      <c r="R61" s="66">
        <f t="shared" si="2"/>
        <v>31364</v>
      </c>
      <c r="S61" s="67">
        <f t="shared" si="3"/>
        <v>1045.4666666666667</v>
      </c>
      <c r="T61" s="27">
        <v>8238</v>
      </c>
      <c r="U61" s="109">
        <v>8935</v>
      </c>
      <c r="V61" s="64">
        <f t="shared" si="4"/>
        <v>31843</v>
      </c>
      <c r="W61" s="68">
        <f t="shared" si="5"/>
        <v>31364</v>
      </c>
      <c r="X61" s="27"/>
      <c r="Y61" s="26"/>
      <c r="Z61" s="27"/>
      <c r="AA61" s="26"/>
      <c r="AB61" s="27"/>
      <c r="AC61" s="26"/>
      <c r="AD61" s="27"/>
      <c r="AE61" s="26"/>
      <c r="AF61" s="64">
        <f t="shared" si="6"/>
        <v>0</v>
      </c>
      <c r="AG61" s="65">
        <f t="shared" si="7"/>
        <v>0</v>
      </c>
      <c r="AH61" s="66">
        <f t="shared" si="8"/>
        <v>0</v>
      </c>
      <c r="AI61" s="66">
        <f t="shared" si="9"/>
        <v>0</v>
      </c>
      <c r="AJ61" s="27"/>
      <c r="AK61" s="26"/>
      <c r="AL61" s="64">
        <f t="shared" si="10"/>
        <v>0</v>
      </c>
      <c r="AM61" s="67">
        <f t="shared" si="11"/>
        <v>0</v>
      </c>
      <c r="AN61" s="27"/>
      <c r="AO61" s="26"/>
      <c r="AP61" s="27"/>
      <c r="AQ61" s="26"/>
      <c r="AR61" s="27"/>
      <c r="AS61" s="26"/>
      <c r="AT61" s="27"/>
      <c r="AU61" s="26"/>
      <c r="AV61" s="64">
        <f t="shared" si="12"/>
        <v>0</v>
      </c>
      <c r="AW61" s="70">
        <f t="shared" si="13"/>
        <v>0</v>
      </c>
      <c r="AX61" s="66">
        <f t="shared" si="14"/>
        <v>0</v>
      </c>
      <c r="AY61" s="71">
        <f t="shared" si="15"/>
        <v>0</v>
      </c>
      <c r="AZ61" s="72">
        <f t="shared" si="16"/>
        <v>1061.4333333333334</v>
      </c>
      <c r="BA61" s="66">
        <f t="shared" si="17"/>
        <v>1045.4666666666667</v>
      </c>
    </row>
    <row r="62" spans="1:53" ht="15">
      <c r="A62" s="22" t="s">
        <v>115</v>
      </c>
      <c r="B62" s="32" t="s">
        <v>132</v>
      </c>
      <c r="C62" s="691"/>
      <c r="D62" s="30">
        <v>420538</v>
      </c>
      <c r="E62" s="30">
        <v>10</v>
      </c>
      <c r="F62" s="29" t="s">
        <v>75</v>
      </c>
      <c r="G62" s="28" t="s">
        <v>75</v>
      </c>
      <c r="H62" s="27"/>
      <c r="I62" s="26"/>
      <c r="J62" s="27">
        <v>13873</v>
      </c>
      <c r="K62" s="26">
        <v>13930</v>
      </c>
      <c r="L62" s="27">
        <v>3161</v>
      </c>
      <c r="M62" s="109">
        <v>2909</v>
      </c>
      <c r="N62" s="27">
        <v>15539</v>
      </c>
      <c r="O62" s="26">
        <v>15196</v>
      </c>
      <c r="P62" s="64">
        <f t="shared" si="0"/>
        <v>32573</v>
      </c>
      <c r="Q62" s="65">
        <f t="shared" si="1"/>
        <v>1085.7666666666667</v>
      </c>
      <c r="R62" s="66">
        <f t="shared" si="2"/>
        <v>32035</v>
      </c>
      <c r="S62" s="67">
        <f t="shared" si="3"/>
        <v>1067.8333333333333</v>
      </c>
      <c r="T62" s="27">
        <v>1796</v>
      </c>
      <c r="U62" s="109">
        <v>2168</v>
      </c>
      <c r="V62" s="64">
        <f t="shared" si="4"/>
        <v>32573</v>
      </c>
      <c r="W62" s="68">
        <f t="shared" si="5"/>
        <v>32035</v>
      </c>
      <c r="X62" s="27"/>
      <c r="Y62" s="26"/>
      <c r="Z62" s="27"/>
      <c r="AA62" s="26"/>
      <c r="AB62" s="27"/>
      <c r="AC62" s="26"/>
      <c r="AD62" s="27"/>
      <c r="AE62" s="26"/>
      <c r="AF62" s="64">
        <f t="shared" si="6"/>
        <v>0</v>
      </c>
      <c r="AG62" s="65">
        <f t="shared" si="7"/>
        <v>0</v>
      </c>
      <c r="AH62" s="66">
        <f t="shared" si="8"/>
        <v>0</v>
      </c>
      <c r="AI62" s="66">
        <f t="shared" si="9"/>
        <v>0</v>
      </c>
      <c r="AJ62" s="27"/>
      <c r="AK62" s="26"/>
      <c r="AL62" s="64">
        <f t="shared" si="10"/>
        <v>0</v>
      </c>
      <c r="AM62" s="67">
        <f t="shared" si="11"/>
        <v>0</v>
      </c>
      <c r="AN62" s="27"/>
      <c r="AO62" s="26"/>
      <c r="AP62" s="27"/>
      <c r="AQ62" s="26"/>
      <c r="AR62" s="27"/>
      <c r="AS62" s="26"/>
      <c r="AT62" s="27"/>
      <c r="AU62" s="26"/>
      <c r="AV62" s="64">
        <f t="shared" si="12"/>
        <v>0</v>
      </c>
      <c r="AW62" s="70">
        <f t="shared" si="13"/>
        <v>0</v>
      </c>
      <c r="AX62" s="66">
        <f t="shared" si="14"/>
        <v>0</v>
      </c>
      <c r="AY62" s="71">
        <f t="shared" si="15"/>
        <v>0</v>
      </c>
      <c r="AZ62" s="72">
        <f t="shared" si="16"/>
        <v>1085.7666666666667</v>
      </c>
      <c r="BA62" s="66">
        <f t="shared" si="17"/>
        <v>1067.8333333333333</v>
      </c>
    </row>
    <row r="63" spans="1:53" ht="15">
      <c r="A63" s="22" t="s">
        <v>115</v>
      </c>
      <c r="B63" s="32" t="s">
        <v>133</v>
      </c>
      <c r="C63" s="691"/>
      <c r="D63" s="30">
        <v>440402</v>
      </c>
      <c r="E63" s="30">
        <v>10</v>
      </c>
      <c r="F63" s="29" t="s">
        <v>75</v>
      </c>
      <c r="G63" s="28" t="s">
        <v>75</v>
      </c>
      <c r="H63" s="27"/>
      <c r="I63" s="26"/>
      <c r="J63" s="27">
        <v>21194</v>
      </c>
      <c r="K63" s="26">
        <v>22182</v>
      </c>
      <c r="L63" s="27">
        <v>8845</v>
      </c>
      <c r="M63" s="109">
        <v>9579</v>
      </c>
      <c r="N63" s="27">
        <v>23364</v>
      </c>
      <c r="O63" s="26">
        <v>23512</v>
      </c>
      <c r="P63" s="64">
        <f t="shared" si="0"/>
        <v>53403</v>
      </c>
      <c r="Q63" s="65">
        <f t="shared" si="1"/>
        <v>1780.1</v>
      </c>
      <c r="R63" s="66">
        <f t="shared" si="2"/>
        <v>55273</v>
      </c>
      <c r="S63" s="67">
        <f t="shared" si="3"/>
        <v>1842.4333333333334</v>
      </c>
      <c r="T63" s="27">
        <v>12939</v>
      </c>
      <c r="U63" s="109">
        <v>14358</v>
      </c>
      <c r="V63" s="64">
        <f t="shared" si="4"/>
        <v>53403</v>
      </c>
      <c r="W63" s="68">
        <f t="shared" si="5"/>
        <v>55273</v>
      </c>
      <c r="X63" s="27"/>
      <c r="Y63" s="26"/>
      <c r="Z63" s="27"/>
      <c r="AA63" s="26"/>
      <c r="AB63" s="27"/>
      <c r="AC63" s="26"/>
      <c r="AD63" s="27"/>
      <c r="AE63" s="26"/>
      <c r="AF63" s="64">
        <f t="shared" si="6"/>
        <v>0</v>
      </c>
      <c r="AG63" s="65">
        <f t="shared" si="7"/>
        <v>0</v>
      </c>
      <c r="AH63" s="66">
        <f t="shared" si="8"/>
        <v>0</v>
      </c>
      <c r="AI63" s="66">
        <f t="shared" si="9"/>
        <v>0</v>
      </c>
      <c r="AJ63" s="27"/>
      <c r="AK63" s="26"/>
      <c r="AL63" s="64">
        <f t="shared" si="10"/>
        <v>0</v>
      </c>
      <c r="AM63" s="67">
        <f t="shared" si="11"/>
        <v>0</v>
      </c>
      <c r="AN63" s="27"/>
      <c r="AO63" s="26"/>
      <c r="AP63" s="27"/>
      <c r="AQ63" s="26"/>
      <c r="AR63" s="27"/>
      <c r="AS63" s="26"/>
      <c r="AT63" s="27"/>
      <c r="AU63" s="26"/>
      <c r="AV63" s="64">
        <f t="shared" si="12"/>
        <v>0</v>
      </c>
      <c r="AW63" s="70">
        <f t="shared" si="13"/>
        <v>0</v>
      </c>
      <c r="AX63" s="66">
        <f t="shared" si="14"/>
        <v>0</v>
      </c>
      <c r="AY63" s="71">
        <f t="shared" si="15"/>
        <v>0</v>
      </c>
      <c r="AZ63" s="72">
        <f t="shared" si="16"/>
        <v>1780.1</v>
      </c>
      <c r="BA63" s="66">
        <f t="shared" si="17"/>
        <v>1842.4333333333334</v>
      </c>
    </row>
    <row r="64" spans="1:53" ht="15">
      <c r="A64" s="22" t="s">
        <v>115</v>
      </c>
      <c r="B64" s="32" t="s">
        <v>134</v>
      </c>
      <c r="C64" s="691"/>
      <c r="D64" s="30">
        <v>106625</v>
      </c>
      <c r="E64" s="30">
        <v>10</v>
      </c>
      <c r="F64" s="29" t="s">
        <v>75</v>
      </c>
      <c r="G64" s="28" t="s">
        <v>75</v>
      </c>
      <c r="H64" s="27"/>
      <c r="I64" s="26"/>
      <c r="J64" s="27">
        <v>19008</v>
      </c>
      <c r="K64" s="109">
        <v>16789</v>
      </c>
      <c r="L64" s="27">
        <v>2756</v>
      </c>
      <c r="M64" s="26">
        <v>2646</v>
      </c>
      <c r="N64" s="27">
        <v>18567</v>
      </c>
      <c r="O64" s="26">
        <v>17644</v>
      </c>
      <c r="P64" s="64">
        <f t="shared" si="0"/>
        <v>40331</v>
      </c>
      <c r="Q64" s="65">
        <f t="shared" si="1"/>
        <v>1344.3666666666666</v>
      </c>
      <c r="R64" s="66">
        <f t="shared" si="2"/>
        <v>37079</v>
      </c>
      <c r="S64" s="67">
        <f t="shared" si="3"/>
        <v>1235.9666666666667</v>
      </c>
      <c r="T64" s="27">
        <v>4252</v>
      </c>
      <c r="U64" s="26">
        <v>4208</v>
      </c>
      <c r="V64" s="64">
        <f t="shared" si="4"/>
        <v>40331</v>
      </c>
      <c r="W64" s="68">
        <f t="shared" si="5"/>
        <v>37079</v>
      </c>
      <c r="X64" s="27"/>
      <c r="Y64" s="26"/>
      <c r="Z64" s="27"/>
      <c r="AA64" s="26"/>
      <c r="AB64" s="27"/>
      <c r="AC64" s="26"/>
      <c r="AD64" s="27"/>
      <c r="AE64" s="26"/>
      <c r="AF64" s="64">
        <f t="shared" si="6"/>
        <v>0</v>
      </c>
      <c r="AG64" s="65">
        <f t="shared" si="7"/>
        <v>0</v>
      </c>
      <c r="AH64" s="66">
        <f t="shared" si="8"/>
        <v>0</v>
      </c>
      <c r="AI64" s="66">
        <f t="shared" si="9"/>
        <v>0</v>
      </c>
      <c r="AJ64" s="27"/>
      <c r="AK64" s="26"/>
      <c r="AL64" s="64">
        <f t="shared" si="10"/>
        <v>0</v>
      </c>
      <c r="AM64" s="67">
        <f t="shared" si="11"/>
        <v>0</v>
      </c>
      <c r="AN64" s="27"/>
      <c r="AO64" s="26"/>
      <c r="AP64" s="27"/>
      <c r="AQ64" s="26"/>
      <c r="AR64" s="27"/>
      <c r="AS64" s="26"/>
      <c r="AT64" s="27"/>
      <c r="AU64" s="26"/>
      <c r="AV64" s="64">
        <f t="shared" si="12"/>
        <v>0</v>
      </c>
      <c r="AW64" s="70">
        <f t="shared" si="13"/>
        <v>0</v>
      </c>
      <c r="AX64" s="66">
        <f t="shared" si="14"/>
        <v>0</v>
      </c>
      <c r="AY64" s="71">
        <f t="shared" si="15"/>
        <v>0</v>
      </c>
      <c r="AZ64" s="72">
        <f t="shared" si="16"/>
        <v>1344.3666666666666</v>
      </c>
      <c r="BA64" s="66">
        <f t="shared" si="17"/>
        <v>1235.9666666666667</v>
      </c>
    </row>
    <row r="65" spans="1:53" ht="15">
      <c r="A65" s="22" t="s">
        <v>115</v>
      </c>
      <c r="B65" s="32" t="s">
        <v>135</v>
      </c>
      <c r="C65" s="691"/>
      <c r="D65" s="30">
        <v>107521</v>
      </c>
      <c r="E65" s="30">
        <v>10</v>
      </c>
      <c r="F65" s="29" t="s">
        <v>75</v>
      </c>
      <c r="G65" s="28" t="s">
        <v>75</v>
      </c>
      <c r="H65" s="27"/>
      <c r="I65" s="26"/>
      <c r="J65" s="27">
        <v>11830</v>
      </c>
      <c r="K65" s="109">
        <v>9997</v>
      </c>
      <c r="L65" s="27">
        <v>2925</v>
      </c>
      <c r="M65" s="26">
        <v>2993</v>
      </c>
      <c r="N65" s="27">
        <v>11110</v>
      </c>
      <c r="O65" s="26">
        <v>10721</v>
      </c>
      <c r="P65" s="64">
        <f t="shared" si="0"/>
        <v>25865</v>
      </c>
      <c r="Q65" s="65">
        <f t="shared" si="1"/>
        <v>862.16666666666663</v>
      </c>
      <c r="R65" s="66">
        <f t="shared" si="2"/>
        <v>23711</v>
      </c>
      <c r="S65" s="67">
        <f t="shared" si="3"/>
        <v>790.36666666666667</v>
      </c>
      <c r="T65" s="27">
        <v>4796</v>
      </c>
      <c r="U65" s="109">
        <v>4410</v>
      </c>
      <c r="V65" s="64">
        <f t="shared" si="4"/>
        <v>25865</v>
      </c>
      <c r="W65" s="68">
        <f t="shared" si="5"/>
        <v>23711</v>
      </c>
      <c r="X65" s="27"/>
      <c r="Y65" s="26"/>
      <c r="Z65" s="27"/>
      <c r="AA65" s="26"/>
      <c r="AB65" s="27"/>
      <c r="AC65" s="26"/>
      <c r="AD65" s="27"/>
      <c r="AE65" s="26"/>
      <c r="AF65" s="64">
        <f t="shared" si="6"/>
        <v>0</v>
      </c>
      <c r="AG65" s="65">
        <f t="shared" si="7"/>
        <v>0</v>
      </c>
      <c r="AH65" s="66">
        <f t="shared" si="8"/>
        <v>0</v>
      </c>
      <c r="AI65" s="66">
        <f t="shared" si="9"/>
        <v>0</v>
      </c>
      <c r="AJ65" s="27"/>
      <c r="AK65" s="26"/>
      <c r="AL65" s="64">
        <f t="shared" si="10"/>
        <v>0</v>
      </c>
      <c r="AM65" s="67">
        <f t="shared" si="11"/>
        <v>0</v>
      </c>
      <c r="AN65" s="27"/>
      <c r="AO65" s="26"/>
      <c r="AP65" s="27"/>
      <c r="AQ65" s="26"/>
      <c r="AR65" s="27"/>
      <c r="AS65" s="26"/>
      <c r="AT65" s="27"/>
      <c r="AU65" s="26"/>
      <c r="AV65" s="64">
        <f t="shared" si="12"/>
        <v>0</v>
      </c>
      <c r="AW65" s="70">
        <f t="shared" si="13"/>
        <v>0</v>
      </c>
      <c r="AX65" s="66">
        <f t="shared" si="14"/>
        <v>0</v>
      </c>
      <c r="AY65" s="71">
        <f t="shared" si="15"/>
        <v>0</v>
      </c>
      <c r="AZ65" s="72">
        <f t="shared" si="16"/>
        <v>862.16666666666663</v>
      </c>
      <c r="BA65" s="66">
        <f t="shared" si="17"/>
        <v>790.36666666666667</v>
      </c>
    </row>
    <row r="66" spans="1:53" ht="15">
      <c r="A66" s="22" t="s">
        <v>115</v>
      </c>
      <c r="B66" s="32" t="s">
        <v>136</v>
      </c>
      <c r="C66" s="691"/>
      <c r="D66" s="30">
        <v>106795</v>
      </c>
      <c r="E66" s="30">
        <v>10</v>
      </c>
      <c r="F66" s="29" t="s">
        <v>75</v>
      </c>
      <c r="G66" s="28" t="s">
        <v>75</v>
      </c>
      <c r="H66" s="27"/>
      <c r="I66" s="26"/>
      <c r="J66" s="27">
        <v>12880</v>
      </c>
      <c r="K66" s="26">
        <v>12797</v>
      </c>
      <c r="L66" s="27">
        <v>2421</v>
      </c>
      <c r="M66" s="109">
        <v>2568</v>
      </c>
      <c r="N66" s="27">
        <v>13589</v>
      </c>
      <c r="O66" s="26">
        <v>13088</v>
      </c>
      <c r="P66" s="64">
        <f t="shared" si="0"/>
        <v>28890</v>
      </c>
      <c r="Q66" s="65">
        <f t="shared" si="1"/>
        <v>963</v>
      </c>
      <c r="R66" s="66">
        <f t="shared" si="2"/>
        <v>28453</v>
      </c>
      <c r="S66" s="67">
        <f t="shared" si="3"/>
        <v>948.43333333333328</v>
      </c>
      <c r="T66" s="27">
        <v>5520</v>
      </c>
      <c r="U66" s="109">
        <v>6528</v>
      </c>
      <c r="V66" s="64">
        <f t="shared" si="4"/>
        <v>28890</v>
      </c>
      <c r="W66" s="68">
        <f t="shared" si="5"/>
        <v>28453</v>
      </c>
      <c r="X66" s="27"/>
      <c r="Y66" s="26"/>
      <c r="Z66" s="27"/>
      <c r="AA66" s="26"/>
      <c r="AB66" s="27"/>
      <c r="AC66" s="26"/>
      <c r="AD66" s="27"/>
      <c r="AE66" s="26"/>
      <c r="AF66" s="64">
        <f t="shared" si="6"/>
        <v>0</v>
      </c>
      <c r="AG66" s="65">
        <f t="shared" si="7"/>
        <v>0</v>
      </c>
      <c r="AH66" s="66">
        <f t="shared" si="8"/>
        <v>0</v>
      </c>
      <c r="AI66" s="66">
        <f t="shared" si="9"/>
        <v>0</v>
      </c>
      <c r="AJ66" s="27"/>
      <c r="AK66" s="26"/>
      <c r="AL66" s="64">
        <f t="shared" si="10"/>
        <v>0</v>
      </c>
      <c r="AM66" s="67">
        <f t="shared" si="11"/>
        <v>0</v>
      </c>
      <c r="AN66" s="27"/>
      <c r="AO66" s="26"/>
      <c r="AP66" s="27"/>
      <c r="AQ66" s="26"/>
      <c r="AR66" s="27"/>
      <c r="AS66" s="26"/>
      <c r="AT66" s="27"/>
      <c r="AU66" s="26"/>
      <c r="AV66" s="64">
        <f t="shared" si="12"/>
        <v>0</v>
      </c>
      <c r="AW66" s="70">
        <f t="shared" si="13"/>
        <v>0</v>
      </c>
      <c r="AX66" s="66">
        <f t="shared" si="14"/>
        <v>0</v>
      </c>
      <c r="AY66" s="71">
        <f t="shared" si="15"/>
        <v>0</v>
      </c>
      <c r="AZ66" s="72">
        <f t="shared" si="16"/>
        <v>963</v>
      </c>
      <c r="BA66" s="66">
        <f t="shared" si="17"/>
        <v>948.43333333333328</v>
      </c>
    </row>
    <row r="67" spans="1:53" ht="15">
      <c r="A67" s="22" t="s">
        <v>115</v>
      </c>
      <c r="B67" s="32" t="s">
        <v>137</v>
      </c>
      <c r="C67" s="691"/>
      <c r="D67" s="30">
        <v>106883</v>
      </c>
      <c r="E67" s="30">
        <v>10</v>
      </c>
      <c r="F67" s="29" t="s">
        <v>75</v>
      </c>
      <c r="G67" s="28" t="s">
        <v>75</v>
      </c>
      <c r="H67" s="27"/>
      <c r="I67" s="26"/>
      <c r="J67" s="27">
        <v>9915</v>
      </c>
      <c r="K67" s="109">
        <v>9036</v>
      </c>
      <c r="L67" s="27">
        <v>3224</v>
      </c>
      <c r="M67" s="26">
        <v>3064</v>
      </c>
      <c r="N67" s="27">
        <v>10351</v>
      </c>
      <c r="O67" s="109">
        <v>9529</v>
      </c>
      <c r="P67" s="64">
        <f t="shared" si="0"/>
        <v>23490</v>
      </c>
      <c r="Q67" s="65">
        <f t="shared" si="1"/>
        <v>783</v>
      </c>
      <c r="R67" s="66">
        <f t="shared" si="2"/>
        <v>21629</v>
      </c>
      <c r="S67" s="67">
        <f t="shared" si="3"/>
        <v>720.9666666666667</v>
      </c>
      <c r="T67" s="27">
        <v>3669</v>
      </c>
      <c r="U67" s="109">
        <v>4084</v>
      </c>
      <c r="V67" s="64">
        <f t="shared" si="4"/>
        <v>23490</v>
      </c>
      <c r="W67" s="68">
        <f t="shared" si="5"/>
        <v>21629</v>
      </c>
      <c r="X67" s="27"/>
      <c r="Y67" s="26"/>
      <c r="Z67" s="27"/>
      <c r="AA67" s="26"/>
      <c r="AB67" s="27"/>
      <c r="AC67" s="26"/>
      <c r="AD67" s="27"/>
      <c r="AE67" s="26"/>
      <c r="AF67" s="64">
        <f t="shared" si="6"/>
        <v>0</v>
      </c>
      <c r="AG67" s="65">
        <f t="shared" si="7"/>
        <v>0</v>
      </c>
      <c r="AH67" s="66">
        <f t="shared" si="8"/>
        <v>0</v>
      </c>
      <c r="AI67" s="66">
        <f t="shared" si="9"/>
        <v>0</v>
      </c>
      <c r="AJ67" s="27"/>
      <c r="AK67" s="26"/>
      <c r="AL67" s="64">
        <f t="shared" si="10"/>
        <v>0</v>
      </c>
      <c r="AM67" s="67">
        <f t="shared" si="11"/>
        <v>0</v>
      </c>
      <c r="AN67" s="27"/>
      <c r="AO67" s="26"/>
      <c r="AP67" s="27"/>
      <c r="AQ67" s="26"/>
      <c r="AR67" s="27"/>
      <c r="AS67" s="26"/>
      <c r="AT67" s="27"/>
      <c r="AU67" s="26"/>
      <c r="AV67" s="64">
        <f t="shared" si="12"/>
        <v>0</v>
      </c>
      <c r="AW67" s="70">
        <f t="shared" si="13"/>
        <v>0</v>
      </c>
      <c r="AX67" s="66">
        <f t="shared" si="14"/>
        <v>0</v>
      </c>
      <c r="AY67" s="71">
        <f t="shared" si="15"/>
        <v>0</v>
      </c>
      <c r="AZ67" s="72">
        <f t="shared" si="16"/>
        <v>783</v>
      </c>
      <c r="BA67" s="66">
        <f t="shared" si="17"/>
        <v>720.9666666666667</v>
      </c>
    </row>
    <row r="68" spans="1:53" ht="15">
      <c r="A68" s="22" t="s">
        <v>115</v>
      </c>
      <c r="B68" s="32" t="s">
        <v>138</v>
      </c>
      <c r="C68" s="691"/>
      <c r="D68" s="30">
        <v>107460</v>
      </c>
      <c r="E68" s="30">
        <v>10</v>
      </c>
      <c r="F68" s="29" t="s">
        <v>75</v>
      </c>
      <c r="G68" s="28" t="s">
        <v>75</v>
      </c>
      <c r="H68" s="27"/>
      <c r="I68" s="26"/>
      <c r="J68" s="27">
        <v>19094</v>
      </c>
      <c r="K68" s="109">
        <v>17511</v>
      </c>
      <c r="L68" s="27">
        <v>2324</v>
      </c>
      <c r="M68" s="26">
        <v>2239</v>
      </c>
      <c r="N68" s="27">
        <v>19636</v>
      </c>
      <c r="O68" s="26">
        <v>20055</v>
      </c>
      <c r="P68" s="64">
        <f t="shared" si="0"/>
        <v>41054</v>
      </c>
      <c r="Q68" s="65">
        <f t="shared" si="1"/>
        <v>1368.4666666666667</v>
      </c>
      <c r="R68" s="66">
        <f t="shared" si="2"/>
        <v>39805</v>
      </c>
      <c r="S68" s="67">
        <f t="shared" si="3"/>
        <v>1326.8333333333333</v>
      </c>
      <c r="T68" s="27">
        <v>2529</v>
      </c>
      <c r="U68" s="109">
        <v>2734</v>
      </c>
      <c r="V68" s="64">
        <f t="shared" si="4"/>
        <v>41054</v>
      </c>
      <c r="W68" s="68">
        <f t="shared" si="5"/>
        <v>39805</v>
      </c>
      <c r="X68" s="27"/>
      <c r="Y68" s="26"/>
      <c r="Z68" s="27"/>
      <c r="AA68" s="26"/>
      <c r="AB68" s="27"/>
      <c r="AC68" s="26"/>
      <c r="AD68" s="27"/>
      <c r="AE68" s="26"/>
      <c r="AF68" s="64">
        <f t="shared" si="6"/>
        <v>0</v>
      </c>
      <c r="AG68" s="65">
        <f t="shared" si="7"/>
        <v>0</v>
      </c>
      <c r="AH68" s="66">
        <f t="shared" si="8"/>
        <v>0</v>
      </c>
      <c r="AI68" s="66">
        <f t="shared" si="9"/>
        <v>0</v>
      </c>
      <c r="AJ68" s="27"/>
      <c r="AK68" s="26"/>
      <c r="AL68" s="64">
        <f t="shared" si="10"/>
        <v>0</v>
      </c>
      <c r="AM68" s="67">
        <f t="shared" si="11"/>
        <v>0</v>
      </c>
      <c r="AN68" s="27"/>
      <c r="AO68" s="26"/>
      <c r="AP68" s="27"/>
      <c r="AQ68" s="26"/>
      <c r="AR68" s="27"/>
      <c r="AS68" s="26"/>
      <c r="AT68" s="27"/>
      <c r="AU68" s="26"/>
      <c r="AV68" s="64">
        <f t="shared" si="12"/>
        <v>0</v>
      </c>
      <c r="AW68" s="70">
        <f t="shared" si="13"/>
        <v>0</v>
      </c>
      <c r="AX68" s="66">
        <f t="shared" si="14"/>
        <v>0</v>
      </c>
      <c r="AY68" s="71">
        <f t="shared" si="15"/>
        <v>0</v>
      </c>
      <c r="AZ68" s="72">
        <f t="shared" si="16"/>
        <v>1368.4666666666667</v>
      </c>
      <c r="BA68" s="66">
        <f t="shared" si="17"/>
        <v>1326.8333333333333</v>
      </c>
    </row>
    <row r="69" spans="1:53" ht="15">
      <c r="A69" s="22" t="s">
        <v>115</v>
      </c>
      <c r="B69" s="32" t="s">
        <v>139</v>
      </c>
      <c r="C69" s="691"/>
      <c r="D69" s="30">
        <v>107549</v>
      </c>
      <c r="E69" s="30">
        <v>10</v>
      </c>
      <c r="F69" s="29" t="s">
        <v>75</v>
      </c>
      <c r="G69" s="28" t="s">
        <v>75</v>
      </c>
      <c r="H69" s="27"/>
      <c r="I69" s="26"/>
      <c r="J69" s="27">
        <v>11959</v>
      </c>
      <c r="K69" s="109">
        <v>10729</v>
      </c>
      <c r="L69" s="27">
        <v>2572</v>
      </c>
      <c r="M69" s="109">
        <v>2277</v>
      </c>
      <c r="N69" s="27">
        <v>11257</v>
      </c>
      <c r="O69" s="26">
        <v>11768</v>
      </c>
      <c r="P69" s="64">
        <f t="shared" si="0"/>
        <v>25788</v>
      </c>
      <c r="Q69" s="65">
        <f t="shared" si="1"/>
        <v>859.6</v>
      </c>
      <c r="R69" s="66">
        <f t="shared" si="2"/>
        <v>24774</v>
      </c>
      <c r="S69" s="67">
        <f t="shared" si="3"/>
        <v>825.8</v>
      </c>
      <c r="T69" s="27">
        <v>2648</v>
      </c>
      <c r="U69" s="109">
        <v>2967</v>
      </c>
      <c r="V69" s="64">
        <f t="shared" si="4"/>
        <v>25788</v>
      </c>
      <c r="W69" s="68">
        <f t="shared" si="5"/>
        <v>24774</v>
      </c>
      <c r="X69" s="27"/>
      <c r="Y69" s="26"/>
      <c r="Z69" s="27"/>
      <c r="AA69" s="26"/>
      <c r="AB69" s="27"/>
      <c r="AC69" s="26"/>
      <c r="AD69" s="27"/>
      <c r="AE69" s="26"/>
      <c r="AF69" s="64">
        <f t="shared" si="6"/>
        <v>0</v>
      </c>
      <c r="AG69" s="65">
        <f t="shared" si="7"/>
        <v>0</v>
      </c>
      <c r="AH69" s="66">
        <f t="shared" si="8"/>
        <v>0</v>
      </c>
      <c r="AI69" s="66">
        <f t="shared" si="9"/>
        <v>0</v>
      </c>
      <c r="AJ69" s="27"/>
      <c r="AK69" s="26"/>
      <c r="AL69" s="64">
        <f t="shared" si="10"/>
        <v>0</v>
      </c>
      <c r="AM69" s="67">
        <f t="shared" si="11"/>
        <v>0</v>
      </c>
      <c r="AN69" s="27"/>
      <c r="AO69" s="26"/>
      <c r="AP69" s="27"/>
      <c r="AQ69" s="26"/>
      <c r="AR69" s="27"/>
      <c r="AS69" s="26"/>
      <c r="AT69" s="27"/>
      <c r="AU69" s="26"/>
      <c r="AV69" s="64">
        <f t="shared" si="12"/>
        <v>0</v>
      </c>
      <c r="AW69" s="70">
        <f t="shared" si="13"/>
        <v>0</v>
      </c>
      <c r="AX69" s="66">
        <f t="shared" si="14"/>
        <v>0</v>
      </c>
      <c r="AY69" s="71">
        <f t="shared" si="15"/>
        <v>0</v>
      </c>
      <c r="AZ69" s="72">
        <f t="shared" si="16"/>
        <v>859.6</v>
      </c>
      <c r="BA69" s="66">
        <f t="shared" si="17"/>
        <v>825.8</v>
      </c>
    </row>
    <row r="70" spans="1:53" ht="15">
      <c r="A70" s="22" t="s">
        <v>115</v>
      </c>
      <c r="B70" s="32" t="s">
        <v>140</v>
      </c>
      <c r="C70" s="691"/>
      <c r="D70" s="30">
        <v>107619</v>
      </c>
      <c r="E70" s="30">
        <v>10</v>
      </c>
      <c r="F70" s="29" t="s">
        <v>75</v>
      </c>
      <c r="G70" s="28" t="s">
        <v>75</v>
      </c>
      <c r="H70" s="27"/>
      <c r="I70" s="26"/>
      <c r="J70" s="27">
        <v>12722</v>
      </c>
      <c r="K70" s="109">
        <v>12030</v>
      </c>
      <c r="L70" s="27">
        <v>1941</v>
      </c>
      <c r="M70" s="109">
        <v>2348</v>
      </c>
      <c r="N70" s="27">
        <v>13850</v>
      </c>
      <c r="O70" s="109">
        <v>14883</v>
      </c>
      <c r="P70" s="64">
        <f t="shared" si="0"/>
        <v>28513</v>
      </c>
      <c r="Q70" s="65">
        <f t="shared" si="1"/>
        <v>950.43333333333328</v>
      </c>
      <c r="R70" s="66">
        <f t="shared" si="2"/>
        <v>29261</v>
      </c>
      <c r="S70" s="67">
        <f t="shared" si="3"/>
        <v>975.36666666666667</v>
      </c>
      <c r="T70" s="27">
        <v>7344</v>
      </c>
      <c r="U70" s="109">
        <v>7819</v>
      </c>
      <c r="V70" s="64">
        <f t="shared" si="4"/>
        <v>28513</v>
      </c>
      <c r="W70" s="68">
        <f t="shared" si="5"/>
        <v>29261</v>
      </c>
      <c r="X70" s="27"/>
      <c r="Y70" s="26"/>
      <c r="Z70" s="27"/>
      <c r="AA70" s="26"/>
      <c r="AB70" s="27"/>
      <c r="AC70" s="26"/>
      <c r="AD70" s="27"/>
      <c r="AE70" s="26"/>
      <c r="AF70" s="64">
        <f t="shared" si="6"/>
        <v>0</v>
      </c>
      <c r="AG70" s="65">
        <f t="shared" si="7"/>
        <v>0</v>
      </c>
      <c r="AH70" s="66">
        <f t="shared" si="8"/>
        <v>0</v>
      </c>
      <c r="AI70" s="66">
        <f t="shared" si="9"/>
        <v>0</v>
      </c>
      <c r="AJ70" s="27"/>
      <c r="AK70" s="26"/>
      <c r="AL70" s="64">
        <f t="shared" si="10"/>
        <v>0</v>
      </c>
      <c r="AM70" s="67">
        <f t="shared" si="11"/>
        <v>0</v>
      </c>
      <c r="AN70" s="27"/>
      <c r="AO70" s="26"/>
      <c r="AP70" s="27"/>
      <c r="AQ70" s="26"/>
      <c r="AR70" s="27"/>
      <c r="AS70" s="26"/>
      <c r="AT70" s="27"/>
      <c r="AU70" s="26"/>
      <c r="AV70" s="64">
        <f t="shared" si="12"/>
        <v>0</v>
      </c>
      <c r="AW70" s="70">
        <f t="shared" si="13"/>
        <v>0</v>
      </c>
      <c r="AX70" s="66">
        <f t="shared" si="14"/>
        <v>0</v>
      </c>
      <c r="AY70" s="71">
        <f t="shared" si="15"/>
        <v>0</v>
      </c>
      <c r="AZ70" s="72">
        <f t="shared" si="16"/>
        <v>950.43333333333328</v>
      </c>
      <c r="BA70" s="66">
        <f t="shared" si="17"/>
        <v>975.36666666666667</v>
      </c>
    </row>
    <row r="71" spans="1:53" ht="15">
      <c r="A71" s="22" t="s">
        <v>115</v>
      </c>
      <c r="B71" s="32" t="s">
        <v>141</v>
      </c>
      <c r="C71" s="691"/>
      <c r="D71" s="30">
        <v>107743</v>
      </c>
      <c r="E71" s="30">
        <v>10</v>
      </c>
      <c r="F71" s="29" t="s">
        <v>75</v>
      </c>
      <c r="G71" s="28" t="s">
        <v>75</v>
      </c>
      <c r="H71" s="27"/>
      <c r="I71" s="26"/>
      <c r="J71" s="27">
        <v>7084</v>
      </c>
      <c r="K71" s="26">
        <v>7195</v>
      </c>
      <c r="L71" s="27">
        <v>1390</v>
      </c>
      <c r="M71" s="26">
        <v>1334</v>
      </c>
      <c r="N71" s="27">
        <v>7943</v>
      </c>
      <c r="O71" s="109">
        <v>7509</v>
      </c>
      <c r="P71" s="64">
        <f t="shared" ref="P71:P137" si="18">SUM(H71,J71,L71,N71)</f>
        <v>16417</v>
      </c>
      <c r="Q71" s="65">
        <f t="shared" ref="Q71:Q137" si="19">+P71/30</f>
        <v>547.23333333333335</v>
      </c>
      <c r="R71" s="66">
        <f t="shared" ref="R71:R137" si="20">SUM(I71,K71,M71,O71)</f>
        <v>16038</v>
      </c>
      <c r="S71" s="67">
        <f t="shared" ref="S71:S137" si="21">+R71/30</f>
        <v>534.6</v>
      </c>
      <c r="T71" s="27">
        <v>2973</v>
      </c>
      <c r="U71" s="26">
        <v>2881</v>
      </c>
      <c r="V71" s="64">
        <f t="shared" ref="V71:V137" si="22">IF(ISBLANK(T71),0,P71)</f>
        <v>16417</v>
      </c>
      <c r="W71" s="68">
        <f t="shared" ref="W71:W137" si="23">IF(ISBLANK(U71),0,R71)</f>
        <v>16038</v>
      </c>
      <c r="X71" s="27"/>
      <c r="Y71" s="26"/>
      <c r="Z71" s="27"/>
      <c r="AA71" s="26"/>
      <c r="AB71" s="27"/>
      <c r="AC71" s="26"/>
      <c r="AD71" s="27"/>
      <c r="AE71" s="26"/>
      <c r="AF71" s="64">
        <f t="shared" ref="AF71:AF137" si="24">SUM(X71,Z71,AB71,AD71)</f>
        <v>0</v>
      </c>
      <c r="AG71" s="65">
        <f t="shared" ref="AG71:AG137" si="25">+AF71/900</f>
        <v>0</v>
      </c>
      <c r="AH71" s="66">
        <f t="shared" ref="AH71:AH137" si="26">SUM(Y71,AA71,AC71,AE71)</f>
        <v>0</v>
      </c>
      <c r="AI71" s="66">
        <f t="shared" ref="AI71:AI137" si="27">+AH71/900</f>
        <v>0</v>
      </c>
      <c r="AJ71" s="27"/>
      <c r="AK71" s="26"/>
      <c r="AL71" s="64">
        <f t="shared" ref="AL71:AL137" si="28">IF(ISBLANK(AJ71),0,AF71)</f>
        <v>0</v>
      </c>
      <c r="AM71" s="67">
        <f t="shared" ref="AM71:AM137" si="29">IF(ISBLANK(AK71),0,AH71)</f>
        <v>0</v>
      </c>
      <c r="AN71" s="27"/>
      <c r="AO71" s="26"/>
      <c r="AP71" s="27"/>
      <c r="AQ71" s="26"/>
      <c r="AR71" s="27"/>
      <c r="AS71" s="26"/>
      <c r="AT71" s="27"/>
      <c r="AU71" s="26"/>
      <c r="AV71" s="64">
        <f t="shared" ref="AV71:AV137" si="30">SUM(AN71,AP71,AR71,AT71)</f>
        <v>0</v>
      </c>
      <c r="AW71" s="70">
        <f t="shared" ref="AW71:AW137" si="31">+AV71/24</f>
        <v>0</v>
      </c>
      <c r="AX71" s="66">
        <f t="shared" ref="AX71:AX137" si="32">SUM(AO71,AQ71,AS71,AU71)</f>
        <v>0</v>
      </c>
      <c r="AY71" s="71">
        <f t="shared" ref="AY71:AY137" si="33">+AX71/24</f>
        <v>0</v>
      </c>
      <c r="AZ71" s="72">
        <f t="shared" ref="AZ71:AZ137" si="34">SUM(Q71,AG71,AW71)</f>
        <v>547.23333333333335</v>
      </c>
      <c r="BA71" s="66">
        <f t="shared" ref="BA71:BA137" si="35">SUM(S71,AI71,AY71)</f>
        <v>534.6</v>
      </c>
    </row>
    <row r="72" spans="1:53" ht="15">
      <c r="A72" s="22" t="s">
        <v>115</v>
      </c>
      <c r="B72" s="32" t="s">
        <v>142</v>
      </c>
      <c r="C72" s="691"/>
      <c r="D72" s="30">
        <v>107974</v>
      </c>
      <c r="E72" s="30">
        <v>10</v>
      </c>
      <c r="F72" s="29" t="s">
        <v>75</v>
      </c>
      <c r="G72" s="28" t="s">
        <v>75</v>
      </c>
      <c r="H72" s="27"/>
      <c r="I72" s="26"/>
      <c r="J72" s="27">
        <v>14359</v>
      </c>
      <c r="K72" s="109">
        <v>13116</v>
      </c>
      <c r="L72" s="27">
        <v>5007</v>
      </c>
      <c r="M72" s="109">
        <v>4636</v>
      </c>
      <c r="N72" s="27">
        <v>14458</v>
      </c>
      <c r="O72" s="109">
        <v>13528</v>
      </c>
      <c r="P72" s="64">
        <f t="shared" si="18"/>
        <v>33824</v>
      </c>
      <c r="Q72" s="65">
        <f t="shared" si="19"/>
        <v>1127.4666666666667</v>
      </c>
      <c r="R72" s="66">
        <f t="shared" si="20"/>
        <v>31280</v>
      </c>
      <c r="S72" s="67">
        <f t="shared" si="21"/>
        <v>1042.6666666666667</v>
      </c>
      <c r="T72" s="27">
        <v>2742</v>
      </c>
      <c r="U72" s="109">
        <v>2298</v>
      </c>
      <c r="V72" s="64">
        <f t="shared" si="22"/>
        <v>33824</v>
      </c>
      <c r="W72" s="68">
        <f t="shared" si="23"/>
        <v>31280</v>
      </c>
      <c r="X72" s="27"/>
      <c r="Y72" s="26"/>
      <c r="Z72" s="27"/>
      <c r="AA72" s="26"/>
      <c r="AB72" s="27"/>
      <c r="AC72" s="26"/>
      <c r="AD72" s="27"/>
      <c r="AE72" s="26"/>
      <c r="AF72" s="64">
        <f t="shared" si="24"/>
        <v>0</v>
      </c>
      <c r="AG72" s="65">
        <f t="shared" si="25"/>
        <v>0</v>
      </c>
      <c r="AH72" s="66">
        <f t="shared" si="26"/>
        <v>0</v>
      </c>
      <c r="AI72" s="66">
        <f t="shared" si="27"/>
        <v>0</v>
      </c>
      <c r="AJ72" s="27"/>
      <c r="AK72" s="26"/>
      <c r="AL72" s="64">
        <f t="shared" si="28"/>
        <v>0</v>
      </c>
      <c r="AM72" s="67">
        <f t="shared" si="29"/>
        <v>0</v>
      </c>
      <c r="AN72" s="27"/>
      <c r="AO72" s="26"/>
      <c r="AP72" s="27"/>
      <c r="AQ72" s="26"/>
      <c r="AR72" s="27"/>
      <c r="AS72" s="26"/>
      <c r="AT72" s="27"/>
      <c r="AU72" s="26"/>
      <c r="AV72" s="64">
        <f t="shared" si="30"/>
        <v>0</v>
      </c>
      <c r="AW72" s="70">
        <f t="shared" si="31"/>
        <v>0</v>
      </c>
      <c r="AX72" s="66">
        <f t="shared" si="32"/>
        <v>0</v>
      </c>
      <c r="AY72" s="71">
        <f t="shared" si="33"/>
        <v>0</v>
      </c>
      <c r="AZ72" s="72">
        <f t="shared" si="34"/>
        <v>1127.4666666666667</v>
      </c>
      <c r="BA72" s="66">
        <f t="shared" si="35"/>
        <v>1042.6666666666667</v>
      </c>
    </row>
    <row r="73" spans="1:53" ht="15">
      <c r="A73" s="22" t="s">
        <v>115</v>
      </c>
      <c r="B73" s="32" t="s">
        <v>143</v>
      </c>
      <c r="C73" s="691"/>
      <c r="D73" s="30">
        <v>107637</v>
      </c>
      <c r="E73" s="30">
        <v>10</v>
      </c>
      <c r="F73" s="29" t="s">
        <v>75</v>
      </c>
      <c r="G73" s="28" t="s">
        <v>75</v>
      </c>
      <c r="H73" s="27"/>
      <c r="I73" s="26"/>
      <c r="J73" s="27">
        <v>13275</v>
      </c>
      <c r="K73" s="26">
        <v>13200</v>
      </c>
      <c r="L73" s="27">
        <v>3755</v>
      </c>
      <c r="M73" s="109">
        <v>3429</v>
      </c>
      <c r="N73" s="27">
        <v>14298</v>
      </c>
      <c r="O73" s="109">
        <v>13465</v>
      </c>
      <c r="P73" s="64">
        <f t="shared" si="18"/>
        <v>31328</v>
      </c>
      <c r="Q73" s="65">
        <f t="shared" si="19"/>
        <v>1044.2666666666667</v>
      </c>
      <c r="R73" s="66">
        <f t="shared" si="20"/>
        <v>30094</v>
      </c>
      <c r="S73" s="67">
        <f t="shared" si="21"/>
        <v>1003.1333333333333</v>
      </c>
      <c r="T73" s="27">
        <v>814</v>
      </c>
      <c r="U73" s="109">
        <v>1210</v>
      </c>
      <c r="V73" s="64">
        <f t="shared" si="22"/>
        <v>31328</v>
      </c>
      <c r="W73" s="68">
        <f t="shared" si="23"/>
        <v>30094</v>
      </c>
      <c r="X73" s="27"/>
      <c r="Y73" s="26"/>
      <c r="Z73" s="27"/>
      <c r="AA73" s="26"/>
      <c r="AB73" s="27"/>
      <c r="AC73" s="26"/>
      <c r="AD73" s="27"/>
      <c r="AE73" s="26"/>
      <c r="AF73" s="64">
        <f t="shared" si="24"/>
        <v>0</v>
      </c>
      <c r="AG73" s="65">
        <f t="shared" si="25"/>
        <v>0</v>
      </c>
      <c r="AH73" s="66">
        <f t="shared" si="26"/>
        <v>0</v>
      </c>
      <c r="AI73" s="66">
        <f t="shared" si="27"/>
        <v>0</v>
      </c>
      <c r="AJ73" s="27"/>
      <c r="AK73" s="26"/>
      <c r="AL73" s="64">
        <f t="shared" si="28"/>
        <v>0</v>
      </c>
      <c r="AM73" s="67">
        <f t="shared" si="29"/>
        <v>0</v>
      </c>
      <c r="AN73" s="27"/>
      <c r="AO73" s="26"/>
      <c r="AP73" s="27"/>
      <c r="AQ73" s="26"/>
      <c r="AR73" s="27"/>
      <c r="AS73" s="26"/>
      <c r="AT73" s="27"/>
      <c r="AU73" s="26"/>
      <c r="AV73" s="64">
        <f t="shared" si="30"/>
        <v>0</v>
      </c>
      <c r="AW73" s="70">
        <f t="shared" si="31"/>
        <v>0</v>
      </c>
      <c r="AX73" s="66">
        <f t="shared" si="32"/>
        <v>0</v>
      </c>
      <c r="AY73" s="71">
        <f t="shared" si="33"/>
        <v>0</v>
      </c>
      <c r="AZ73" s="72">
        <f t="shared" si="34"/>
        <v>1044.2666666666667</v>
      </c>
      <c r="BA73" s="66">
        <f t="shared" si="35"/>
        <v>1003.1333333333333</v>
      </c>
    </row>
    <row r="74" spans="1:53" ht="15">
      <c r="A74" s="22" t="s">
        <v>115</v>
      </c>
      <c r="B74" s="32" t="s">
        <v>144</v>
      </c>
      <c r="C74" s="691"/>
      <c r="D74" s="30">
        <v>107992</v>
      </c>
      <c r="E74" s="30">
        <v>10</v>
      </c>
      <c r="F74" s="29" t="s">
        <v>75</v>
      </c>
      <c r="G74" s="28" t="s">
        <v>75</v>
      </c>
      <c r="H74" s="27"/>
      <c r="I74" s="26"/>
      <c r="J74" s="27">
        <v>15991</v>
      </c>
      <c r="K74" s="109">
        <v>17200</v>
      </c>
      <c r="L74" s="27">
        <v>4977</v>
      </c>
      <c r="M74" s="26">
        <v>5029</v>
      </c>
      <c r="N74" s="27">
        <v>13000</v>
      </c>
      <c r="O74" s="109">
        <v>11370</v>
      </c>
      <c r="P74" s="64">
        <f t="shared" si="18"/>
        <v>33968</v>
      </c>
      <c r="Q74" s="65">
        <f t="shared" si="19"/>
        <v>1132.2666666666667</v>
      </c>
      <c r="R74" s="66">
        <f t="shared" si="20"/>
        <v>33599</v>
      </c>
      <c r="S74" s="67">
        <f t="shared" si="21"/>
        <v>1119.9666666666667</v>
      </c>
      <c r="T74" s="27">
        <v>9741</v>
      </c>
      <c r="U74" s="109">
        <v>8329</v>
      </c>
      <c r="V74" s="64">
        <f t="shared" si="22"/>
        <v>33968</v>
      </c>
      <c r="W74" s="68">
        <f t="shared" si="23"/>
        <v>33599</v>
      </c>
      <c r="X74" s="27"/>
      <c r="Y74" s="26"/>
      <c r="Z74" s="27"/>
      <c r="AA74" s="26"/>
      <c r="AB74" s="27"/>
      <c r="AC74" s="26"/>
      <c r="AD74" s="27"/>
      <c r="AE74" s="26"/>
      <c r="AF74" s="64">
        <f t="shared" si="24"/>
        <v>0</v>
      </c>
      <c r="AG74" s="65">
        <f t="shared" si="25"/>
        <v>0</v>
      </c>
      <c r="AH74" s="66">
        <f t="shared" si="26"/>
        <v>0</v>
      </c>
      <c r="AI74" s="66">
        <f t="shared" si="27"/>
        <v>0</v>
      </c>
      <c r="AJ74" s="27"/>
      <c r="AK74" s="26"/>
      <c r="AL74" s="64">
        <f t="shared" si="28"/>
        <v>0</v>
      </c>
      <c r="AM74" s="67">
        <f t="shared" si="29"/>
        <v>0</v>
      </c>
      <c r="AN74" s="27"/>
      <c r="AO74" s="26"/>
      <c r="AP74" s="27"/>
      <c r="AQ74" s="26"/>
      <c r="AR74" s="27"/>
      <c r="AS74" s="26"/>
      <c r="AT74" s="27"/>
      <c r="AU74" s="26"/>
      <c r="AV74" s="64">
        <f t="shared" si="30"/>
        <v>0</v>
      </c>
      <c r="AW74" s="70">
        <f t="shared" si="31"/>
        <v>0</v>
      </c>
      <c r="AX74" s="66">
        <f t="shared" si="32"/>
        <v>0</v>
      </c>
      <c r="AY74" s="71">
        <f t="shared" si="33"/>
        <v>0</v>
      </c>
      <c r="AZ74" s="72">
        <f t="shared" si="34"/>
        <v>1132.2666666666667</v>
      </c>
      <c r="BA74" s="66">
        <f t="shared" si="35"/>
        <v>1119.9666666666667</v>
      </c>
    </row>
    <row r="75" spans="1:53" ht="15">
      <c r="A75" s="22" t="s">
        <v>115</v>
      </c>
      <c r="B75" s="32" t="s">
        <v>145</v>
      </c>
      <c r="C75" s="691"/>
      <c r="D75" s="30">
        <v>106999</v>
      </c>
      <c r="E75" s="30">
        <v>10</v>
      </c>
      <c r="F75" s="29" t="s">
        <v>75</v>
      </c>
      <c r="G75" s="28" t="s">
        <v>75</v>
      </c>
      <c r="H75" s="27"/>
      <c r="I75" s="26"/>
      <c r="J75" s="27">
        <v>12008</v>
      </c>
      <c r="K75" s="26">
        <v>12187</v>
      </c>
      <c r="L75" s="27">
        <v>2471</v>
      </c>
      <c r="M75" s="109">
        <v>2331</v>
      </c>
      <c r="N75" s="27">
        <v>14299</v>
      </c>
      <c r="O75" s="109">
        <v>13296</v>
      </c>
      <c r="P75" s="64">
        <f t="shared" si="18"/>
        <v>28778</v>
      </c>
      <c r="Q75" s="65">
        <f t="shared" si="19"/>
        <v>959.26666666666665</v>
      </c>
      <c r="R75" s="66">
        <f t="shared" si="20"/>
        <v>27814</v>
      </c>
      <c r="S75" s="67">
        <f t="shared" si="21"/>
        <v>927.13333333333333</v>
      </c>
      <c r="T75" s="27">
        <v>2226</v>
      </c>
      <c r="U75" s="109">
        <v>3059</v>
      </c>
      <c r="V75" s="64">
        <f t="shared" si="22"/>
        <v>28778</v>
      </c>
      <c r="W75" s="68">
        <f t="shared" si="23"/>
        <v>27814</v>
      </c>
      <c r="X75" s="27"/>
      <c r="Y75" s="26"/>
      <c r="Z75" s="27"/>
      <c r="AA75" s="26"/>
      <c r="AB75" s="27"/>
      <c r="AC75" s="26"/>
      <c r="AD75" s="27"/>
      <c r="AE75" s="26"/>
      <c r="AF75" s="64">
        <f t="shared" si="24"/>
        <v>0</v>
      </c>
      <c r="AG75" s="65">
        <f t="shared" si="25"/>
        <v>0</v>
      </c>
      <c r="AH75" s="66">
        <f t="shared" si="26"/>
        <v>0</v>
      </c>
      <c r="AI75" s="66">
        <f t="shared" si="27"/>
        <v>0</v>
      </c>
      <c r="AJ75" s="27"/>
      <c r="AK75" s="26"/>
      <c r="AL75" s="64">
        <f t="shared" si="28"/>
        <v>0</v>
      </c>
      <c r="AM75" s="67">
        <f t="shared" si="29"/>
        <v>0</v>
      </c>
      <c r="AN75" s="27"/>
      <c r="AO75" s="26"/>
      <c r="AP75" s="27"/>
      <c r="AQ75" s="26"/>
      <c r="AR75" s="27"/>
      <c r="AS75" s="26"/>
      <c r="AT75" s="27"/>
      <c r="AU75" s="26"/>
      <c r="AV75" s="64">
        <f t="shared" si="30"/>
        <v>0</v>
      </c>
      <c r="AW75" s="70">
        <f t="shared" si="31"/>
        <v>0</v>
      </c>
      <c r="AX75" s="66">
        <f t="shared" si="32"/>
        <v>0</v>
      </c>
      <c r="AY75" s="71">
        <f t="shared" si="33"/>
        <v>0</v>
      </c>
      <c r="AZ75" s="72">
        <f t="shared" si="34"/>
        <v>959.26666666666665</v>
      </c>
      <c r="BA75" s="66">
        <f t="shared" si="35"/>
        <v>927.13333333333333</v>
      </c>
    </row>
    <row r="76" spans="1:53" ht="15">
      <c r="A76" s="22" t="s">
        <v>115</v>
      </c>
      <c r="B76" s="32" t="s">
        <v>146</v>
      </c>
      <c r="C76" s="691"/>
      <c r="D76" s="30">
        <v>107725</v>
      </c>
      <c r="E76" s="30">
        <v>10</v>
      </c>
      <c r="F76" s="29" t="s">
        <v>75</v>
      </c>
      <c r="G76" s="28" t="s">
        <v>75</v>
      </c>
      <c r="H76" s="27"/>
      <c r="I76" s="26"/>
      <c r="J76" s="27">
        <v>11897</v>
      </c>
      <c r="K76" s="109">
        <v>12864</v>
      </c>
      <c r="L76" s="27">
        <v>2150</v>
      </c>
      <c r="M76" s="26">
        <v>2224</v>
      </c>
      <c r="N76" s="27">
        <v>13359</v>
      </c>
      <c r="O76" s="109">
        <v>14324</v>
      </c>
      <c r="P76" s="64">
        <f t="shared" si="18"/>
        <v>27406</v>
      </c>
      <c r="Q76" s="65">
        <f t="shared" si="19"/>
        <v>913.5333333333333</v>
      </c>
      <c r="R76" s="66">
        <f t="shared" si="20"/>
        <v>29412</v>
      </c>
      <c r="S76" s="67">
        <f t="shared" si="21"/>
        <v>980.4</v>
      </c>
      <c r="T76" s="27">
        <v>2830</v>
      </c>
      <c r="U76" s="109">
        <v>3668</v>
      </c>
      <c r="V76" s="64">
        <f t="shared" si="22"/>
        <v>27406</v>
      </c>
      <c r="W76" s="68">
        <f t="shared" si="23"/>
        <v>29412</v>
      </c>
      <c r="X76" s="27"/>
      <c r="Y76" s="26"/>
      <c r="Z76" s="27"/>
      <c r="AA76" s="26"/>
      <c r="AB76" s="27"/>
      <c r="AC76" s="26"/>
      <c r="AD76" s="27"/>
      <c r="AE76" s="26"/>
      <c r="AF76" s="64">
        <f t="shared" si="24"/>
        <v>0</v>
      </c>
      <c r="AG76" s="65">
        <f t="shared" si="25"/>
        <v>0</v>
      </c>
      <c r="AH76" s="66">
        <f t="shared" si="26"/>
        <v>0</v>
      </c>
      <c r="AI76" s="66">
        <f t="shared" si="27"/>
        <v>0</v>
      </c>
      <c r="AJ76" s="27"/>
      <c r="AK76" s="26"/>
      <c r="AL76" s="64">
        <f t="shared" si="28"/>
        <v>0</v>
      </c>
      <c r="AM76" s="67">
        <f t="shared" si="29"/>
        <v>0</v>
      </c>
      <c r="AN76" s="27"/>
      <c r="AO76" s="26"/>
      <c r="AP76" s="27"/>
      <c r="AQ76" s="26"/>
      <c r="AR76" s="27"/>
      <c r="AS76" s="26"/>
      <c r="AT76" s="27"/>
      <c r="AU76" s="26"/>
      <c r="AV76" s="64">
        <f t="shared" si="30"/>
        <v>0</v>
      </c>
      <c r="AW76" s="70">
        <f t="shared" si="31"/>
        <v>0</v>
      </c>
      <c r="AX76" s="66">
        <f t="shared" si="32"/>
        <v>0</v>
      </c>
      <c r="AY76" s="71">
        <f t="shared" si="33"/>
        <v>0</v>
      </c>
      <c r="AZ76" s="72">
        <f t="shared" si="34"/>
        <v>913.5333333333333</v>
      </c>
      <c r="BA76" s="66">
        <f t="shared" si="35"/>
        <v>980.4</v>
      </c>
    </row>
    <row r="77" spans="1:53" ht="15">
      <c r="A77" s="22" t="s">
        <v>115</v>
      </c>
      <c r="B77" s="32" t="s">
        <v>147</v>
      </c>
      <c r="C77" s="691"/>
      <c r="D77" s="30">
        <v>107585</v>
      </c>
      <c r="E77" s="30">
        <v>10</v>
      </c>
      <c r="F77" s="29" t="s">
        <v>75</v>
      </c>
      <c r="G77" s="28" t="s">
        <v>75</v>
      </c>
      <c r="H77" s="27"/>
      <c r="I77" s="26"/>
      <c r="J77" s="27">
        <v>19624</v>
      </c>
      <c r="K77" s="26">
        <v>19997</v>
      </c>
      <c r="L77" s="27">
        <v>3565</v>
      </c>
      <c r="M77" s="109">
        <v>3080</v>
      </c>
      <c r="N77" s="27">
        <v>23090</v>
      </c>
      <c r="O77" s="26">
        <v>22963</v>
      </c>
      <c r="P77" s="64">
        <f t="shared" si="18"/>
        <v>46279</v>
      </c>
      <c r="Q77" s="65">
        <f t="shared" si="19"/>
        <v>1542.6333333333334</v>
      </c>
      <c r="R77" s="66">
        <f t="shared" si="20"/>
        <v>46040</v>
      </c>
      <c r="S77" s="67">
        <f t="shared" si="21"/>
        <v>1534.6666666666667</v>
      </c>
      <c r="T77" s="27">
        <v>1033</v>
      </c>
      <c r="U77" s="109">
        <v>1258</v>
      </c>
      <c r="V77" s="64">
        <f t="shared" si="22"/>
        <v>46279</v>
      </c>
      <c r="W77" s="68">
        <f t="shared" si="23"/>
        <v>46040</v>
      </c>
      <c r="X77" s="27"/>
      <c r="Y77" s="26"/>
      <c r="Z77" s="27"/>
      <c r="AA77" s="26"/>
      <c r="AB77" s="27"/>
      <c r="AC77" s="26"/>
      <c r="AD77" s="27"/>
      <c r="AE77" s="26"/>
      <c r="AF77" s="64">
        <f t="shared" si="24"/>
        <v>0</v>
      </c>
      <c r="AG77" s="65">
        <f t="shared" si="25"/>
        <v>0</v>
      </c>
      <c r="AH77" s="66">
        <f t="shared" si="26"/>
        <v>0</v>
      </c>
      <c r="AI77" s="66">
        <f t="shared" si="27"/>
        <v>0</v>
      </c>
      <c r="AJ77" s="27"/>
      <c r="AK77" s="26"/>
      <c r="AL77" s="64">
        <f t="shared" si="28"/>
        <v>0</v>
      </c>
      <c r="AM77" s="67">
        <f t="shared" si="29"/>
        <v>0</v>
      </c>
      <c r="AN77" s="27"/>
      <c r="AO77" s="26"/>
      <c r="AP77" s="27"/>
      <c r="AQ77" s="26"/>
      <c r="AR77" s="27"/>
      <c r="AS77" s="26"/>
      <c r="AT77" s="27"/>
      <c r="AU77" s="26"/>
      <c r="AV77" s="64">
        <f t="shared" si="30"/>
        <v>0</v>
      </c>
      <c r="AW77" s="70">
        <f t="shared" si="31"/>
        <v>0</v>
      </c>
      <c r="AX77" s="66">
        <f t="shared" si="32"/>
        <v>0</v>
      </c>
      <c r="AY77" s="71">
        <f t="shared" si="33"/>
        <v>0</v>
      </c>
      <c r="AZ77" s="72">
        <f t="shared" si="34"/>
        <v>1542.6333333333334</v>
      </c>
      <c r="BA77" s="66">
        <f t="shared" si="35"/>
        <v>1534.6666666666667</v>
      </c>
    </row>
    <row r="78" spans="1:53" s="54" customFormat="1" ht="13.5" customHeight="1">
      <c r="A78" s="184" t="s">
        <v>540</v>
      </c>
      <c r="B78" s="194" t="s">
        <v>541</v>
      </c>
      <c r="C78" s="692"/>
      <c r="D78" s="184" t="s">
        <v>542</v>
      </c>
      <c r="E78" s="268">
        <v>1</v>
      </c>
      <c r="F78" s="29" t="s">
        <v>75</v>
      </c>
      <c r="G78" s="16"/>
      <c r="H78" s="27">
        <v>32196</v>
      </c>
      <c r="I78" s="26">
        <v>32196</v>
      </c>
      <c r="J78" s="27">
        <v>251621</v>
      </c>
      <c r="K78" s="26">
        <v>255095</v>
      </c>
      <c r="L78" s="27">
        <v>12918</v>
      </c>
      <c r="M78" s="109">
        <v>17815</v>
      </c>
      <c r="N78" s="27">
        <v>270598</v>
      </c>
      <c r="O78" s="26">
        <v>272742</v>
      </c>
      <c r="P78" s="64">
        <f>SUM(H78,J78,L78,N78)</f>
        <v>567333</v>
      </c>
      <c r="Q78" s="65">
        <f>+P78/30</f>
        <v>18911.099999999999</v>
      </c>
      <c r="R78" s="66">
        <f>SUM(I78,K78,M78,O78)</f>
        <v>577848</v>
      </c>
      <c r="S78" s="67">
        <f>+R78/30</f>
        <v>19261.599999999999</v>
      </c>
      <c r="T78" s="27"/>
      <c r="U78" s="26"/>
      <c r="V78" s="64">
        <f>IF(ISBLANK(T78),0,P78)</f>
        <v>0</v>
      </c>
      <c r="W78" s="68">
        <f>IF(ISBLANK(U78),0,R78)</f>
        <v>0</v>
      </c>
      <c r="X78" s="27"/>
      <c r="Y78" s="26"/>
      <c r="Z78" s="27"/>
      <c r="AA78" s="26"/>
      <c r="AB78" s="27"/>
      <c r="AC78" s="26"/>
      <c r="AD78" s="27"/>
      <c r="AE78" s="26"/>
      <c r="AF78" s="64">
        <f>SUM(X78,Z78,AB78,AD78)</f>
        <v>0</v>
      </c>
      <c r="AG78" s="65">
        <f>+AF78/900</f>
        <v>0</v>
      </c>
      <c r="AH78" s="66">
        <f>SUM(Y78,AA78,AC78,AE78)</f>
        <v>0</v>
      </c>
      <c r="AI78" s="66">
        <f>+AH78/900</f>
        <v>0</v>
      </c>
      <c r="AJ78" s="27"/>
      <c r="AK78" s="26"/>
      <c r="AL78" s="64">
        <f>IF(ISBLANK(AJ78),0,AF78)</f>
        <v>0</v>
      </c>
      <c r="AM78" s="67">
        <f>IF(ISBLANK(AK78),0,AH78)</f>
        <v>0</v>
      </c>
      <c r="AN78" s="27">
        <v>1769</v>
      </c>
      <c r="AO78" s="109">
        <v>2068</v>
      </c>
      <c r="AP78" s="27">
        <v>21892</v>
      </c>
      <c r="AQ78" s="26">
        <v>22835</v>
      </c>
      <c r="AR78" s="27">
        <v>5261</v>
      </c>
      <c r="AS78" s="109">
        <v>6578</v>
      </c>
      <c r="AT78" s="27">
        <v>25185</v>
      </c>
      <c r="AU78" s="26">
        <v>26428</v>
      </c>
      <c r="AV78" s="64">
        <f>SUM(AN78,AP78,AR78,AT78)</f>
        <v>54107</v>
      </c>
      <c r="AW78" s="70">
        <f>+AV78/24</f>
        <v>2254.4583333333335</v>
      </c>
      <c r="AX78" s="66">
        <f>SUM(AO78,AQ78,AS78,AU78)</f>
        <v>57909</v>
      </c>
      <c r="AY78" s="71">
        <f>+AX78/24</f>
        <v>2412.875</v>
      </c>
      <c r="AZ78" s="72">
        <f>SUM(Q78,AG78,AW78)</f>
        <v>21165.558333333331</v>
      </c>
      <c r="BA78" s="66">
        <f>SUM(S78,AI78,AY78)</f>
        <v>21674.474999999999</v>
      </c>
    </row>
    <row r="79" spans="1:53" ht="15">
      <c r="A79" s="184" t="s">
        <v>540</v>
      </c>
      <c r="B79" s="179" t="s">
        <v>543</v>
      </c>
      <c r="C79" s="692"/>
      <c r="D79" s="184" t="s">
        <v>544</v>
      </c>
      <c r="E79" s="181">
        <v>3</v>
      </c>
      <c r="F79" s="29" t="s">
        <v>75</v>
      </c>
      <c r="G79" s="16"/>
      <c r="H79" s="27"/>
      <c r="I79" s="26"/>
      <c r="J79" s="27">
        <v>54611</v>
      </c>
      <c r="K79" s="13">
        <v>56310</v>
      </c>
      <c r="L79" s="27">
        <v>7146</v>
      </c>
      <c r="M79" s="109">
        <v>16328</v>
      </c>
      <c r="N79" s="27">
        <v>60195</v>
      </c>
      <c r="O79" s="26">
        <v>59619</v>
      </c>
      <c r="P79" s="64">
        <f>SUM(H79,J79,L79,N79)</f>
        <v>121952</v>
      </c>
      <c r="Q79" s="65">
        <f>+P79/30</f>
        <v>4065.0666666666666</v>
      </c>
      <c r="R79" s="66">
        <f>SUM(I79,K79,M79,O79)</f>
        <v>132257</v>
      </c>
      <c r="S79" s="67">
        <f>+R79/30</f>
        <v>4408.5666666666666</v>
      </c>
      <c r="T79" s="27"/>
      <c r="U79" s="26"/>
      <c r="V79" s="64">
        <f>IF(ISBLANK(T79),0,P79)</f>
        <v>0</v>
      </c>
      <c r="W79" s="68">
        <f>IF(ISBLANK(U79),0,R79)</f>
        <v>0</v>
      </c>
      <c r="X79" s="27"/>
      <c r="Y79" s="26"/>
      <c r="Z79" s="27"/>
      <c r="AA79" s="26"/>
      <c r="AB79" s="27"/>
      <c r="AC79" s="26"/>
      <c r="AD79" s="27"/>
      <c r="AE79" s="26"/>
      <c r="AF79" s="64">
        <f>SUM(X79,Z79,AB79,AD79)</f>
        <v>0</v>
      </c>
      <c r="AG79" s="65">
        <f>+AF79/900</f>
        <v>0</v>
      </c>
      <c r="AH79" s="66">
        <f>SUM(Y79,AA79,AC79,AE79)</f>
        <v>0</v>
      </c>
      <c r="AI79" s="66">
        <f>+AH79/900</f>
        <v>0</v>
      </c>
      <c r="AJ79" s="27"/>
      <c r="AK79" s="26"/>
      <c r="AL79" s="64">
        <f>IF(ISBLANK(AJ79),0,AF79)</f>
        <v>0</v>
      </c>
      <c r="AM79" s="67">
        <f>IF(ISBLANK(AK79),0,AH79)</f>
        <v>0</v>
      </c>
      <c r="AN79" s="27"/>
      <c r="AO79" s="26"/>
      <c r="AP79" s="27">
        <v>2394</v>
      </c>
      <c r="AQ79" s="26">
        <v>2348</v>
      </c>
      <c r="AR79" s="27">
        <v>461</v>
      </c>
      <c r="AS79" s="109">
        <v>1325</v>
      </c>
      <c r="AT79" s="27">
        <v>2622</v>
      </c>
      <c r="AU79" s="109">
        <v>2479</v>
      </c>
      <c r="AV79" s="64">
        <f>SUM(AN79,AP79,AR79,AT79)</f>
        <v>5477</v>
      </c>
      <c r="AW79" s="70">
        <f>+AV79/24</f>
        <v>228.20833333333334</v>
      </c>
      <c r="AX79" s="66">
        <f>SUM(AO79,AQ79,AS79,AU79)</f>
        <v>6152</v>
      </c>
      <c r="AY79" s="71">
        <f>+AX79/24</f>
        <v>256.33333333333331</v>
      </c>
      <c r="AZ79" s="72">
        <f>SUM(Q79,AG79,AW79)</f>
        <v>4293.2749999999996</v>
      </c>
      <c r="BA79" s="66">
        <f>SUM(S79,AI79,AY79)</f>
        <v>4664.8999999999996</v>
      </c>
    </row>
    <row r="80" spans="1:53" ht="15">
      <c r="A80" s="184" t="s">
        <v>540</v>
      </c>
      <c r="B80" s="195" t="s">
        <v>545</v>
      </c>
      <c r="C80" s="692" t="s">
        <v>971</v>
      </c>
      <c r="D80" s="184" t="s">
        <v>546</v>
      </c>
      <c r="E80" s="268">
        <v>9</v>
      </c>
      <c r="F80" s="29" t="s">
        <v>75</v>
      </c>
      <c r="G80" s="16"/>
      <c r="H80" s="27"/>
      <c r="I80" s="26"/>
      <c r="J80" s="139">
        <v>116621</v>
      </c>
      <c r="K80" s="196">
        <v>115568</v>
      </c>
      <c r="L80" s="139">
        <v>30852</v>
      </c>
      <c r="M80" s="196">
        <v>30143</v>
      </c>
      <c r="N80" s="139">
        <v>125587</v>
      </c>
      <c r="O80" s="196">
        <v>130346</v>
      </c>
      <c r="P80" s="64">
        <f>SUM(H80,J80,L80,N80)</f>
        <v>273060</v>
      </c>
      <c r="Q80" s="65">
        <f>+P80/30</f>
        <v>9102</v>
      </c>
      <c r="R80" s="66">
        <f>SUM(I80,K80,M80,O80)</f>
        <v>276057</v>
      </c>
      <c r="S80" s="67">
        <f>+R80/30</f>
        <v>9201.9</v>
      </c>
      <c r="T80" s="27"/>
      <c r="U80" s="26"/>
      <c r="V80" s="64">
        <f>IF(ISBLANK(T80),0,P80)</f>
        <v>0</v>
      </c>
      <c r="W80" s="68">
        <f>IF(ISBLANK(U80),0,R80)</f>
        <v>0</v>
      </c>
      <c r="X80" s="27"/>
      <c r="Y80" s="26"/>
      <c r="Z80" s="27"/>
      <c r="AA80" s="26"/>
      <c r="AB80" s="27"/>
      <c r="AC80" s="26"/>
      <c r="AD80" s="27"/>
      <c r="AE80" s="26"/>
      <c r="AF80" s="64">
        <f>SUM(X80,Z80,AB80,AD80)</f>
        <v>0</v>
      </c>
      <c r="AG80" s="65">
        <f>+AF80/900</f>
        <v>0</v>
      </c>
      <c r="AH80" s="66">
        <f>SUM(Y80,AA80,AC80,AE80)</f>
        <v>0</v>
      </c>
      <c r="AI80" s="66">
        <f>+AH80/900</f>
        <v>0</v>
      </c>
      <c r="AJ80" s="27"/>
      <c r="AK80" s="26"/>
      <c r="AL80" s="64">
        <f>IF(ISBLANK(AJ80),0,AF80)</f>
        <v>0</v>
      </c>
      <c r="AM80" s="67">
        <f>IF(ISBLANK(AK80),0,AH80)</f>
        <v>0</v>
      </c>
      <c r="AN80" s="27"/>
      <c r="AO80" s="26"/>
      <c r="AP80" s="27"/>
      <c r="AQ80" s="26"/>
      <c r="AR80" s="27"/>
      <c r="AS80" s="26"/>
      <c r="AT80" s="27"/>
      <c r="AU80" s="26"/>
      <c r="AV80" s="64">
        <f>SUM(AN80,AP80,AR80,AT80)</f>
        <v>0</v>
      </c>
      <c r="AW80" s="70">
        <f>+AV80/24</f>
        <v>0</v>
      </c>
      <c r="AX80" s="66">
        <f>SUM(AO80,AQ80,AS80,AU80)</f>
        <v>0</v>
      </c>
      <c r="AY80" s="71">
        <f>+AX80/24</f>
        <v>0</v>
      </c>
      <c r="AZ80" s="72">
        <f>SUM(Q80,AG80,AW80)</f>
        <v>9102</v>
      </c>
      <c r="BA80" s="66">
        <f>SUM(S80,AI80,AY80)</f>
        <v>9201.9</v>
      </c>
    </row>
    <row r="81" spans="1:53" s="54" customFormat="1" ht="13.5" customHeight="1">
      <c r="A81" s="20" t="s">
        <v>148</v>
      </c>
      <c r="B81" s="19" t="s">
        <v>149</v>
      </c>
      <c r="C81" s="18"/>
      <c r="D81" s="17">
        <v>133669</v>
      </c>
      <c r="E81" s="17">
        <v>1</v>
      </c>
      <c r="F81" s="29" t="s">
        <v>75</v>
      </c>
      <c r="G81" s="16"/>
      <c r="H81" s="27"/>
      <c r="I81" s="15"/>
      <c r="J81" s="27">
        <v>254455</v>
      </c>
      <c r="K81" s="14">
        <v>261773</v>
      </c>
      <c r="L81" s="27">
        <v>98605</v>
      </c>
      <c r="M81" s="14">
        <v>103463</v>
      </c>
      <c r="N81" s="27">
        <v>278849</v>
      </c>
      <c r="O81" s="14">
        <v>279034</v>
      </c>
      <c r="P81" s="64">
        <f t="shared" si="18"/>
        <v>631909</v>
      </c>
      <c r="Q81" s="65">
        <f t="shared" si="19"/>
        <v>21063.633333333335</v>
      </c>
      <c r="R81" s="66">
        <f t="shared" si="20"/>
        <v>644270</v>
      </c>
      <c r="S81" s="67">
        <f t="shared" si="21"/>
        <v>21475.666666666668</v>
      </c>
      <c r="T81" s="13">
        <v>15947</v>
      </c>
      <c r="U81" s="12">
        <v>14993</v>
      </c>
      <c r="V81" s="64">
        <f t="shared" si="22"/>
        <v>631909</v>
      </c>
      <c r="W81" s="68">
        <f t="shared" si="23"/>
        <v>644270</v>
      </c>
      <c r="X81" s="27"/>
      <c r="Y81" s="15"/>
      <c r="Z81" s="27"/>
      <c r="AA81" s="15"/>
      <c r="AB81" s="27"/>
      <c r="AC81" s="15"/>
      <c r="AD81" s="27"/>
      <c r="AE81" s="15"/>
      <c r="AF81" s="64">
        <f t="shared" si="24"/>
        <v>0</v>
      </c>
      <c r="AG81" s="65">
        <f t="shared" si="25"/>
        <v>0</v>
      </c>
      <c r="AH81" s="66">
        <f t="shared" si="26"/>
        <v>0</v>
      </c>
      <c r="AI81" s="66">
        <f t="shared" si="27"/>
        <v>0</v>
      </c>
      <c r="AJ81" s="27"/>
      <c r="AK81" s="15"/>
      <c r="AL81" s="64">
        <f t="shared" si="28"/>
        <v>0</v>
      </c>
      <c r="AM81" s="67">
        <f t="shared" si="29"/>
        <v>0</v>
      </c>
      <c r="AN81" s="27"/>
      <c r="AO81" s="15"/>
      <c r="AP81" s="27">
        <v>29597.5</v>
      </c>
      <c r="AQ81" s="14">
        <v>30084</v>
      </c>
      <c r="AR81" s="27">
        <v>15341</v>
      </c>
      <c r="AS81" s="12">
        <v>16431</v>
      </c>
      <c r="AT81" s="27">
        <v>30907.4</v>
      </c>
      <c r="AU81" s="12">
        <v>33004</v>
      </c>
      <c r="AV81" s="64">
        <f t="shared" si="30"/>
        <v>75845.899999999994</v>
      </c>
      <c r="AW81" s="70">
        <f t="shared" si="31"/>
        <v>3160.2458333333329</v>
      </c>
      <c r="AX81" s="66">
        <f t="shared" si="32"/>
        <v>79519</v>
      </c>
      <c r="AY81" s="71">
        <f t="shared" si="33"/>
        <v>3313.2916666666665</v>
      </c>
      <c r="AZ81" s="72">
        <f t="shared" si="34"/>
        <v>24223.879166666669</v>
      </c>
      <c r="BA81" s="66">
        <f t="shared" si="35"/>
        <v>24788.958333333336</v>
      </c>
    </row>
    <row r="82" spans="1:53">
      <c r="A82" s="20" t="s">
        <v>148</v>
      </c>
      <c r="B82" s="19" t="s">
        <v>150</v>
      </c>
      <c r="C82" s="11"/>
      <c r="D82" s="17">
        <v>133951</v>
      </c>
      <c r="E82" s="17">
        <v>1</v>
      </c>
      <c r="F82" s="29" t="s">
        <v>75</v>
      </c>
      <c r="G82" s="16"/>
      <c r="H82" s="27"/>
      <c r="I82" s="15"/>
      <c r="J82" s="27">
        <v>440310</v>
      </c>
      <c r="K82" s="14">
        <v>441139</v>
      </c>
      <c r="L82" s="27">
        <v>184125</v>
      </c>
      <c r="M82" s="14">
        <v>190548</v>
      </c>
      <c r="N82" s="27">
        <v>470100</v>
      </c>
      <c r="O82" s="14">
        <v>475545</v>
      </c>
      <c r="P82" s="64">
        <f t="shared" si="18"/>
        <v>1094535</v>
      </c>
      <c r="Q82" s="65">
        <f t="shared" si="19"/>
        <v>36484.5</v>
      </c>
      <c r="R82" s="66">
        <f t="shared" si="20"/>
        <v>1107232</v>
      </c>
      <c r="S82" s="67">
        <f t="shared" si="21"/>
        <v>36907.73333333333</v>
      </c>
      <c r="T82" s="27">
        <v>37000</v>
      </c>
      <c r="U82" s="12">
        <v>32756</v>
      </c>
      <c r="V82" s="64">
        <f t="shared" si="22"/>
        <v>1094535</v>
      </c>
      <c r="W82" s="68">
        <f t="shared" si="23"/>
        <v>1107232</v>
      </c>
      <c r="X82" s="27"/>
      <c r="Y82" s="15"/>
      <c r="Z82" s="27"/>
      <c r="AA82" s="15"/>
      <c r="AB82" s="27"/>
      <c r="AC82" s="15"/>
      <c r="AD82" s="27"/>
      <c r="AE82" s="15"/>
      <c r="AF82" s="64">
        <f t="shared" si="24"/>
        <v>0</v>
      </c>
      <c r="AG82" s="65">
        <f t="shared" si="25"/>
        <v>0</v>
      </c>
      <c r="AH82" s="66">
        <f t="shared" si="26"/>
        <v>0</v>
      </c>
      <c r="AI82" s="66">
        <f t="shared" si="27"/>
        <v>0</v>
      </c>
      <c r="AJ82" s="27"/>
      <c r="AK82" s="15"/>
      <c r="AL82" s="64">
        <f t="shared" si="28"/>
        <v>0</v>
      </c>
      <c r="AM82" s="67">
        <f t="shared" si="29"/>
        <v>0</v>
      </c>
      <c r="AN82" s="27"/>
      <c r="AO82" s="15"/>
      <c r="AP82" s="27">
        <v>75305</v>
      </c>
      <c r="AQ82" s="14">
        <v>76557</v>
      </c>
      <c r="AR82" s="27">
        <v>40460</v>
      </c>
      <c r="AS82" s="14">
        <v>40667</v>
      </c>
      <c r="AT82" s="27">
        <v>78081</v>
      </c>
      <c r="AU82" s="12">
        <v>82248</v>
      </c>
      <c r="AV82" s="64">
        <f t="shared" si="30"/>
        <v>193846</v>
      </c>
      <c r="AW82" s="70">
        <f t="shared" si="31"/>
        <v>8076.916666666667</v>
      </c>
      <c r="AX82" s="66">
        <f t="shared" si="32"/>
        <v>199472</v>
      </c>
      <c r="AY82" s="71">
        <f t="shared" si="33"/>
        <v>8311.3333333333339</v>
      </c>
      <c r="AZ82" s="72">
        <f t="shared" si="34"/>
        <v>44561.416666666664</v>
      </c>
      <c r="BA82" s="66">
        <f t="shared" si="35"/>
        <v>45219.066666666666</v>
      </c>
    </row>
    <row r="83" spans="1:53">
      <c r="A83" s="20" t="s">
        <v>148</v>
      </c>
      <c r="B83" s="19" t="s">
        <v>151</v>
      </c>
      <c r="C83" s="11"/>
      <c r="D83" s="17">
        <v>134097</v>
      </c>
      <c r="E83" s="17">
        <v>1</v>
      </c>
      <c r="F83" s="29" t="s">
        <v>75</v>
      </c>
      <c r="G83" s="16"/>
      <c r="H83" s="27"/>
      <c r="I83" s="15"/>
      <c r="J83" s="27">
        <v>404136</v>
      </c>
      <c r="K83" s="14">
        <v>403575</v>
      </c>
      <c r="L83" s="27">
        <v>126209</v>
      </c>
      <c r="M83" s="14">
        <v>126943</v>
      </c>
      <c r="N83" s="27">
        <v>418565</v>
      </c>
      <c r="O83" s="14">
        <v>428007</v>
      </c>
      <c r="P83" s="64">
        <f t="shared" si="18"/>
        <v>948910</v>
      </c>
      <c r="Q83" s="65">
        <f t="shared" si="19"/>
        <v>31630.333333333332</v>
      </c>
      <c r="R83" s="66">
        <f t="shared" si="20"/>
        <v>958525</v>
      </c>
      <c r="S83" s="67">
        <f t="shared" si="21"/>
        <v>31950.833333333332</v>
      </c>
      <c r="T83" s="27">
        <v>503</v>
      </c>
      <c r="U83" s="12">
        <v>447</v>
      </c>
      <c r="V83" s="64">
        <f t="shared" si="22"/>
        <v>948910</v>
      </c>
      <c r="W83" s="68">
        <f t="shared" si="23"/>
        <v>958525</v>
      </c>
      <c r="X83" s="27"/>
      <c r="Y83" s="15"/>
      <c r="Z83" s="27"/>
      <c r="AA83" s="15"/>
      <c r="AB83" s="27"/>
      <c r="AC83" s="15"/>
      <c r="AD83" s="27"/>
      <c r="AE83" s="15"/>
      <c r="AF83" s="64">
        <f t="shared" si="24"/>
        <v>0</v>
      </c>
      <c r="AG83" s="65">
        <f t="shared" si="25"/>
        <v>0</v>
      </c>
      <c r="AH83" s="66">
        <f t="shared" si="26"/>
        <v>0</v>
      </c>
      <c r="AI83" s="66">
        <f t="shared" si="27"/>
        <v>0</v>
      </c>
      <c r="AJ83" s="27"/>
      <c r="AK83" s="15"/>
      <c r="AL83" s="64">
        <f t="shared" si="28"/>
        <v>0</v>
      </c>
      <c r="AM83" s="67">
        <f t="shared" si="29"/>
        <v>0</v>
      </c>
      <c r="AN83" s="27"/>
      <c r="AO83" s="15"/>
      <c r="AP83" s="27">
        <v>67849</v>
      </c>
      <c r="AQ83" s="14">
        <v>68792</v>
      </c>
      <c r="AR83" s="27">
        <v>37003</v>
      </c>
      <c r="AS83" s="14">
        <v>38455</v>
      </c>
      <c r="AT83" s="27">
        <v>69790</v>
      </c>
      <c r="AU83" s="14">
        <v>71358</v>
      </c>
      <c r="AV83" s="64">
        <f t="shared" si="30"/>
        <v>174642</v>
      </c>
      <c r="AW83" s="70">
        <f t="shared" si="31"/>
        <v>7276.75</v>
      </c>
      <c r="AX83" s="66">
        <f t="shared" si="32"/>
        <v>178605</v>
      </c>
      <c r="AY83" s="71">
        <f t="shared" si="33"/>
        <v>7441.875</v>
      </c>
      <c r="AZ83" s="72">
        <f t="shared" si="34"/>
        <v>38907.083333333328</v>
      </c>
      <c r="BA83" s="66">
        <f t="shared" si="35"/>
        <v>39392.708333333328</v>
      </c>
    </row>
    <row r="84" spans="1:53">
      <c r="A84" s="20" t="s">
        <v>148</v>
      </c>
      <c r="B84" s="19" t="s">
        <v>152</v>
      </c>
      <c r="C84" s="11"/>
      <c r="D84" s="17">
        <v>132903</v>
      </c>
      <c r="E84" s="17">
        <v>1</v>
      </c>
      <c r="F84" s="29" t="s">
        <v>75</v>
      </c>
      <c r="G84" s="16"/>
      <c r="H84" s="27"/>
      <c r="I84" s="15"/>
      <c r="J84" s="27">
        <v>578497</v>
      </c>
      <c r="K84" s="14">
        <v>592549</v>
      </c>
      <c r="L84" s="27">
        <v>207206</v>
      </c>
      <c r="M84" s="12">
        <v>217710</v>
      </c>
      <c r="N84" s="27">
        <v>618644</v>
      </c>
      <c r="O84" s="14">
        <v>633764</v>
      </c>
      <c r="P84" s="64">
        <f t="shared" si="18"/>
        <v>1404347</v>
      </c>
      <c r="Q84" s="65">
        <f t="shared" si="19"/>
        <v>46811.566666666666</v>
      </c>
      <c r="R84" s="66">
        <f t="shared" si="20"/>
        <v>1444023</v>
      </c>
      <c r="S84" s="67">
        <f t="shared" si="21"/>
        <v>48134.1</v>
      </c>
      <c r="T84" s="13">
        <v>644</v>
      </c>
      <c r="U84" s="12">
        <v>407</v>
      </c>
      <c r="V84" s="64">
        <f t="shared" si="22"/>
        <v>1404347</v>
      </c>
      <c r="W84" s="68">
        <f t="shared" si="23"/>
        <v>1444023</v>
      </c>
      <c r="X84" s="27"/>
      <c r="Y84" s="15"/>
      <c r="Z84" s="27"/>
      <c r="AA84" s="15"/>
      <c r="AB84" s="27"/>
      <c r="AC84" s="15"/>
      <c r="AD84" s="27"/>
      <c r="AE84" s="15"/>
      <c r="AF84" s="64">
        <f t="shared" si="24"/>
        <v>0</v>
      </c>
      <c r="AG84" s="65">
        <f t="shared" si="25"/>
        <v>0</v>
      </c>
      <c r="AH84" s="66">
        <f t="shared" si="26"/>
        <v>0</v>
      </c>
      <c r="AI84" s="66">
        <f t="shared" si="27"/>
        <v>0</v>
      </c>
      <c r="AJ84" s="27"/>
      <c r="AK84" s="15"/>
      <c r="AL84" s="64">
        <f t="shared" si="28"/>
        <v>0</v>
      </c>
      <c r="AM84" s="67">
        <f t="shared" si="29"/>
        <v>0</v>
      </c>
      <c r="AN84" s="27"/>
      <c r="AO84" s="15"/>
      <c r="AP84" s="27">
        <v>51108</v>
      </c>
      <c r="AQ84" s="14">
        <v>51657</v>
      </c>
      <c r="AR84" s="27">
        <v>26259</v>
      </c>
      <c r="AS84" s="14">
        <v>26659</v>
      </c>
      <c r="AT84" s="27">
        <v>54914.5</v>
      </c>
      <c r="AU84" s="14">
        <v>56311</v>
      </c>
      <c r="AV84" s="64">
        <f t="shared" si="30"/>
        <v>132281.5</v>
      </c>
      <c r="AW84" s="70">
        <f t="shared" si="31"/>
        <v>5511.729166666667</v>
      </c>
      <c r="AX84" s="66">
        <f t="shared" si="32"/>
        <v>134627</v>
      </c>
      <c r="AY84" s="71">
        <f t="shared" si="33"/>
        <v>5609.458333333333</v>
      </c>
      <c r="AZ84" s="72">
        <f t="shared" si="34"/>
        <v>52323.29583333333</v>
      </c>
      <c r="BA84" s="66">
        <f t="shared" si="35"/>
        <v>53743.558333333334</v>
      </c>
    </row>
    <row r="85" spans="1:53">
      <c r="A85" s="20" t="s">
        <v>148</v>
      </c>
      <c r="B85" s="19" t="s">
        <v>153</v>
      </c>
      <c r="C85" s="11"/>
      <c r="D85" s="17">
        <v>134130</v>
      </c>
      <c r="E85" s="17">
        <v>1</v>
      </c>
      <c r="F85" s="29" t="s">
        <v>75</v>
      </c>
      <c r="G85" s="16"/>
      <c r="H85" s="27"/>
      <c r="I85" s="15"/>
      <c r="J85" s="27">
        <v>422884</v>
      </c>
      <c r="K85" s="14">
        <v>434964</v>
      </c>
      <c r="L85" s="27">
        <v>126853</v>
      </c>
      <c r="M85" s="14">
        <v>129610</v>
      </c>
      <c r="N85" s="27">
        <v>448638</v>
      </c>
      <c r="O85" s="14">
        <v>468165</v>
      </c>
      <c r="P85" s="64">
        <f t="shared" si="18"/>
        <v>998375</v>
      </c>
      <c r="Q85" s="65">
        <f t="shared" si="19"/>
        <v>33279.166666666664</v>
      </c>
      <c r="R85" s="66">
        <f t="shared" si="20"/>
        <v>1032739</v>
      </c>
      <c r="S85" s="67">
        <f t="shared" si="21"/>
        <v>34424.633333333331</v>
      </c>
      <c r="T85" s="13">
        <v>1352</v>
      </c>
      <c r="U85" s="12">
        <v>1232</v>
      </c>
      <c r="V85" s="64">
        <f t="shared" si="22"/>
        <v>998375</v>
      </c>
      <c r="W85" s="68">
        <f t="shared" si="23"/>
        <v>1032739</v>
      </c>
      <c r="X85" s="27"/>
      <c r="Y85" s="15"/>
      <c r="Z85" s="27"/>
      <c r="AA85" s="15"/>
      <c r="AB85" s="27"/>
      <c r="AC85" s="15"/>
      <c r="AD85" s="27"/>
      <c r="AE85" s="15"/>
      <c r="AF85" s="64">
        <f t="shared" si="24"/>
        <v>0</v>
      </c>
      <c r="AG85" s="65">
        <f t="shared" si="25"/>
        <v>0</v>
      </c>
      <c r="AH85" s="66">
        <f t="shared" si="26"/>
        <v>0</v>
      </c>
      <c r="AI85" s="66">
        <f t="shared" si="27"/>
        <v>0</v>
      </c>
      <c r="AJ85" s="27"/>
      <c r="AK85" s="15"/>
      <c r="AL85" s="64">
        <f t="shared" si="28"/>
        <v>0</v>
      </c>
      <c r="AM85" s="67">
        <f t="shared" si="29"/>
        <v>0</v>
      </c>
      <c r="AN85" s="27"/>
      <c r="AO85" s="15"/>
      <c r="AP85" s="27">
        <v>135541</v>
      </c>
      <c r="AQ85" s="14">
        <v>140236</v>
      </c>
      <c r="AR85" s="27">
        <v>57724</v>
      </c>
      <c r="AS85" s="12">
        <v>60825</v>
      </c>
      <c r="AT85" s="27">
        <v>148385</v>
      </c>
      <c r="AU85" s="14">
        <v>152526</v>
      </c>
      <c r="AV85" s="64">
        <f t="shared" si="30"/>
        <v>341650</v>
      </c>
      <c r="AW85" s="70">
        <f t="shared" si="31"/>
        <v>14235.416666666666</v>
      </c>
      <c r="AX85" s="66">
        <f t="shared" si="32"/>
        <v>353587</v>
      </c>
      <c r="AY85" s="71">
        <f t="shared" si="33"/>
        <v>14732.791666666666</v>
      </c>
      <c r="AZ85" s="72">
        <f t="shared" si="34"/>
        <v>47514.583333333328</v>
      </c>
      <c r="BA85" s="66">
        <f t="shared" si="35"/>
        <v>49157.424999999996</v>
      </c>
    </row>
    <row r="86" spans="1:53">
      <c r="A86" s="20" t="s">
        <v>148</v>
      </c>
      <c r="B86" s="19" t="s">
        <v>154</v>
      </c>
      <c r="C86" s="11"/>
      <c r="D86" s="17">
        <v>137351</v>
      </c>
      <c r="E86" s="17">
        <v>1</v>
      </c>
      <c r="F86" s="29" t="s">
        <v>75</v>
      </c>
      <c r="G86" s="16"/>
      <c r="H86" s="27"/>
      <c r="I86" s="15"/>
      <c r="J86" s="27">
        <v>415901</v>
      </c>
      <c r="K86" s="14">
        <v>425861</v>
      </c>
      <c r="L86" s="27">
        <v>153949</v>
      </c>
      <c r="M86" s="14">
        <v>151664</v>
      </c>
      <c r="N86" s="27">
        <v>446747</v>
      </c>
      <c r="O86" s="14">
        <v>449729</v>
      </c>
      <c r="P86" s="64">
        <f t="shared" si="18"/>
        <v>1016597</v>
      </c>
      <c r="Q86" s="65">
        <f t="shared" si="19"/>
        <v>33886.566666666666</v>
      </c>
      <c r="R86" s="66">
        <f t="shared" si="20"/>
        <v>1027254</v>
      </c>
      <c r="S86" s="67">
        <f t="shared" si="21"/>
        <v>34241.800000000003</v>
      </c>
      <c r="T86" s="13">
        <v>298</v>
      </c>
      <c r="U86" s="12">
        <v>266</v>
      </c>
      <c r="V86" s="64">
        <f t="shared" si="22"/>
        <v>1016597</v>
      </c>
      <c r="W86" s="68">
        <f t="shared" si="23"/>
        <v>1027254</v>
      </c>
      <c r="X86" s="27"/>
      <c r="Y86" s="15"/>
      <c r="Z86" s="27"/>
      <c r="AA86" s="15"/>
      <c r="AB86" s="27"/>
      <c r="AC86" s="15"/>
      <c r="AD86" s="27"/>
      <c r="AE86" s="15"/>
      <c r="AF86" s="64">
        <f t="shared" si="24"/>
        <v>0</v>
      </c>
      <c r="AG86" s="65">
        <f t="shared" si="25"/>
        <v>0</v>
      </c>
      <c r="AH86" s="66">
        <f t="shared" si="26"/>
        <v>0</v>
      </c>
      <c r="AI86" s="66">
        <f t="shared" si="27"/>
        <v>0</v>
      </c>
      <c r="AJ86" s="27"/>
      <c r="AK86" s="15"/>
      <c r="AL86" s="64">
        <f t="shared" si="28"/>
        <v>0</v>
      </c>
      <c r="AM86" s="67">
        <f t="shared" si="29"/>
        <v>0</v>
      </c>
      <c r="AN86" s="27"/>
      <c r="AO86" s="15"/>
      <c r="AP86" s="27">
        <v>82356</v>
      </c>
      <c r="AQ86" s="14">
        <v>84327</v>
      </c>
      <c r="AR86" s="27">
        <v>37180</v>
      </c>
      <c r="AS86" s="14">
        <v>36239</v>
      </c>
      <c r="AT86" s="27">
        <v>86973</v>
      </c>
      <c r="AU86" s="14">
        <v>89127</v>
      </c>
      <c r="AV86" s="64">
        <f t="shared" si="30"/>
        <v>206509</v>
      </c>
      <c r="AW86" s="70">
        <f t="shared" si="31"/>
        <v>8604.5416666666661</v>
      </c>
      <c r="AX86" s="66">
        <f t="shared" si="32"/>
        <v>209693</v>
      </c>
      <c r="AY86" s="71">
        <f t="shared" si="33"/>
        <v>8737.2083333333339</v>
      </c>
      <c r="AZ86" s="72">
        <f t="shared" si="34"/>
        <v>42491.10833333333</v>
      </c>
      <c r="BA86" s="66">
        <f t="shared" si="35"/>
        <v>42979.008333333339</v>
      </c>
    </row>
    <row r="87" spans="1:53" ht="15">
      <c r="A87" s="20" t="s">
        <v>148</v>
      </c>
      <c r="B87" s="19" t="s">
        <v>155</v>
      </c>
      <c r="C87" s="695" t="s">
        <v>976</v>
      </c>
      <c r="D87" s="17">
        <v>133650</v>
      </c>
      <c r="E87" s="17">
        <v>3</v>
      </c>
      <c r="F87" s="29" t="s">
        <v>75</v>
      </c>
      <c r="G87" s="16"/>
      <c r="H87" s="27"/>
      <c r="I87" s="15"/>
      <c r="J87" s="27">
        <v>102835</v>
      </c>
      <c r="K87" s="14">
        <v>98945</v>
      </c>
      <c r="L87" s="27">
        <v>25481</v>
      </c>
      <c r="M87" s="14">
        <v>25117</v>
      </c>
      <c r="N87" s="27">
        <v>109153</v>
      </c>
      <c r="O87" s="14">
        <v>103893</v>
      </c>
      <c r="P87" s="64">
        <f t="shared" si="18"/>
        <v>237469</v>
      </c>
      <c r="Q87" s="65">
        <f t="shared" si="19"/>
        <v>7915.6333333333332</v>
      </c>
      <c r="R87" s="66">
        <f t="shared" si="20"/>
        <v>227955</v>
      </c>
      <c r="S87" s="67">
        <f t="shared" si="21"/>
        <v>7598.5</v>
      </c>
      <c r="T87" s="13">
        <v>2722</v>
      </c>
      <c r="U87" s="12">
        <v>2236</v>
      </c>
      <c r="V87" s="64">
        <f t="shared" si="22"/>
        <v>237469</v>
      </c>
      <c r="W87" s="68">
        <f t="shared" si="23"/>
        <v>227955</v>
      </c>
      <c r="X87" s="27"/>
      <c r="Y87" s="15"/>
      <c r="Z87" s="27"/>
      <c r="AA87" s="15"/>
      <c r="AB87" s="27"/>
      <c r="AC87" s="15"/>
      <c r="AD87" s="27"/>
      <c r="AE87" s="15"/>
      <c r="AF87" s="64">
        <f t="shared" si="24"/>
        <v>0</v>
      </c>
      <c r="AG87" s="65">
        <f t="shared" si="25"/>
        <v>0</v>
      </c>
      <c r="AH87" s="66">
        <f t="shared" si="26"/>
        <v>0</v>
      </c>
      <c r="AI87" s="66">
        <f t="shared" si="27"/>
        <v>0</v>
      </c>
      <c r="AJ87" s="27"/>
      <c r="AK87" s="15"/>
      <c r="AL87" s="64">
        <f t="shared" si="28"/>
        <v>0</v>
      </c>
      <c r="AM87" s="67">
        <f t="shared" si="29"/>
        <v>0</v>
      </c>
      <c r="AN87" s="27"/>
      <c r="AO87" s="15"/>
      <c r="AP87" s="27">
        <v>17422</v>
      </c>
      <c r="AQ87" s="14">
        <v>17879</v>
      </c>
      <c r="AR87" s="27">
        <v>7155</v>
      </c>
      <c r="AS87" s="12">
        <v>7672</v>
      </c>
      <c r="AT87" s="27">
        <v>18931</v>
      </c>
      <c r="AU87" s="12">
        <v>20017</v>
      </c>
      <c r="AV87" s="64">
        <f t="shared" si="30"/>
        <v>43508</v>
      </c>
      <c r="AW87" s="70">
        <f t="shared" si="31"/>
        <v>1812.8333333333333</v>
      </c>
      <c r="AX87" s="66">
        <f t="shared" si="32"/>
        <v>45568</v>
      </c>
      <c r="AY87" s="71">
        <f t="shared" si="33"/>
        <v>1898.6666666666667</v>
      </c>
      <c r="AZ87" s="72">
        <f t="shared" si="34"/>
        <v>9728.4666666666672</v>
      </c>
      <c r="BA87" s="66">
        <f t="shared" si="35"/>
        <v>9497.1666666666661</v>
      </c>
    </row>
    <row r="88" spans="1:53">
      <c r="A88" s="20" t="s">
        <v>148</v>
      </c>
      <c r="B88" s="19" t="s">
        <v>156</v>
      </c>
      <c r="C88" s="11"/>
      <c r="D88" s="17">
        <v>136172</v>
      </c>
      <c r="E88" s="17">
        <v>3</v>
      </c>
      <c r="F88" s="29" t="s">
        <v>75</v>
      </c>
      <c r="G88" s="16"/>
      <c r="H88" s="27"/>
      <c r="I88" s="15"/>
      <c r="J88" s="27">
        <v>152285</v>
      </c>
      <c r="K88" s="14">
        <v>147554</v>
      </c>
      <c r="L88" s="27">
        <v>53345</v>
      </c>
      <c r="M88" s="14">
        <v>54291</v>
      </c>
      <c r="N88" s="27">
        <v>158874</v>
      </c>
      <c r="O88" s="14">
        <v>163215</v>
      </c>
      <c r="P88" s="64">
        <f t="shared" si="18"/>
        <v>364504</v>
      </c>
      <c r="Q88" s="65">
        <f t="shared" si="19"/>
        <v>12150.133333333333</v>
      </c>
      <c r="R88" s="66">
        <f t="shared" si="20"/>
        <v>365060</v>
      </c>
      <c r="S88" s="67">
        <f t="shared" si="21"/>
        <v>12168.666666666666</v>
      </c>
      <c r="T88" s="13">
        <v>133</v>
      </c>
      <c r="U88" s="10">
        <v>138</v>
      </c>
      <c r="V88" s="64">
        <f t="shared" si="22"/>
        <v>364504</v>
      </c>
      <c r="W88" s="68">
        <f t="shared" si="23"/>
        <v>365060</v>
      </c>
      <c r="X88" s="27"/>
      <c r="Y88" s="15"/>
      <c r="Z88" s="27"/>
      <c r="AA88" s="15"/>
      <c r="AB88" s="27"/>
      <c r="AC88" s="15"/>
      <c r="AD88" s="27"/>
      <c r="AE88" s="15"/>
      <c r="AF88" s="64">
        <f t="shared" si="24"/>
        <v>0</v>
      </c>
      <c r="AG88" s="65">
        <f t="shared" si="25"/>
        <v>0</v>
      </c>
      <c r="AH88" s="66">
        <f t="shared" si="26"/>
        <v>0</v>
      </c>
      <c r="AI88" s="66">
        <f t="shared" si="27"/>
        <v>0</v>
      </c>
      <c r="AJ88" s="27"/>
      <c r="AK88" s="15"/>
      <c r="AL88" s="64">
        <f t="shared" si="28"/>
        <v>0</v>
      </c>
      <c r="AM88" s="67">
        <f t="shared" si="29"/>
        <v>0</v>
      </c>
      <c r="AN88" s="27"/>
      <c r="AO88" s="15"/>
      <c r="AP88" s="27">
        <v>12219</v>
      </c>
      <c r="AQ88" s="14">
        <v>12781</v>
      </c>
      <c r="AR88" s="27">
        <v>7311</v>
      </c>
      <c r="AS88" s="14">
        <v>7629</v>
      </c>
      <c r="AT88" s="27">
        <v>13671</v>
      </c>
      <c r="AU88" s="12">
        <v>14395</v>
      </c>
      <c r="AV88" s="64">
        <f t="shared" si="30"/>
        <v>33201</v>
      </c>
      <c r="AW88" s="70">
        <f t="shared" si="31"/>
        <v>1383.375</v>
      </c>
      <c r="AX88" s="66">
        <f t="shared" si="32"/>
        <v>34805</v>
      </c>
      <c r="AY88" s="71">
        <f t="shared" si="33"/>
        <v>1450.2083333333333</v>
      </c>
      <c r="AZ88" s="72">
        <f t="shared" si="34"/>
        <v>13533.508333333333</v>
      </c>
      <c r="BA88" s="66">
        <f t="shared" si="35"/>
        <v>13618.875</v>
      </c>
    </row>
    <row r="89" spans="1:53">
      <c r="A89" s="20" t="s">
        <v>148</v>
      </c>
      <c r="B89" s="19" t="s">
        <v>157</v>
      </c>
      <c r="C89" s="11"/>
      <c r="D89" s="17">
        <v>138354</v>
      </c>
      <c r="E89" s="17">
        <v>3</v>
      </c>
      <c r="F89" s="29" t="s">
        <v>75</v>
      </c>
      <c r="G89" s="16"/>
      <c r="H89" s="27"/>
      <c r="I89" s="15"/>
      <c r="J89" s="27">
        <v>106681</v>
      </c>
      <c r="K89" s="14">
        <v>107283</v>
      </c>
      <c r="L89" s="27">
        <v>34065</v>
      </c>
      <c r="M89" s="12">
        <v>36410</v>
      </c>
      <c r="N89" s="27">
        <v>114385</v>
      </c>
      <c r="O89" s="14">
        <v>113066</v>
      </c>
      <c r="P89" s="64">
        <f t="shared" si="18"/>
        <v>255131</v>
      </c>
      <c r="Q89" s="65">
        <f t="shared" si="19"/>
        <v>8504.3666666666668</v>
      </c>
      <c r="R89" s="66">
        <f t="shared" si="20"/>
        <v>256759</v>
      </c>
      <c r="S89" s="67">
        <f t="shared" si="21"/>
        <v>8558.6333333333332</v>
      </c>
      <c r="T89" s="13">
        <v>959</v>
      </c>
      <c r="U89" s="12">
        <v>1129</v>
      </c>
      <c r="V89" s="64">
        <f t="shared" si="22"/>
        <v>255131</v>
      </c>
      <c r="W89" s="68">
        <f t="shared" si="23"/>
        <v>256759</v>
      </c>
      <c r="X89" s="27"/>
      <c r="Y89" s="15"/>
      <c r="Z89" s="27"/>
      <c r="AA89" s="15"/>
      <c r="AB89" s="27"/>
      <c r="AC89" s="15"/>
      <c r="AD89" s="27"/>
      <c r="AE89" s="15"/>
      <c r="AF89" s="64">
        <f t="shared" si="24"/>
        <v>0</v>
      </c>
      <c r="AG89" s="65">
        <f t="shared" si="25"/>
        <v>0</v>
      </c>
      <c r="AH89" s="66">
        <f t="shared" si="26"/>
        <v>0</v>
      </c>
      <c r="AI89" s="66">
        <f t="shared" si="27"/>
        <v>0</v>
      </c>
      <c r="AJ89" s="27"/>
      <c r="AK89" s="15"/>
      <c r="AL89" s="64">
        <f t="shared" si="28"/>
        <v>0</v>
      </c>
      <c r="AM89" s="67">
        <f t="shared" si="29"/>
        <v>0</v>
      </c>
      <c r="AN89" s="27"/>
      <c r="AO89" s="15"/>
      <c r="AP89" s="27">
        <v>14054</v>
      </c>
      <c r="AQ89" s="12">
        <v>17085</v>
      </c>
      <c r="AR89" s="27">
        <v>9510.5</v>
      </c>
      <c r="AS89" s="12">
        <v>11295</v>
      </c>
      <c r="AT89" s="27">
        <v>14854.5</v>
      </c>
      <c r="AU89" s="12">
        <v>16464</v>
      </c>
      <c r="AV89" s="64">
        <f t="shared" si="30"/>
        <v>38419</v>
      </c>
      <c r="AW89" s="70">
        <f t="shared" si="31"/>
        <v>1600.7916666666667</v>
      </c>
      <c r="AX89" s="66">
        <f t="shared" si="32"/>
        <v>44844</v>
      </c>
      <c r="AY89" s="71">
        <f t="shared" si="33"/>
        <v>1868.5</v>
      </c>
      <c r="AZ89" s="72">
        <f t="shared" si="34"/>
        <v>10105.158333333333</v>
      </c>
      <c r="BA89" s="66">
        <f t="shared" si="35"/>
        <v>10427.133333333333</v>
      </c>
    </row>
    <row r="90" spans="1:53">
      <c r="A90" s="20" t="s">
        <v>148</v>
      </c>
      <c r="B90" s="19" t="s">
        <v>158</v>
      </c>
      <c r="C90" s="11"/>
      <c r="D90" s="17">
        <v>433660</v>
      </c>
      <c r="E90" s="17">
        <v>4</v>
      </c>
      <c r="F90" s="29" t="s">
        <v>75</v>
      </c>
      <c r="G90" s="16"/>
      <c r="H90" s="27"/>
      <c r="I90" s="15"/>
      <c r="J90" s="27">
        <v>149831</v>
      </c>
      <c r="K90" s="14">
        <v>152756</v>
      </c>
      <c r="L90" s="27">
        <v>33283</v>
      </c>
      <c r="M90" s="14">
        <v>34092</v>
      </c>
      <c r="N90" s="27">
        <v>165828</v>
      </c>
      <c r="O90" s="14">
        <v>167621</v>
      </c>
      <c r="P90" s="64">
        <f t="shared" si="18"/>
        <v>348942</v>
      </c>
      <c r="Q90" s="65">
        <f t="shared" si="19"/>
        <v>11631.4</v>
      </c>
      <c r="R90" s="66">
        <f t="shared" si="20"/>
        <v>354469</v>
      </c>
      <c r="S90" s="67">
        <f t="shared" si="21"/>
        <v>11815.633333333333</v>
      </c>
      <c r="T90" s="13">
        <v>520</v>
      </c>
      <c r="U90" s="12">
        <v>1424</v>
      </c>
      <c r="V90" s="64">
        <f t="shared" si="22"/>
        <v>348942</v>
      </c>
      <c r="W90" s="68">
        <f t="shared" si="23"/>
        <v>354469</v>
      </c>
      <c r="X90" s="27"/>
      <c r="Y90" s="15"/>
      <c r="Z90" s="27"/>
      <c r="AA90" s="15"/>
      <c r="AB90" s="27"/>
      <c r="AC90" s="15"/>
      <c r="AD90" s="27"/>
      <c r="AE90" s="15"/>
      <c r="AF90" s="64">
        <f t="shared" si="24"/>
        <v>0</v>
      </c>
      <c r="AG90" s="65">
        <f t="shared" si="25"/>
        <v>0</v>
      </c>
      <c r="AH90" s="66">
        <f t="shared" si="26"/>
        <v>0</v>
      </c>
      <c r="AI90" s="66">
        <f t="shared" si="27"/>
        <v>0</v>
      </c>
      <c r="AJ90" s="27"/>
      <c r="AK90" s="15"/>
      <c r="AL90" s="64">
        <f t="shared" si="28"/>
        <v>0</v>
      </c>
      <c r="AM90" s="67">
        <f t="shared" si="29"/>
        <v>0</v>
      </c>
      <c r="AN90" s="27"/>
      <c r="AO90" s="15"/>
      <c r="AP90" s="27">
        <v>7821</v>
      </c>
      <c r="AQ90" s="14">
        <v>7733</v>
      </c>
      <c r="AR90" s="27">
        <v>4069</v>
      </c>
      <c r="AS90" s="14">
        <v>3959</v>
      </c>
      <c r="AT90" s="27">
        <v>7922</v>
      </c>
      <c r="AU90" s="14">
        <v>8207</v>
      </c>
      <c r="AV90" s="64">
        <f t="shared" si="30"/>
        <v>19812</v>
      </c>
      <c r="AW90" s="70">
        <f t="shared" si="31"/>
        <v>825.5</v>
      </c>
      <c r="AX90" s="66">
        <f t="shared" si="32"/>
        <v>19899</v>
      </c>
      <c r="AY90" s="71">
        <f t="shared" si="33"/>
        <v>829.125</v>
      </c>
      <c r="AZ90" s="72">
        <f t="shared" si="34"/>
        <v>12456.9</v>
      </c>
      <c r="BA90" s="66">
        <f t="shared" si="35"/>
        <v>12644.758333333333</v>
      </c>
    </row>
    <row r="91" spans="1:53">
      <c r="A91" s="20" t="s">
        <v>148</v>
      </c>
      <c r="B91" s="19" t="s">
        <v>159</v>
      </c>
      <c r="C91" s="11"/>
      <c r="D91" s="17">
        <v>262129</v>
      </c>
      <c r="E91" s="17">
        <v>6</v>
      </c>
      <c r="F91" s="29" t="s">
        <v>75</v>
      </c>
      <c r="G91" s="16"/>
      <c r="H91" s="27"/>
      <c r="I91" s="15"/>
      <c r="J91" s="27">
        <v>12800</v>
      </c>
      <c r="K91" s="14">
        <v>12328</v>
      </c>
      <c r="L91" s="27"/>
      <c r="M91" s="14"/>
      <c r="N91" s="27">
        <v>16448</v>
      </c>
      <c r="O91" s="14">
        <v>16280</v>
      </c>
      <c r="P91" s="64">
        <f t="shared" si="18"/>
        <v>29248</v>
      </c>
      <c r="Q91" s="65">
        <f t="shared" si="19"/>
        <v>974.93333333333328</v>
      </c>
      <c r="R91" s="66">
        <f t="shared" si="20"/>
        <v>28608</v>
      </c>
      <c r="S91" s="67">
        <f t="shared" si="21"/>
        <v>953.6</v>
      </c>
      <c r="T91" s="27"/>
      <c r="U91" s="14"/>
      <c r="V91" s="64">
        <f t="shared" si="22"/>
        <v>0</v>
      </c>
      <c r="W91" s="68">
        <f t="shared" si="23"/>
        <v>0</v>
      </c>
      <c r="X91" s="27"/>
      <c r="Y91" s="15"/>
      <c r="Z91" s="27"/>
      <c r="AA91" s="15"/>
      <c r="AB91" s="27"/>
      <c r="AC91" s="15"/>
      <c r="AD91" s="27"/>
      <c r="AE91" s="15"/>
      <c r="AF91" s="64">
        <f t="shared" si="24"/>
        <v>0</v>
      </c>
      <c r="AG91" s="65">
        <f t="shared" si="25"/>
        <v>0</v>
      </c>
      <c r="AH91" s="66">
        <f t="shared" si="26"/>
        <v>0</v>
      </c>
      <c r="AI91" s="66">
        <f t="shared" si="27"/>
        <v>0</v>
      </c>
      <c r="AJ91" s="27"/>
      <c r="AK91" s="15"/>
      <c r="AL91" s="64">
        <f t="shared" si="28"/>
        <v>0</v>
      </c>
      <c r="AM91" s="67">
        <f t="shared" si="29"/>
        <v>0</v>
      </c>
      <c r="AN91" s="27"/>
      <c r="AO91" s="15"/>
      <c r="AP91" s="27"/>
      <c r="AQ91" s="12">
        <v>104</v>
      </c>
      <c r="AR91" s="27"/>
      <c r="AS91" s="14"/>
      <c r="AT91" s="27"/>
      <c r="AU91" s="12">
        <v>147</v>
      </c>
      <c r="AV91" s="64">
        <f t="shared" si="30"/>
        <v>0</v>
      </c>
      <c r="AW91" s="70">
        <f t="shared" si="31"/>
        <v>0</v>
      </c>
      <c r="AX91" s="66">
        <f t="shared" si="32"/>
        <v>251</v>
      </c>
      <c r="AY91" s="71">
        <f t="shared" si="33"/>
        <v>10.458333333333334</v>
      </c>
      <c r="AZ91" s="72">
        <f t="shared" si="34"/>
        <v>974.93333333333328</v>
      </c>
      <c r="BA91" s="66">
        <f t="shared" si="35"/>
        <v>964.05833333333339</v>
      </c>
    </row>
    <row r="92" spans="1:53" s="54" customFormat="1" ht="15.75" customHeight="1">
      <c r="A92" s="9" t="s">
        <v>148</v>
      </c>
      <c r="B92" s="8" t="s">
        <v>160</v>
      </c>
      <c r="C92" s="693" t="s">
        <v>972</v>
      </c>
      <c r="D92" s="6">
        <v>132693</v>
      </c>
      <c r="E92" s="6">
        <v>8</v>
      </c>
      <c r="F92" s="29" t="s">
        <v>75</v>
      </c>
      <c r="G92" s="16"/>
      <c r="H92" s="27"/>
      <c r="I92" s="26"/>
      <c r="J92" s="27">
        <v>126412</v>
      </c>
      <c r="K92" s="5">
        <v>127571</v>
      </c>
      <c r="L92" s="27">
        <v>42722</v>
      </c>
      <c r="M92" s="4">
        <v>45475</v>
      </c>
      <c r="N92" s="27">
        <v>135242</v>
      </c>
      <c r="O92" s="5">
        <v>135979</v>
      </c>
      <c r="P92" s="64">
        <f t="shared" si="18"/>
        <v>304376</v>
      </c>
      <c r="Q92" s="65">
        <f t="shared" si="19"/>
        <v>10145.866666666667</v>
      </c>
      <c r="R92" s="66">
        <f t="shared" si="20"/>
        <v>309025</v>
      </c>
      <c r="S92" s="67">
        <f t="shared" si="21"/>
        <v>10300.833333333334</v>
      </c>
      <c r="T92" s="27">
        <v>49607</v>
      </c>
      <c r="U92" s="4">
        <v>53939</v>
      </c>
      <c r="V92" s="64">
        <f t="shared" si="22"/>
        <v>304376</v>
      </c>
      <c r="W92" s="68">
        <f t="shared" si="23"/>
        <v>309025</v>
      </c>
      <c r="X92" s="27"/>
      <c r="Y92" s="26"/>
      <c r="Z92" s="27">
        <v>280902</v>
      </c>
      <c r="AA92" s="4">
        <v>162802</v>
      </c>
      <c r="AB92" s="27">
        <v>34806</v>
      </c>
      <c r="AC92" s="4">
        <v>24358</v>
      </c>
      <c r="AD92" s="27">
        <v>157443</v>
      </c>
      <c r="AE92" s="4">
        <v>196745</v>
      </c>
      <c r="AF92" s="64">
        <f t="shared" si="24"/>
        <v>473151</v>
      </c>
      <c r="AG92" s="65">
        <f t="shared" si="25"/>
        <v>525.72333333333336</v>
      </c>
      <c r="AH92" s="66">
        <f t="shared" si="26"/>
        <v>383905</v>
      </c>
      <c r="AI92" s="66">
        <f t="shared" si="27"/>
        <v>426.56111111111113</v>
      </c>
      <c r="AJ92" s="27">
        <v>37522</v>
      </c>
      <c r="AK92" s="4">
        <v>33765</v>
      </c>
      <c r="AL92" s="64">
        <f t="shared" si="28"/>
        <v>473151</v>
      </c>
      <c r="AM92" s="67">
        <f t="shared" si="29"/>
        <v>383905</v>
      </c>
      <c r="AN92" s="27"/>
      <c r="AO92" s="26"/>
      <c r="AP92" s="27"/>
      <c r="AQ92" s="26"/>
      <c r="AR92" s="27"/>
      <c r="AS92" s="26"/>
      <c r="AT92" s="27"/>
      <c r="AU92" s="26"/>
      <c r="AV92" s="64">
        <f t="shared" si="30"/>
        <v>0</v>
      </c>
      <c r="AW92" s="70">
        <f t="shared" si="31"/>
        <v>0</v>
      </c>
      <c r="AX92" s="66">
        <f t="shared" si="32"/>
        <v>0</v>
      </c>
      <c r="AY92" s="71">
        <f t="shared" si="33"/>
        <v>0</v>
      </c>
      <c r="AZ92" s="72">
        <f t="shared" si="34"/>
        <v>10671.59</v>
      </c>
      <c r="BA92" s="66">
        <f t="shared" si="35"/>
        <v>10727.394444444446</v>
      </c>
    </row>
    <row r="93" spans="1:53" s="54" customFormat="1" ht="15" customHeight="1">
      <c r="A93" s="9" t="s">
        <v>148</v>
      </c>
      <c r="B93" s="8" t="s">
        <v>161</v>
      </c>
      <c r="C93" s="693"/>
      <c r="D93" s="6">
        <v>132709</v>
      </c>
      <c r="E93" s="6">
        <v>7</v>
      </c>
      <c r="F93" s="29" t="s">
        <v>75</v>
      </c>
      <c r="G93" s="16"/>
      <c r="H93" s="27"/>
      <c r="I93" s="26"/>
      <c r="J93" s="27">
        <v>342870</v>
      </c>
      <c r="K93" s="5">
        <v>349722</v>
      </c>
      <c r="L93" s="27">
        <v>165391</v>
      </c>
      <c r="M93" s="5">
        <v>163882</v>
      </c>
      <c r="N93" s="27">
        <v>352881</v>
      </c>
      <c r="O93" s="5">
        <v>366228</v>
      </c>
      <c r="P93" s="64">
        <f t="shared" si="18"/>
        <v>861142</v>
      </c>
      <c r="Q93" s="65">
        <f t="shared" si="19"/>
        <v>28704.733333333334</v>
      </c>
      <c r="R93" s="66">
        <f t="shared" si="20"/>
        <v>879832</v>
      </c>
      <c r="S93" s="67">
        <f t="shared" si="21"/>
        <v>29327.733333333334</v>
      </c>
      <c r="T93" s="27">
        <v>42346</v>
      </c>
      <c r="U93" s="4">
        <v>52914</v>
      </c>
      <c r="V93" s="64">
        <f t="shared" si="22"/>
        <v>861142</v>
      </c>
      <c r="W93" s="68">
        <f t="shared" si="23"/>
        <v>879832</v>
      </c>
      <c r="X93" s="27"/>
      <c r="Y93" s="26"/>
      <c r="Z93" s="27">
        <v>175851</v>
      </c>
      <c r="AA93" s="5">
        <v>176907</v>
      </c>
      <c r="AB93" s="27">
        <v>74492</v>
      </c>
      <c r="AC93" s="4">
        <v>94114</v>
      </c>
      <c r="AD93" s="27">
        <v>164023</v>
      </c>
      <c r="AE93" s="4">
        <v>154892</v>
      </c>
      <c r="AF93" s="64">
        <f t="shared" si="24"/>
        <v>414366</v>
      </c>
      <c r="AG93" s="65">
        <f t="shared" si="25"/>
        <v>460.40666666666669</v>
      </c>
      <c r="AH93" s="66">
        <f t="shared" si="26"/>
        <v>425913</v>
      </c>
      <c r="AI93" s="66">
        <f t="shared" si="27"/>
        <v>473.23666666666668</v>
      </c>
      <c r="AJ93" s="27">
        <v>0</v>
      </c>
      <c r="AK93" s="5">
        <v>0</v>
      </c>
      <c r="AL93" s="64">
        <f t="shared" si="28"/>
        <v>414366</v>
      </c>
      <c r="AM93" s="67">
        <f t="shared" si="29"/>
        <v>425913</v>
      </c>
      <c r="AN93" s="27"/>
      <c r="AO93" s="26"/>
      <c r="AP93" s="27"/>
      <c r="AQ93" s="26"/>
      <c r="AR93" s="27"/>
      <c r="AS93" s="26"/>
      <c r="AT93" s="27"/>
      <c r="AU93" s="26"/>
      <c r="AV93" s="64">
        <f t="shared" si="30"/>
        <v>0</v>
      </c>
      <c r="AW93" s="70">
        <f t="shared" si="31"/>
        <v>0</v>
      </c>
      <c r="AX93" s="66">
        <f t="shared" si="32"/>
        <v>0</v>
      </c>
      <c r="AY93" s="71">
        <f t="shared" si="33"/>
        <v>0</v>
      </c>
      <c r="AZ93" s="72">
        <f t="shared" si="34"/>
        <v>29165.14</v>
      </c>
      <c r="BA93" s="66">
        <f t="shared" si="35"/>
        <v>29800.97</v>
      </c>
    </row>
    <row r="94" spans="1:53" s="54" customFormat="1" ht="15" customHeight="1">
      <c r="A94" s="9" t="s">
        <v>148</v>
      </c>
      <c r="B94" s="8" t="s">
        <v>162</v>
      </c>
      <c r="C94" s="693"/>
      <c r="D94" s="6">
        <v>132851</v>
      </c>
      <c r="E94" s="2">
        <v>7</v>
      </c>
      <c r="F94" s="29" t="s">
        <v>75</v>
      </c>
      <c r="G94" s="16"/>
      <c r="H94" s="27"/>
      <c r="I94" s="26"/>
      <c r="J94" s="27">
        <v>71601</v>
      </c>
      <c r="K94" s="4">
        <v>62253</v>
      </c>
      <c r="L94" s="27">
        <v>23846</v>
      </c>
      <c r="M94" s="4">
        <v>22034</v>
      </c>
      <c r="N94" s="27">
        <v>67274</v>
      </c>
      <c r="O94" s="5">
        <v>66353</v>
      </c>
      <c r="P94" s="64">
        <f t="shared" si="18"/>
        <v>162721</v>
      </c>
      <c r="Q94" s="65">
        <f t="shared" si="19"/>
        <v>5424.0333333333338</v>
      </c>
      <c r="R94" s="66">
        <f t="shared" si="20"/>
        <v>150640</v>
      </c>
      <c r="S94" s="67">
        <f t="shared" si="21"/>
        <v>5021.333333333333</v>
      </c>
      <c r="T94" s="27">
        <v>16442</v>
      </c>
      <c r="U94" s="4">
        <v>18366</v>
      </c>
      <c r="V94" s="64">
        <f t="shared" si="22"/>
        <v>162721</v>
      </c>
      <c r="W94" s="68">
        <f t="shared" si="23"/>
        <v>150640</v>
      </c>
      <c r="X94" s="27"/>
      <c r="Y94" s="26"/>
      <c r="Z94" s="27">
        <v>68992</v>
      </c>
      <c r="AA94" s="4">
        <v>59005</v>
      </c>
      <c r="AB94" s="27">
        <v>35499</v>
      </c>
      <c r="AC94" s="4">
        <v>45119</v>
      </c>
      <c r="AD94" s="27">
        <v>80553</v>
      </c>
      <c r="AE94" s="4">
        <v>85333</v>
      </c>
      <c r="AF94" s="64">
        <f t="shared" si="24"/>
        <v>185044</v>
      </c>
      <c r="AG94" s="65">
        <f t="shared" si="25"/>
        <v>205.60444444444445</v>
      </c>
      <c r="AH94" s="66">
        <f t="shared" si="26"/>
        <v>189457</v>
      </c>
      <c r="AI94" s="66">
        <f t="shared" si="27"/>
        <v>210.50777777777779</v>
      </c>
      <c r="AJ94" s="27">
        <v>5310</v>
      </c>
      <c r="AK94" s="4">
        <v>2700</v>
      </c>
      <c r="AL94" s="64">
        <f t="shared" si="28"/>
        <v>185044</v>
      </c>
      <c r="AM94" s="67">
        <f t="shared" si="29"/>
        <v>189457</v>
      </c>
      <c r="AN94" s="27"/>
      <c r="AO94" s="26"/>
      <c r="AP94" s="27"/>
      <c r="AQ94" s="26"/>
      <c r="AR94" s="27"/>
      <c r="AS94" s="26"/>
      <c r="AT94" s="27"/>
      <c r="AU94" s="26"/>
      <c r="AV94" s="64">
        <f t="shared" si="30"/>
        <v>0</v>
      </c>
      <c r="AW94" s="70">
        <f t="shared" si="31"/>
        <v>0</v>
      </c>
      <c r="AX94" s="66">
        <f t="shared" si="32"/>
        <v>0</v>
      </c>
      <c r="AY94" s="71">
        <f t="shared" si="33"/>
        <v>0</v>
      </c>
      <c r="AZ94" s="72">
        <f t="shared" si="34"/>
        <v>5629.637777777778</v>
      </c>
      <c r="BA94" s="66">
        <f t="shared" si="35"/>
        <v>5231.8411111111109</v>
      </c>
    </row>
    <row r="95" spans="1:53" s="54" customFormat="1" ht="15" customHeight="1">
      <c r="A95" s="9" t="s">
        <v>148</v>
      </c>
      <c r="B95" s="8" t="s">
        <v>163</v>
      </c>
      <c r="C95" s="693"/>
      <c r="D95" s="6">
        <v>133021</v>
      </c>
      <c r="E95" s="6">
        <v>7</v>
      </c>
      <c r="F95" s="29" t="s">
        <v>75</v>
      </c>
      <c r="G95" s="16"/>
      <c r="H95" s="27"/>
      <c r="I95" s="26"/>
      <c r="J95" s="27">
        <v>16453</v>
      </c>
      <c r="K95" s="5">
        <v>16465</v>
      </c>
      <c r="L95" s="27">
        <v>5253</v>
      </c>
      <c r="M95" s="5">
        <v>5061</v>
      </c>
      <c r="N95" s="27">
        <v>18483</v>
      </c>
      <c r="O95" s="5">
        <v>19177</v>
      </c>
      <c r="P95" s="64">
        <f t="shared" si="18"/>
        <v>40189</v>
      </c>
      <c r="Q95" s="65">
        <f t="shared" si="19"/>
        <v>1339.6333333333334</v>
      </c>
      <c r="R95" s="66">
        <f t="shared" si="20"/>
        <v>40703</v>
      </c>
      <c r="S95" s="67">
        <f t="shared" si="21"/>
        <v>1356.7666666666667</v>
      </c>
      <c r="T95" s="27">
        <v>6225</v>
      </c>
      <c r="U95" s="4">
        <v>6878</v>
      </c>
      <c r="V95" s="64">
        <f t="shared" si="22"/>
        <v>40189</v>
      </c>
      <c r="W95" s="68">
        <f t="shared" si="23"/>
        <v>40703</v>
      </c>
      <c r="X95" s="27"/>
      <c r="Y95" s="26"/>
      <c r="Z95" s="27">
        <v>39717</v>
      </c>
      <c r="AA95" s="5">
        <v>39706</v>
      </c>
      <c r="AB95" s="27">
        <v>17334</v>
      </c>
      <c r="AC95" s="4">
        <v>20996</v>
      </c>
      <c r="AD95" s="27">
        <v>38961</v>
      </c>
      <c r="AE95" s="4">
        <v>63495</v>
      </c>
      <c r="AF95" s="64">
        <f t="shared" si="24"/>
        <v>96012</v>
      </c>
      <c r="AG95" s="65">
        <f t="shared" si="25"/>
        <v>106.68</v>
      </c>
      <c r="AH95" s="66">
        <f t="shared" si="26"/>
        <v>124197</v>
      </c>
      <c r="AI95" s="66">
        <f t="shared" si="27"/>
        <v>137.99666666666667</v>
      </c>
      <c r="AJ95" s="27">
        <v>240</v>
      </c>
      <c r="AK95" s="4">
        <v>2610</v>
      </c>
      <c r="AL95" s="64">
        <f t="shared" si="28"/>
        <v>96012</v>
      </c>
      <c r="AM95" s="67">
        <f t="shared" si="29"/>
        <v>124197</v>
      </c>
      <c r="AN95" s="27"/>
      <c r="AO95" s="26"/>
      <c r="AP95" s="27"/>
      <c r="AQ95" s="26"/>
      <c r="AR95" s="27"/>
      <c r="AS95" s="26"/>
      <c r="AT95" s="27"/>
      <c r="AU95" s="26"/>
      <c r="AV95" s="64">
        <f t="shared" si="30"/>
        <v>0</v>
      </c>
      <c r="AW95" s="70">
        <f t="shared" si="31"/>
        <v>0</v>
      </c>
      <c r="AX95" s="66">
        <f t="shared" si="32"/>
        <v>0</v>
      </c>
      <c r="AY95" s="71">
        <f t="shared" si="33"/>
        <v>0</v>
      </c>
      <c r="AZ95" s="72">
        <f t="shared" si="34"/>
        <v>1446.3133333333335</v>
      </c>
      <c r="BA95" s="66">
        <f t="shared" si="35"/>
        <v>1494.7633333333333</v>
      </c>
    </row>
    <row r="96" spans="1:53" s="54" customFormat="1" ht="15" customHeight="1">
      <c r="A96" s="9" t="s">
        <v>148</v>
      </c>
      <c r="B96" s="8" t="s">
        <v>164</v>
      </c>
      <c r="C96" s="693"/>
      <c r="D96" s="6">
        <v>133386</v>
      </c>
      <c r="E96" s="6">
        <v>7</v>
      </c>
      <c r="F96" s="29" t="s">
        <v>75</v>
      </c>
      <c r="G96" s="16"/>
      <c r="H96" s="27"/>
      <c r="I96" s="26"/>
      <c r="J96" s="27">
        <v>119818</v>
      </c>
      <c r="K96" s="5">
        <v>122735</v>
      </c>
      <c r="L96" s="27">
        <v>43624</v>
      </c>
      <c r="M96" s="4">
        <v>41058</v>
      </c>
      <c r="N96" s="27">
        <v>131403</v>
      </c>
      <c r="O96" s="4">
        <v>122709</v>
      </c>
      <c r="P96" s="64">
        <f t="shared" si="18"/>
        <v>294845</v>
      </c>
      <c r="Q96" s="65">
        <f t="shared" si="19"/>
        <v>9828.1666666666661</v>
      </c>
      <c r="R96" s="66">
        <f t="shared" si="20"/>
        <v>286502</v>
      </c>
      <c r="S96" s="67">
        <f t="shared" si="21"/>
        <v>9550.0666666666675</v>
      </c>
      <c r="T96" s="27">
        <v>30118</v>
      </c>
      <c r="U96" s="5">
        <v>30017</v>
      </c>
      <c r="V96" s="64">
        <f t="shared" si="22"/>
        <v>294845</v>
      </c>
      <c r="W96" s="68">
        <f t="shared" si="23"/>
        <v>286502</v>
      </c>
      <c r="X96" s="27"/>
      <c r="Y96" s="26"/>
      <c r="Z96" s="27">
        <v>803574</v>
      </c>
      <c r="AA96" s="4">
        <v>663966</v>
      </c>
      <c r="AB96" s="27">
        <v>371776</v>
      </c>
      <c r="AC96" s="4">
        <v>333222</v>
      </c>
      <c r="AD96" s="27">
        <v>669019</v>
      </c>
      <c r="AE96" s="4">
        <v>776898</v>
      </c>
      <c r="AF96" s="64">
        <f t="shared" si="24"/>
        <v>1844369</v>
      </c>
      <c r="AG96" s="65">
        <f t="shared" si="25"/>
        <v>2049.298888888889</v>
      </c>
      <c r="AH96" s="66">
        <f t="shared" si="26"/>
        <v>1774086</v>
      </c>
      <c r="AI96" s="66">
        <f t="shared" si="27"/>
        <v>1971.2066666666667</v>
      </c>
      <c r="AJ96" s="27">
        <v>510</v>
      </c>
      <c r="AK96" s="4">
        <v>2298</v>
      </c>
      <c r="AL96" s="64">
        <f t="shared" si="28"/>
        <v>1844369</v>
      </c>
      <c r="AM96" s="67">
        <f t="shared" si="29"/>
        <v>1774086</v>
      </c>
      <c r="AN96" s="27"/>
      <c r="AO96" s="26"/>
      <c r="AP96" s="27"/>
      <c r="AQ96" s="26"/>
      <c r="AR96" s="27"/>
      <c r="AS96" s="26"/>
      <c r="AT96" s="27"/>
      <c r="AU96" s="26"/>
      <c r="AV96" s="64">
        <f t="shared" si="30"/>
        <v>0</v>
      </c>
      <c r="AW96" s="70">
        <f t="shared" si="31"/>
        <v>0</v>
      </c>
      <c r="AX96" s="66">
        <f t="shared" si="32"/>
        <v>0</v>
      </c>
      <c r="AY96" s="71">
        <f t="shared" si="33"/>
        <v>0</v>
      </c>
      <c r="AZ96" s="72">
        <f t="shared" si="34"/>
        <v>11877.465555555555</v>
      </c>
      <c r="BA96" s="66">
        <f t="shared" si="35"/>
        <v>11521.273333333334</v>
      </c>
    </row>
    <row r="97" spans="1:53" s="54" customFormat="1" ht="15" customHeight="1">
      <c r="A97" s="9" t="s">
        <v>148</v>
      </c>
      <c r="B97" s="1" t="s">
        <v>165</v>
      </c>
      <c r="C97" s="693"/>
      <c r="D97" s="6">
        <v>133508</v>
      </c>
      <c r="E97" s="6">
        <v>7</v>
      </c>
      <c r="F97" s="29" t="s">
        <v>75</v>
      </c>
      <c r="G97" s="16"/>
      <c r="H97" s="27"/>
      <c r="I97" s="26"/>
      <c r="J97" s="27">
        <v>124821</v>
      </c>
      <c r="K97" s="5">
        <v>129379</v>
      </c>
      <c r="L97" s="27">
        <v>43376</v>
      </c>
      <c r="M97" s="5">
        <v>41929</v>
      </c>
      <c r="N97" s="27">
        <v>138212</v>
      </c>
      <c r="O97" s="4">
        <v>145982</v>
      </c>
      <c r="P97" s="64">
        <f t="shared" si="18"/>
        <v>306409</v>
      </c>
      <c r="Q97" s="65">
        <f t="shared" si="19"/>
        <v>10213.633333333333</v>
      </c>
      <c r="R97" s="66">
        <f t="shared" si="20"/>
        <v>317290</v>
      </c>
      <c r="S97" s="67">
        <f t="shared" si="21"/>
        <v>10576.333333333334</v>
      </c>
      <c r="T97" s="27">
        <v>38559</v>
      </c>
      <c r="U97" s="4">
        <v>42640</v>
      </c>
      <c r="V97" s="64">
        <f t="shared" si="22"/>
        <v>306409</v>
      </c>
      <c r="W97" s="68">
        <f t="shared" si="23"/>
        <v>317290</v>
      </c>
      <c r="X97" s="27"/>
      <c r="Y97" s="26"/>
      <c r="Z97" s="27">
        <v>3570</v>
      </c>
      <c r="AA97" s="4">
        <v>7357</v>
      </c>
      <c r="AB97" s="27">
        <v>7380</v>
      </c>
      <c r="AC97" s="4">
        <v>12030</v>
      </c>
      <c r="AD97" s="27">
        <v>3600</v>
      </c>
      <c r="AE97" s="4">
        <v>8648</v>
      </c>
      <c r="AF97" s="64">
        <f t="shared" si="24"/>
        <v>14550</v>
      </c>
      <c r="AG97" s="65">
        <f t="shared" si="25"/>
        <v>16.166666666666668</v>
      </c>
      <c r="AH97" s="66">
        <f t="shared" si="26"/>
        <v>28035</v>
      </c>
      <c r="AI97" s="66">
        <f t="shared" si="27"/>
        <v>31.15</v>
      </c>
      <c r="AJ97" s="27">
        <v>0</v>
      </c>
      <c r="AK97" s="5">
        <v>0</v>
      </c>
      <c r="AL97" s="64">
        <f t="shared" si="28"/>
        <v>14550</v>
      </c>
      <c r="AM97" s="67">
        <f t="shared" si="29"/>
        <v>28035</v>
      </c>
      <c r="AN97" s="27"/>
      <c r="AO97" s="26"/>
      <c r="AP97" s="27"/>
      <c r="AQ97" s="26"/>
      <c r="AR97" s="27"/>
      <c r="AS97" s="26"/>
      <c r="AT97" s="27"/>
      <c r="AU97" s="26"/>
      <c r="AV97" s="64">
        <f t="shared" si="30"/>
        <v>0</v>
      </c>
      <c r="AW97" s="70">
        <f t="shared" si="31"/>
        <v>0</v>
      </c>
      <c r="AX97" s="66">
        <f t="shared" si="32"/>
        <v>0</v>
      </c>
      <c r="AY97" s="71">
        <f t="shared" si="33"/>
        <v>0</v>
      </c>
      <c r="AZ97" s="72">
        <f t="shared" si="34"/>
        <v>10229.799999999999</v>
      </c>
      <c r="BA97" s="66">
        <f t="shared" si="35"/>
        <v>10607.483333333334</v>
      </c>
    </row>
    <row r="98" spans="1:53" s="54" customFormat="1" ht="15" customHeight="1">
      <c r="A98" s="9" t="s">
        <v>148</v>
      </c>
      <c r="B98" s="8" t="s">
        <v>166</v>
      </c>
      <c r="C98" s="693"/>
      <c r="D98" s="6">
        <v>133702</v>
      </c>
      <c r="E98" s="6">
        <v>7</v>
      </c>
      <c r="F98" s="29" t="s">
        <v>75</v>
      </c>
      <c r="G98" s="16" t="s">
        <v>75</v>
      </c>
      <c r="H98" s="27"/>
      <c r="I98" s="26"/>
      <c r="J98" s="27">
        <v>216565</v>
      </c>
      <c r="K98" s="5">
        <v>209302</v>
      </c>
      <c r="L98" s="27">
        <v>115792</v>
      </c>
      <c r="M98" s="5">
        <v>113783</v>
      </c>
      <c r="N98" s="27">
        <v>214555</v>
      </c>
      <c r="O98" s="5">
        <v>208427</v>
      </c>
      <c r="P98" s="64">
        <f t="shared" si="18"/>
        <v>546912</v>
      </c>
      <c r="Q98" s="65">
        <f t="shared" si="19"/>
        <v>18230.400000000001</v>
      </c>
      <c r="R98" s="66">
        <f t="shared" si="20"/>
        <v>531512</v>
      </c>
      <c r="S98" s="67">
        <f t="shared" si="21"/>
        <v>17717.066666666666</v>
      </c>
      <c r="T98" s="27">
        <v>34852</v>
      </c>
      <c r="U98" s="5">
        <v>33292</v>
      </c>
      <c r="V98" s="64">
        <f t="shared" si="22"/>
        <v>546912</v>
      </c>
      <c r="W98" s="68">
        <f t="shared" si="23"/>
        <v>531512</v>
      </c>
      <c r="X98" s="27"/>
      <c r="Y98" s="26"/>
      <c r="Z98" s="27">
        <v>636537</v>
      </c>
      <c r="AA98" s="4">
        <v>484178</v>
      </c>
      <c r="AB98" s="27">
        <v>503133</v>
      </c>
      <c r="AC98" s="4">
        <v>374330</v>
      </c>
      <c r="AD98" s="27">
        <v>514381</v>
      </c>
      <c r="AE98" s="5">
        <v>495961</v>
      </c>
      <c r="AF98" s="64">
        <f t="shared" si="24"/>
        <v>1654051</v>
      </c>
      <c r="AG98" s="65">
        <f t="shared" si="25"/>
        <v>1837.8344444444444</v>
      </c>
      <c r="AH98" s="66">
        <f t="shared" si="26"/>
        <v>1354469</v>
      </c>
      <c r="AI98" s="66">
        <f t="shared" si="27"/>
        <v>1504.9655555555555</v>
      </c>
      <c r="AJ98" s="27">
        <v>8042</v>
      </c>
      <c r="AK98" s="4">
        <v>3430</v>
      </c>
      <c r="AL98" s="64">
        <f t="shared" si="28"/>
        <v>1654051</v>
      </c>
      <c r="AM98" s="67">
        <f t="shared" si="29"/>
        <v>1354469</v>
      </c>
      <c r="AN98" s="27"/>
      <c r="AO98" s="26"/>
      <c r="AP98" s="27"/>
      <c r="AQ98" s="26"/>
      <c r="AR98" s="27"/>
      <c r="AS98" s="26"/>
      <c r="AT98" s="27"/>
      <c r="AU98" s="26"/>
      <c r="AV98" s="64">
        <f t="shared" si="30"/>
        <v>0</v>
      </c>
      <c r="AW98" s="70">
        <f t="shared" si="31"/>
        <v>0</v>
      </c>
      <c r="AX98" s="66">
        <f t="shared" si="32"/>
        <v>0</v>
      </c>
      <c r="AY98" s="71">
        <f t="shared" si="33"/>
        <v>0</v>
      </c>
      <c r="AZ98" s="72">
        <f t="shared" si="34"/>
        <v>20068.234444444446</v>
      </c>
      <c r="BA98" s="66">
        <f t="shared" si="35"/>
        <v>19222.03222222222</v>
      </c>
    </row>
    <row r="99" spans="1:53" s="54" customFormat="1" ht="15" customHeight="1">
      <c r="A99" s="9" t="s">
        <v>148</v>
      </c>
      <c r="B99" s="8" t="s">
        <v>167</v>
      </c>
      <c r="C99" s="693"/>
      <c r="D99" s="6">
        <v>133960</v>
      </c>
      <c r="E99" s="6">
        <v>10</v>
      </c>
      <c r="F99" s="29" t="s">
        <v>75</v>
      </c>
      <c r="G99" s="16" t="s">
        <v>75</v>
      </c>
      <c r="H99" s="27"/>
      <c r="I99" s="26"/>
      <c r="J99" s="27">
        <v>8179</v>
      </c>
      <c r="K99" s="5">
        <v>8085</v>
      </c>
      <c r="L99" s="27">
        <v>2984</v>
      </c>
      <c r="M99" s="5">
        <v>3000</v>
      </c>
      <c r="N99" s="27">
        <v>9083</v>
      </c>
      <c r="O99" s="5">
        <v>8950</v>
      </c>
      <c r="P99" s="64">
        <f t="shared" si="18"/>
        <v>20246</v>
      </c>
      <c r="Q99" s="65">
        <f t="shared" si="19"/>
        <v>674.86666666666667</v>
      </c>
      <c r="R99" s="66">
        <f t="shared" si="20"/>
        <v>20035</v>
      </c>
      <c r="S99" s="67">
        <f t="shared" si="21"/>
        <v>667.83333333333337</v>
      </c>
      <c r="T99" s="27">
        <v>1296</v>
      </c>
      <c r="U99" s="4">
        <v>1487</v>
      </c>
      <c r="V99" s="64">
        <f t="shared" si="22"/>
        <v>20246</v>
      </c>
      <c r="W99" s="68">
        <f t="shared" si="23"/>
        <v>20035</v>
      </c>
      <c r="X99" s="27"/>
      <c r="Y99" s="26"/>
      <c r="Z99" s="27">
        <v>12642</v>
      </c>
      <c r="AA99" s="4">
        <v>17251</v>
      </c>
      <c r="AB99" s="27">
        <v>6406</v>
      </c>
      <c r="AC99" s="4">
        <v>6807</v>
      </c>
      <c r="AD99" s="27">
        <v>15156</v>
      </c>
      <c r="AE99" s="4">
        <v>12634</v>
      </c>
      <c r="AF99" s="64">
        <f t="shared" si="24"/>
        <v>34204</v>
      </c>
      <c r="AG99" s="65">
        <f t="shared" si="25"/>
        <v>38.004444444444445</v>
      </c>
      <c r="AH99" s="66">
        <f t="shared" si="26"/>
        <v>36692</v>
      </c>
      <c r="AI99" s="66">
        <f t="shared" si="27"/>
        <v>40.768888888888888</v>
      </c>
      <c r="AJ99" s="27">
        <v>0</v>
      </c>
      <c r="AK99" s="5">
        <v>0</v>
      </c>
      <c r="AL99" s="64">
        <f t="shared" si="28"/>
        <v>34204</v>
      </c>
      <c r="AM99" s="67">
        <f t="shared" si="29"/>
        <v>36692</v>
      </c>
      <c r="AN99" s="27"/>
      <c r="AO99" s="26"/>
      <c r="AP99" s="27"/>
      <c r="AQ99" s="26"/>
      <c r="AR99" s="27"/>
      <c r="AS99" s="26"/>
      <c r="AT99" s="27"/>
      <c r="AU99" s="26"/>
      <c r="AV99" s="64">
        <f t="shared" si="30"/>
        <v>0</v>
      </c>
      <c r="AW99" s="70">
        <f t="shared" si="31"/>
        <v>0</v>
      </c>
      <c r="AX99" s="66">
        <f t="shared" si="32"/>
        <v>0</v>
      </c>
      <c r="AY99" s="71">
        <f t="shared" si="33"/>
        <v>0</v>
      </c>
      <c r="AZ99" s="72">
        <f t="shared" si="34"/>
        <v>712.87111111111108</v>
      </c>
      <c r="BA99" s="66">
        <f t="shared" si="35"/>
        <v>708.60222222222228</v>
      </c>
    </row>
    <row r="100" spans="1:53" s="54" customFormat="1" ht="15" customHeight="1">
      <c r="A100" s="9" t="s">
        <v>148</v>
      </c>
      <c r="B100" s="8" t="s">
        <v>168</v>
      </c>
      <c r="C100" s="693"/>
      <c r="D100" s="6">
        <v>134343</v>
      </c>
      <c r="E100" s="6">
        <v>7</v>
      </c>
      <c r="F100" s="29" t="s">
        <v>75</v>
      </c>
      <c r="G100" s="16" t="s">
        <v>75</v>
      </c>
      <c r="H100" s="27"/>
      <c r="I100" s="26"/>
      <c r="J100" s="27">
        <v>48288</v>
      </c>
      <c r="K100" s="5">
        <v>46430</v>
      </c>
      <c r="L100" s="27">
        <v>13709</v>
      </c>
      <c r="M100" s="4">
        <v>12651</v>
      </c>
      <c r="N100" s="27">
        <v>50913</v>
      </c>
      <c r="O100" s="5">
        <v>49269</v>
      </c>
      <c r="P100" s="64">
        <f t="shared" si="18"/>
        <v>112910</v>
      </c>
      <c r="Q100" s="65">
        <f t="shared" si="19"/>
        <v>3763.6666666666665</v>
      </c>
      <c r="R100" s="66">
        <f t="shared" si="20"/>
        <v>108350</v>
      </c>
      <c r="S100" s="67">
        <f t="shared" si="21"/>
        <v>3611.6666666666665</v>
      </c>
      <c r="T100" s="27">
        <v>13881</v>
      </c>
      <c r="U100" s="4">
        <v>14769</v>
      </c>
      <c r="V100" s="64">
        <f t="shared" si="22"/>
        <v>112910</v>
      </c>
      <c r="W100" s="68">
        <f t="shared" si="23"/>
        <v>108350</v>
      </c>
      <c r="X100" s="27"/>
      <c r="Y100" s="26"/>
      <c r="Z100" s="27">
        <v>54022</v>
      </c>
      <c r="AA100" s="4">
        <v>49269</v>
      </c>
      <c r="AB100" s="27">
        <v>39604</v>
      </c>
      <c r="AC100" s="5">
        <v>38099</v>
      </c>
      <c r="AD100" s="27">
        <v>48809</v>
      </c>
      <c r="AE100" s="4">
        <v>34209</v>
      </c>
      <c r="AF100" s="64">
        <f t="shared" si="24"/>
        <v>142435</v>
      </c>
      <c r="AG100" s="65">
        <f t="shared" si="25"/>
        <v>158.26111111111112</v>
      </c>
      <c r="AH100" s="66">
        <f t="shared" si="26"/>
        <v>121577</v>
      </c>
      <c r="AI100" s="66">
        <f t="shared" si="27"/>
        <v>135.08555555555554</v>
      </c>
      <c r="AJ100" s="27">
        <v>0</v>
      </c>
      <c r="AK100" s="5">
        <v>0</v>
      </c>
      <c r="AL100" s="64">
        <f t="shared" si="28"/>
        <v>142435</v>
      </c>
      <c r="AM100" s="67">
        <f t="shared" si="29"/>
        <v>121577</v>
      </c>
      <c r="AN100" s="27"/>
      <c r="AO100" s="26"/>
      <c r="AP100" s="27"/>
      <c r="AQ100" s="26"/>
      <c r="AR100" s="27"/>
      <c r="AS100" s="26"/>
      <c r="AT100" s="27"/>
      <c r="AU100" s="26"/>
      <c r="AV100" s="64">
        <f t="shared" si="30"/>
        <v>0</v>
      </c>
      <c r="AW100" s="70">
        <f t="shared" si="31"/>
        <v>0</v>
      </c>
      <c r="AX100" s="66">
        <f t="shared" si="32"/>
        <v>0</v>
      </c>
      <c r="AY100" s="71">
        <f t="shared" si="33"/>
        <v>0</v>
      </c>
      <c r="AZ100" s="72">
        <f t="shared" si="34"/>
        <v>3921.9277777777775</v>
      </c>
      <c r="BA100" s="66">
        <f t="shared" si="35"/>
        <v>3746.7522222222219</v>
      </c>
    </row>
    <row r="101" spans="1:53" s="54" customFormat="1" ht="15" customHeight="1">
      <c r="A101" s="9" t="s">
        <v>148</v>
      </c>
      <c r="B101" s="8" t="s">
        <v>169</v>
      </c>
      <c r="C101" s="693"/>
      <c r="D101" s="6">
        <v>134495</v>
      </c>
      <c r="E101" s="6">
        <v>8</v>
      </c>
      <c r="F101" s="29" t="s">
        <v>75</v>
      </c>
      <c r="G101" s="16" t="s">
        <v>75</v>
      </c>
      <c r="H101" s="27"/>
      <c r="I101" s="26"/>
      <c r="J101" s="27">
        <v>230530</v>
      </c>
      <c r="K101" s="5">
        <v>224631</v>
      </c>
      <c r="L101" s="27">
        <v>82496</v>
      </c>
      <c r="M101" s="5">
        <v>83721</v>
      </c>
      <c r="N101" s="27">
        <v>238404</v>
      </c>
      <c r="O101" s="5">
        <v>247826</v>
      </c>
      <c r="P101" s="64">
        <f t="shared" si="18"/>
        <v>551430</v>
      </c>
      <c r="Q101" s="65">
        <f t="shared" si="19"/>
        <v>18381</v>
      </c>
      <c r="R101" s="66">
        <f t="shared" si="20"/>
        <v>556178</v>
      </c>
      <c r="S101" s="67">
        <f t="shared" si="21"/>
        <v>18539.266666666666</v>
      </c>
      <c r="T101" s="27">
        <v>29835</v>
      </c>
      <c r="U101" s="4">
        <v>39798</v>
      </c>
      <c r="V101" s="64">
        <f t="shared" si="22"/>
        <v>551430</v>
      </c>
      <c r="W101" s="68">
        <f t="shared" si="23"/>
        <v>556178</v>
      </c>
      <c r="X101" s="27"/>
      <c r="Y101" s="26"/>
      <c r="Z101" s="27">
        <v>739004</v>
      </c>
      <c r="AA101" s="4">
        <v>817949</v>
      </c>
      <c r="AB101" s="27">
        <v>143088</v>
      </c>
      <c r="AC101" s="4">
        <v>117277</v>
      </c>
      <c r="AD101" s="27">
        <v>807136</v>
      </c>
      <c r="AE101" s="5">
        <v>821432</v>
      </c>
      <c r="AF101" s="64">
        <f t="shared" si="24"/>
        <v>1689228</v>
      </c>
      <c r="AG101" s="65">
        <f t="shared" si="25"/>
        <v>1876.92</v>
      </c>
      <c r="AH101" s="66">
        <f t="shared" si="26"/>
        <v>1756658</v>
      </c>
      <c r="AI101" s="66">
        <f t="shared" si="27"/>
        <v>1951.8422222222223</v>
      </c>
      <c r="AJ101" s="27">
        <v>0</v>
      </c>
      <c r="AK101" s="5">
        <v>0</v>
      </c>
      <c r="AL101" s="64">
        <f t="shared" si="28"/>
        <v>1689228</v>
      </c>
      <c r="AM101" s="67">
        <f t="shared" si="29"/>
        <v>1756658</v>
      </c>
      <c r="AN101" s="27"/>
      <c r="AO101" s="26"/>
      <c r="AP101" s="27"/>
      <c r="AQ101" s="26"/>
      <c r="AR101" s="27"/>
      <c r="AS101" s="26"/>
      <c r="AT101" s="27"/>
      <c r="AU101" s="26"/>
      <c r="AV101" s="64">
        <f t="shared" si="30"/>
        <v>0</v>
      </c>
      <c r="AW101" s="70">
        <f t="shared" si="31"/>
        <v>0</v>
      </c>
      <c r="AX101" s="66">
        <f t="shared" si="32"/>
        <v>0</v>
      </c>
      <c r="AY101" s="71">
        <f t="shared" si="33"/>
        <v>0</v>
      </c>
      <c r="AZ101" s="72">
        <f t="shared" si="34"/>
        <v>20257.919999999998</v>
      </c>
      <c r="BA101" s="66">
        <f t="shared" si="35"/>
        <v>20491.108888888888</v>
      </c>
    </row>
    <row r="102" spans="1:53" s="54" customFormat="1" ht="15" customHeight="1">
      <c r="A102" s="9" t="s">
        <v>148</v>
      </c>
      <c r="B102" s="8" t="s">
        <v>170</v>
      </c>
      <c r="C102" s="693"/>
      <c r="D102" s="6">
        <v>134608</v>
      </c>
      <c r="E102" s="6">
        <v>7</v>
      </c>
      <c r="F102" s="29" t="s">
        <v>75</v>
      </c>
      <c r="G102" s="16" t="s">
        <v>75</v>
      </c>
      <c r="H102" s="27"/>
      <c r="I102" s="26"/>
      <c r="J102" s="27">
        <v>132017</v>
      </c>
      <c r="K102" s="5">
        <v>136046</v>
      </c>
      <c r="L102" s="27">
        <v>62131</v>
      </c>
      <c r="M102" s="4">
        <v>67030</v>
      </c>
      <c r="N102" s="27">
        <v>146582</v>
      </c>
      <c r="O102" s="5">
        <v>148817</v>
      </c>
      <c r="P102" s="64">
        <f t="shared" si="18"/>
        <v>340730</v>
      </c>
      <c r="Q102" s="65">
        <f t="shared" si="19"/>
        <v>11357.666666666666</v>
      </c>
      <c r="R102" s="66">
        <f t="shared" si="20"/>
        <v>351893</v>
      </c>
      <c r="S102" s="67">
        <f t="shared" si="21"/>
        <v>11729.766666666666</v>
      </c>
      <c r="T102" s="27">
        <v>55499</v>
      </c>
      <c r="U102" s="4">
        <v>63818</v>
      </c>
      <c r="V102" s="64">
        <f t="shared" si="22"/>
        <v>340730</v>
      </c>
      <c r="W102" s="68">
        <f t="shared" si="23"/>
        <v>351893</v>
      </c>
      <c r="X102" s="27"/>
      <c r="Y102" s="26"/>
      <c r="Z102" s="27">
        <v>731271</v>
      </c>
      <c r="AA102" s="5">
        <v>710491</v>
      </c>
      <c r="AB102" s="27">
        <v>541249</v>
      </c>
      <c r="AC102" s="4">
        <v>493248</v>
      </c>
      <c r="AD102" s="27">
        <v>764207</v>
      </c>
      <c r="AE102" s="5">
        <v>737124</v>
      </c>
      <c r="AF102" s="64">
        <f t="shared" si="24"/>
        <v>2036727</v>
      </c>
      <c r="AG102" s="65">
        <f t="shared" si="25"/>
        <v>2263.0300000000002</v>
      </c>
      <c r="AH102" s="66">
        <f t="shared" si="26"/>
        <v>1940863</v>
      </c>
      <c r="AI102" s="66">
        <f t="shared" si="27"/>
        <v>2156.5144444444445</v>
      </c>
      <c r="AJ102" s="27">
        <v>19307</v>
      </c>
      <c r="AK102" s="4">
        <v>13725</v>
      </c>
      <c r="AL102" s="64">
        <f t="shared" si="28"/>
        <v>2036727</v>
      </c>
      <c r="AM102" s="67">
        <f t="shared" si="29"/>
        <v>1940863</v>
      </c>
      <c r="AN102" s="27"/>
      <c r="AO102" s="26"/>
      <c r="AP102" s="27"/>
      <c r="AQ102" s="26"/>
      <c r="AR102" s="27"/>
      <c r="AS102" s="26"/>
      <c r="AT102" s="27"/>
      <c r="AU102" s="26"/>
      <c r="AV102" s="64">
        <f t="shared" si="30"/>
        <v>0</v>
      </c>
      <c r="AW102" s="70">
        <f t="shared" si="31"/>
        <v>0</v>
      </c>
      <c r="AX102" s="66">
        <f t="shared" si="32"/>
        <v>0</v>
      </c>
      <c r="AY102" s="71">
        <f t="shared" si="33"/>
        <v>0</v>
      </c>
      <c r="AZ102" s="72">
        <f t="shared" si="34"/>
        <v>13620.696666666667</v>
      </c>
      <c r="BA102" s="66">
        <f t="shared" si="35"/>
        <v>13886.281111111111</v>
      </c>
    </row>
    <row r="103" spans="1:53" s="54" customFormat="1" ht="15" customHeight="1">
      <c r="A103" s="9" t="s">
        <v>148</v>
      </c>
      <c r="B103" s="8" t="s">
        <v>171</v>
      </c>
      <c r="C103" s="694" t="s">
        <v>973</v>
      </c>
      <c r="D103" s="6">
        <v>135160</v>
      </c>
      <c r="E103" s="2">
        <v>7</v>
      </c>
      <c r="F103" s="29" t="s">
        <v>75</v>
      </c>
      <c r="G103" s="16" t="s">
        <v>75</v>
      </c>
      <c r="H103" s="27"/>
      <c r="I103" s="26"/>
      <c r="J103" s="27">
        <v>20165</v>
      </c>
      <c r="K103" s="4">
        <v>21754</v>
      </c>
      <c r="L103" s="27">
        <v>8312</v>
      </c>
      <c r="M103" s="4">
        <v>9160</v>
      </c>
      <c r="N103" s="27">
        <v>21586</v>
      </c>
      <c r="O103" s="4">
        <v>24999</v>
      </c>
      <c r="P103" s="64">
        <f t="shared" si="18"/>
        <v>50063</v>
      </c>
      <c r="Q103" s="65">
        <f t="shared" si="19"/>
        <v>1668.7666666666667</v>
      </c>
      <c r="R103" s="66">
        <f t="shared" si="20"/>
        <v>55913</v>
      </c>
      <c r="S103" s="67">
        <f t="shared" si="21"/>
        <v>1863.7666666666667</v>
      </c>
      <c r="T103" s="27">
        <v>13042</v>
      </c>
      <c r="U103" s="4">
        <v>15823</v>
      </c>
      <c r="V103" s="64">
        <f t="shared" si="22"/>
        <v>50063</v>
      </c>
      <c r="W103" s="68">
        <f t="shared" si="23"/>
        <v>55913</v>
      </c>
      <c r="X103" s="27"/>
      <c r="Y103" s="26"/>
      <c r="Z103" s="27">
        <v>81314</v>
      </c>
      <c r="AA103" s="4">
        <v>86352</v>
      </c>
      <c r="AB103" s="27">
        <v>53049</v>
      </c>
      <c r="AC103" s="4">
        <v>49840</v>
      </c>
      <c r="AD103" s="27">
        <v>94578</v>
      </c>
      <c r="AE103" s="4">
        <v>86607</v>
      </c>
      <c r="AF103" s="64">
        <f t="shared" si="24"/>
        <v>228941</v>
      </c>
      <c r="AG103" s="65">
        <f t="shared" si="25"/>
        <v>254.37888888888889</v>
      </c>
      <c r="AH103" s="66">
        <f t="shared" si="26"/>
        <v>222799</v>
      </c>
      <c r="AI103" s="66">
        <f t="shared" si="27"/>
        <v>247.55444444444444</v>
      </c>
      <c r="AJ103" s="27">
        <v>12417</v>
      </c>
      <c r="AK103" s="4">
        <v>7255</v>
      </c>
      <c r="AL103" s="64">
        <f t="shared" si="28"/>
        <v>228941</v>
      </c>
      <c r="AM103" s="67">
        <f t="shared" si="29"/>
        <v>222799</v>
      </c>
      <c r="AN103" s="27"/>
      <c r="AO103" s="26"/>
      <c r="AP103" s="27"/>
      <c r="AQ103" s="26"/>
      <c r="AR103" s="27"/>
      <c r="AS103" s="26"/>
      <c r="AT103" s="27"/>
      <c r="AU103" s="26"/>
      <c r="AV103" s="64">
        <f t="shared" si="30"/>
        <v>0</v>
      </c>
      <c r="AW103" s="70">
        <f t="shared" si="31"/>
        <v>0</v>
      </c>
      <c r="AX103" s="66">
        <f t="shared" si="32"/>
        <v>0</v>
      </c>
      <c r="AY103" s="71">
        <f t="shared" si="33"/>
        <v>0</v>
      </c>
      <c r="AZ103" s="72">
        <f t="shared" si="34"/>
        <v>1923.1455555555556</v>
      </c>
      <c r="BA103" s="66">
        <f t="shared" si="35"/>
        <v>2111.3211111111109</v>
      </c>
    </row>
    <row r="104" spans="1:53" s="54" customFormat="1" ht="15" customHeight="1">
      <c r="A104" s="9" t="s">
        <v>148</v>
      </c>
      <c r="B104" s="8" t="s">
        <v>172</v>
      </c>
      <c r="C104" s="693" t="s">
        <v>974</v>
      </c>
      <c r="D104" s="6">
        <v>135188</v>
      </c>
      <c r="E104" s="6">
        <v>9</v>
      </c>
      <c r="F104" s="29" t="s">
        <v>75</v>
      </c>
      <c r="G104" s="16" t="s">
        <v>75</v>
      </c>
      <c r="H104" s="27"/>
      <c r="I104" s="26"/>
      <c r="J104" s="27">
        <v>34488</v>
      </c>
      <c r="K104" s="5">
        <v>34871</v>
      </c>
      <c r="L104" s="27">
        <v>12581</v>
      </c>
      <c r="M104" s="4">
        <v>14324</v>
      </c>
      <c r="N104" s="27">
        <v>38919</v>
      </c>
      <c r="O104" s="5">
        <v>39082</v>
      </c>
      <c r="P104" s="64">
        <f t="shared" si="18"/>
        <v>85988</v>
      </c>
      <c r="Q104" s="65">
        <f t="shared" si="19"/>
        <v>2866.2666666666669</v>
      </c>
      <c r="R104" s="66">
        <f t="shared" si="20"/>
        <v>88277</v>
      </c>
      <c r="S104" s="67">
        <f t="shared" si="21"/>
        <v>2942.5666666666666</v>
      </c>
      <c r="T104" s="27">
        <v>9386</v>
      </c>
      <c r="U104" s="4">
        <v>12476</v>
      </c>
      <c r="V104" s="64">
        <f t="shared" si="22"/>
        <v>85988</v>
      </c>
      <c r="W104" s="68">
        <f t="shared" si="23"/>
        <v>88277</v>
      </c>
      <c r="X104" s="27"/>
      <c r="Y104" s="26"/>
      <c r="Z104" s="27">
        <v>904</v>
      </c>
      <c r="AA104" s="5">
        <v>903</v>
      </c>
      <c r="AB104" s="27">
        <v>0</v>
      </c>
      <c r="AC104" s="5">
        <v>0</v>
      </c>
      <c r="AD104" s="27">
        <v>634</v>
      </c>
      <c r="AE104" s="4">
        <v>690</v>
      </c>
      <c r="AF104" s="64">
        <f t="shared" si="24"/>
        <v>1538</v>
      </c>
      <c r="AG104" s="65">
        <f t="shared" si="25"/>
        <v>1.7088888888888889</v>
      </c>
      <c r="AH104" s="66">
        <f t="shared" si="26"/>
        <v>1593</v>
      </c>
      <c r="AI104" s="66">
        <f t="shared" si="27"/>
        <v>1.77</v>
      </c>
      <c r="AJ104" s="27">
        <v>0</v>
      </c>
      <c r="AK104" s="5">
        <v>0</v>
      </c>
      <c r="AL104" s="64">
        <f t="shared" si="28"/>
        <v>1538</v>
      </c>
      <c r="AM104" s="67">
        <f t="shared" si="29"/>
        <v>1593</v>
      </c>
      <c r="AN104" s="27"/>
      <c r="AO104" s="26"/>
      <c r="AP104" s="27"/>
      <c r="AQ104" s="26"/>
      <c r="AR104" s="27"/>
      <c r="AS104" s="26"/>
      <c r="AT104" s="27"/>
      <c r="AU104" s="26"/>
      <c r="AV104" s="64">
        <f t="shared" si="30"/>
        <v>0</v>
      </c>
      <c r="AW104" s="70">
        <f t="shared" si="31"/>
        <v>0</v>
      </c>
      <c r="AX104" s="66">
        <f t="shared" si="32"/>
        <v>0</v>
      </c>
      <c r="AY104" s="71">
        <f t="shared" si="33"/>
        <v>0</v>
      </c>
      <c r="AZ104" s="72">
        <f t="shared" si="34"/>
        <v>2867.9755555555557</v>
      </c>
      <c r="BA104" s="66">
        <f t="shared" si="35"/>
        <v>2944.3366666666666</v>
      </c>
    </row>
    <row r="105" spans="1:53" s="54" customFormat="1" ht="15" customHeight="1">
      <c r="A105" s="9" t="s">
        <v>148</v>
      </c>
      <c r="B105" s="8" t="s">
        <v>173</v>
      </c>
      <c r="C105" s="693"/>
      <c r="D105" s="6">
        <v>135391</v>
      </c>
      <c r="E105" s="6">
        <v>7</v>
      </c>
      <c r="F105" s="29" t="s">
        <v>75</v>
      </c>
      <c r="G105" s="16" t="s">
        <v>75</v>
      </c>
      <c r="H105" s="27"/>
      <c r="I105" s="26"/>
      <c r="J105" s="27">
        <v>94868</v>
      </c>
      <c r="K105" s="5">
        <v>93091</v>
      </c>
      <c r="L105" s="27">
        <v>29945</v>
      </c>
      <c r="M105" s="5">
        <v>28984</v>
      </c>
      <c r="N105" s="27">
        <v>99308</v>
      </c>
      <c r="O105" s="5">
        <v>96248</v>
      </c>
      <c r="P105" s="64">
        <f t="shared" si="18"/>
        <v>224121</v>
      </c>
      <c r="Q105" s="65">
        <f t="shared" si="19"/>
        <v>7470.7</v>
      </c>
      <c r="R105" s="66">
        <f t="shared" si="20"/>
        <v>218323</v>
      </c>
      <c r="S105" s="67">
        <f t="shared" si="21"/>
        <v>7277.4333333333334</v>
      </c>
      <c r="T105" s="27">
        <v>22271</v>
      </c>
      <c r="U105" s="4">
        <v>23469</v>
      </c>
      <c r="V105" s="64">
        <f t="shared" si="22"/>
        <v>224121</v>
      </c>
      <c r="W105" s="68">
        <f t="shared" si="23"/>
        <v>218323</v>
      </c>
      <c r="X105" s="27"/>
      <c r="Y105" s="26"/>
      <c r="Z105" s="27">
        <v>0</v>
      </c>
      <c r="AA105" s="5">
        <v>0</v>
      </c>
      <c r="AB105" s="27">
        <v>0</v>
      </c>
      <c r="AC105" s="5">
        <v>0</v>
      </c>
      <c r="AD105" s="27">
        <v>0</v>
      </c>
      <c r="AE105" s="5">
        <v>0</v>
      </c>
      <c r="AF105" s="64">
        <f t="shared" si="24"/>
        <v>0</v>
      </c>
      <c r="AG105" s="65">
        <f t="shared" si="25"/>
        <v>0</v>
      </c>
      <c r="AH105" s="66">
        <f t="shared" si="26"/>
        <v>0</v>
      </c>
      <c r="AI105" s="66">
        <f t="shared" si="27"/>
        <v>0</v>
      </c>
      <c r="AJ105" s="27">
        <v>0</v>
      </c>
      <c r="AK105" s="5">
        <v>0</v>
      </c>
      <c r="AL105" s="64">
        <f t="shared" si="28"/>
        <v>0</v>
      </c>
      <c r="AM105" s="67">
        <f t="shared" si="29"/>
        <v>0</v>
      </c>
      <c r="AN105" s="27"/>
      <c r="AO105" s="26"/>
      <c r="AP105" s="27"/>
      <c r="AQ105" s="26"/>
      <c r="AR105" s="27"/>
      <c r="AS105" s="26"/>
      <c r="AT105" s="27"/>
      <c r="AU105" s="26"/>
      <c r="AV105" s="64">
        <f t="shared" si="30"/>
        <v>0</v>
      </c>
      <c r="AW105" s="70">
        <f t="shared" si="31"/>
        <v>0</v>
      </c>
      <c r="AX105" s="66">
        <f t="shared" si="32"/>
        <v>0</v>
      </c>
      <c r="AY105" s="71">
        <f t="shared" si="33"/>
        <v>0</v>
      </c>
      <c r="AZ105" s="72">
        <f t="shared" si="34"/>
        <v>7470.7</v>
      </c>
      <c r="BA105" s="66">
        <f t="shared" si="35"/>
        <v>7277.4333333333334</v>
      </c>
    </row>
    <row r="106" spans="1:53" s="54" customFormat="1" ht="15" customHeight="1">
      <c r="A106" s="9" t="s">
        <v>148</v>
      </c>
      <c r="B106" s="8" t="s">
        <v>174</v>
      </c>
      <c r="C106" s="693"/>
      <c r="D106" s="6">
        <v>135717</v>
      </c>
      <c r="E106" s="6">
        <v>7</v>
      </c>
      <c r="F106" s="29" t="s">
        <v>75</v>
      </c>
      <c r="G106" s="16" t="s">
        <v>75</v>
      </c>
      <c r="H106" s="27"/>
      <c r="I106" s="26"/>
      <c r="J106" s="27">
        <v>593082</v>
      </c>
      <c r="K106" s="4">
        <v>562901</v>
      </c>
      <c r="L106" s="27">
        <v>259832</v>
      </c>
      <c r="M106" s="5">
        <v>246889</v>
      </c>
      <c r="N106" s="27">
        <v>603926</v>
      </c>
      <c r="O106" s="4">
        <v>554330</v>
      </c>
      <c r="P106" s="64">
        <f t="shared" si="18"/>
        <v>1456840</v>
      </c>
      <c r="Q106" s="65">
        <f t="shared" si="19"/>
        <v>48561.333333333336</v>
      </c>
      <c r="R106" s="66">
        <f t="shared" si="20"/>
        <v>1364120</v>
      </c>
      <c r="S106" s="67">
        <f t="shared" si="21"/>
        <v>45470.666666666664</v>
      </c>
      <c r="T106" s="27">
        <v>42954</v>
      </c>
      <c r="U106" s="4">
        <v>48267</v>
      </c>
      <c r="V106" s="64">
        <f t="shared" si="22"/>
        <v>1456840</v>
      </c>
      <c r="W106" s="68">
        <f t="shared" si="23"/>
        <v>1364120</v>
      </c>
      <c r="X106" s="27"/>
      <c r="Y106" s="26"/>
      <c r="Z106" s="27">
        <v>1286127</v>
      </c>
      <c r="AA106" s="5">
        <v>1250559</v>
      </c>
      <c r="AB106" s="27">
        <v>1112401</v>
      </c>
      <c r="AC106" s="4">
        <v>847617</v>
      </c>
      <c r="AD106" s="27">
        <v>1265353</v>
      </c>
      <c r="AE106" s="4">
        <v>925059</v>
      </c>
      <c r="AF106" s="64">
        <f t="shared" si="24"/>
        <v>3663881</v>
      </c>
      <c r="AG106" s="65">
        <f t="shared" si="25"/>
        <v>4070.9788888888888</v>
      </c>
      <c r="AH106" s="66">
        <f t="shared" si="26"/>
        <v>3023235</v>
      </c>
      <c r="AI106" s="66">
        <f t="shared" si="27"/>
        <v>3359.15</v>
      </c>
      <c r="AJ106" s="27">
        <v>0</v>
      </c>
      <c r="AK106" s="5">
        <v>0</v>
      </c>
      <c r="AL106" s="64">
        <f t="shared" si="28"/>
        <v>3663881</v>
      </c>
      <c r="AM106" s="67">
        <f t="shared" si="29"/>
        <v>3023235</v>
      </c>
      <c r="AN106" s="27"/>
      <c r="AO106" s="26"/>
      <c r="AP106" s="27"/>
      <c r="AQ106" s="26"/>
      <c r="AR106" s="27"/>
      <c r="AS106" s="26"/>
      <c r="AT106" s="27"/>
      <c r="AU106" s="26"/>
      <c r="AV106" s="64">
        <f t="shared" si="30"/>
        <v>0</v>
      </c>
      <c r="AW106" s="70">
        <f t="shared" si="31"/>
        <v>0</v>
      </c>
      <c r="AX106" s="66">
        <f t="shared" si="32"/>
        <v>0</v>
      </c>
      <c r="AY106" s="71">
        <f t="shared" si="33"/>
        <v>0</v>
      </c>
      <c r="AZ106" s="72">
        <f t="shared" si="34"/>
        <v>52632.312222222223</v>
      </c>
      <c r="BA106" s="66">
        <f t="shared" si="35"/>
        <v>48829.816666666666</v>
      </c>
    </row>
    <row r="107" spans="1:53" s="54" customFormat="1" ht="15" customHeight="1">
      <c r="A107" s="9" t="s">
        <v>148</v>
      </c>
      <c r="B107" s="8" t="s">
        <v>175</v>
      </c>
      <c r="C107" s="693"/>
      <c r="D107" s="6">
        <v>136145</v>
      </c>
      <c r="E107" s="6">
        <v>10</v>
      </c>
      <c r="F107" s="29" t="s">
        <v>75</v>
      </c>
      <c r="G107" s="16" t="s">
        <v>75</v>
      </c>
      <c r="H107" s="27"/>
      <c r="I107" s="26"/>
      <c r="J107" s="27">
        <v>8579</v>
      </c>
      <c r="K107" s="5">
        <v>8476</v>
      </c>
      <c r="L107" s="27">
        <v>3067</v>
      </c>
      <c r="M107" s="4">
        <v>3269</v>
      </c>
      <c r="N107" s="27">
        <v>9358</v>
      </c>
      <c r="O107" s="4">
        <v>9885</v>
      </c>
      <c r="P107" s="64">
        <f t="shared" si="18"/>
        <v>21004</v>
      </c>
      <c r="Q107" s="65">
        <f t="shared" si="19"/>
        <v>700.13333333333333</v>
      </c>
      <c r="R107" s="66">
        <f t="shared" si="20"/>
        <v>21630</v>
      </c>
      <c r="S107" s="67">
        <f t="shared" si="21"/>
        <v>721</v>
      </c>
      <c r="T107" s="27">
        <v>4984</v>
      </c>
      <c r="U107" s="4">
        <v>5495</v>
      </c>
      <c r="V107" s="64">
        <f t="shared" si="22"/>
        <v>21004</v>
      </c>
      <c r="W107" s="68">
        <f t="shared" si="23"/>
        <v>21630</v>
      </c>
      <c r="X107" s="27"/>
      <c r="Y107" s="26"/>
      <c r="Z107" s="27">
        <v>41802</v>
      </c>
      <c r="AA107" s="5">
        <v>43572</v>
      </c>
      <c r="AB107" s="27">
        <v>14160</v>
      </c>
      <c r="AC107" s="4">
        <v>11910</v>
      </c>
      <c r="AD107" s="27">
        <v>50642</v>
      </c>
      <c r="AE107" s="5">
        <v>51718</v>
      </c>
      <c r="AF107" s="64">
        <f t="shared" si="24"/>
        <v>106604</v>
      </c>
      <c r="AG107" s="65">
        <f t="shared" si="25"/>
        <v>118.44888888888889</v>
      </c>
      <c r="AH107" s="66">
        <f t="shared" si="26"/>
        <v>107200</v>
      </c>
      <c r="AI107" s="66">
        <f t="shared" si="27"/>
        <v>119.11111111111111</v>
      </c>
      <c r="AJ107" s="27">
        <v>0</v>
      </c>
      <c r="AK107" s="4">
        <v>2400</v>
      </c>
      <c r="AL107" s="64">
        <f t="shared" si="28"/>
        <v>106604</v>
      </c>
      <c r="AM107" s="67">
        <f t="shared" si="29"/>
        <v>107200</v>
      </c>
      <c r="AN107" s="27"/>
      <c r="AO107" s="26"/>
      <c r="AP107" s="27"/>
      <c r="AQ107" s="26"/>
      <c r="AR107" s="27"/>
      <c r="AS107" s="26"/>
      <c r="AT107" s="27"/>
      <c r="AU107" s="26"/>
      <c r="AV107" s="64">
        <f t="shared" si="30"/>
        <v>0</v>
      </c>
      <c r="AW107" s="70">
        <f t="shared" si="31"/>
        <v>0</v>
      </c>
      <c r="AX107" s="66">
        <f t="shared" si="32"/>
        <v>0</v>
      </c>
      <c r="AY107" s="71">
        <f t="shared" si="33"/>
        <v>0</v>
      </c>
      <c r="AZ107" s="72">
        <f t="shared" si="34"/>
        <v>818.58222222222219</v>
      </c>
      <c r="BA107" s="66">
        <f t="shared" si="35"/>
        <v>840.11111111111109</v>
      </c>
    </row>
    <row r="108" spans="1:53" s="54" customFormat="1" ht="15" customHeight="1">
      <c r="A108" s="9" t="s">
        <v>148</v>
      </c>
      <c r="B108" s="8" t="s">
        <v>176</v>
      </c>
      <c r="C108" s="693"/>
      <c r="D108" s="6">
        <v>136233</v>
      </c>
      <c r="E108" s="6">
        <v>7</v>
      </c>
      <c r="F108" s="29" t="s">
        <v>75</v>
      </c>
      <c r="G108" s="16" t="s">
        <v>75</v>
      </c>
      <c r="H108" s="27"/>
      <c r="I108" s="26"/>
      <c r="J108" s="27">
        <v>54351</v>
      </c>
      <c r="K108" s="4">
        <v>45832</v>
      </c>
      <c r="L108" s="27">
        <v>22853</v>
      </c>
      <c r="M108" s="4">
        <v>18001</v>
      </c>
      <c r="N108" s="27">
        <v>50987</v>
      </c>
      <c r="O108" s="5">
        <v>49722</v>
      </c>
      <c r="P108" s="64">
        <f t="shared" si="18"/>
        <v>128191</v>
      </c>
      <c r="Q108" s="65">
        <f t="shared" si="19"/>
        <v>4273.0333333333338</v>
      </c>
      <c r="R108" s="66">
        <f t="shared" si="20"/>
        <v>113555</v>
      </c>
      <c r="S108" s="67">
        <f t="shared" si="21"/>
        <v>3785.1666666666665</v>
      </c>
      <c r="T108" s="27">
        <v>12354</v>
      </c>
      <c r="U108" s="4">
        <v>13710</v>
      </c>
      <c r="V108" s="64">
        <f t="shared" si="22"/>
        <v>128191</v>
      </c>
      <c r="W108" s="68">
        <f t="shared" si="23"/>
        <v>113555</v>
      </c>
      <c r="X108" s="27"/>
      <c r="Y108" s="26"/>
      <c r="Z108" s="27">
        <v>135077</v>
      </c>
      <c r="AA108" s="4">
        <v>111931</v>
      </c>
      <c r="AB108" s="27">
        <v>51528</v>
      </c>
      <c r="AC108" s="5">
        <v>52120</v>
      </c>
      <c r="AD108" s="27">
        <v>117697</v>
      </c>
      <c r="AE108" s="4">
        <v>126278</v>
      </c>
      <c r="AF108" s="64">
        <f t="shared" si="24"/>
        <v>304302</v>
      </c>
      <c r="AG108" s="65">
        <f t="shared" si="25"/>
        <v>338.11333333333334</v>
      </c>
      <c r="AH108" s="66">
        <f t="shared" si="26"/>
        <v>290329</v>
      </c>
      <c r="AI108" s="66">
        <f t="shared" si="27"/>
        <v>322.58777777777777</v>
      </c>
      <c r="AJ108" s="27">
        <v>0</v>
      </c>
      <c r="AK108" s="5">
        <v>0</v>
      </c>
      <c r="AL108" s="64">
        <f t="shared" si="28"/>
        <v>304302</v>
      </c>
      <c r="AM108" s="67">
        <f t="shared" si="29"/>
        <v>290329</v>
      </c>
      <c r="AN108" s="27"/>
      <c r="AO108" s="26"/>
      <c r="AP108" s="27"/>
      <c r="AQ108" s="26"/>
      <c r="AR108" s="27"/>
      <c r="AS108" s="26"/>
      <c r="AT108" s="27"/>
      <c r="AU108" s="26"/>
      <c r="AV108" s="64">
        <f t="shared" si="30"/>
        <v>0</v>
      </c>
      <c r="AW108" s="70">
        <f t="shared" si="31"/>
        <v>0</v>
      </c>
      <c r="AX108" s="66">
        <f t="shared" si="32"/>
        <v>0</v>
      </c>
      <c r="AY108" s="71">
        <f t="shared" si="33"/>
        <v>0</v>
      </c>
      <c r="AZ108" s="72">
        <f t="shared" si="34"/>
        <v>4611.1466666666674</v>
      </c>
      <c r="BA108" s="66">
        <f t="shared" si="35"/>
        <v>4107.7544444444447</v>
      </c>
    </row>
    <row r="109" spans="1:53" s="54" customFormat="1" ht="15" customHeight="1">
      <c r="A109" s="9" t="s">
        <v>148</v>
      </c>
      <c r="B109" s="8" t="s">
        <v>177</v>
      </c>
      <c r="C109" s="693"/>
      <c r="D109" s="6">
        <v>136358</v>
      </c>
      <c r="E109" s="6">
        <v>7</v>
      </c>
      <c r="F109" s="29" t="s">
        <v>75</v>
      </c>
      <c r="G109" s="16" t="s">
        <v>75</v>
      </c>
      <c r="H109" s="27"/>
      <c r="I109" s="26"/>
      <c r="J109" s="27">
        <v>222195</v>
      </c>
      <c r="K109" s="5">
        <v>221542</v>
      </c>
      <c r="L109" s="27">
        <v>95699</v>
      </c>
      <c r="M109" s="4">
        <v>100718</v>
      </c>
      <c r="N109" s="27">
        <v>241752</v>
      </c>
      <c r="O109" s="5">
        <v>246902</v>
      </c>
      <c r="P109" s="64">
        <f t="shared" si="18"/>
        <v>559646</v>
      </c>
      <c r="Q109" s="65">
        <f t="shared" si="19"/>
        <v>18654.866666666665</v>
      </c>
      <c r="R109" s="66">
        <f t="shared" si="20"/>
        <v>569162</v>
      </c>
      <c r="S109" s="67">
        <f t="shared" si="21"/>
        <v>18972.066666666666</v>
      </c>
      <c r="T109" s="27">
        <v>23176</v>
      </c>
      <c r="U109" s="4">
        <v>26835</v>
      </c>
      <c r="V109" s="64">
        <f t="shared" si="22"/>
        <v>559646</v>
      </c>
      <c r="W109" s="68">
        <f t="shared" si="23"/>
        <v>569162</v>
      </c>
      <c r="X109" s="27"/>
      <c r="Y109" s="26"/>
      <c r="Z109" s="27">
        <v>516465</v>
      </c>
      <c r="AA109" s="4">
        <v>482049</v>
      </c>
      <c r="AB109" s="27">
        <v>284670</v>
      </c>
      <c r="AC109" s="5">
        <v>292192</v>
      </c>
      <c r="AD109" s="27">
        <v>526949</v>
      </c>
      <c r="AE109" s="5">
        <v>535953</v>
      </c>
      <c r="AF109" s="64">
        <f t="shared" si="24"/>
        <v>1328084</v>
      </c>
      <c r="AG109" s="65">
        <f t="shared" si="25"/>
        <v>1475.6488888888889</v>
      </c>
      <c r="AH109" s="66">
        <f t="shared" si="26"/>
        <v>1310194</v>
      </c>
      <c r="AI109" s="66">
        <f t="shared" si="27"/>
        <v>1455.7711111111112</v>
      </c>
      <c r="AJ109" s="27">
        <v>0</v>
      </c>
      <c r="AK109" s="5">
        <v>0</v>
      </c>
      <c r="AL109" s="64">
        <f t="shared" si="28"/>
        <v>1328084</v>
      </c>
      <c r="AM109" s="67">
        <f t="shared" si="29"/>
        <v>1310194</v>
      </c>
      <c r="AN109" s="27"/>
      <c r="AO109" s="26"/>
      <c r="AP109" s="27"/>
      <c r="AQ109" s="26"/>
      <c r="AR109" s="27"/>
      <c r="AS109" s="26"/>
      <c r="AT109" s="27"/>
      <c r="AU109" s="26"/>
      <c r="AV109" s="64">
        <f t="shared" si="30"/>
        <v>0</v>
      </c>
      <c r="AW109" s="70">
        <f t="shared" si="31"/>
        <v>0</v>
      </c>
      <c r="AX109" s="66">
        <f t="shared" si="32"/>
        <v>0</v>
      </c>
      <c r="AY109" s="71">
        <f t="shared" si="33"/>
        <v>0</v>
      </c>
      <c r="AZ109" s="72">
        <f t="shared" si="34"/>
        <v>20130.515555555554</v>
      </c>
      <c r="BA109" s="66">
        <f t="shared" si="35"/>
        <v>20427.837777777779</v>
      </c>
    </row>
    <row r="110" spans="1:53" s="54" customFormat="1" ht="15" customHeight="1">
      <c r="A110" s="9" t="s">
        <v>148</v>
      </c>
      <c r="B110" s="1" t="s">
        <v>178</v>
      </c>
      <c r="C110" s="693" t="s">
        <v>975</v>
      </c>
      <c r="D110" s="6">
        <v>136400</v>
      </c>
      <c r="E110" s="6">
        <v>8</v>
      </c>
      <c r="F110" s="29" t="s">
        <v>75</v>
      </c>
      <c r="G110" s="16" t="s">
        <v>75</v>
      </c>
      <c r="H110" s="27"/>
      <c r="I110" s="26"/>
      <c r="J110" s="27">
        <v>93520</v>
      </c>
      <c r="K110" s="5">
        <v>92755</v>
      </c>
      <c r="L110" s="27">
        <v>28196</v>
      </c>
      <c r="M110" s="4">
        <v>26685</v>
      </c>
      <c r="N110" s="27">
        <v>100624</v>
      </c>
      <c r="O110" s="5">
        <v>103201</v>
      </c>
      <c r="P110" s="64">
        <f t="shared" si="18"/>
        <v>222340</v>
      </c>
      <c r="Q110" s="65">
        <f t="shared" si="19"/>
        <v>7411.333333333333</v>
      </c>
      <c r="R110" s="66">
        <f t="shared" si="20"/>
        <v>222641</v>
      </c>
      <c r="S110" s="67">
        <f t="shared" si="21"/>
        <v>7421.3666666666668</v>
      </c>
      <c r="T110" s="27">
        <v>23423</v>
      </c>
      <c r="U110" s="4">
        <v>27159</v>
      </c>
      <c r="V110" s="64">
        <f t="shared" si="22"/>
        <v>222340</v>
      </c>
      <c r="W110" s="68">
        <f t="shared" si="23"/>
        <v>222641</v>
      </c>
      <c r="X110" s="27"/>
      <c r="Y110" s="26"/>
      <c r="Z110" s="27">
        <v>167173</v>
      </c>
      <c r="AA110" s="4">
        <v>150402</v>
      </c>
      <c r="AB110" s="27">
        <v>80330</v>
      </c>
      <c r="AC110" s="5">
        <v>78662</v>
      </c>
      <c r="AD110" s="27">
        <v>132546</v>
      </c>
      <c r="AE110" s="4">
        <v>120235</v>
      </c>
      <c r="AF110" s="64">
        <f t="shared" si="24"/>
        <v>380049</v>
      </c>
      <c r="AG110" s="65">
        <f t="shared" si="25"/>
        <v>422.27666666666664</v>
      </c>
      <c r="AH110" s="66">
        <f t="shared" si="26"/>
        <v>349299</v>
      </c>
      <c r="AI110" s="66">
        <f t="shared" si="27"/>
        <v>388.11</v>
      </c>
      <c r="AJ110" s="27">
        <v>445</v>
      </c>
      <c r="AK110" s="4">
        <v>1420</v>
      </c>
      <c r="AL110" s="64">
        <f t="shared" si="28"/>
        <v>380049</v>
      </c>
      <c r="AM110" s="67">
        <f t="shared" si="29"/>
        <v>349299</v>
      </c>
      <c r="AN110" s="27"/>
      <c r="AO110" s="26"/>
      <c r="AP110" s="27"/>
      <c r="AQ110" s="26"/>
      <c r="AR110" s="27"/>
      <c r="AS110" s="26"/>
      <c r="AT110" s="27"/>
      <c r="AU110" s="26"/>
      <c r="AV110" s="64">
        <f t="shared" si="30"/>
        <v>0</v>
      </c>
      <c r="AW110" s="70">
        <f t="shared" si="31"/>
        <v>0</v>
      </c>
      <c r="AX110" s="66">
        <f t="shared" si="32"/>
        <v>0</v>
      </c>
      <c r="AY110" s="71">
        <f t="shared" si="33"/>
        <v>0</v>
      </c>
      <c r="AZ110" s="72">
        <f t="shared" si="34"/>
        <v>7833.61</v>
      </c>
      <c r="BA110" s="66">
        <f t="shared" si="35"/>
        <v>7809.4766666666665</v>
      </c>
    </row>
    <row r="111" spans="1:53" s="54" customFormat="1" ht="15" customHeight="1">
      <c r="A111" s="9" t="s">
        <v>148</v>
      </c>
      <c r="B111" s="8" t="s">
        <v>179</v>
      </c>
      <c r="C111" s="693"/>
      <c r="D111" s="6">
        <v>136473</v>
      </c>
      <c r="E111" s="6">
        <v>7</v>
      </c>
      <c r="F111" s="29" t="s">
        <v>75</v>
      </c>
      <c r="G111" s="16" t="s">
        <v>75</v>
      </c>
      <c r="H111" s="27"/>
      <c r="I111" s="26"/>
      <c r="J111" s="27">
        <v>81860</v>
      </c>
      <c r="K111" s="4">
        <v>75512</v>
      </c>
      <c r="L111" s="27">
        <v>30511</v>
      </c>
      <c r="M111" s="4">
        <v>28915</v>
      </c>
      <c r="N111" s="27">
        <v>81997</v>
      </c>
      <c r="O111" s="5">
        <v>82479</v>
      </c>
      <c r="P111" s="64">
        <f t="shared" si="18"/>
        <v>194368</v>
      </c>
      <c r="Q111" s="65">
        <f t="shared" si="19"/>
        <v>6478.9333333333334</v>
      </c>
      <c r="R111" s="66">
        <f t="shared" si="20"/>
        <v>186906</v>
      </c>
      <c r="S111" s="67">
        <f t="shared" si="21"/>
        <v>6230.2</v>
      </c>
      <c r="T111" s="27">
        <v>22935</v>
      </c>
      <c r="U111" s="4">
        <v>21343</v>
      </c>
      <c r="V111" s="64">
        <f t="shared" si="22"/>
        <v>194368</v>
      </c>
      <c r="W111" s="68">
        <f t="shared" si="23"/>
        <v>186906</v>
      </c>
      <c r="X111" s="27"/>
      <c r="Y111" s="26"/>
      <c r="Z111" s="27">
        <v>297005</v>
      </c>
      <c r="AA111" s="4">
        <v>279154</v>
      </c>
      <c r="AB111" s="27">
        <v>156156</v>
      </c>
      <c r="AC111" s="4">
        <v>146526</v>
      </c>
      <c r="AD111" s="27">
        <v>286915</v>
      </c>
      <c r="AE111" s="4">
        <v>269181</v>
      </c>
      <c r="AF111" s="64">
        <f t="shared" si="24"/>
        <v>740076</v>
      </c>
      <c r="AG111" s="65">
        <f t="shared" si="25"/>
        <v>822.30666666666662</v>
      </c>
      <c r="AH111" s="66">
        <f t="shared" si="26"/>
        <v>694861</v>
      </c>
      <c r="AI111" s="66">
        <f t="shared" si="27"/>
        <v>772.06777777777779</v>
      </c>
      <c r="AJ111" s="27">
        <v>0</v>
      </c>
      <c r="AK111" s="5">
        <v>0</v>
      </c>
      <c r="AL111" s="64">
        <f t="shared" si="28"/>
        <v>740076</v>
      </c>
      <c r="AM111" s="67">
        <f t="shared" si="29"/>
        <v>694861</v>
      </c>
      <c r="AN111" s="27"/>
      <c r="AO111" s="26"/>
      <c r="AP111" s="27"/>
      <c r="AQ111" s="26"/>
      <c r="AR111" s="27"/>
      <c r="AS111" s="26"/>
      <c r="AT111" s="27"/>
      <c r="AU111" s="26"/>
      <c r="AV111" s="64">
        <f t="shared" si="30"/>
        <v>0</v>
      </c>
      <c r="AW111" s="70">
        <f t="shared" si="31"/>
        <v>0</v>
      </c>
      <c r="AX111" s="66">
        <f t="shared" si="32"/>
        <v>0</v>
      </c>
      <c r="AY111" s="71">
        <f t="shared" si="33"/>
        <v>0</v>
      </c>
      <c r="AZ111" s="72">
        <f t="shared" si="34"/>
        <v>7301.24</v>
      </c>
      <c r="BA111" s="66">
        <f t="shared" si="35"/>
        <v>7002.2677777777772</v>
      </c>
    </row>
    <row r="112" spans="1:53" s="54" customFormat="1" ht="15" customHeight="1">
      <c r="A112" s="9" t="s">
        <v>148</v>
      </c>
      <c r="B112" s="8" t="s">
        <v>180</v>
      </c>
      <c r="C112" s="693"/>
      <c r="D112" s="6">
        <v>136516</v>
      </c>
      <c r="E112" s="6">
        <v>7</v>
      </c>
      <c r="F112" s="29" t="s">
        <v>75</v>
      </c>
      <c r="G112" s="16" t="s">
        <v>75</v>
      </c>
      <c r="H112" s="27"/>
      <c r="I112" s="26"/>
      <c r="J112" s="27">
        <v>91347</v>
      </c>
      <c r="K112" s="5">
        <v>88627</v>
      </c>
      <c r="L112" s="27">
        <v>31414</v>
      </c>
      <c r="M112" s="5">
        <v>31844</v>
      </c>
      <c r="N112" s="27">
        <v>93794</v>
      </c>
      <c r="O112" s="5">
        <v>95490</v>
      </c>
      <c r="P112" s="64">
        <f t="shared" si="18"/>
        <v>216555</v>
      </c>
      <c r="Q112" s="65">
        <f t="shared" si="19"/>
        <v>7218.5</v>
      </c>
      <c r="R112" s="66">
        <f t="shared" si="20"/>
        <v>215961</v>
      </c>
      <c r="S112" s="67">
        <f t="shared" si="21"/>
        <v>7198.7</v>
      </c>
      <c r="T112" s="27">
        <v>34600</v>
      </c>
      <c r="U112" s="4">
        <v>39153</v>
      </c>
      <c r="V112" s="64">
        <f t="shared" si="22"/>
        <v>216555</v>
      </c>
      <c r="W112" s="68">
        <f t="shared" si="23"/>
        <v>215961</v>
      </c>
      <c r="X112" s="27"/>
      <c r="Y112" s="26"/>
      <c r="Z112" s="27">
        <v>33882</v>
      </c>
      <c r="AA112" s="4">
        <v>28172</v>
      </c>
      <c r="AB112" s="27">
        <v>22002</v>
      </c>
      <c r="AC112" s="4">
        <v>23185</v>
      </c>
      <c r="AD112" s="27">
        <v>26050</v>
      </c>
      <c r="AE112" s="4">
        <v>24550</v>
      </c>
      <c r="AF112" s="64">
        <f t="shared" si="24"/>
        <v>81934</v>
      </c>
      <c r="AG112" s="65">
        <f t="shared" si="25"/>
        <v>91.037777777777777</v>
      </c>
      <c r="AH112" s="66">
        <f t="shared" si="26"/>
        <v>75907</v>
      </c>
      <c r="AI112" s="66">
        <f t="shared" si="27"/>
        <v>84.341111111111104</v>
      </c>
      <c r="AJ112" s="27">
        <v>0</v>
      </c>
      <c r="AK112" s="5">
        <v>0</v>
      </c>
      <c r="AL112" s="64">
        <f t="shared" si="28"/>
        <v>81934</v>
      </c>
      <c r="AM112" s="67">
        <f t="shared" si="29"/>
        <v>75907</v>
      </c>
      <c r="AN112" s="27"/>
      <c r="AO112" s="26"/>
      <c r="AP112" s="27"/>
      <c r="AQ112" s="26"/>
      <c r="AR112" s="27"/>
      <c r="AS112" s="26"/>
      <c r="AT112" s="27"/>
      <c r="AU112" s="26"/>
      <c r="AV112" s="64">
        <f t="shared" si="30"/>
        <v>0</v>
      </c>
      <c r="AW112" s="70">
        <f t="shared" si="31"/>
        <v>0</v>
      </c>
      <c r="AX112" s="66">
        <f t="shared" si="32"/>
        <v>0</v>
      </c>
      <c r="AY112" s="71">
        <f t="shared" si="33"/>
        <v>0</v>
      </c>
      <c r="AZ112" s="72">
        <f t="shared" si="34"/>
        <v>7309.5377777777776</v>
      </c>
      <c r="BA112" s="66">
        <f t="shared" si="35"/>
        <v>7283.0411111111107</v>
      </c>
    </row>
    <row r="113" spans="1:53" s="54" customFormat="1" ht="15" customHeight="1">
      <c r="A113" s="9" t="s">
        <v>148</v>
      </c>
      <c r="B113" s="8" t="s">
        <v>181</v>
      </c>
      <c r="C113" s="693"/>
      <c r="D113" s="6">
        <v>137281</v>
      </c>
      <c r="E113" s="6">
        <v>7</v>
      </c>
      <c r="F113" s="29" t="s">
        <v>75</v>
      </c>
      <c r="G113" s="16" t="s">
        <v>75</v>
      </c>
      <c r="H113" s="27"/>
      <c r="I113" s="26"/>
      <c r="J113" s="27">
        <v>55459</v>
      </c>
      <c r="K113" s="4">
        <v>52369</v>
      </c>
      <c r="L113" s="27">
        <v>20424</v>
      </c>
      <c r="M113" s="4">
        <v>18816</v>
      </c>
      <c r="N113" s="27">
        <v>58232</v>
      </c>
      <c r="O113" s="5">
        <v>57892</v>
      </c>
      <c r="P113" s="64">
        <f t="shared" si="18"/>
        <v>134115</v>
      </c>
      <c r="Q113" s="65">
        <f t="shared" si="19"/>
        <v>4470.5</v>
      </c>
      <c r="R113" s="66">
        <f t="shared" si="20"/>
        <v>129077</v>
      </c>
      <c r="S113" s="67">
        <f t="shared" si="21"/>
        <v>4302.5666666666666</v>
      </c>
      <c r="T113" s="27">
        <v>22539</v>
      </c>
      <c r="U113" s="4">
        <v>23858</v>
      </c>
      <c r="V113" s="64">
        <f t="shared" si="22"/>
        <v>134115</v>
      </c>
      <c r="W113" s="68">
        <f t="shared" si="23"/>
        <v>129077</v>
      </c>
      <c r="X113" s="27"/>
      <c r="Y113" s="26"/>
      <c r="Z113" s="27">
        <v>80088</v>
      </c>
      <c r="AA113" s="4">
        <v>50254</v>
      </c>
      <c r="AB113" s="27">
        <v>38340</v>
      </c>
      <c r="AC113" s="4">
        <v>18463</v>
      </c>
      <c r="AD113" s="27">
        <v>75728</v>
      </c>
      <c r="AE113" s="4">
        <v>68827</v>
      </c>
      <c r="AF113" s="64">
        <f t="shared" si="24"/>
        <v>194156</v>
      </c>
      <c r="AG113" s="65">
        <f t="shared" si="25"/>
        <v>215.72888888888889</v>
      </c>
      <c r="AH113" s="66">
        <f t="shared" si="26"/>
        <v>137544</v>
      </c>
      <c r="AI113" s="66">
        <f t="shared" si="27"/>
        <v>152.82666666666665</v>
      </c>
      <c r="AJ113" s="27">
        <v>0</v>
      </c>
      <c r="AK113" s="5">
        <v>0</v>
      </c>
      <c r="AL113" s="64">
        <f t="shared" si="28"/>
        <v>194156</v>
      </c>
      <c r="AM113" s="67">
        <f t="shared" si="29"/>
        <v>137544</v>
      </c>
      <c r="AN113" s="27"/>
      <c r="AO113" s="26"/>
      <c r="AP113" s="27"/>
      <c r="AQ113" s="26"/>
      <c r="AR113" s="27"/>
      <c r="AS113" s="26"/>
      <c r="AT113" s="27"/>
      <c r="AU113" s="26"/>
      <c r="AV113" s="64">
        <f t="shared" si="30"/>
        <v>0</v>
      </c>
      <c r="AW113" s="70">
        <f t="shared" si="31"/>
        <v>0</v>
      </c>
      <c r="AX113" s="66">
        <f t="shared" si="32"/>
        <v>0</v>
      </c>
      <c r="AY113" s="71">
        <f t="shared" si="33"/>
        <v>0</v>
      </c>
      <c r="AZ113" s="72">
        <f t="shared" si="34"/>
        <v>4686.2288888888888</v>
      </c>
      <c r="BA113" s="66">
        <f t="shared" si="35"/>
        <v>4455.3933333333334</v>
      </c>
    </row>
    <row r="114" spans="1:53" s="54" customFormat="1" ht="15" customHeight="1">
      <c r="A114" s="9" t="s">
        <v>148</v>
      </c>
      <c r="B114" s="8" t="s">
        <v>182</v>
      </c>
      <c r="C114" s="693"/>
      <c r="D114" s="6">
        <v>137078</v>
      </c>
      <c r="E114" s="6">
        <v>7</v>
      </c>
      <c r="F114" s="29" t="s">
        <v>75</v>
      </c>
      <c r="G114" s="16" t="s">
        <v>75</v>
      </c>
      <c r="H114" s="27"/>
      <c r="I114" s="26"/>
      <c r="J114" s="27">
        <v>259243</v>
      </c>
      <c r="K114" s="5">
        <v>249392</v>
      </c>
      <c r="L114" s="27">
        <v>87666</v>
      </c>
      <c r="M114" s="4">
        <v>82359</v>
      </c>
      <c r="N114" s="27">
        <v>263336</v>
      </c>
      <c r="O114" s="5">
        <v>250952</v>
      </c>
      <c r="P114" s="64">
        <f t="shared" si="18"/>
        <v>610245</v>
      </c>
      <c r="Q114" s="65">
        <f t="shared" si="19"/>
        <v>20341.5</v>
      </c>
      <c r="R114" s="66">
        <f t="shared" si="20"/>
        <v>582703</v>
      </c>
      <c r="S114" s="67">
        <f t="shared" si="21"/>
        <v>19423.433333333334</v>
      </c>
      <c r="T114" s="27">
        <v>37922</v>
      </c>
      <c r="U114" s="5">
        <v>38562</v>
      </c>
      <c r="V114" s="64">
        <f t="shared" si="22"/>
        <v>610245</v>
      </c>
      <c r="W114" s="68">
        <f t="shared" si="23"/>
        <v>582703</v>
      </c>
      <c r="X114" s="27"/>
      <c r="Y114" s="26"/>
      <c r="Z114" s="27">
        <v>63812</v>
      </c>
      <c r="AA114" s="4">
        <v>60214</v>
      </c>
      <c r="AB114" s="27">
        <v>27956</v>
      </c>
      <c r="AC114" s="4">
        <v>22533</v>
      </c>
      <c r="AD114" s="27">
        <v>50394</v>
      </c>
      <c r="AE114" s="4">
        <v>54526</v>
      </c>
      <c r="AF114" s="64">
        <f t="shared" si="24"/>
        <v>142162</v>
      </c>
      <c r="AG114" s="65">
        <f t="shared" si="25"/>
        <v>157.95777777777778</v>
      </c>
      <c r="AH114" s="66">
        <f t="shared" si="26"/>
        <v>137273</v>
      </c>
      <c r="AI114" s="66">
        <f t="shared" si="27"/>
        <v>152.52555555555554</v>
      </c>
      <c r="AJ114" s="27">
        <v>0</v>
      </c>
      <c r="AK114" s="5">
        <v>0</v>
      </c>
      <c r="AL114" s="64">
        <f t="shared" si="28"/>
        <v>142162</v>
      </c>
      <c r="AM114" s="67">
        <f t="shared" si="29"/>
        <v>137273</v>
      </c>
      <c r="AN114" s="27"/>
      <c r="AO114" s="26"/>
      <c r="AP114" s="27"/>
      <c r="AQ114" s="26"/>
      <c r="AR114" s="27"/>
      <c r="AS114" s="26"/>
      <c r="AT114" s="27"/>
      <c r="AU114" s="26"/>
      <c r="AV114" s="64">
        <f t="shared" si="30"/>
        <v>0</v>
      </c>
      <c r="AW114" s="70">
        <f t="shared" si="31"/>
        <v>0</v>
      </c>
      <c r="AX114" s="66">
        <f t="shared" si="32"/>
        <v>0</v>
      </c>
      <c r="AY114" s="71">
        <f t="shared" si="33"/>
        <v>0</v>
      </c>
      <c r="AZ114" s="72">
        <f t="shared" si="34"/>
        <v>20499.457777777778</v>
      </c>
      <c r="BA114" s="66">
        <f t="shared" si="35"/>
        <v>19575.95888888889</v>
      </c>
    </row>
    <row r="115" spans="1:53" s="54" customFormat="1" ht="15" customHeight="1">
      <c r="A115" s="9" t="s">
        <v>148</v>
      </c>
      <c r="B115" s="8" t="s">
        <v>183</v>
      </c>
      <c r="C115" s="693"/>
      <c r="D115" s="6">
        <v>137096</v>
      </c>
      <c r="E115" s="6">
        <v>7</v>
      </c>
      <c r="F115" s="29" t="s">
        <v>75</v>
      </c>
      <c r="G115" s="16" t="s">
        <v>75</v>
      </c>
      <c r="H115" s="27"/>
      <c r="I115" s="26"/>
      <c r="J115" s="27">
        <v>124028</v>
      </c>
      <c r="K115" s="5">
        <v>121830</v>
      </c>
      <c r="L115" s="27">
        <v>53581</v>
      </c>
      <c r="M115" s="5">
        <v>53205</v>
      </c>
      <c r="N115" s="27">
        <v>135101</v>
      </c>
      <c r="O115" s="5">
        <v>140792</v>
      </c>
      <c r="P115" s="64">
        <f t="shared" si="18"/>
        <v>312710</v>
      </c>
      <c r="Q115" s="65">
        <f t="shared" si="19"/>
        <v>10423.666666666666</v>
      </c>
      <c r="R115" s="66">
        <f t="shared" si="20"/>
        <v>315827</v>
      </c>
      <c r="S115" s="67">
        <f t="shared" si="21"/>
        <v>10527.566666666668</v>
      </c>
      <c r="T115" s="27">
        <v>15516</v>
      </c>
      <c r="U115" s="4">
        <v>17359</v>
      </c>
      <c r="V115" s="64">
        <f t="shared" si="22"/>
        <v>312710</v>
      </c>
      <c r="W115" s="68">
        <f t="shared" si="23"/>
        <v>315827</v>
      </c>
      <c r="X115" s="27"/>
      <c r="Y115" s="26"/>
      <c r="Z115" s="27">
        <v>199512</v>
      </c>
      <c r="AA115" s="4">
        <v>242126</v>
      </c>
      <c r="AB115" s="27">
        <v>142883</v>
      </c>
      <c r="AC115" s="4">
        <v>160119</v>
      </c>
      <c r="AD115" s="27">
        <v>267081</v>
      </c>
      <c r="AE115" s="4">
        <v>292227</v>
      </c>
      <c r="AF115" s="64">
        <f t="shared" si="24"/>
        <v>609476</v>
      </c>
      <c r="AG115" s="65">
        <f t="shared" si="25"/>
        <v>677.19555555555553</v>
      </c>
      <c r="AH115" s="66">
        <f t="shared" si="26"/>
        <v>694472</v>
      </c>
      <c r="AI115" s="66">
        <f t="shared" si="27"/>
        <v>771.63555555555558</v>
      </c>
      <c r="AJ115" s="27">
        <v>3666</v>
      </c>
      <c r="AK115" s="4">
        <v>2397</v>
      </c>
      <c r="AL115" s="64">
        <f t="shared" si="28"/>
        <v>609476</v>
      </c>
      <c r="AM115" s="67">
        <f t="shared" si="29"/>
        <v>694472</v>
      </c>
      <c r="AN115" s="27"/>
      <c r="AO115" s="26"/>
      <c r="AP115" s="27"/>
      <c r="AQ115" s="26"/>
      <c r="AR115" s="27"/>
      <c r="AS115" s="26"/>
      <c r="AT115" s="27"/>
      <c r="AU115" s="26"/>
      <c r="AV115" s="64">
        <f t="shared" si="30"/>
        <v>0</v>
      </c>
      <c r="AW115" s="70">
        <f t="shared" si="31"/>
        <v>0</v>
      </c>
      <c r="AX115" s="66">
        <f t="shared" si="32"/>
        <v>0</v>
      </c>
      <c r="AY115" s="71">
        <f t="shared" si="33"/>
        <v>0</v>
      </c>
      <c r="AZ115" s="72">
        <f t="shared" si="34"/>
        <v>11100.862222222222</v>
      </c>
      <c r="BA115" s="66">
        <f t="shared" si="35"/>
        <v>11299.202222222222</v>
      </c>
    </row>
    <row r="116" spans="1:53" s="54" customFormat="1" ht="15" customHeight="1">
      <c r="A116" s="9" t="s">
        <v>148</v>
      </c>
      <c r="B116" s="8" t="s">
        <v>184</v>
      </c>
      <c r="C116" s="693"/>
      <c r="D116" s="6">
        <v>137209</v>
      </c>
      <c r="E116" s="6">
        <v>7</v>
      </c>
      <c r="F116" s="29" t="s">
        <v>75</v>
      </c>
      <c r="G116" s="16" t="s">
        <v>75</v>
      </c>
      <c r="H116" s="27"/>
      <c r="I116" s="26"/>
      <c r="J116" s="27">
        <v>140599</v>
      </c>
      <c r="K116" s="4">
        <v>131385</v>
      </c>
      <c r="L116" s="27">
        <v>57678</v>
      </c>
      <c r="M116" s="5">
        <v>57148</v>
      </c>
      <c r="N116" s="27">
        <v>147834</v>
      </c>
      <c r="O116" s="5">
        <v>147005</v>
      </c>
      <c r="P116" s="64">
        <f t="shared" si="18"/>
        <v>346111</v>
      </c>
      <c r="Q116" s="65">
        <f t="shared" si="19"/>
        <v>11537.033333333333</v>
      </c>
      <c r="R116" s="66">
        <f t="shared" si="20"/>
        <v>335538</v>
      </c>
      <c r="S116" s="67">
        <f t="shared" si="21"/>
        <v>11184.6</v>
      </c>
      <c r="T116" s="27">
        <v>10613</v>
      </c>
      <c r="U116" s="4">
        <v>12078</v>
      </c>
      <c r="V116" s="64">
        <f t="shared" si="22"/>
        <v>346111</v>
      </c>
      <c r="W116" s="68">
        <f t="shared" si="23"/>
        <v>335538</v>
      </c>
      <c r="X116" s="27"/>
      <c r="Y116" s="26"/>
      <c r="Z116" s="27">
        <v>459501</v>
      </c>
      <c r="AA116" s="5">
        <v>445639</v>
      </c>
      <c r="AB116" s="27">
        <v>284434</v>
      </c>
      <c r="AC116" s="4">
        <v>300569</v>
      </c>
      <c r="AD116" s="27">
        <v>476727</v>
      </c>
      <c r="AE116" s="4">
        <v>514222</v>
      </c>
      <c r="AF116" s="64">
        <f t="shared" si="24"/>
        <v>1220662</v>
      </c>
      <c r="AG116" s="65">
        <f t="shared" si="25"/>
        <v>1356.2911111111111</v>
      </c>
      <c r="AH116" s="66">
        <f t="shared" si="26"/>
        <v>1260430</v>
      </c>
      <c r="AI116" s="66">
        <f t="shared" si="27"/>
        <v>1400.4777777777779</v>
      </c>
      <c r="AJ116" s="27">
        <v>4013</v>
      </c>
      <c r="AK116" s="4">
        <v>2186</v>
      </c>
      <c r="AL116" s="64">
        <f t="shared" si="28"/>
        <v>1220662</v>
      </c>
      <c r="AM116" s="67">
        <f t="shared" si="29"/>
        <v>1260430</v>
      </c>
      <c r="AN116" s="27"/>
      <c r="AO116" s="26"/>
      <c r="AP116" s="27"/>
      <c r="AQ116" s="26"/>
      <c r="AR116" s="27"/>
      <c r="AS116" s="26"/>
      <c r="AT116" s="27"/>
      <c r="AU116" s="26"/>
      <c r="AV116" s="64">
        <f t="shared" si="30"/>
        <v>0</v>
      </c>
      <c r="AW116" s="70">
        <f t="shared" si="31"/>
        <v>0</v>
      </c>
      <c r="AX116" s="66">
        <f t="shared" si="32"/>
        <v>0</v>
      </c>
      <c r="AY116" s="71">
        <f t="shared" si="33"/>
        <v>0</v>
      </c>
      <c r="AZ116" s="72">
        <f t="shared" si="34"/>
        <v>12893.324444444444</v>
      </c>
      <c r="BA116" s="66">
        <f t="shared" si="35"/>
        <v>12585.077777777778</v>
      </c>
    </row>
    <row r="117" spans="1:53" s="54" customFormat="1" ht="15" customHeight="1">
      <c r="A117" s="9" t="s">
        <v>148</v>
      </c>
      <c r="B117" s="8" t="s">
        <v>185</v>
      </c>
      <c r="C117" s="693" t="s">
        <v>972</v>
      </c>
      <c r="D117" s="6">
        <v>137315</v>
      </c>
      <c r="E117" s="6">
        <v>9</v>
      </c>
      <c r="F117" s="29" t="s">
        <v>75</v>
      </c>
      <c r="G117" s="16" t="s">
        <v>75</v>
      </c>
      <c r="H117" s="27"/>
      <c r="I117" s="26"/>
      <c r="J117" s="27">
        <v>19280</v>
      </c>
      <c r="K117" s="5">
        <v>18541</v>
      </c>
      <c r="L117" s="27">
        <v>5827</v>
      </c>
      <c r="M117" s="5">
        <v>5712</v>
      </c>
      <c r="N117" s="27">
        <v>20766</v>
      </c>
      <c r="O117" s="5">
        <v>21362</v>
      </c>
      <c r="P117" s="64">
        <f t="shared" si="18"/>
        <v>45873</v>
      </c>
      <c r="Q117" s="65">
        <f t="shared" si="19"/>
        <v>1529.1</v>
      </c>
      <c r="R117" s="66">
        <f t="shared" si="20"/>
        <v>45615</v>
      </c>
      <c r="S117" s="67">
        <f t="shared" si="21"/>
        <v>1520.5</v>
      </c>
      <c r="T117" s="27">
        <v>5961</v>
      </c>
      <c r="U117" s="5">
        <v>5998</v>
      </c>
      <c r="V117" s="64">
        <f t="shared" si="22"/>
        <v>45873</v>
      </c>
      <c r="W117" s="68">
        <f t="shared" si="23"/>
        <v>45615</v>
      </c>
      <c r="X117" s="27"/>
      <c r="Y117" s="26"/>
      <c r="Z117" s="27">
        <v>231671</v>
      </c>
      <c r="AA117" s="5">
        <v>224266</v>
      </c>
      <c r="AB117" s="27">
        <v>104101</v>
      </c>
      <c r="AC117" s="5">
        <v>105524</v>
      </c>
      <c r="AD117" s="27">
        <v>272714</v>
      </c>
      <c r="AE117" s="5">
        <v>264896</v>
      </c>
      <c r="AF117" s="64">
        <f t="shared" si="24"/>
        <v>608486</v>
      </c>
      <c r="AG117" s="65">
        <f t="shared" si="25"/>
        <v>676.09555555555551</v>
      </c>
      <c r="AH117" s="66">
        <f t="shared" si="26"/>
        <v>594686</v>
      </c>
      <c r="AI117" s="66">
        <f t="shared" si="27"/>
        <v>660.76222222222225</v>
      </c>
      <c r="AJ117" s="27">
        <v>59870</v>
      </c>
      <c r="AK117" s="4">
        <v>64769</v>
      </c>
      <c r="AL117" s="64">
        <f t="shared" si="28"/>
        <v>608486</v>
      </c>
      <c r="AM117" s="67">
        <f t="shared" si="29"/>
        <v>594686</v>
      </c>
      <c r="AN117" s="27"/>
      <c r="AO117" s="26"/>
      <c r="AP117" s="27"/>
      <c r="AQ117" s="26"/>
      <c r="AR117" s="27"/>
      <c r="AS117" s="26"/>
      <c r="AT117" s="27"/>
      <c r="AU117" s="26"/>
      <c r="AV117" s="64">
        <f t="shared" si="30"/>
        <v>0</v>
      </c>
      <c r="AW117" s="70">
        <f t="shared" si="31"/>
        <v>0</v>
      </c>
      <c r="AX117" s="66">
        <f t="shared" si="32"/>
        <v>0</v>
      </c>
      <c r="AY117" s="71">
        <f t="shared" si="33"/>
        <v>0</v>
      </c>
      <c r="AZ117" s="72">
        <f t="shared" si="34"/>
        <v>2205.1955555555555</v>
      </c>
      <c r="BA117" s="66">
        <f t="shared" si="35"/>
        <v>2181.2622222222221</v>
      </c>
    </row>
    <row r="118" spans="1:53" s="54" customFormat="1" ht="15" customHeight="1">
      <c r="A118" s="9" t="s">
        <v>148</v>
      </c>
      <c r="B118" s="8" t="s">
        <v>186</v>
      </c>
      <c r="C118" s="693"/>
      <c r="D118" s="6">
        <v>137759</v>
      </c>
      <c r="E118" s="6">
        <v>8</v>
      </c>
      <c r="F118" s="29" t="s">
        <v>75</v>
      </c>
      <c r="G118" s="16" t="s">
        <v>75</v>
      </c>
      <c r="H118" s="27"/>
      <c r="I118" s="26"/>
      <c r="J118" s="27">
        <v>108414</v>
      </c>
      <c r="K118" s="5">
        <v>104580</v>
      </c>
      <c r="L118" s="27">
        <v>45031</v>
      </c>
      <c r="M118" s="5">
        <v>44178</v>
      </c>
      <c r="N118" s="27">
        <v>117184</v>
      </c>
      <c r="O118" s="5">
        <v>117219</v>
      </c>
      <c r="P118" s="64">
        <f t="shared" si="18"/>
        <v>270629</v>
      </c>
      <c r="Q118" s="65">
        <f t="shared" si="19"/>
        <v>9020.9666666666672</v>
      </c>
      <c r="R118" s="66">
        <f t="shared" si="20"/>
        <v>265977</v>
      </c>
      <c r="S118" s="67">
        <f t="shared" si="21"/>
        <v>8865.9</v>
      </c>
      <c r="T118" s="27">
        <v>6545</v>
      </c>
      <c r="U118" s="4">
        <v>7239</v>
      </c>
      <c r="V118" s="64">
        <f t="shared" si="22"/>
        <v>270629</v>
      </c>
      <c r="W118" s="68">
        <f t="shared" si="23"/>
        <v>265977</v>
      </c>
      <c r="X118" s="27"/>
      <c r="Y118" s="26"/>
      <c r="Z118" s="27">
        <v>134840</v>
      </c>
      <c r="AA118" s="4">
        <v>187126</v>
      </c>
      <c r="AB118" s="27">
        <v>43398</v>
      </c>
      <c r="AC118" s="4">
        <v>38931</v>
      </c>
      <c r="AD118" s="27">
        <v>141124</v>
      </c>
      <c r="AE118" s="5">
        <v>140527</v>
      </c>
      <c r="AF118" s="64">
        <f t="shared" si="24"/>
        <v>319362</v>
      </c>
      <c r="AG118" s="65">
        <f t="shared" si="25"/>
        <v>354.84666666666669</v>
      </c>
      <c r="AH118" s="66">
        <f t="shared" si="26"/>
        <v>366584</v>
      </c>
      <c r="AI118" s="66">
        <f t="shared" si="27"/>
        <v>407.31555555555553</v>
      </c>
      <c r="AJ118" s="27">
        <v>0</v>
      </c>
      <c r="AK118" s="5">
        <v>0</v>
      </c>
      <c r="AL118" s="64">
        <f t="shared" si="28"/>
        <v>319362</v>
      </c>
      <c r="AM118" s="67">
        <f t="shared" si="29"/>
        <v>366584</v>
      </c>
      <c r="AN118" s="27"/>
      <c r="AO118" s="26"/>
      <c r="AP118" s="27"/>
      <c r="AQ118" s="26"/>
      <c r="AR118" s="27"/>
      <c r="AS118" s="26"/>
      <c r="AT118" s="27"/>
      <c r="AU118" s="26"/>
      <c r="AV118" s="64">
        <f t="shared" si="30"/>
        <v>0</v>
      </c>
      <c r="AW118" s="70">
        <f t="shared" si="31"/>
        <v>0</v>
      </c>
      <c r="AX118" s="66">
        <f t="shared" si="32"/>
        <v>0</v>
      </c>
      <c r="AY118" s="71">
        <f t="shared" si="33"/>
        <v>0</v>
      </c>
      <c r="AZ118" s="72">
        <f t="shared" si="34"/>
        <v>9375.8133333333335</v>
      </c>
      <c r="BA118" s="66">
        <f t="shared" si="35"/>
        <v>9273.2155555555546</v>
      </c>
    </row>
    <row r="119" spans="1:53" s="54" customFormat="1" ht="15" customHeight="1">
      <c r="A119" s="9" t="s">
        <v>148</v>
      </c>
      <c r="B119" s="8" t="s">
        <v>187</v>
      </c>
      <c r="C119" s="693"/>
      <c r="D119" s="6">
        <v>138187</v>
      </c>
      <c r="E119" s="2">
        <v>7</v>
      </c>
      <c r="F119" s="29" t="s">
        <v>75</v>
      </c>
      <c r="G119" s="16" t="s">
        <v>75</v>
      </c>
      <c r="H119" s="27"/>
      <c r="I119" s="26"/>
      <c r="J119" s="27">
        <v>351731</v>
      </c>
      <c r="K119" s="5">
        <v>353690</v>
      </c>
      <c r="L119" s="27">
        <v>156432</v>
      </c>
      <c r="M119" s="5">
        <v>157126</v>
      </c>
      <c r="N119" s="27">
        <v>386381</v>
      </c>
      <c r="O119" s="5">
        <v>390091</v>
      </c>
      <c r="P119" s="64">
        <f t="shared" si="18"/>
        <v>894544</v>
      </c>
      <c r="Q119" s="65">
        <f t="shared" si="19"/>
        <v>29818.133333333335</v>
      </c>
      <c r="R119" s="66">
        <f t="shared" si="20"/>
        <v>900907</v>
      </c>
      <c r="S119" s="67">
        <f t="shared" si="21"/>
        <v>30030.233333333334</v>
      </c>
      <c r="T119" s="27">
        <v>38054</v>
      </c>
      <c r="U119" s="4">
        <v>45656</v>
      </c>
      <c r="V119" s="64">
        <f t="shared" si="22"/>
        <v>894544</v>
      </c>
      <c r="W119" s="68">
        <f t="shared" si="23"/>
        <v>900907</v>
      </c>
      <c r="X119" s="27"/>
      <c r="Y119" s="26"/>
      <c r="Z119" s="27">
        <v>125458</v>
      </c>
      <c r="AA119" s="5">
        <v>120522</v>
      </c>
      <c r="AB119" s="27">
        <v>66883</v>
      </c>
      <c r="AC119" s="4">
        <v>60187</v>
      </c>
      <c r="AD119" s="27">
        <v>69339</v>
      </c>
      <c r="AE119" s="4">
        <v>56200</v>
      </c>
      <c r="AF119" s="64">
        <f t="shared" si="24"/>
        <v>261680</v>
      </c>
      <c r="AG119" s="65">
        <f t="shared" si="25"/>
        <v>290.75555555555553</v>
      </c>
      <c r="AH119" s="66">
        <f t="shared" si="26"/>
        <v>236909</v>
      </c>
      <c r="AI119" s="66">
        <f t="shared" si="27"/>
        <v>263.23222222222222</v>
      </c>
      <c r="AJ119" s="27">
        <v>0</v>
      </c>
      <c r="AK119" s="5">
        <v>0</v>
      </c>
      <c r="AL119" s="64">
        <f t="shared" si="28"/>
        <v>261680</v>
      </c>
      <c r="AM119" s="67">
        <f t="shared" si="29"/>
        <v>236909</v>
      </c>
      <c r="AN119" s="27"/>
      <c r="AO119" s="26"/>
      <c r="AP119" s="27"/>
      <c r="AQ119" s="26"/>
      <c r="AR119" s="27"/>
      <c r="AS119" s="26"/>
      <c r="AT119" s="27"/>
      <c r="AU119" s="26"/>
      <c r="AV119" s="64">
        <f t="shared" si="30"/>
        <v>0</v>
      </c>
      <c r="AW119" s="70">
        <f t="shared" si="31"/>
        <v>0</v>
      </c>
      <c r="AX119" s="66">
        <f t="shared" si="32"/>
        <v>0</v>
      </c>
      <c r="AY119" s="71">
        <f t="shared" si="33"/>
        <v>0</v>
      </c>
      <c r="AZ119" s="72">
        <f t="shared" si="34"/>
        <v>30108.888888888891</v>
      </c>
      <c r="BA119" s="66">
        <f t="shared" si="35"/>
        <v>30293.465555555555</v>
      </c>
    </row>
    <row r="120" spans="1:53" s="54" customFormat="1" ht="13.5" customHeight="1">
      <c r="A120" s="123" t="s">
        <v>188</v>
      </c>
      <c r="B120" s="124" t="s">
        <v>189</v>
      </c>
      <c r="C120" s="696"/>
      <c r="D120" s="126" t="s">
        <v>190</v>
      </c>
      <c r="E120" s="127">
        <v>1</v>
      </c>
      <c r="F120" s="29" t="s">
        <v>75</v>
      </c>
      <c r="G120" s="16"/>
      <c r="H120" s="27"/>
      <c r="I120" s="26"/>
      <c r="J120" s="27">
        <v>289080.5</v>
      </c>
      <c r="K120" s="128">
        <v>292434</v>
      </c>
      <c r="L120" s="27">
        <v>67683</v>
      </c>
      <c r="M120" s="129">
        <v>66299</v>
      </c>
      <c r="N120" s="27">
        <v>310230.5</v>
      </c>
      <c r="O120" s="130">
        <v>487186.5</v>
      </c>
      <c r="P120" s="64">
        <f t="shared" si="18"/>
        <v>666994</v>
      </c>
      <c r="Q120" s="65">
        <f t="shared" si="19"/>
        <v>22233.133333333335</v>
      </c>
      <c r="R120" s="66">
        <f t="shared" si="20"/>
        <v>845919.5</v>
      </c>
      <c r="S120" s="67">
        <f t="shared" si="21"/>
        <v>28197.316666666666</v>
      </c>
      <c r="T120" s="27">
        <v>3088</v>
      </c>
      <c r="U120" s="131">
        <v>23215</v>
      </c>
      <c r="V120" s="64">
        <f t="shared" si="22"/>
        <v>666994</v>
      </c>
      <c r="W120" s="68">
        <f t="shared" si="23"/>
        <v>845919.5</v>
      </c>
      <c r="X120" s="27"/>
      <c r="Y120" s="26"/>
      <c r="Z120" s="27"/>
      <c r="AA120" s="26"/>
      <c r="AB120" s="27"/>
      <c r="AC120" s="26"/>
      <c r="AD120" s="27"/>
      <c r="AE120" s="26"/>
      <c r="AF120" s="64">
        <f t="shared" si="24"/>
        <v>0</v>
      </c>
      <c r="AG120" s="65">
        <f t="shared" si="25"/>
        <v>0</v>
      </c>
      <c r="AH120" s="66">
        <f t="shared" si="26"/>
        <v>0</v>
      </c>
      <c r="AI120" s="66">
        <f t="shared" si="27"/>
        <v>0</v>
      </c>
      <c r="AJ120" s="27"/>
      <c r="AK120" s="26"/>
      <c r="AL120" s="64">
        <f t="shared" si="28"/>
        <v>0</v>
      </c>
      <c r="AM120" s="67">
        <f t="shared" si="29"/>
        <v>0</v>
      </c>
      <c r="AN120" s="27"/>
      <c r="AO120" s="26"/>
      <c r="AP120" s="27">
        <v>88486</v>
      </c>
      <c r="AQ120" s="26">
        <v>86395</v>
      </c>
      <c r="AR120" s="27">
        <v>48777</v>
      </c>
      <c r="AS120" s="26">
        <v>47291.5</v>
      </c>
      <c r="AT120" s="27">
        <v>90132</v>
      </c>
      <c r="AU120" s="26">
        <v>92210.5</v>
      </c>
      <c r="AV120" s="64">
        <f t="shared" si="30"/>
        <v>227395</v>
      </c>
      <c r="AW120" s="70">
        <f t="shared" si="31"/>
        <v>9474.7916666666661</v>
      </c>
      <c r="AX120" s="66">
        <f t="shared" si="32"/>
        <v>225897</v>
      </c>
      <c r="AY120" s="71">
        <f t="shared" si="33"/>
        <v>9412.375</v>
      </c>
      <c r="AZ120" s="72">
        <f t="shared" si="34"/>
        <v>31707.925000000003</v>
      </c>
      <c r="BA120" s="66">
        <f t="shared" si="35"/>
        <v>37609.691666666666</v>
      </c>
    </row>
    <row r="121" spans="1:53" ht="15">
      <c r="A121" s="123" t="s">
        <v>188</v>
      </c>
      <c r="B121" s="132" t="s">
        <v>191</v>
      </c>
      <c r="C121" s="696"/>
      <c r="D121" s="126" t="s">
        <v>192</v>
      </c>
      <c r="E121" s="127">
        <v>1</v>
      </c>
      <c r="F121" s="29" t="s">
        <v>75</v>
      </c>
      <c r="G121" s="16"/>
      <c r="H121" s="27"/>
      <c r="I121" s="26"/>
      <c r="J121" s="27">
        <v>354588.5</v>
      </c>
      <c r="K121" s="133">
        <v>358179.6</v>
      </c>
      <c r="L121" s="27">
        <v>54676</v>
      </c>
      <c r="M121" s="134">
        <v>62376</v>
      </c>
      <c r="N121" s="27">
        <v>376144.5</v>
      </c>
      <c r="O121" s="135">
        <v>382078.8</v>
      </c>
      <c r="P121" s="64">
        <f t="shared" si="18"/>
        <v>785409</v>
      </c>
      <c r="Q121" s="65">
        <f t="shared" si="19"/>
        <v>26180.3</v>
      </c>
      <c r="R121" s="66">
        <f t="shared" si="20"/>
        <v>802634.39999999991</v>
      </c>
      <c r="S121" s="67">
        <f t="shared" si="21"/>
        <v>26754.479999999996</v>
      </c>
      <c r="T121" s="27">
        <v>512</v>
      </c>
      <c r="U121" s="136">
        <v>366</v>
      </c>
      <c r="V121" s="64">
        <f t="shared" si="22"/>
        <v>785409</v>
      </c>
      <c r="W121" s="68">
        <f t="shared" si="23"/>
        <v>802634.39999999991</v>
      </c>
      <c r="X121" s="27"/>
      <c r="Y121" s="26"/>
      <c r="Z121" s="27"/>
      <c r="AA121" s="26"/>
      <c r="AB121" s="27"/>
      <c r="AC121" s="26"/>
      <c r="AD121" s="27"/>
      <c r="AE121" s="26"/>
      <c r="AF121" s="64">
        <f t="shared" si="24"/>
        <v>0</v>
      </c>
      <c r="AG121" s="65">
        <f t="shared" si="25"/>
        <v>0</v>
      </c>
      <c r="AH121" s="66">
        <f t="shared" si="26"/>
        <v>0</v>
      </c>
      <c r="AI121" s="66">
        <f t="shared" si="27"/>
        <v>0</v>
      </c>
      <c r="AJ121" s="27"/>
      <c r="AK121" s="26"/>
      <c r="AL121" s="64">
        <f t="shared" si="28"/>
        <v>0</v>
      </c>
      <c r="AM121" s="67">
        <f t="shared" si="29"/>
        <v>0</v>
      </c>
      <c r="AN121" s="27"/>
      <c r="AO121" s="26"/>
      <c r="AP121" s="27">
        <v>102207</v>
      </c>
      <c r="AQ121" s="109">
        <v>108242.1</v>
      </c>
      <c r="AR121" s="27">
        <v>40915.199999999997</v>
      </c>
      <c r="AS121" s="109">
        <v>43965.1</v>
      </c>
      <c r="AT121" s="27">
        <v>108858</v>
      </c>
      <c r="AU121" s="26">
        <v>109562.6</v>
      </c>
      <c r="AV121" s="64">
        <f t="shared" si="30"/>
        <v>251980.2</v>
      </c>
      <c r="AW121" s="70">
        <f t="shared" si="31"/>
        <v>10499.175000000001</v>
      </c>
      <c r="AX121" s="66">
        <f t="shared" si="32"/>
        <v>261769.80000000002</v>
      </c>
      <c r="AY121" s="71">
        <f t="shared" si="33"/>
        <v>10907.075000000001</v>
      </c>
      <c r="AZ121" s="72">
        <f t="shared" si="34"/>
        <v>36679.474999999999</v>
      </c>
      <c r="BA121" s="66">
        <f t="shared" si="35"/>
        <v>37661.554999999993</v>
      </c>
    </row>
    <row r="122" spans="1:53" ht="15">
      <c r="A122" s="123" t="s">
        <v>188</v>
      </c>
      <c r="B122" s="132" t="s">
        <v>193</v>
      </c>
      <c r="C122" s="696"/>
      <c r="D122" s="126" t="s">
        <v>194</v>
      </c>
      <c r="E122" s="127">
        <v>2</v>
      </c>
      <c r="F122" s="29" t="s">
        <v>75</v>
      </c>
      <c r="G122" s="16"/>
      <c r="H122" s="27"/>
      <c r="I122" s="26"/>
      <c r="J122" s="27">
        <v>185478.33</v>
      </c>
      <c r="K122" s="128">
        <v>188965</v>
      </c>
      <c r="L122" s="27">
        <v>43114</v>
      </c>
      <c r="M122" s="129">
        <v>42003</v>
      </c>
      <c r="N122" s="27">
        <v>205026.66</v>
      </c>
      <c r="O122" s="135">
        <v>206677</v>
      </c>
      <c r="P122" s="64">
        <f t="shared" si="18"/>
        <v>433618.99</v>
      </c>
      <c r="Q122" s="65">
        <f t="shared" si="19"/>
        <v>14453.966333333334</v>
      </c>
      <c r="R122" s="66">
        <f t="shared" si="20"/>
        <v>437645</v>
      </c>
      <c r="S122" s="67">
        <f t="shared" si="21"/>
        <v>14588.166666666666</v>
      </c>
      <c r="T122" s="27">
        <v>3637</v>
      </c>
      <c r="U122" s="128">
        <v>3728</v>
      </c>
      <c r="V122" s="64">
        <f t="shared" si="22"/>
        <v>433618.99</v>
      </c>
      <c r="W122" s="68">
        <f t="shared" si="23"/>
        <v>437645</v>
      </c>
      <c r="X122" s="27"/>
      <c r="Y122" s="26"/>
      <c r="Z122" s="27"/>
      <c r="AA122" s="26"/>
      <c r="AB122" s="27"/>
      <c r="AC122" s="26"/>
      <c r="AD122" s="27"/>
      <c r="AE122" s="26"/>
      <c r="AF122" s="64">
        <f t="shared" si="24"/>
        <v>0</v>
      </c>
      <c r="AG122" s="65">
        <f t="shared" si="25"/>
        <v>0</v>
      </c>
      <c r="AH122" s="66">
        <f t="shared" si="26"/>
        <v>0</v>
      </c>
      <c r="AI122" s="66">
        <f t="shared" si="27"/>
        <v>0</v>
      </c>
      <c r="AJ122" s="27"/>
      <c r="AK122" s="26"/>
      <c r="AL122" s="64">
        <f t="shared" si="28"/>
        <v>0</v>
      </c>
      <c r="AM122" s="67">
        <f t="shared" si="29"/>
        <v>0</v>
      </c>
      <c r="AN122" s="27"/>
      <c r="AO122" s="26"/>
      <c r="AP122" s="27">
        <v>104184.14</v>
      </c>
      <c r="AQ122" s="26">
        <v>108051.5</v>
      </c>
      <c r="AR122" s="27">
        <v>46005</v>
      </c>
      <c r="AS122" s="26">
        <v>47645.5</v>
      </c>
      <c r="AT122" s="27">
        <v>112239</v>
      </c>
      <c r="AU122" s="109">
        <v>122888.5</v>
      </c>
      <c r="AV122" s="64">
        <f t="shared" si="30"/>
        <v>262428.14</v>
      </c>
      <c r="AW122" s="70">
        <f t="shared" si="31"/>
        <v>10934.505833333335</v>
      </c>
      <c r="AX122" s="66">
        <f t="shared" si="32"/>
        <v>278585.5</v>
      </c>
      <c r="AY122" s="71">
        <f t="shared" si="33"/>
        <v>11607.729166666666</v>
      </c>
      <c r="AZ122" s="72">
        <f t="shared" si="34"/>
        <v>25388.472166666666</v>
      </c>
      <c r="BA122" s="66">
        <f t="shared" si="35"/>
        <v>26195.895833333332</v>
      </c>
    </row>
    <row r="123" spans="1:53" ht="15">
      <c r="A123" s="123" t="s">
        <v>188</v>
      </c>
      <c r="B123" s="132" t="s">
        <v>195</v>
      </c>
      <c r="C123" s="696"/>
      <c r="D123" s="126" t="s">
        <v>196</v>
      </c>
      <c r="E123" s="127">
        <v>3</v>
      </c>
      <c r="F123" s="29" t="s">
        <v>75</v>
      </c>
      <c r="G123" s="16"/>
      <c r="H123" s="27"/>
      <c r="I123" s="26"/>
      <c r="J123" s="27">
        <v>218486</v>
      </c>
      <c r="K123" s="128">
        <v>218839</v>
      </c>
      <c r="L123" s="27">
        <v>57466</v>
      </c>
      <c r="M123" s="129">
        <v>58637.83</v>
      </c>
      <c r="N123" s="27">
        <v>238084</v>
      </c>
      <c r="O123" s="135">
        <v>242099.39</v>
      </c>
      <c r="P123" s="64">
        <f t="shared" si="18"/>
        <v>514036</v>
      </c>
      <c r="Q123" s="65">
        <f t="shared" si="19"/>
        <v>17134.533333333333</v>
      </c>
      <c r="R123" s="66">
        <f t="shared" si="20"/>
        <v>519576.22000000003</v>
      </c>
      <c r="S123" s="67">
        <f t="shared" si="21"/>
        <v>17319.207333333336</v>
      </c>
      <c r="T123" s="27">
        <v>2946</v>
      </c>
      <c r="U123" s="137">
        <v>3624</v>
      </c>
      <c r="V123" s="64">
        <f t="shared" si="22"/>
        <v>514036</v>
      </c>
      <c r="W123" s="68">
        <f t="shared" si="23"/>
        <v>519576.22000000003</v>
      </c>
      <c r="X123" s="27"/>
      <c r="Y123" s="26"/>
      <c r="Z123" s="27"/>
      <c r="AA123" s="26"/>
      <c r="AB123" s="27"/>
      <c r="AC123" s="26"/>
      <c r="AD123" s="27"/>
      <c r="AE123" s="26"/>
      <c r="AF123" s="64">
        <f t="shared" si="24"/>
        <v>0</v>
      </c>
      <c r="AG123" s="65">
        <f t="shared" si="25"/>
        <v>0</v>
      </c>
      <c r="AH123" s="66">
        <f t="shared" si="26"/>
        <v>0</v>
      </c>
      <c r="AI123" s="66">
        <f t="shared" si="27"/>
        <v>0</v>
      </c>
      <c r="AJ123" s="27"/>
      <c r="AK123" s="26"/>
      <c r="AL123" s="64">
        <f t="shared" si="28"/>
        <v>0</v>
      </c>
      <c r="AM123" s="67">
        <f t="shared" si="29"/>
        <v>0</v>
      </c>
      <c r="AN123" s="27"/>
      <c r="AO123" s="26"/>
      <c r="AP123" s="27">
        <v>16110</v>
      </c>
      <c r="AQ123" s="26">
        <v>16461</v>
      </c>
      <c r="AR123" s="27">
        <v>10390</v>
      </c>
      <c r="AS123" s="26">
        <v>10716</v>
      </c>
      <c r="AT123" s="27">
        <v>17301</v>
      </c>
      <c r="AU123" s="109">
        <v>19003</v>
      </c>
      <c r="AV123" s="64">
        <f t="shared" si="30"/>
        <v>43801</v>
      </c>
      <c r="AW123" s="70">
        <f t="shared" si="31"/>
        <v>1825.0416666666667</v>
      </c>
      <c r="AX123" s="66">
        <f t="shared" si="32"/>
        <v>46180</v>
      </c>
      <c r="AY123" s="71">
        <f t="shared" si="33"/>
        <v>1924.1666666666667</v>
      </c>
      <c r="AZ123" s="72">
        <f t="shared" si="34"/>
        <v>18959.575000000001</v>
      </c>
      <c r="BA123" s="66">
        <f t="shared" si="35"/>
        <v>19243.374000000003</v>
      </c>
    </row>
    <row r="124" spans="1:53" ht="15">
      <c r="A124" s="123" t="s">
        <v>188</v>
      </c>
      <c r="B124" s="132" t="s">
        <v>197</v>
      </c>
      <c r="C124" s="696"/>
      <c r="D124" s="126" t="s">
        <v>198</v>
      </c>
      <c r="E124" s="127">
        <v>3</v>
      </c>
      <c r="F124" s="29" t="s">
        <v>75</v>
      </c>
      <c r="G124" s="16"/>
      <c r="H124" s="27"/>
      <c r="I124" s="26"/>
      <c r="J124" s="139">
        <v>338269</v>
      </c>
      <c r="K124" s="128">
        <v>352073.82</v>
      </c>
      <c r="L124" s="139">
        <v>78439</v>
      </c>
      <c r="M124" s="129">
        <v>78832.83</v>
      </c>
      <c r="N124" s="139">
        <v>371171</v>
      </c>
      <c r="O124" s="140">
        <v>394911.39</v>
      </c>
      <c r="P124" s="64">
        <f t="shared" si="18"/>
        <v>787879</v>
      </c>
      <c r="Q124" s="65">
        <f t="shared" si="19"/>
        <v>26262.633333333335</v>
      </c>
      <c r="R124" s="66">
        <f t="shared" si="20"/>
        <v>825818.04</v>
      </c>
      <c r="S124" s="67">
        <f t="shared" si="21"/>
        <v>27527.268</v>
      </c>
      <c r="T124" s="139">
        <v>7853</v>
      </c>
      <c r="U124" s="128">
        <v>7789</v>
      </c>
      <c r="V124" s="64">
        <f t="shared" si="22"/>
        <v>787879</v>
      </c>
      <c r="W124" s="68">
        <f t="shared" si="23"/>
        <v>825818.04</v>
      </c>
      <c r="X124" s="27"/>
      <c r="Y124" s="26"/>
      <c r="Z124" s="27"/>
      <c r="AA124" s="26"/>
      <c r="AB124" s="27"/>
      <c r="AC124" s="26"/>
      <c r="AD124" s="27"/>
      <c r="AE124" s="26"/>
      <c r="AF124" s="64">
        <f t="shared" si="24"/>
        <v>0</v>
      </c>
      <c r="AG124" s="65">
        <f t="shared" si="25"/>
        <v>0</v>
      </c>
      <c r="AH124" s="66">
        <f t="shared" si="26"/>
        <v>0</v>
      </c>
      <c r="AI124" s="66">
        <f t="shared" si="27"/>
        <v>0</v>
      </c>
      <c r="AJ124" s="27"/>
      <c r="AK124" s="26"/>
      <c r="AL124" s="64">
        <f t="shared" si="28"/>
        <v>0</v>
      </c>
      <c r="AM124" s="67">
        <f t="shared" si="29"/>
        <v>0</v>
      </c>
      <c r="AN124" s="27"/>
      <c r="AO124" s="26"/>
      <c r="AP124" s="139">
        <v>19225</v>
      </c>
      <c r="AQ124" s="109">
        <v>18069</v>
      </c>
      <c r="AR124" s="139">
        <v>12942</v>
      </c>
      <c r="AS124" s="109">
        <v>11852</v>
      </c>
      <c r="AT124" s="139">
        <v>19794</v>
      </c>
      <c r="AU124" s="26">
        <v>19598</v>
      </c>
      <c r="AV124" s="64">
        <f t="shared" si="30"/>
        <v>51961</v>
      </c>
      <c r="AW124" s="70">
        <f t="shared" si="31"/>
        <v>2165.0416666666665</v>
      </c>
      <c r="AX124" s="66">
        <f t="shared" si="32"/>
        <v>49519</v>
      </c>
      <c r="AY124" s="71">
        <f t="shared" si="33"/>
        <v>2063.2916666666665</v>
      </c>
      <c r="AZ124" s="72">
        <f t="shared" si="34"/>
        <v>28427.675000000003</v>
      </c>
      <c r="BA124" s="66">
        <f t="shared" si="35"/>
        <v>29590.559666666668</v>
      </c>
    </row>
    <row r="125" spans="1:53" ht="15">
      <c r="A125" s="123" t="s">
        <v>188</v>
      </c>
      <c r="B125" s="132" t="s">
        <v>199</v>
      </c>
      <c r="C125" s="696"/>
      <c r="D125" s="126" t="s">
        <v>200</v>
      </c>
      <c r="E125" s="127">
        <v>3</v>
      </c>
      <c r="F125" s="29" t="s">
        <v>75</v>
      </c>
      <c r="G125" s="16"/>
      <c r="H125" s="27"/>
      <c r="I125" s="26"/>
      <c r="J125" s="27">
        <v>122644</v>
      </c>
      <c r="K125" s="128">
        <v>128292.82</v>
      </c>
      <c r="L125" s="27">
        <v>24552</v>
      </c>
      <c r="M125" s="134">
        <v>26774.83</v>
      </c>
      <c r="N125" s="27">
        <v>139253</v>
      </c>
      <c r="O125" s="135">
        <v>143926.39000000001</v>
      </c>
      <c r="P125" s="64">
        <f t="shared" si="18"/>
        <v>286449</v>
      </c>
      <c r="Q125" s="65">
        <f t="shared" si="19"/>
        <v>9548.2999999999993</v>
      </c>
      <c r="R125" s="66">
        <f t="shared" si="20"/>
        <v>298994.04000000004</v>
      </c>
      <c r="S125" s="67">
        <f t="shared" si="21"/>
        <v>9966.4680000000008</v>
      </c>
      <c r="T125" s="27">
        <v>4895</v>
      </c>
      <c r="U125" s="137">
        <v>7230</v>
      </c>
      <c r="V125" s="64">
        <f t="shared" si="22"/>
        <v>286449</v>
      </c>
      <c r="W125" s="68">
        <f t="shared" si="23"/>
        <v>298994.04000000004</v>
      </c>
      <c r="X125" s="27"/>
      <c r="Y125" s="26"/>
      <c r="Z125" s="27"/>
      <c r="AA125" s="26"/>
      <c r="AB125" s="27"/>
      <c r="AC125" s="26"/>
      <c r="AD125" s="27"/>
      <c r="AE125" s="26"/>
      <c r="AF125" s="64">
        <f t="shared" si="24"/>
        <v>0</v>
      </c>
      <c r="AG125" s="65">
        <f t="shared" si="25"/>
        <v>0</v>
      </c>
      <c r="AH125" s="66">
        <f t="shared" si="26"/>
        <v>0</v>
      </c>
      <c r="AI125" s="66">
        <f t="shared" si="27"/>
        <v>0</v>
      </c>
      <c r="AJ125" s="27"/>
      <c r="AK125" s="26"/>
      <c r="AL125" s="64">
        <f t="shared" si="28"/>
        <v>0</v>
      </c>
      <c r="AM125" s="67">
        <f t="shared" si="29"/>
        <v>0</v>
      </c>
      <c r="AN125" s="27"/>
      <c r="AO125" s="26"/>
      <c r="AP125" s="27">
        <v>12574</v>
      </c>
      <c r="AQ125" s="26">
        <v>12776</v>
      </c>
      <c r="AR125" s="27">
        <v>8862</v>
      </c>
      <c r="AS125" s="109">
        <v>9791</v>
      </c>
      <c r="AT125" s="27">
        <v>13872</v>
      </c>
      <c r="AU125" s="26">
        <v>13888</v>
      </c>
      <c r="AV125" s="64">
        <f t="shared" si="30"/>
        <v>35308</v>
      </c>
      <c r="AW125" s="70">
        <f t="shared" si="31"/>
        <v>1471.1666666666667</v>
      </c>
      <c r="AX125" s="66">
        <f t="shared" si="32"/>
        <v>36455</v>
      </c>
      <c r="AY125" s="71">
        <f t="shared" si="33"/>
        <v>1518.9583333333333</v>
      </c>
      <c r="AZ125" s="72">
        <f t="shared" si="34"/>
        <v>11019.466666666665</v>
      </c>
      <c r="BA125" s="66">
        <f t="shared" si="35"/>
        <v>11485.426333333335</v>
      </c>
    </row>
    <row r="126" spans="1:53" ht="15">
      <c r="A126" s="123" t="s">
        <v>188</v>
      </c>
      <c r="B126" s="132" t="s">
        <v>201</v>
      </c>
      <c r="C126" s="696"/>
      <c r="D126" s="126" t="s">
        <v>202</v>
      </c>
      <c r="E126" s="127">
        <v>3</v>
      </c>
      <c r="F126" s="29" t="s">
        <v>75</v>
      </c>
      <c r="G126" s="16"/>
      <c r="H126" s="27"/>
      <c r="I126" s="26"/>
      <c r="J126" s="27">
        <v>111907</v>
      </c>
      <c r="K126" s="137">
        <v>106238.82</v>
      </c>
      <c r="L126" s="27">
        <v>21211</v>
      </c>
      <c r="M126" s="129">
        <v>21240.83</v>
      </c>
      <c r="N126" s="27">
        <v>112712</v>
      </c>
      <c r="O126" s="135">
        <v>112512.39</v>
      </c>
      <c r="P126" s="64">
        <f t="shared" si="18"/>
        <v>245830</v>
      </c>
      <c r="Q126" s="65">
        <f t="shared" si="19"/>
        <v>8194.3333333333339</v>
      </c>
      <c r="R126" s="66">
        <f t="shared" si="20"/>
        <v>239992.04</v>
      </c>
      <c r="S126" s="67">
        <f t="shared" si="21"/>
        <v>7999.7346666666672</v>
      </c>
      <c r="T126" s="27">
        <v>529</v>
      </c>
      <c r="U126" s="131">
        <v>1481</v>
      </c>
      <c r="V126" s="64">
        <f t="shared" si="22"/>
        <v>245830</v>
      </c>
      <c r="W126" s="68">
        <f t="shared" si="23"/>
        <v>239992.04</v>
      </c>
      <c r="X126" s="27"/>
      <c r="Y126" s="26"/>
      <c r="Z126" s="27"/>
      <c r="AA126" s="26"/>
      <c r="AB126" s="27"/>
      <c r="AC126" s="26"/>
      <c r="AD126" s="27"/>
      <c r="AE126" s="26"/>
      <c r="AF126" s="64">
        <f t="shared" si="24"/>
        <v>0</v>
      </c>
      <c r="AG126" s="65">
        <f t="shared" si="25"/>
        <v>0</v>
      </c>
      <c r="AH126" s="66">
        <f t="shared" si="26"/>
        <v>0</v>
      </c>
      <c r="AI126" s="66">
        <f t="shared" si="27"/>
        <v>0</v>
      </c>
      <c r="AJ126" s="27"/>
      <c r="AK126" s="26"/>
      <c r="AL126" s="64">
        <f t="shared" si="28"/>
        <v>0</v>
      </c>
      <c r="AM126" s="67">
        <f t="shared" si="29"/>
        <v>0</v>
      </c>
      <c r="AN126" s="27"/>
      <c r="AO126" s="26"/>
      <c r="AP126" s="27">
        <v>15128</v>
      </c>
      <c r="AQ126" s="109">
        <v>17160</v>
      </c>
      <c r="AR126" s="27">
        <v>11346</v>
      </c>
      <c r="AS126" s="109">
        <v>12492</v>
      </c>
      <c r="AT126" s="27">
        <v>17197</v>
      </c>
      <c r="AU126" s="26">
        <v>17419</v>
      </c>
      <c r="AV126" s="64">
        <f t="shared" si="30"/>
        <v>43671</v>
      </c>
      <c r="AW126" s="70">
        <f t="shared" si="31"/>
        <v>1819.625</v>
      </c>
      <c r="AX126" s="66">
        <f t="shared" si="32"/>
        <v>47071</v>
      </c>
      <c r="AY126" s="71">
        <f t="shared" si="33"/>
        <v>1961.2916666666667</v>
      </c>
      <c r="AZ126" s="72">
        <f t="shared" si="34"/>
        <v>10013.958333333334</v>
      </c>
      <c r="BA126" s="66">
        <f t="shared" si="35"/>
        <v>9961.0263333333332</v>
      </c>
    </row>
    <row r="127" spans="1:53" ht="15">
      <c r="A127" s="123" t="s">
        <v>188</v>
      </c>
      <c r="B127" s="132" t="s">
        <v>203</v>
      </c>
      <c r="C127" s="696"/>
      <c r="D127" s="126" t="s">
        <v>204</v>
      </c>
      <c r="E127" s="127">
        <v>4</v>
      </c>
      <c r="F127" s="29" t="s">
        <v>75</v>
      </c>
      <c r="G127" s="16"/>
      <c r="H127" s="27"/>
      <c r="I127" s="26"/>
      <c r="J127" s="27">
        <v>39934</v>
      </c>
      <c r="K127" s="137">
        <v>34832.82</v>
      </c>
      <c r="L127" s="27">
        <v>6486</v>
      </c>
      <c r="M127" s="134">
        <v>5205.83</v>
      </c>
      <c r="N127" s="27">
        <v>39613</v>
      </c>
      <c r="O127" s="140">
        <v>34169.39</v>
      </c>
      <c r="P127" s="64">
        <f t="shared" si="18"/>
        <v>86033</v>
      </c>
      <c r="Q127" s="65">
        <f t="shared" si="19"/>
        <v>2867.7666666666669</v>
      </c>
      <c r="R127" s="66">
        <f t="shared" si="20"/>
        <v>74208.040000000008</v>
      </c>
      <c r="S127" s="67">
        <f t="shared" si="21"/>
        <v>2473.6013333333335</v>
      </c>
      <c r="T127" s="27">
        <v>527</v>
      </c>
      <c r="U127" s="136">
        <v>435</v>
      </c>
      <c r="V127" s="64">
        <f t="shared" si="22"/>
        <v>86033</v>
      </c>
      <c r="W127" s="68">
        <f t="shared" si="23"/>
        <v>74208.040000000008</v>
      </c>
      <c r="X127" s="27"/>
      <c r="Y127" s="26"/>
      <c r="Z127" s="27"/>
      <c r="AA127" s="26"/>
      <c r="AB127" s="27"/>
      <c r="AC127" s="26"/>
      <c r="AD127" s="27"/>
      <c r="AE127" s="26"/>
      <c r="AF127" s="64">
        <f t="shared" si="24"/>
        <v>0</v>
      </c>
      <c r="AG127" s="65">
        <f t="shared" si="25"/>
        <v>0</v>
      </c>
      <c r="AH127" s="66">
        <f t="shared" si="26"/>
        <v>0</v>
      </c>
      <c r="AI127" s="66">
        <f t="shared" si="27"/>
        <v>0</v>
      </c>
      <c r="AJ127" s="27"/>
      <c r="AK127" s="26"/>
      <c r="AL127" s="64">
        <f t="shared" si="28"/>
        <v>0</v>
      </c>
      <c r="AM127" s="67">
        <f t="shared" si="29"/>
        <v>0</v>
      </c>
      <c r="AN127" s="27"/>
      <c r="AO127" s="26"/>
      <c r="AP127" s="27">
        <v>3658</v>
      </c>
      <c r="AQ127" s="109">
        <v>3223</v>
      </c>
      <c r="AR127" s="27">
        <v>1640</v>
      </c>
      <c r="AS127" s="109">
        <v>1877</v>
      </c>
      <c r="AT127" s="27">
        <v>3470</v>
      </c>
      <c r="AU127" s="26">
        <v>3369</v>
      </c>
      <c r="AV127" s="64">
        <f t="shared" si="30"/>
        <v>8768</v>
      </c>
      <c r="AW127" s="70">
        <f t="shared" si="31"/>
        <v>365.33333333333331</v>
      </c>
      <c r="AX127" s="66">
        <f t="shared" si="32"/>
        <v>8469</v>
      </c>
      <c r="AY127" s="71">
        <f t="shared" si="33"/>
        <v>352.875</v>
      </c>
      <c r="AZ127" s="72">
        <f t="shared" si="34"/>
        <v>3233.1000000000004</v>
      </c>
      <c r="BA127" s="66">
        <f t="shared" si="35"/>
        <v>2826.4763333333335</v>
      </c>
    </row>
    <row r="128" spans="1:53" ht="15">
      <c r="A128" s="123" t="s">
        <v>188</v>
      </c>
      <c r="B128" s="124" t="s">
        <v>205</v>
      </c>
      <c r="C128" s="696"/>
      <c r="D128" s="126" t="s">
        <v>206</v>
      </c>
      <c r="E128" s="127">
        <v>4</v>
      </c>
      <c r="F128" s="29" t="s">
        <v>75</v>
      </c>
      <c r="G128" s="16"/>
      <c r="H128" s="27"/>
      <c r="I128" s="26"/>
      <c r="J128" s="27">
        <v>71814</v>
      </c>
      <c r="K128" s="128">
        <v>71785</v>
      </c>
      <c r="L128" s="27">
        <v>16602</v>
      </c>
      <c r="M128" s="129">
        <v>16976</v>
      </c>
      <c r="N128" s="27">
        <v>77062</v>
      </c>
      <c r="O128" s="135">
        <v>77381</v>
      </c>
      <c r="P128" s="64">
        <f t="shared" si="18"/>
        <v>165478</v>
      </c>
      <c r="Q128" s="65">
        <f t="shared" si="19"/>
        <v>5515.9333333333334</v>
      </c>
      <c r="R128" s="66">
        <f t="shared" si="20"/>
        <v>166142</v>
      </c>
      <c r="S128" s="67">
        <f t="shared" si="21"/>
        <v>5538.0666666666666</v>
      </c>
      <c r="T128" s="27">
        <v>843</v>
      </c>
      <c r="U128" s="141">
        <v>1387</v>
      </c>
      <c r="V128" s="64">
        <f t="shared" si="22"/>
        <v>165478</v>
      </c>
      <c r="W128" s="68">
        <f t="shared" si="23"/>
        <v>166142</v>
      </c>
      <c r="X128" s="27"/>
      <c r="Y128" s="26"/>
      <c r="Z128" s="27"/>
      <c r="AA128" s="26"/>
      <c r="AB128" s="27"/>
      <c r="AC128" s="26"/>
      <c r="AD128" s="27"/>
      <c r="AE128" s="26"/>
      <c r="AF128" s="64">
        <f t="shared" si="24"/>
        <v>0</v>
      </c>
      <c r="AG128" s="65">
        <f t="shared" si="25"/>
        <v>0</v>
      </c>
      <c r="AH128" s="66">
        <f t="shared" si="26"/>
        <v>0</v>
      </c>
      <c r="AI128" s="66">
        <f t="shared" si="27"/>
        <v>0</v>
      </c>
      <c r="AJ128" s="27"/>
      <c r="AK128" s="26"/>
      <c r="AL128" s="64">
        <f t="shared" si="28"/>
        <v>0</v>
      </c>
      <c r="AM128" s="67">
        <f t="shared" si="29"/>
        <v>0</v>
      </c>
      <c r="AN128" s="27"/>
      <c r="AO128" s="26"/>
      <c r="AP128" s="27">
        <v>5628</v>
      </c>
      <c r="AQ128" s="109">
        <v>6049</v>
      </c>
      <c r="AR128" s="27">
        <v>3519</v>
      </c>
      <c r="AS128" s="109">
        <v>3703</v>
      </c>
      <c r="AT128" s="27">
        <v>6075</v>
      </c>
      <c r="AU128" s="26">
        <v>5946</v>
      </c>
      <c r="AV128" s="64">
        <f t="shared" si="30"/>
        <v>15222</v>
      </c>
      <c r="AW128" s="70">
        <f t="shared" si="31"/>
        <v>634.25</v>
      </c>
      <c r="AX128" s="66">
        <f t="shared" si="32"/>
        <v>15698</v>
      </c>
      <c r="AY128" s="71">
        <f t="shared" si="33"/>
        <v>654.08333333333337</v>
      </c>
      <c r="AZ128" s="72">
        <f t="shared" si="34"/>
        <v>6150.1833333333334</v>
      </c>
      <c r="BA128" s="66">
        <f t="shared" si="35"/>
        <v>6192.15</v>
      </c>
    </row>
    <row r="129" spans="1:53" ht="15">
      <c r="A129" s="123" t="s">
        <v>188</v>
      </c>
      <c r="B129" s="132" t="s">
        <v>207</v>
      </c>
      <c r="C129" s="696"/>
      <c r="D129" s="126" t="s">
        <v>208</v>
      </c>
      <c r="E129" s="127">
        <v>4</v>
      </c>
      <c r="F129" s="29" t="s">
        <v>75</v>
      </c>
      <c r="G129" s="16"/>
      <c r="H129" s="27"/>
      <c r="I129" s="26"/>
      <c r="J129" s="27">
        <v>67632</v>
      </c>
      <c r="K129" s="128">
        <v>66334.820000000007</v>
      </c>
      <c r="L129" s="27">
        <v>16106</v>
      </c>
      <c r="M129" s="134">
        <v>18411.830000000002</v>
      </c>
      <c r="N129" s="27">
        <v>70234</v>
      </c>
      <c r="O129" s="135">
        <v>70150.39</v>
      </c>
      <c r="P129" s="64">
        <f t="shared" si="18"/>
        <v>153972</v>
      </c>
      <c r="Q129" s="65">
        <f t="shared" si="19"/>
        <v>5132.3999999999996</v>
      </c>
      <c r="R129" s="66">
        <f t="shared" si="20"/>
        <v>154897.04</v>
      </c>
      <c r="S129" s="67">
        <f t="shared" si="21"/>
        <v>5163.2346666666672</v>
      </c>
      <c r="T129" s="27">
        <v>8272</v>
      </c>
      <c r="U129" s="137">
        <v>10825</v>
      </c>
      <c r="V129" s="64">
        <f t="shared" si="22"/>
        <v>153972</v>
      </c>
      <c r="W129" s="68">
        <f t="shared" si="23"/>
        <v>154897.04</v>
      </c>
      <c r="X129" s="27"/>
      <c r="Y129" s="26"/>
      <c r="Z129" s="27"/>
      <c r="AA129" s="26"/>
      <c r="AB129" s="27"/>
      <c r="AC129" s="26"/>
      <c r="AD129" s="27"/>
      <c r="AE129" s="26"/>
      <c r="AF129" s="64">
        <f t="shared" si="24"/>
        <v>0</v>
      </c>
      <c r="AG129" s="65">
        <f t="shared" si="25"/>
        <v>0</v>
      </c>
      <c r="AH129" s="66">
        <f t="shared" si="26"/>
        <v>0</v>
      </c>
      <c r="AI129" s="66">
        <f t="shared" si="27"/>
        <v>0</v>
      </c>
      <c r="AJ129" s="27"/>
      <c r="AK129" s="26"/>
      <c r="AL129" s="64">
        <f t="shared" si="28"/>
        <v>0</v>
      </c>
      <c r="AM129" s="67">
        <f t="shared" si="29"/>
        <v>0</v>
      </c>
      <c r="AN129" s="27"/>
      <c r="AO129" s="26"/>
      <c r="AP129" s="27">
        <v>2927</v>
      </c>
      <c r="AQ129" s="26">
        <v>3027</v>
      </c>
      <c r="AR129" s="27">
        <v>1544</v>
      </c>
      <c r="AS129" s="109">
        <v>1822</v>
      </c>
      <c r="AT129" s="27">
        <v>2808</v>
      </c>
      <c r="AU129" s="109">
        <v>3139</v>
      </c>
      <c r="AV129" s="64">
        <f t="shared" si="30"/>
        <v>7279</v>
      </c>
      <c r="AW129" s="70">
        <f t="shared" si="31"/>
        <v>303.29166666666669</v>
      </c>
      <c r="AX129" s="66">
        <f t="shared" si="32"/>
        <v>7988</v>
      </c>
      <c r="AY129" s="71">
        <f t="shared" si="33"/>
        <v>332.83333333333331</v>
      </c>
      <c r="AZ129" s="72">
        <f t="shared" si="34"/>
        <v>5435.6916666666666</v>
      </c>
      <c r="BA129" s="66">
        <f t="shared" si="35"/>
        <v>5496.0680000000002</v>
      </c>
    </row>
    <row r="130" spans="1:53" ht="15">
      <c r="A130" s="123" t="s">
        <v>188</v>
      </c>
      <c r="B130" s="132" t="s">
        <v>209</v>
      </c>
      <c r="C130" s="696"/>
      <c r="D130" s="126" t="s">
        <v>210</v>
      </c>
      <c r="E130" s="127">
        <v>4</v>
      </c>
      <c r="F130" s="29" t="s">
        <v>75</v>
      </c>
      <c r="G130" s="16"/>
      <c r="H130" s="27"/>
      <c r="I130" s="26"/>
      <c r="J130" s="27">
        <v>78134</v>
      </c>
      <c r="K130" s="128">
        <v>78482.820000000007</v>
      </c>
      <c r="L130" s="27">
        <v>17339</v>
      </c>
      <c r="M130" s="134">
        <v>15623.83</v>
      </c>
      <c r="N130" s="27">
        <v>83882</v>
      </c>
      <c r="O130" s="135">
        <v>81974.39</v>
      </c>
      <c r="P130" s="64">
        <f t="shared" si="18"/>
        <v>179355</v>
      </c>
      <c r="Q130" s="65">
        <f t="shared" si="19"/>
        <v>5978.5</v>
      </c>
      <c r="R130" s="66">
        <f t="shared" si="20"/>
        <v>176081.04</v>
      </c>
      <c r="S130" s="67">
        <f t="shared" si="21"/>
        <v>5869.3680000000004</v>
      </c>
      <c r="T130" s="27">
        <v>2413</v>
      </c>
      <c r="U130" s="137">
        <v>3025</v>
      </c>
      <c r="V130" s="64">
        <f t="shared" si="22"/>
        <v>179355</v>
      </c>
      <c r="W130" s="68">
        <f t="shared" si="23"/>
        <v>176081.04</v>
      </c>
      <c r="X130" s="27"/>
      <c r="Y130" s="26"/>
      <c r="Z130" s="27"/>
      <c r="AA130" s="26"/>
      <c r="AB130" s="27"/>
      <c r="AC130" s="26"/>
      <c r="AD130" s="27"/>
      <c r="AE130" s="26"/>
      <c r="AF130" s="64">
        <f t="shared" si="24"/>
        <v>0</v>
      </c>
      <c r="AG130" s="65">
        <f t="shared" si="25"/>
        <v>0</v>
      </c>
      <c r="AH130" s="66">
        <f t="shared" si="26"/>
        <v>0</v>
      </c>
      <c r="AI130" s="66">
        <f t="shared" si="27"/>
        <v>0</v>
      </c>
      <c r="AJ130" s="27"/>
      <c r="AK130" s="26"/>
      <c r="AL130" s="64">
        <f t="shared" si="28"/>
        <v>0</v>
      </c>
      <c r="AM130" s="67">
        <f t="shared" si="29"/>
        <v>0</v>
      </c>
      <c r="AN130" s="27"/>
      <c r="AO130" s="26"/>
      <c r="AP130" s="27">
        <v>9151</v>
      </c>
      <c r="AQ130" s="109">
        <v>10712</v>
      </c>
      <c r="AR130" s="27">
        <v>5327</v>
      </c>
      <c r="AS130" s="109">
        <v>5759</v>
      </c>
      <c r="AT130" s="27">
        <v>10184</v>
      </c>
      <c r="AU130" s="109">
        <v>11116</v>
      </c>
      <c r="AV130" s="64">
        <f t="shared" si="30"/>
        <v>24662</v>
      </c>
      <c r="AW130" s="70">
        <f t="shared" si="31"/>
        <v>1027.5833333333333</v>
      </c>
      <c r="AX130" s="66">
        <f t="shared" si="32"/>
        <v>27587</v>
      </c>
      <c r="AY130" s="71">
        <f t="shared" si="33"/>
        <v>1149.4583333333333</v>
      </c>
      <c r="AZ130" s="72">
        <f t="shared" si="34"/>
        <v>7006.083333333333</v>
      </c>
      <c r="BA130" s="66">
        <f t="shared" si="35"/>
        <v>7018.8263333333334</v>
      </c>
    </row>
    <row r="131" spans="1:53" ht="15">
      <c r="A131" s="123" t="s">
        <v>188</v>
      </c>
      <c r="B131" s="132" t="s">
        <v>211</v>
      </c>
      <c r="C131" s="696"/>
      <c r="D131" s="126" t="s">
        <v>212</v>
      </c>
      <c r="E131" s="142">
        <v>4</v>
      </c>
      <c r="F131" s="29" t="s">
        <v>75</v>
      </c>
      <c r="G131" s="16"/>
      <c r="H131" s="27"/>
      <c r="I131" s="26"/>
      <c r="J131" s="27">
        <v>28532</v>
      </c>
      <c r="K131" s="128">
        <v>28650.82</v>
      </c>
      <c r="L131" s="27">
        <v>5295</v>
      </c>
      <c r="M131" s="129">
        <v>5095.83</v>
      </c>
      <c r="N131" s="27">
        <v>30970</v>
      </c>
      <c r="O131" s="135">
        <v>30541.39</v>
      </c>
      <c r="P131" s="64">
        <f t="shared" si="18"/>
        <v>64797</v>
      </c>
      <c r="Q131" s="65">
        <f t="shared" si="19"/>
        <v>2159.9</v>
      </c>
      <c r="R131" s="66">
        <f t="shared" si="20"/>
        <v>64288.04</v>
      </c>
      <c r="S131" s="67">
        <f t="shared" si="21"/>
        <v>2142.9346666666665</v>
      </c>
      <c r="T131" s="27">
        <v>461</v>
      </c>
      <c r="U131" s="143">
        <v>443</v>
      </c>
      <c r="V131" s="64">
        <f t="shared" si="22"/>
        <v>64797</v>
      </c>
      <c r="W131" s="68">
        <f t="shared" si="23"/>
        <v>64288.04</v>
      </c>
      <c r="X131" s="27"/>
      <c r="Y131" s="26"/>
      <c r="Z131" s="27"/>
      <c r="AA131" s="26"/>
      <c r="AB131" s="27"/>
      <c r="AC131" s="26"/>
      <c r="AD131" s="27"/>
      <c r="AE131" s="26"/>
      <c r="AF131" s="64">
        <f t="shared" si="24"/>
        <v>0</v>
      </c>
      <c r="AG131" s="65">
        <f t="shared" si="25"/>
        <v>0</v>
      </c>
      <c r="AH131" s="66">
        <f t="shared" si="26"/>
        <v>0</v>
      </c>
      <c r="AI131" s="66">
        <f t="shared" si="27"/>
        <v>0</v>
      </c>
      <c r="AJ131" s="27"/>
      <c r="AK131" s="26"/>
      <c r="AL131" s="64">
        <f t="shared" si="28"/>
        <v>0</v>
      </c>
      <c r="AM131" s="67">
        <f t="shared" si="29"/>
        <v>0</v>
      </c>
      <c r="AN131" s="27"/>
      <c r="AO131" s="26"/>
      <c r="AP131" s="27">
        <v>2833</v>
      </c>
      <c r="AQ131" s="109">
        <v>3013</v>
      </c>
      <c r="AR131" s="27">
        <v>1235</v>
      </c>
      <c r="AS131" s="109">
        <v>1148</v>
      </c>
      <c r="AT131" s="27">
        <v>2909</v>
      </c>
      <c r="AU131" s="26">
        <v>2913</v>
      </c>
      <c r="AV131" s="64">
        <f t="shared" si="30"/>
        <v>6977</v>
      </c>
      <c r="AW131" s="70">
        <f t="shared" si="31"/>
        <v>290.70833333333331</v>
      </c>
      <c r="AX131" s="66">
        <f t="shared" si="32"/>
        <v>7074</v>
      </c>
      <c r="AY131" s="71">
        <f t="shared" si="33"/>
        <v>294.75</v>
      </c>
      <c r="AZ131" s="72">
        <f t="shared" si="34"/>
        <v>2450.6083333333336</v>
      </c>
      <c r="BA131" s="66">
        <f t="shared" si="35"/>
        <v>2437.6846666666665</v>
      </c>
    </row>
    <row r="132" spans="1:53" ht="15">
      <c r="A132" s="123" t="s">
        <v>188</v>
      </c>
      <c r="B132" s="132" t="s">
        <v>213</v>
      </c>
      <c r="C132" s="696"/>
      <c r="D132" s="126" t="s">
        <v>214</v>
      </c>
      <c r="E132" s="127">
        <v>4</v>
      </c>
      <c r="F132" s="29" t="s">
        <v>75</v>
      </c>
      <c r="G132" s="16"/>
      <c r="H132" s="27"/>
      <c r="I132" s="26"/>
      <c r="J132" s="27">
        <v>78683.5</v>
      </c>
      <c r="K132" s="128">
        <v>79159</v>
      </c>
      <c r="L132" s="27">
        <v>16730</v>
      </c>
      <c r="M132" s="134">
        <v>18109</v>
      </c>
      <c r="N132" s="27">
        <v>84128.5</v>
      </c>
      <c r="O132" s="135">
        <v>84340</v>
      </c>
      <c r="P132" s="64">
        <f t="shared" si="18"/>
        <v>179542</v>
      </c>
      <c r="Q132" s="65">
        <f t="shared" si="19"/>
        <v>5984.7333333333336</v>
      </c>
      <c r="R132" s="66">
        <f t="shared" si="20"/>
        <v>181608</v>
      </c>
      <c r="S132" s="67">
        <f t="shared" si="21"/>
        <v>6053.6</v>
      </c>
      <c r="T132" s="27">
        <v>835</v>
      </c>
      <c r="U132" s="137">
        <v>1044</v>
      </c>
      <c r="V132" s="64">
        <f t="shared" si="22"/>
        <v>179542</v>
      </c>
      <c r="W132" s="68">
        <f t="shared" si="23"/>
        <v>181608</v>
      </c>
      <c r="X132" s="27"/>
      <c r="Y132" s="26"/>
      <c r="Z132" s="27"/>
      <c r="AA132" s="26"/>
      <c r="AB132" s="27"/>
      <c r="AC132" s="26"/>
      <c r="AD132" s="27"/>
      <c r="AE132" s="26"/>
      <c r="AF132" s="64">
        <f t="shared" si="24"/>
        <v>0</v>
      </c>
      <c r="AG132" s="65">
        <f t="shared" si="25"/>
        <v>0</v>
      </c>
      <c r="AH132" s="66">
        <f t="shared" si="26"/>
        <v>0</v>
      </c>
      <c r="AI132" s="66">
        <f t="shared" si="27"/>
        <v>0</v>
      </c>
      <c r="AJ132" s="27"/>
      <c r="AK132" s="26"/>
      <c r="AL132" s="64">
        <f t="shared" si="28"/>
        <v>0</v>
      </c>
      <c r="AM132" s="67">
        <f t="shared" si="29"/>
        <v>0</v>
      </c>
      <c r="AN132" s="27"/>
      <c r="AO132" s="26"/>
      <c r="AP132" s="27">
        <v>6267</v>
      </c>
      <c r="AQ132" s="26">
        <v>6336</v>
      </c>
      <c r="AR132" s="27">
        <v>4774</v>
      </c>
      <c r="AS132" s="26">
        <v>4638</v>
      </c>
      <c r="AT132" s="27">
        <v>6594</v>
      </c>
      <c r="AU132" s="26">
        <v>6510</v>
      </c>
      <c r="AV132" s="64">
        <f t="shared" si="30"/>
        <v>17635</v>
      </c>
      <c r="AW132" s="70">
        <f t="shared" si="31"/>
        <v>734.79166666666663</v>
      </c>
      <c r="AX132" s="66">
        <f t="shared" si="32"/>
        <v>17484</v>
      </c>
      <c r="AY132" s="71">
        <f t="shared" si="33"/>
        <v>728.5</v>
      </c>
      <c r="AZ132" s="72">
        <f t="shared" si="34"/>
        <v>6719.5250000000005</v>
      </c>
      <c r="BA132" s="66">
        <f t="shared" si="35"/>
        <v>6782.1</v>
      </c>
    </row>
    <row r="133" spans="1:53" ht="15">
      <c r="A133" s="123" t="s">
        <v>188</v>
      </c>
      <c r="B133" s="132" t="s">
        <v>215</v>
      </c>
      <c r="C133" s="696"/>
      <c r="D133" s="126" t="s">
        <v>216</v>
      </c>
      <c r="E133" s="127">
        <v>4</v>
      </c>
      <c r="F133" s="29" t="s">
        <v>75</v>
      </c>
      <c r="G133" s="16"/>
      <c r="H133" s="27"/>
      <c r="I133" s="26"/>
      <c r="J133" s="27">
        <v>60688</v>
      </c>
      <c r="K133" s="128">
        <v>61148</v>
      </c>
      <c r="L133" s="27">
        <v>10675</v>
      </c>
      <c r="M133" s="129">
        <v>10573</v>
      </c>
      <c r="N133" s="27">
        <v>65189</v>
      </c>
      <c r="O133" s="135">
        <v>67183</v>
      </c>
      <c r="P133" s="64">
        <f t="shared" si="18"/>
        <v>136552</v>
      </c>
      <c r="Q133" s="65">
        <f t="shared" si="19"/>
        <v>4551.7333333333336</v>
      </c>
      <c r="R133" s="66">
        <f t="shared" si="20"/>
        <v>138904</v>
      </c>
      <c r="S133" s="67">
        <f t="shared" si="21"/>
        <v>4630.1333333333332</v>
      </c>
      <c r="T133" s="27">
        <v>1594</v>
      </c>
      <c r="U133" s="137">
        <v>2041</v>
      </c>
      <c r="V133" s="64">
        <f t="shared" si="22"/>
        <v>136552</v>
      </c>
      <c r="W133" s="68">
        <f t="shared" si="23"/>
        <v>138904</v>
      </c>
      <c r="X133" s="27"/>
      <c r="Y133" s="26"/>
      <c r="Z133" s="27"/>
      <c r="AA133" s="26"/>
      <c r="AB133" s="27"/>
      <c r="AC133" s="26"/>
      <c r="AD133" s="27"/>
      <c r="AE133" s="26"/>
      <c r="AF133" s="64">
        <f t="shared" si="24"/>
        <v>0</v>
      </c>
      <c r="AG133" s="65">
        <f t="shared" si="25"/>
        <v>0</v>
      </c>
      <c r="AH133" s="66">
        <f t="shared" si="26"/>
        <v>0</v>
      </c>
      <c r="AI133" s="66">
        <f t="shared" si="27"/>
        <v>0</v>
      </c>
      <c r="AJ133" s="27"/>
      <c r="AK133" s="26"/>
      <c r="AL133" s="64">
        <f t="shared" si="28"/>
        <v>0</v>
      </c>
      <c r="AM133" s="67">
        <f t="shared" si="29"/>
        <v>0</v>
      </c>
      <c r="AN133" s="27"/>
      <c r="AO133" s="26"/>
      <c r="AP133" s="27">
        <v>14743</v>
      </c>
      <c r="AQ133" s="26">
        <v>14620</v>
      </c>
      <c r="AR133" s="27">
        <v>11416</v>
      </c>
      <c r="AS133" s="26">
        <v>11436</v>
      </c>
      <c r="AT133" s="27">
        <v>16856</v>
      </c>
      <c r="AU133" s="26">
        <v>17445</v>
      </c>
      <c r="AV133" s="64">
        <f t="shared" si="30"/>
        <v>43015</v>
      </c>
      <c r="AW133" s="70">
        <f t="shared" si="31"/>
        <v>1792.2916666666667</v>
      </c>
      <c r="AX133" s="66">
        <f t="shared" si="32"/>
        <v>43501</v>
      </c>
      <c r="AY133" s="71">
        <f t="shared" si="33"/>
        <v>1812.5416666666667</v>
      </c>
      <c r="AZ133" s="72">
        <f t="shared" si="34"/>
        <v>6344.0250000000005</v>
      </c>
      <c r="BA133" s="66">
        <f t="shared" si="35"/>
        <v>6442.6750000000002</v>
      </c>
    </row>
    <row r="134" spans="1:53" ht="15">
      <c r="A134" s="123" t="s">
        <v>188</v>
      </c>
      <c r="B134" s="132" t="s">
        <v>217</v>
      </c>
      <c r="C134" s="696"/>
      <c r="D134" s="144">
        <v>482680</v>
      </c>
      <c r="E134" s="127">
        <v>4</v>
      </c>
      <c r="F134" s="29" t="s">
        <v>75</v>
      </c>
      <c r="G134" s="16"/>
      <c r="H134" s="27"/>
      <c r="I134" s="26"/>
      <c r="J134" s="27">
        <v>170466</v>
      </c>
      <c r="K134" s="137">
        <v>185924.82</v>
      </c>
      <c r="L134" s="27">
        <v>34179</v>
      </c>
      <c r="M134" s="129">
        <v>34087.83</v>
      </c>
      <c r="N134" s="27">
        <v>197268</v>
      </c>
      <c r="O134" s="140">
        <v>209650.39</v>
      </c>
      <c r="P134" s="64">
        <f t="shared" si="18"/>
        <v>401913</v>
      </c>
      <c r="Q134" s="65">
        <f t="shared" si="19"/>
        <v>13397.1</v>
      </c>
      <c r="R134" s="66">
        <f t="shared" si="20"/>
        <v>429663.04000000004</v>
      </c>
      <c r="S134" s="67">
        <f t="shared" si="21"/>
        <v>14322.101333333334</v>
      </c>
      <c r="T134" s="27">
        <v>8632</v>
      </c>
      <c r="U134" s="137">
        <v>12108</v>
      </c>
      <c r="V134" s="64">
        <f t="shared" si="22"/>
        <v>401913</v>
      </c>
      <c r="W134" s="68">
        <f t="shared" si="23"/>
        <v>429663.04000000004</v>
      </c>
      <c r="X134" s="27"/>
      <c r="Y134" s="26"/>
      <c r="Z134" s="27"/>
      <c r="AA134" s="26"/>
      <c r="AB134" s="27"/>
      <c r="AC134" s="26"/>
      <c r="AD134" s="27"/>
      <c r="AE134" s="26"/>
      <c r="AF134" s="64">
        <f t="shared" si="24"/>
        <v>0</v>
      </c>
      <c r="AG134" s="65">
        <f t="shared" si="25"/>
        <v>0</v>
      </c>
      <c r="AH134" s="66">
        <f t="shared" si="26"/>
        <v>0</v>
      </c>
      <c r="AI134" s="66">
        <f t="shared" si="27"/>
        <v>0</v>
      </c>
      <c r="AJ134" s="27"/>
      <c r="AK134" s="26"/>
      <c r="AL134" s="64">
        <f t="shared" si="28"/>
        <v>0</v>
      </c>
      <c r="AM134" s="67">
        <f t="shared" si="29"/>
        <v>0</v>
      </c>
      <c r="AN134" s="27"/>
      <c r="AO134" s="26"/>
      <c r="AP134" s="27">
        <v>4196</v>
      </c>
      <c r="AQ134" s="109">
        <v>3861</v>
      </c>
      <c r="AR134" s="27">
        <v>3053</v>
      </c>
      <c r="AS134" s="109">
        <v>2842</v>
      </c>
      <c r="AT134" s="27">
        <v>3777</v>
      </c>
      <c r="AU134" s="26">
        <v>3880</v>
      </c>
      <c r="AV134" s="64">
        <f t="shared" si="30"/>
        <v>11026</v>
      </c>
      <c r="AW134" s="70">
        <f t="shared" si="31"/>
        <v>459.41666666666669</v>
      </c>
      <c r="AX134" s="66">
        <f t="shared" si="32"/>
        <v>10583</v>
      </c>
      <c r="AY134" s="71">
        <f t="shared" si="33"/>
        <v>440.95833333333331</v>
      </c>
      <c r="AZ134" s="72">
        <f t="shared" si="34"/>
        <v>13856.516666666666</v>
      </c>
      <c r="BA134" s="66">
        <f t="shared" si="35"/>
        <v>14763.059666666668</v>
      </c>
    </row>
    <row r="135" spans="1:53" ht="15">
      <c r="A135" s="123" t="s">
        <v>188</v>
      </c>
      <c r="B135" s="132" t="s">
        <v>218</v>
      </c>
      <c r="C135" s="696" t="s">
        <v>977</v>
      </c>
      <c r="D135" s="126" t="s">
        <v>219</v>
      </c>
      <c r="E135" s="127">
        <v>5</v>
      </c>
      <c r="F135" s="29" t="s">
        <v>75</v>
      </c>
      <c r="G135" s="16"/>
      <c r="H135" s="27"/>
      <c r="I135" s="26"/>
      <c r="J135" s="27">
        <v>26530</v>
      </c>
      <c r="K135" s="128">
        <v>25996.82</v>
      </c>
      <c r="L135" s="27">
        <v>7816</v>
      </c>
      <c r="M135" s="129">
        <v>7862.83</v>
      </c>
      <c r="N135" s="27">
        <v>28529</v>
      </c>
      <c r="O135" s="140">
        <v>30157.39</v>
      </c>
      <c r="P135" s="64">
        <f t="shared" si="18"/>
        <v>62875</v>
      </c>
      <c r="Q135" s="65">
        <f t="shared" si="19"/>
        <v>2095.8333333333335</v>
      </c>
      <c r="R135" s="66">
        <f t="shared" si="20"/>
        <v>64017.04</v>
      </c>
      <c r="S135" s="67">
        <f t="shared" si="21"/>
        <v>2133.9013333333332</v>
      </c>
      <c r="T135" s="27">
        <v>706</v>
      </c>
      <c r="U135" s="141">
        <v>1254</v>
      </c>
      <c r="V135" s="64">
        <f t="shared" si="22"/>
        <v>62875</v>
      </c>
      <c r="W135" s="68">
        <f t="shared" si="23"/>
        <v>64017.04</v>
      </c>
      <c r="X135" s="27"/>
      <c r="Y135" s="26"/>
      <c r="Z135" s="27"/>
      <c r="AA135" s="26"/>
      <c r="AB135" s="27"/>
      <c r="AC135" s="26"/>
      <c r="AD135" s="27"/>
      <c r="AE135" s="26"/>
      <c r="AF135" s="64">
        <f t="shared" si="24"/>
        <v>0</v>
      </c>
      <c r="AG135" s="65">
        <f t="shared" si="25"/>
        <v>0</v>
      </c>
      <c r="AH135" s="66">
        <f t="shared" si="26"/>
        <v>0</v>
      </c>
      <c r="AI135" s="66">
        <f t="shared" si="27"/>
        <v>0</v>
      </c>
      <c r="AJ135" s="27"/>
      <c r="AK135" s="26"/>
      <c r="AL135" s="64">
        <f t="shared" si="28"/>
        <v>0</v>
      </c>
      <c r="AM135" s="67">
        <f t="shared" si="29"/>
        <v>0</v>
      </c>
      <c r="AN135" s="27"/>
      <c r="AO135" s="26"/>
      <c r="AP135" s="27">
        <v>789</v>
      </c>
      <c r="AQ135" s="52">
        <v>2229</v>
      </c>
      <c r="AR135" s="27">
        <v>2436</v>
      </c>
      <c r="AS135" s="109">
        <v>3541</v>
      </c>
      <c r="AT135" s="27">
        <v>2529</v>
      </c>
      <c r="AU135" s="109">
        <v>2952</v>
      </c>
      <c r="AV135" s="64">
        <f t="shared" si="30"/>
        <v>5754</v>
      </c>
      <c r="AW135" s="70">
        <f t="shared" si="31"/>
        <v>239.75</v>
      </c>
      <c r="AX135" s="66">
        <f t="shared" si="32"/>
        <v>8722</v>
      </c>
      <c r="AY135" s="71">
        <f t="shared" si="33"/>
        <v>363.41666666666669</v>
      </c>
      <c r="AZ135" s="72">
        <f t="shared" si="34"/>
        <v>2335.5833333333335</v>
      </c>
      <c r="BA135" s="66">
        <f t="shared" si="35"/>
        <v>2497.3179999999998</v>
      </c>
    </row>
    <row r="136" spans="1:53" ht="15">
      <c r="A136" s="123" t="s">
        <v>188</v>
      </c>
      <c r="B136" s="132" t="s">
        <v>220</v>
      </c>
      <c r="C136" s="696"/>
      <c r="D136" s="126" t="s">
        <v>221</v>
      </c>
      <c r="E136" s="127">
        <v>5</v>
      </c>
      <c r="F136" s="29" t="s">
        <v>75</v>
      </c>
      <c r="G136" s="16"/>
      <c r="H136" s="27"/>
      <c r="I136" s="26"/>
      <c r="J136" s="27">
        <v>58201</v>
      </c>
      <c r="K136" s="128">
        <v>58230.82</v>
      </c>
      <c r="L136" s="27">
        <v>6851</v>
      </c>
      <c r="M136" s="134">
        <v>6494.83</v>
      </c>
      <c r="N136" s="27">
        <v>63250</v>
      </c>
      <c r="O136" s="135">
        <v>65625.39</v>
      </c>
      <c r="P136" s="64">
        <f t="shared" si="18"/>
        <v>128302</v>
      </c>
      <c r="Q136" s="65">
        <f t="shared" si="19"/>
        <v>4276.7333333333336</v>
      </c>
      <c r="R136" s="66">
        <f t="shared" si="20"/>
        <v>130351.04000000001</v>
      </c>
      <c r="S136" s="67">
        <f t="shared" si="21"/>
        <v>4345.0346666666674</v>
      </c>
      <c r="T136" s="27">
        <v>1299</v>
      </c>
      <c r="U136" s="137">
        <v>1708</v>
      </c>
      <c r="V136" s="64">
        <f t="shared" si="22"/>
        <v>128302</v>
      </c>
      <c r="W136" s="68">
        <f t="shared" si="23"/>
        <v>130351.04000000001</v>
      </c>
      <c r="X136" s="27"/>
      <c r="Y136" s="26"/>
      <c r="Z136" s="27"/>
      <c r="AA136" s="26"/>
      <c r="AB136" s="27"/>
      <c r="AC136" s="26"/>
      <c r="AD136" s="27"/>
      <c r="AE136" s="26"/>
      <c r="AF136" s="64">
        <f t="shared" si="24"/>
        <v>0</v>
      </c>
      <c r="AG136" s="65">
        <f t="shared" si="25"/>
        <v>0</v>
      </c>
      <c r="AH136" s="66">
        <f t="shared" si="26"/>
        <v>0</v>
      </c>
      <c r="AI136" s="66">
        <f t="shared" si="27"/>
        <v>0</v>
      </c>
      <c r="AJ136" s="27"/>
      <c r="AK136" s="26"/>
      <c r="AL136" s="64">
        <f t="shared" si="28"/>
        <v>0</v>
      </c>
      <c r="AM136" s="67">
        <f t="shared" si="29"/>
        <v>0</v>
      </c>
      <c r="AN136" s="27"/>
      <c r="AO136" s="26"/>
      <c r="AP136" s="27">
        <v>1682</v>
      </c>
      <c r="AQ136" s="109">
        <v>1559</v>
      </c>
      <c r="AR136" s="27">
        <v>366</v>
      </c>
      <c r="AS136" s="109">
        <v>387</v>
      </c>
      <c r="AT136" s="27">
        <v>1641</v>
      </c>
      <c r="AU136" s="109">
        <v>1873</v>
      </c>
      <c r="AV136" s="64">
        <f t="shared" si="30"/>
        <v>3689</v>
      </c>
      <c r="AW136" s="70">
        <f t="shared" si="31"/>
        <v>153.70833333333334</v>
      </c>
      <c r="AX136" s="66">
        <f t="shared" si="32"/>
        <v>3819</v>
      </c>
      <c r="AY136" s="71">
        <f t="shared" si="33"/>
        <v>159.125</v>
      </c>
      <c r="AZ136" s="72">
        <f t="shared" si="34"/>
        <v>4430.4416666666666</v>
      </c>
      <c r="BA136" s="66">
        <f t="shared" si="35"/>
        <v>4504.1596666666674</v>
      </c>
    </row>
    <row r="137" spans="1:53" ht="15">
      <c r="A137" s="123" t="s">
        <v>188</v>
      </c>
      <c r="B137" s="132" t="s">
        <v>222</v>
      </c>
      <c r="C137" s="696"/>
      <c r="D137" s="126" t="s">
        <v>223</v>
      </c>
      <c r="E137" s="127">
        <v>6</v>
      </c>
      <c r="F137" s="29" t="s">
        <v>75</v>
      </c>
      <c r="G137" s="16"/>
      <c r="H137" s="27"/>
      <c r="I137" s="26"/>
      <c r="J137" s="27">
        <v>49654</v>
      </c>
      <c r="K137" s="128">
        <v>51502.82</v>
      </c>
      <c r="L137" s="27">
        <v>9428</v>
      </c>
      <c r="M137" s="134">
        <v>10130.83</v>
      </c>
      <c r="N137" s="27">
        <v>57481</v>
      </c>
      <c r="O137" s="135">
        <v>58847.39</v>
      </c>
      <c r="P137" s="64">
        <f t="shared" si="18"/>
        <v>116563</v>
      </c>
      <c r="Q137" s="65">
        <f t="shared" si="19"/>
        <v>3885.4333333333334</v>
      </c>
      <c r="R137" s="66">
        <f t="shared" si="20"/>
        <v>120481.04000000001</v>
      </c>
      <c r="S137" s="67">
        <f t="shared" si="21"/>
        <v>4016.0346666666669</v>
      </c>
      <c r="T137" s="27">
        <v>3119</v>
      </c>
      <c r="U137" s="141">
        <v>5287</v>
      </c>
      <c r="V137" s="64">
        <f t="shared" si="22"/>
        <v>116563</v>
      </c>
      <c r="W137" s="68">
        <f t="shared" si="23"/>
        <v>120481.04000000001</v>
      </c>
      <c r="X137" s="27"/>
      <c r="Y137" s="26"/>
      <c r="Z137" s="27"/>
      <c r="AA137" s="26"/>
      <c r="AB137" s="27"/>
      <c r="AC137" s="26"/>
      <c r="AD137" s="27"/>
      <c r="AE137" s="26"/>
      <c r="AF137" s="64">
        <f t="shared" si="24"/>
        <v>0</v>
      </c>
      <c r="AG137" s="65">
        <f t="shared" si="25"/>
        <v>0</v>
      </c>
      <c r="AH137" s="66">
        <f t="shared" si="26"/>
        <v>0</v>
      </c>
      <c r="AI137" s="66">
        <f t="shared" si="27"/>
        <v>0</v>
      </c>
      <c r="AJ137" s="27"/>
      <c r="AK137" s="26"/>
      <c r="AL137" s="64">
        <f t="shared" si="28"/>
        <v>0</v>
      </c>
      <c r="AM137" s="67">
        <f t="shared" si="29"/>
        <v>0</v>
      </c>
      <c r="AN137" s="27"/>
      <c r="AO137" s="26"/>
      <c r="AP137" s="27"/>
      <c r="AQ137" s="26"/>
      <c r="AR137" s="27"/>
      <c r="AS137" s="26"/>
      <c r="AT137" s="27"/>
      <c r="AU137" s="26">
        <v>0</v>
      </c>
      <c r="AV137" s="64">
        <f t="shared" si="30"/>
        <v>0</v>
      </c>
      <c r="AW137" s="70">
        <f t="shared" si="31"/>
        <v>0</v>
      </c>
      <c r="AX137" s="66">
        <f t="shared" si="32"/>
        <v>0</v>
      </c>
      <c r="AY137" s="71">
        <f t="shared" si="33"/>
        <v>0</v>
      </c>
      <c r="AZ137" s="72">
        <f t="shared" si="34"/>
        <v>3885.4333333333334</v>
      </c>
      <c r="BA137" s="66">
        <f t="shared" si="35"/>
        <v>4016.0346666666669</v>
      </c>
    </row>
    <row r="138" spans="1:53" ht="15">
      <c r="A138" s="123" t="s">
        <v>188</v>
      </c>
      <c r="B138" s="132" t="s">
        <v>224</v>
      </c>
      <c r="C138" s="696"/>
      <c r="D138" s="126" t="s">
        <v>225</v>
      </c>
      <c r="E138" s="127">
        <v>6</v>
      </c>
      <c r="F138" s="29" t="s">
        <v>75</v>
      </c>
      <c r="G138" s="16"/>
      <c r="H138" s="27"/>
      <c r="I138" s="26"/>
      <c r="J138" s="27">
        <v>125461</v>
      </c>
      <c r="K138" s="128">
        <v>129621.82</v>
      </c>
      <c r="L138" s="27">
        <v>22310</v>
      </c>
      <c r="M138" s="134">
        <v>23936.83</v>
      </c>
      <c r="N138" s="27">
        <v>133658</v>
      </c>
      <c r="O138" s="135">
        <v>140009.39000000001</v>
      </c>
      <c r="P138" s="64">
        <f t="shared" ref="P138:P257" si="36">SUM(H138,J138,L138,N138)</f>
        <v>281429</v>
      </c>
      <c r="Q138" s="65">
        <f t="shared" ref="Q138:Q257" si="37">+P138/30</f>
        <v>9380.9666666666672</v>
      </c>
      <c r="R138" s="66">
        <f t="shared" ref="R138:R257" si="38">SUM(I138,K138,M138,O138)</f>
        <v>293568.04000000004</v>
      </c>
      <c r="S138" s="67">
        <f t="shared" ref="S138:S257" si="39">+R138/30</f>
        <v>9785.601333333334</v>
      </c>
      <c r="T138" s="27">
        <v>6465</v>
      </c>
      <c r="U138" s="137">
        <v>7349</v>
      </c>
      <c r="V138" s="64">
        <f t="shared" ref="V138:V257" si="40">IF(ISBLANK(T138),0,P138)</f>
        <v>281429</v>
      </c>
      <c r="W138" s="68">
        <f t="shared" ref="W138:W257" si="41">IF(ISBLANK(U138),0,R138)</f>
        <v>293568.04000000004</v>
      </c>
      <c r="X138" s="27"/>
      <c r="Y138" s="26"/>
      <c r="Z138" s="27"/>
      <c r="AA138" s="26"/>
      <c r="AB138" s="27"/>
      <c r="AC138" s="26"/>
      <c r="AD138" s="27"/>
      <c r="AE138" s="26"/>
      <c r="AF138" s="64">
        <f t="shared" ref="AF138:AF257" si="42">SUM(X138,Z138,AB138,AD138)</f>
        <v>0</v>
      </c>
      <c r="AG138" s="65">
        <f t="shared" ref="AG138:AG257" si="43">+AF138/900</f>
        <v>0</v>
      </c>
      <c r="AH138" s="66">
        <f t="shared" ref="AH138:AH257" si="44">SUM(Y138,AA138,AC138,AE138)</f>
        <v>0</v>
      </c>
      <c r="AI138" s="66">
        <f t="shared" ref="AI138:AI257" si="45">+AH138/900</f>
        <v>0</v>
      </c>
      <c r="AJ138" s="27"/>
      <c r="AK138" s="26"/>
      <c r="AL138" s="64">
        <f t="shared" ref="AL138:AL257" si="46">IF(ISBLANK(AJ138),0,AF138)</f>
        <v>0</v>
      </c>
      <c r="AM138" s="67">
        <f t="shared" ref="AM138:AM257" si="47">IF(ISBLANK(AK138),0,AH138)</f>
        <v>0</v>
      </c>
      <c r="AN138" s="27"/>
      <c r="AO138" s="26"/>
      <c r="AP138" s="27"/>
      <c r="AQ138" s="26"/>
      <c r="AR138" s="27"/>
      <c r="AS138" s="26"/>
      <c r="AT138" s="27"/>
      <c r="AU138" s="26">
        <v>0</v>
      </c>
      <c r="AV138" s="64">
        <f t="shared" ref="AV138:AV257" si="48">SUM(AN138,AP138,AR138,AT138)</f>
        <v>0</v>
      </c>
      <c r="AW138" s="70">
        <f t="shared" ref="AW138:AW257" si="49">+AV138/24</f>
        <v>0</v>
      </c>
      <c r="AX138" s="66">
        <f t="shared" ref="AX138:AX257" si="50">SUM(AO138,AQ138,AS138,AU138)</f>
        <v>0</v>
      </c>
      <c r="AY138" s="71">
        <f t="shared" ref="AY138:AY257" si="51">+AX138/24</f>
        <v>0</v>
      </c>
      <c r="AZ138" s="72">
        <f t="shared" ref="AZ138:AZ257" si="52">SUM(Q138,AG138,AW138)</f>
        <v>9380.9666666666672</v>
      </c>
      <c r="BA138" s="66">
        <f t="shared" ref="BA138:BA257" si="53">SUM(S138,AI138,AY138)</f>
        <v>9785.601333333334</v>
      </c>
    </row>
    <row r="139" spans="1:53" ht="15">
      <c r="A139" s="123" t="s">
        <v>188</v>
      </c>
      <c r="B139" s="132" t="s">
        <v>226</v>
      </c>
      <c r="C139" s="696"/>
      <c r="D139" s="144">
        <v>482158</v>
      </c>
      <c r="E139" s="127">
        <v>6</v>
      </c>
      <c r="F139" s="29" t="s">
        <v>75</v>
      </c>
      <c r="G139" s="16"/>
      <c r="H139" s="27"/>
      <c r="I139" s="26"/>
      <c r="J139" s="27">
        <v>78770</v>
      </c>
      <c r="K139" s="128">
        <v>80078.820000000007</v>
      </c>
      <c r="L139" s="27">
        <v>19627</v>
      </c>
      <c r="M139" s="129">
        <v>19293.830000000002</v>
      </c>
      <c r="N139" s="27">
        <v>84658</v>
      </c>
      <c r="O139" s="135">
        <v>83925.39</v>
      </c>
      <c r="P139" s="64">
        <f t="shared" si="36"/>
        <v>183055</v>
      </c>
      <c r="Q139" s="65">
        <f t="shared" si="37"/>
        <v>6101.833333333333</v>
      </c>
      <c r="R139" s="66">
        <f t="shared" si="38"/>
        <v>183298.04</v>
      </c>
      <c r="S139" s="67">
        <f t="shared" si="39"/>
        <v>6109.934666666667</v>
      </c>
      <c r="T139" s="27">
        <v>5156</v>
      </c>
      <c r="U139" s="137">
        <v>6736</v>
      </c>
      <c r="V139" s="64">
        <f t="shared" si="40"/>
        <v>183055</v>
      </c>
      <c r="W139" s="68">
        <f t="shared" si="41"/>
        <v>183298.04</v>
      </c>
      <c r="X139" s="27"/>
      <c r="Y139" s="26"/>
      <c r="Z139" s="27"/>
      <c r="AA139" s="26"/>
      <c r="AB139" s="27"/>
      <c r="AC139" s="26"/>
      <c r="AD139" s="27"/>
      <c r="AE139" s="26"/>
      <c r="AF139" s="64">
        <f t="shared" si="42"/>
        <v>0</v>
      </c>
      <c r="AG139" s="65">
        <f t="shared" si="43"/>
        <v>0</v>
      </c>
      <c r="AH139" s="66">
        <f t="shared" si="44"/>
        <v>0</v>
      </c>
      <c r="AI139" s="66">
        <f t="shared" si="45"/>
        <v>0</v>
      </c>
      <c r="AJ139" s="27"/>
      <c r="AK139" s="26"/>
      <c r="AL139" s="64">
        <f t="shared" si="46"/>
        <v>0</v>
      </c>
      <c r="AM139" s="67">
        <f t="shared" si="47"/>
        <v>0</v>
      </c>
      <c r="AN139" s="27"/>
      <c r="AO139" s="26"/>
      <c r="AP139" s="27"/>
      <c r="AQ139" s="52">
        <v>405</v>
      </c>
      <c r="AR139" s="27"/>
      <c r="AS139" s="52">
        <v>240</v>
      </c>
      <c r="AT139" s="27"/>
      <c r="AU139" s="52">
        <v>558</v>
      </c>
      <c r="AV139" s="64">
        <f t="shared" si="48"/>
        <v>0</v>
      </c>
      <c r="AW139" s="70">
        <f t="shared" si="49"/>
        <v>0</v>
      </c>
      <c r="AX139" s="66">
        <f t="shared" si="50"/>
        <v>1203</v>
      </c>
      <c r="AY139" s="71">
        <f t="shared" si="51"/>
        <v>50.125</v>
      </c>
      <c r="AZ139" s="72">
        <f t="shared" si="52"/>
        <v>6101.833333333333</v>
      </c>
      <c r="BA139" s="66">
        <f t="shared" si="53"/>
        <v>6160.059666666667</v>
      </c>
    </row>
    <row r="140" spans="1:53" ht="15">
      <c r="A140" s="123" t="s">
        <v>188</v>
      </c>
      <c r="B140" s="132" t="s">
        <v>227</v>
      </c>
      <c r="C140" s="696"/>
      <c r="D140" s="126" t="s">
        <v>228</v>
      </c>
      <c r="E140" s="127">
        <v>7</v>
      </c>
      <c r="F140" s="29" t="s">
        <v>75</v>
      </c>
      <c r="G140" s="16"/>
      <c r="H140" s="27"/>
      <c r="I140" s="26"/>
      <c r="J140" s="27">
        <v>36783</v>
      </c>
      <c r="K140" s="128">
        <v>37135.82</v>
      </c>
      <c r="L140" s="27">
        <v>5853</v>
      </c>
      <c r="M140" s="129">
        <v>6024.83</v>
      </c>
      <c r="N140" s="27">
        <v>41577</v>
      </c>
      <c r="O140" s="135">
        <v>42325.39</v>
      </c>
      <c r="P140" s="64">
        <f t="shared" si="36"/>
        <v>84213</v>
      </c>
      <c r="Q140" s="65">
        <f t="shared" si="37"/>
        <v>2807.1</v>
      </c>
      <c r="R140" s="66">
        <f t="shared" si="38"/>
        <v>85486.040000000008</v>
      </c>
      <c r="S140" s="67">
        <f t="shared" si="39"/>
        <v>2849.5346666666669</v>
      </c>
      <c r="T140" s="27">
        <v>2360</v>
      </c>
      <c r="U140" s="137">
        <v>2860</v>
      </c>
      <c r="V140" s="64">
        <f t="shared" si="40"/>
        <v>84213</v>
      </c>
      <c r="W140" s="68">
        <f t="shared" si="41"/>
        <v>85486.040000000008</v>
      </c>
      <c r="X140" s="27"/>
      <c r="Y140" s="26"/>
      <c r="Z140" s="27"/>
      <c r="AA140" s="26"/>
      <c r="AB140" s="27"/>
      <c r="AC140" s="26"/>
      <c r="AD140" s="27"/>
      <c r="AE140" s="26"/>
      <c r="AF140" s="64">
        <f t="shared" si="42"/>
        <v>0</v>
      </c>
      <c r="AG140" s="65">
        <f t="shared" si="43"/>
        <v>0</v>
      </c>
      <c r="AH140" s="66">
        <f t="shared" si="44"/>
        <v>0</v>
      </c>
      <c r="AI140" s="66">
        <f t="shared" si="45"/>
        <v>0</v>
      </c>
      <c r="AJ140" s="27"/>
      <c r="AK140" s="26"/>
      <c r="AL140" s="64">
        <f t="shared" si="46"/>
        <v>0</v>
      </c>
      <c r="AM140" s="67">
        <f t="shared" si="47"/>
        <v>0</v>
      </c>
      <c r="AN140" s="27"/>
      <c r="AO140" s="26"/>
      <c r="AP140" s="27"/>
      <c r="AQ140" s="26"/>
      <c r="AR140" s="27"/>
      <c r="AS140" s="26"/>
      <c r="AT140" s="27"/>
      <c r="AU140" s="26">
        <v>0</v>
      </c>
      <c r="AV140" s="64">
        <f t="shared" si="48"/>
        <v>0</v>
      </c>
      <c r="AW140" s="70">
        <f t="shared" si="49"/>
        <v>0</v>
      </c>
      <c r="AX140" s="66">
        <f t="shared" si="50"/>
        <v>0</v>
      </c>
      <c r="AY140" s="71">
        <f t="shared" si="51"/>
        <v>0</v>
      </c>
      <c r="AZ140" s="72">
        <f t="shared" si="52"/>
        <v>2807.1</v>
      </c>
      <c r="BA140" s="66">
        <f t="shared" si="53"/>
        <v>2849.5346666666669</v>
      </c>
    </row>
    <row r="141" spans="1:53" ht="15">
      <c r="A141" s="123" t="s">
        <v>188</v>
      </c>
      <c r="B141" s="145" t="s">
        <v>229</v>
      </c>
      <c r="C141" s="697" t="s">
        <v>978</v>
      </c>
      <c r="D141" s="126" t="s">
        <v>230</v>
      </c>
      <c r="E141" s="142">
        <v>6</v>
      </c>
      <c r="F141" s="29" t="s">
        <v>75</v>
      </c>
      <c r="G141" s="16"/>
      <c r="H141" s="27"/>
      <c r="I141" s="26"/>
      <c r="J141" s="27">
        <v>31585</v>
      </c>
      <c r="K141" s="137">
        <v>33308.82</v>
      </c>
      <c r="L141" s="27">
        <v>6089</v>
      </c>
      <c r="M141" s="134">
        <v>6779.83</v>
      </c>
      <c r="N141" s="27">
        <v>35461</v>
      </c>
      <c r="O141" s="140">
        <v>39404.39</v>
      </c>
      <c r="P141" s="64">
        <f t="shared" si="36"/>
        <v>73135</v>
      </c>
      <c r="Q141" s="65">
        <f t="shared" si="37"/>
        <v>2437.8333333333335</v>
      </c>
      <c r="R141" s="66">
        <f t="shared" si="38"/>
        <v>79493.040000000008</v>
      </c>
      <c r="S141" s="67">
        <f t="shared" si="39"/>
        <v>2649.7680000000005</v>
      </c>
      <c r="T141" s="27">
        <v>2572</v>
      </c>
      <c r="U141" s="137">
        <v>3726</v>
      </c>
      <c r="V141" s="64">
        <f t="shared" si="40"/>
        <v>73135</v>
      </c>
      <c r="W141" s="68">
        <f t="shared" si="41"/>
        <v>79493.040000000008</v>
      </c>
      <c r="X141" s="27"/>
      <c r="Y141" s="26"/>
      <c r="Z141" s="27"/>
      <c r="AA141" s="26"/>
      <c r="AB141" s="27"/>
      <c r="AC141" s="26"/>
      <c r="AD141" s="27"/>
      <c r="AE141" s="26"/>
      <c r="AF141" s="64">
        <f t="shared" si="42"/>
        <v>0</v>
      </c>
      <c r="AG141" s="65">
        <f t="shared" si="43"/>
        <v>0</v>
      </c>
      <c r="AH141" s="66">
        <f t="shared" si="44"/>
        <v>0</v>
      </c>
      <c r="AI141" s="66">
        <f t="shared" si="45"/>
        <v>0</v>
      </c>
      <c r="AJ141" s="27"/>
      <c r="AK141" s="26"/>
      <c r="AL141" s="64">
        <f t="shared" si="46"/>
        <v>0</v>
      </c>
      <c r="AM141" s="67">
        <f t="shared" si="47"/>
        <v>0</v>
      </c>
      <c r="AN141" s="27"/>
      <c r="AO141" s="26"/>
      <c r="AP141" s="27"/>
      <c r="AQ141" s="26"/>
      <c r="AR141" s="27"/>
      <c r="AS141" s="26"/>
      <c r="AT141" s="27"/>
      <c r="AU141" s="26">
        <v>0</v>
      </c>
      <c r="AV141" s="64">
        <f t="shared" si="48"/>
        <v>0</v>
      </c>
      <c r="AW141" s="70">
        <f t="shared" si="49"/>
        <v>0</v>
      </c>
      <c r="AX141" s="66">
        <f t="shared" si="50"/>
        <v>0</v>
      </c>
      <c r="AY141" s="71">
        <f t="shared" si="51"/>
        <v>0</v>
      </c>
      <c r="AZ141" s="72">
        <f t="shared" si="52"/>
        <v>2437.8333333333335</v>
      </c>
      <c r="BA141" s="66">
        <f t="shared" si="53"/>
        <v>2649.7680000000005</v>
      </c>
    </row>
    <row r="142" spans="1:53" ht="15">
      <c r="A142" s="123" t="s">
        <v>188</v>
      </c>
      <c r="B142" s="132" t="s">
        <v>231</v>
      </c>
      <c r="C142" s="696"/>
      <c r="D142" s="126" t="s">
        <v>232</v>
      </c>
      <c r="E142" s="127">
        <v>7</v>
      </c>
      <c r="F142" s="29" t="s">
        <v>75</v>
      </c>
      <c r="G142" s="16"/>
      <c r="H142" s="27"/>
      <c r="I142" s="26"/>
      <c r="J142" s="27">
        <v>41434</v>
      </c>
      <c r="K142" s="128">
        <v>41472.82</v>
      </c>
      <c r="L142" s="27">
        <v>5449</v>
      </c>
      <c r="M142" s="134">
        <v>5132.83</v>
      </c>
      <c r="N142" s="27">
        <v>47686</v>
      </c>
      <c r="O142" s="140">
        <v>44897.39</v>
      </c>
      <c r="P142" s="64">
        <f t="shared" si="36"/>
        <v>94569</v>
      </c>
      <c r="Q142" s="65">
        <f t="shared" si="37"/>
        <v>3152.3</v>
      </c>
      <c r="R142" s="66">
        <f t="shared" si="38"/>
        <v>91503.040000000008</v>
      </c>
      <c r="S142" s="67">
        <f t="shared" si="39"/>
        <v>3050.1013333333335</v>
      </c>
      <c r="T142" s="27">
        <v>2696</v>
      </c>
      <c r="U142" s="137">
        <v>3792</v>
      </c>
      <c r="V142" s="64">
        <f t="shared" si="40"/>
        <v>94569</v>
      </c>
      <c r="W142" s="68">
        <f t="shared" si="41"/>
        <v>91503.040000000008</v>
      </c>
      <c r="X142" s="27"/>
      <c r="Y142" s="26"/>
      <c r="Z142" s="27"/>
      <c r="AA142" s="26"/>
      <c r="AB142" s="27"/>
      <c r="AC142" s="26"/>
      <c r="AD142" s="27"/>
      <c r="AE142" s="26"/>
      <c r="AF142" s="64">
        <f t="shared" si="42"/>
        <v>0</v>
      </c>
      <c r="AG142" s="65">
        <f t="shared" si="43"/>
        <v>0</v>
      </c>
      <c r="AH142" s="66">
        <f t="shared" si="44"/>
        <v>0</v>
      </c>
      <c r="AI142" s="66">
        <f t="shared" si="45"/>
        <v>0</v>
      </c>
      <c r="AJ142" s="27"/>
      <c r="AK142" s="26"/>
      <c r="AL142" s="64">
        <f t="shared" si="46"/>
        <v>0</v>
      </c>
      <c r="AM142" s="67">
        <f t="shared" si="47"/>
        <v>0</v>
      </c>
      <c r="AN142" s="27"/>
      <c r="AO142" s="26"/>
      <c r="AP142" s="27"/>
      <c r="AQ142" s="26"/>
      <c r="AR142" s="27"/>
      <c r="AS142" s="26"/>
      <c r="AT142" s="27"/>
      <c r="AU142" s="26">
        <v>0</v>
      </c>
      <c r="AV142" s="64">
        <f t="shared" si="48"/>
        <v>0</v>
      </c>
      <c r="AW142" s="70">
        <f t="shared" si="49"/>
        <v>0</v>
      </c>
      <c r="AX142" s="66">
        <f t="shared" si="50"/>
        <v>0</v>
      </c>
      <c r="AY142" s="71">
        <f t="shared" si="51"/>
        <v>0</v>
      </c>
      <c r="AZ142" s="72">
        <f t="shared" si="52"/>
        <v>3152.3</v>
      </c>
      <c r="BA142" s="66">
        <f t="shared" si="53"/>
        <v>3050.1013333333335</v>
      </c>
    </row>
    <row r="143" spans="1:53" s="54" customFormat="1" ht="15" customHeight="1">
      <c r="A143" s="123" t="s">
        <v>188</v>
      </c>
      <c r="B143" s="132" t="s">
        <v>233</v>
      </c>
      <c r="C143" s="696"/>
      <c r="D143" s="126" t="s">
        <v>234</v>
      </c>
      <c r="E143" s="127">
        <v>8</v>
      </c>
      <c r="F143" s="29" t="s">
        <v>75</v>
      </c>
      <c r="G143" s="16"/>
      <c r="H143" s="27"/>
      <c r="I143" s="26"/>
      <c r="J143" s="27">
        <v>196273</v>
      </c>
      <c r="K143" s="136">
        <v>186368.82</v>
      </c>
      <c r="L143" s="27">
        <v>70381</v>
      </c>
      <c r="M143" s="134">
        <v>61398.83</v>
      </c>
      <c r="N143" s="27">
        <v>188565</v>
      </c>
      <c r="O143" s="130"/>
      <c r="P143" s="64">
        <f t="shared" si="36"/>
        <v>455219</v>
      </c>
      <c r="Q143" s="65">
        <f t="shared" si="37"/>
        <v>15173.966666666667</v>
      </c>
      <c r="R143" s="66">
        <f t="shared" si="38"/>
        <v>247767.65000000002</v>
      </c>
      <c r="S143" s="67">
        <f t="shared" si="39"/>
        <v>8258.9216666666671</v>
      </c>
      <c r="T143" s="27">
        <v>16133</v>
      </c>
      <c r="U143" s="146"/>
      <c r="V143" s="64">
        <f t="shared" si="40"/>
        <v>455219</v>
      </c>
      <c r="W143" s="68">
        <f t="shared" si="41"/>
        <v>0</v>
      </c>
      <c r="X143" s="27"/>
      <c r="Y143" s="26"/>
      <c r="Z143" s="27"/>
      <c r="AA143" s="26"/>
      <c r="AB143" s="27"/>
      <c r="AC143" s="26"/>
      <c r="AD143" s="27"/>
      <c r="AE143" s="26"/>
      <c r="AF143" s="64">
        <f t="shared" si="42"/>
        <v>0</v>
      </c>
      <c r="AG143" s="65">
        <f t="shared" si="43"/>
        <v>0</v>
      </c>
      <c r="AH143" s="66">
        <f t="shared" si="44"/>
        <v>0</v>
      </c>
      <c r="AI143" s="66">
        <f t="shared" si="45"/>
        <v>0</v>
      </c>
      <c r="AJ143" s="27"/>
      <c r="AK143" s="26"/>
      <c r="AL143" s="64">
        <f t="shared" si="46"/>
        <v>0</v>
      </c>
      <c r="AM143" s="67">
        <f t="shared" si="47"/>
        <v>0</v>
      </c>
      <c r="AN143" s="27"/>
      <c r="AO143" s="26"/>
      <c r="AP143" s="27"/>
      <c r="AQ143" s="26"/>
      <c r="AR143" s="27"/>
      <c r="AS143" s="26"/>
      <c r="AT143" s="27"/>
      <c r="AU143" s="26">
        <v>0</v>
      </c>
      <c r="AV143" s="64">
        <f t="shared" si="48"/>
        <v>0</v>
      </c>
      <c r="AW143" s="70">
        <f t="shared" si="49"/>
        <v>0</v>
      </c>
      <c r="AX143" s="66">
        <f t="shared" si="50"/>
        <v>0</v>
      </c>
      <c r="AY143" s="71">
        <f t="shared" si="51"/>
        <v>0</v>
      </c>
      <c r="AZ143" s="72">
        <f t="shared" si="52"/>
        <v>15173.966666666667</v>
      </c>
      <c r="BA143" s="66">
        <f t="shared" si="53"/>
        <v>8258.9216666666671</v>
      </c>
    </row>
    <row r="144" spans="1:53" ht="15">
      <c r="A144" s="123" t="s">
        <v>188</v>
      </c>
      <c r="B144" s="132" t="s">
        <v>235</v>
      </c>
      <c r="C144" s="697" t="s">
        <v>979</v>
      </c>
      <c r="D144" s="126" t="s">
        <v>236</v>
      </c>
      <c r="E144" s="142">
        <v>7</v>
      </c>
      <c r="F144" s="29" t="s">
        <v>75</v>
      </c>
      <c r="G144" s="16"/>
      <c r="H144" s="27"/>
      <c r="I144" s="26"/>
      <c r="J144" s="27">
        <v>30181</v>
      </c>
      <c r="K144" s="137">
        <v>27356.82</v>
      </c>
      <c r="L144" s="27">
        <v>9688</v>
      </c>
      <c r="M144" s="134">
        <v>8509.83</v>
      </c>
      <c r="N144" s="27">
        <v>30282</v>
      </c>
      <c r="O144" s="140">
        <v>26739.39</v>
      </c>
      <c r="P144" s="64">
        <f t="shared" si="36"/>
        <v>70151</v>
      </c>
      <c r="Q144" s="65">
        <f t="shared" si="37"/>
        <v>2338.3666666666668</v>
      </c>
      <c r="R144" s="66">
        <f t="shared" si="38"/>
        <v>62606.04</v>
      </c>
      <c r="S144" s="67">
        <f t="shared" si="39"/>
        <v>2086.8679999999999</v>
      </c>
      <c r="T144" s="27">
        <v>2539</v>
      </c>
      <c r="U144" s="137">
        <v>3452</v>
      </c>
      <c r="V144" s="64">
        <f t="shared" si="40"/>
        <v>70151</v>
      </c>
      <c r="W144" s="68">
        <f t="shared" si="41"/>
        <v>62606.04</v>
      </c>
      <c r="X144" s="27"/>
      <c r="Y144" s="26"/>
      <c r="Z144" s="27"/>
      <c r="AA144" s="26"/>
      <c r="AB144" s="27"/>
      <c r="AC144" s="26"/>
      <c r="AD144" s="27"/>
      <c r="AE144" s="26"/>
      <c r="AF144" s="64">
        <f t="shared" si="42"/>
        <v>0</v>
      </c>
      <c r="AG144" s="65">
        <f t="shared" si="43"/>
        <v>0</v>
      </c>
      <c r="AH144" s="66">
        <f t="shared" si="44"/>
        <v>0</v>
      </c>
      <c r="AI144" s="66">
        <f t="shared" si="45"/>
        <v>0</v>
      </c>
      <c r="AJ144" s="27"/>
      <c r="AK144" s="26"/>
      <c r="AL144" s="64">
        <f t="shared" si="46"/>
        <v>0</v>
      </c>
      <c r="AM144" s="67">
        <f t="shared" si="47"/>
        <v>0</v>
      </c>
      <c r="AN144" s="27"/>
      <c r="AO144" s="26"/>
      <c r="AP144" s="27"/>
      <c r="AQ144" s="26"/>
      <c r="AR144" s="27"/>
      <c r="AS144" s="26"/>
      <c r="AT144" s="27"/>
      <c r="AU144" s="26">
        <v>0</v>
      </c>
      <c r="AV144" s="64">
        <f t="shared" si="48"/>
        <v>0</v>
      </c>
      <c r="AW144" s="70">
        <f t="shared" si="49"/>
        <v>0</v>
      </c>
      <c r="AX144" s="66">
        <f t="shared" si="50"/>
        <v>0</v>
      </c>
      <c r="AY144" s="71">
        <f t="shared" si="51"/>
        <v>0</v>
      </c>
      <c r="AZ144" s="72">
        <f t="shared" si="52"/>
        <v>2338.3666666666668</v>
      </c>
      <c r="BA144" s="66">
        <f t="shared" si="53"/>
        <v>2086.8679999999999</v>
      </c>
    </row>
    <row r="145" spans="1:53" ht="15">
      <c r="A145" s="123" t="s">
        <v>188</v>
      </c>
      <c r="B145" s="132" t="s">
        <v>237</v>
      </c>
      <c r="C145" s="697" t="s">
        <v>980</v>
      </c>
      <c r="D145" s="126" t="s">
        <v>238</v>
      </c>
      <c r="E145" s="142">
        <v>10</v>
      </c>
      <c r="F145" s="29" t="s">
        <v>75</v>
      </c>
      <c r="G145" s="16"/>
      <c r="H145" s="27"/>
      <c r="I145" s="26"/>
      <c r="J145" s="27">
        <v>19564</v>
      </c>
      <c r="K145" s="143">
        <v>20535.82</v>
      </c>
      <c r="L145" s="27">
        <v>7965</v>
      </c>
      <c r="M145" s="134">
        <v>8414.83</v>
      </c>
      <c r="N145" s="27">
        <v>22530</v>
      </c>
      <c r="O145" s="135">
        <v>22529.39</v>
      </c>
      <c r="P145" s="64">
        <f t="shared" si="36"/>
        <v>50059</v>
      </c>
      <c r="Q145" s="65">
        <f t="shared" si="37"/>
        <v>1668.6333333333334</v>
      </c>
      <c r="R145" s="66">
        <f t="shared" si="38"/>
        <v>51480.04</v>
      </c>
      <c r="S145" s="67">
        <f t="shared" si="39"/>
        <v>1716.0013333333334</v>
      </c>
      <c r="T145" s="27">
        <v>4703</v>
      </c>
      <c r="U145" s="141">
        <v>9222</v>
      </c>
      <c r="V145" s="64">
        <f t="shared" si="40"/>
        <v>50059</v>
      </c>
      <c r="W145" s="68">
        <f t="shared" si="41"/>
        <v>51480.04</v>
      </c>
      <c r="X145" s="27"/>
      <c r="Y145" s="26"/>
      <c r="Z145" s="27"/>
      <c r="AA145" s="26"/>
      <c r="AB145" s="27"/>
      <c r="AC145" s="26"/>
      <c r="AD145" s="27"/>
      <c r="AE145" s="26"/>
      <c r="AF145" s="64">
        <f t="shared" si="42"/>
        <v>0</v>
      </c>
      <c r="AG145" s="65">
        <f t="shared" si="43"/>
        <v>0</v>
      </c>
      <c r="AH145" s="66">
        <f t="shared" si="44"/>
        <v>0</v>
      </c>
      <c r="AI145" s="66">
        <f t="shared" si="45"/>
        <v>0</v>
      </c>
      <c r="AJ145" s="27"/>
      <c r="AK145" s="26"/>
      <c r="AL145" s="64">
        <f t="shared" si="46"/>
        <v>0</v>
      </c>
      <c r="AM145" s="67">
        <f t="shared" si="47"/>
        <v>0</v>
      </c>
      <c r="AN145" s="27"/>
      <c r="AO145" s="26"/>
      <c r="AP145" s="27"/>
      <c r="AQ145" s="26"/>
      <c r="AR145" s="27"/>
      <c r="AS145" s="26"/>
      <c r="AT145" s="27"/>
      <c r="AU145" s="26">
        <v>0</v>
      </c>
      <c r="AV145" s="64">
        <f t="shared" si="48"/>
        <v>0</v>
      </c>
      <c r="AW145" s="70">
        <f t="shared" si="49"/>
        <v>0</v>
      </c>
      <c r="AX145" s="66">
        <f t="shared" si="50"/>
        <v>0</v>
      </c>
      <c r="AY145" s="71">
        <f t="shared" si="51"/>
        <v>0</v>
      </c>
      <c r="AZ145" s="72">
        <f t="shared" si="52"/>
        <v>1668.6333333333334</v>
      </c>
      <c r="BA145" s="66">
        <f t="shared" si="53"/>
        <v>1716.0013333333334</v>
      </c>
    </row>
    <row r="146" spans="1:53" ht="15">
      <c r="A146" s="123" t="s">
        <v>188</v>
      </c>
      <c r="B146" s="145" t="s">
        <v>239</v>
      </c>
      <c r="C146" s="697" t="s">
        <v>979</v>
      </c>
      <c r="D146" s="126" t="s">
        <v>240</v>
      </c>
      <c r="E146" s="142">
        <v>7</v>
      </c>
      <c r="F146" s="29" t="s">
        <v>75</v>
      </c>
      <c r="G146" s="16"/>
      <c r="H146" s="27"/>
      <c r="I146" s="26"/>
      <c r="J146" s="27">
        <v>52603</v>
      </c>
      <c r="K146" s="137">
        <v>48929.32</v>
      </c>
      <c r="L146" s="27">
        <v>20341.5</v>
      </c>
      <c r="M146" s="134">
        <v>18338.830000000002</v>
      </c>
      <c r="N146" s="27">
        <v>56129</v>
      </c>
      <c r="O146" s="140">
        <v>40813.89</v>
      </c>
      <c r="P146" s="64">
        <f t="shared" si="36"/>
        <v>129073.5</v>
      </c>
      <c r="Q146" s="65">
        <f t="shared" si="37"/>
        <v>4302.45</v>
      </c>
      <c r="R146" s="66">
        <f t="shared" si="38"/>
        <v>108082.04</v>
      </c>
      <c r="S146" s="67">
        <f t="shared" si="39"/>
        <v>3602.7346666666663</v>
      </c>
      <c r="T146" s="27">
        <v>3628</v>
      </c>
      <c r="U146" s="137">
        <v>4552</v>
      </c>
      <c r="V146" s="64">
        <f t="shared" si="40"/>
        <v>129073.5</v>
      </c>
      <c r="W146" s="68">
        <f t="shared" si="41"/>
        <v>108082.04</v>
      </c>
      <c r="X146" s="27"/>
      <c r="Y146" s="26"/>
      <c r="Z146" s="27"/>
      <c r="AA146" s="26"/>
      <c r="AB146" s="27"/>
      <c r="AC146" s="26"/>
      <c r="AD146" s="27"/>
      <c r="AE146" s="26"/>
      <c r="AF146" s="64">
        <f t="shared" si="42"/>
        <v>0</v>
      </c>
      <c r="AG146" s="65">
        <f t="shared" si="43"/>
        <v>0</v>
      </c>
      <c r="AH146" s="66">
        <f t="shared" si="44"/>
        <v>0</v>
      </c>
      <c r="AI146" s="66">
        <f t="shared" si="45"/>
        <v>0</v>
      </c>
      <c r="AJ146" s="27"/>
      <c r="AK146" s="26"/>
      <c r="AL146" s="64">
        <f t="shared" si="46"/>
        <v>0</v>
      </c>
      <c r="AM146" s="67">
        <f t="shared" si="47"/>
        <v>0</v>
      </c>
      <c r="AN146" s="27"/>
      <c r="AO146" s="26"/>
      <c r="AP146" s="27"/>
      <c r="AQ146" s="26"/>
      <c r="AR146" s="27"/>
      <c r="AS146" s="26"/>
      <c r="AT146" s="27"/>
      <c r="AU146" s="26">
        <v>0</v>
      </c>
      <c r="AV146" s="64">
        <f t="shared" si="48"/>
        <v>0</v>
      </c>
      <c r="AW146" s="70">
        <f t="shared" si="49"/>
        <v>0</v>
      </c>
      <c r="AX146" s="66">
        <f t="shared" si="50"/>
        <v>0</v>
      </c>
      <c r="AY146" s="71">
        <f t="shared" si="51"/>
        <v>0</v>
      </c>
      <c r="AZ146" s="72">
        <f t="shared" si="52"/>
        <v>4302.45</v>
      </c>
      <c r="BA146" s="66">
        <f t="shared" si="53"/>
        <v>3602.7346666666663</v>
      </c>
    </row>
    <row r="147" spans="1:53" ht="15">
      <c r="A147" s="123" t="s">
        <v>188</v>
      </c>
      <c r="B147" s="132" t="s">
        <v>241</v>
      </c>
      <c r="C147" s="697" t="s">
        <v>979</v>
      </c>
      <c r="D147" s="126" t="s">
        <v>242</v>
      </c>
      <c r="E147" s="142">
        <v>7</v>
      </c>
      <c r="F147" s="29" t="s">
        <v>75</v>
      </c>
      <c r="G147" s="16"/>
      <c r="H147" s="27"/>
      <c r="I147" s="26"/>
      <c r="J147" s="27">
        <v>29894</v>
      </c>
      <c r="K147" s="143">
        <v>31141.82</v>
      </c>
      <c r="L147" s="27">
        <v>5020</v>
      </c>
      <c r="M147" s="134">
        <v>5559.83</v>
      </c>
      <c r="N147" s="27">
        <v>35159</v>
      </c>
      <c r="O147" s="135">
        <v>35741.39</v>
      </c>
      <c r="P147" s="64">
        <f t="shared" si="36"/>
        <v>70073</v>
      </c>
      <c r="Q147" s="65">
        <f t="shared" si="37"/>
        <v>2335.7666666666669</v>
      </c>
      <c r="R147" s="66">
        <f t="shared" si="38"/>
        <v>72443.040000000008</v>
      </c>
      <c r="S147" s="67">
        <f t="shared" si="39"/>
        <v>2414.7680000000005</v>
      </c>
      <c r="T147" s="27">
        <v>981</v>
      </c>
      <c r="U147" s="131">
        <v>3286</v>
      </c>
      <c r="V147" s="64">
        <f t="shared" si="40"/>
        <v>70073</v>
      </c>
      <c r="W147" s="68">
        <f t="shared" si="41"/>
        <v>72443.040000000008</v>
      </c>
      <c r="X147" s="27"/>
      <c r="Y147" s="26"/>
      <c r="Z147" s="27"/>
      <c r="AA147" s="26"/>
      <c r="AB147" s="27"/>
      <c r="AC147" s="26"/>
      <c r="AD147" s="27"/>
      <c r="AE147" s="26"/>
      <c r="AF147" s="64">
        <f t="shared" si="42"/>
        <v>0</v>
      </c>
      <c r="AG147" s="65">
        <f t="shared" si="43"/>
        <v>0</v>
      </c>
      <c r="AH147" s="66">
        <f t="shared" si="44"/>
        <v>0</v>
      </c>
      <c r="AI147" s="66">
        <f t="shared" si="45"/>
        <v>0</v>
      </c>
      <c r="AJ147" s="27"/>
      <c r="AK147" s="26"/>
      <c r="AL147" s="64">
        <f t="shared" si="46"/>
        <v>0</v>
      </c>
      <c r="AM147" s="67">
        <f t="shared" si="47"/>
        <v>0</v>
      </c>
      <c r="AN147" s="27"/>
      <c r="AO147" s="26"/>
      <c r="AP147" s="27"/>
      <c r="AQ147" s="26"/>
      <c r="AR147" s="27"/>
      <c r="AS147" s="26"/>
      <c r="AT147" s="27"/>
      <c r="AU147" s="26">
        <v>0</v>
      </c>
      <c r="AV147" s="64">
        <f t="shared" si="48"/>
        <v>0</v>
      </c>
      <c r="AW147" s="70">
        <f t="shared" si="49"/>
        <v>0</v>
      </c>
      <c r="AX147" s="66">
        <f t="shared" si="50"/>
        <v>0</v>
      </c>
      <c r="AY147" s="71">
        <f t="shared" si="51"/>
        <v>0</v>
      </c>
      <c r="AZ147" s="72">
        <f t="shared" si="52"/>
        <v>2335.7666666666669</v>
      </c>
      <c r="BA147" s="66">
        <f t="shared" si="53"/>
        <v>2414.7680000000005</v>
      </c>
    </row>
    <row r="148" spans="1:53" ht="15">
      <c r="A148" s="123" t="s">
        <v>188</v>
      </c>
      <c r="B148" s="132" t="s">
        <v>243</v>
      </c>
      <c r="C148" s="696" t="s">
        <v>972</v>
      </c>
      <c r="D148" s="126" t="s">
        <v>244</v>
      </c>
      <c r="E148" s="147">
        <v>9</v>
      </c>
      <c r="F148" s="29" t="s">
        <v>75</v>
      </c>
      <c r="G148" s="16"/>
      <c r="H148" s="27"/>
      <c r="I148" s="26"/>
      <c r="J148" s="27">
        <v>51441</v>
      </c>
      <c r="K148" s="136">
        <v>54707.82</v>
      </c>
      <c r="L148" s="27">
        <v>11658</v>
      </c>
      <c r="M148" s="134">
        <v>12956.83</v>
      </c>
      <c r="N148" s="27">
        <v>57851</v>
      </c>
      <c r="O148" s="140">
        <v>60860.39</v>
      </c>
      <c r="P148" s="64">
        <f t="shared" si="36"/>
        <v>120950</v>
      </c>
      <c r="Q148" s="65">
        <f t="shared" si="37"/>
        <v>4031.6666666666665</v>
      </c>
      <c r="R148" s="66">
        <f t="shared" si="38"/>
        <v>128525.04</v>
      </c>
      <c r="S148" s="67">
        <f t="shared" si="39"/>
        <v>4284.1679999999997</v>
      </c>
      <c r="T148" s="27">
        <v>2855</v>
      </c>
      <c r="U148" s="141">
        <v>4464</v>
      </c>
      <c r="V148" s="64">
        <f t="shared" si="40"/>
        <v>120950</v>
      </c>
      <c r="W148" s="68">
        <f t="shared" si="41"/>
        <v>128525.04</v>
      </c>
      <c r="X148" s="27"/>
      <c r="Y148" s="26"/>
      <c r="Z148" s="27"/>
      <c r="AA148" s="26"/>
      <c r="AB148" s="27"/>
      <c r="AC148" s="26"/>
      <c r="AD148" s="27"/>
      <c r="AE148" s="26"/>
      <c r="AF148" s="64">
        <f t="shared" si="42"/>
        <v>0</v>
      </c>
      <c r="AG148" s="65">
        <f t="shared" si="43"/>
        <v>0</v>
      </c>
      <c r="AH148" s="66">
        <f t="shared" si="44"/>
        <v>0</v>
      </c>
      <c r="AI148" s="66">
        <f t="shared" si="45"/>
        <v>0</v>
      </c>
      <c r="AJ148" s="27"/>
      <c r="AK148" s="26"/>
      <c r="AL148" s="64">
        <f t="shared" si="46"/>
        <v>0</v>
      </c>
      <c r="AM148" s="67">
        <f t="shared" si="47"/>
        <v>0</v>
      </c>
      <c r="AN148" s="27"/>
      <c r="AO148" s="26"/>
      <c r="AP148" s="27"/>
      <c r="AQ148" s="26"/>
      <c r="AR148" s="27"/>
      <c r="AS148" s="26"/>
      <c r="AT148" s="27"/>
      <c r="AU148" s="26">
        <v>0</v>
      </c>
      <c r="AV148" s="64">
        <f t="shared" si="48"/>
        <v>0</v>
      </c>
      <c r="AW148" s="70">
        <f t="shared" si="49"/>
        <v>0</v>
      </c>
      <c r="AX148" s="66">
        <f t="shared" si="50"/>
        <v>0</v>
      </c>
      <c r="AY148" s="71">
        <f t="shared" si="51"/>
        <v>0</v>
      </c>
      <c r="AZ148" s="72">
        <f t="shared" si="52"/>
        <v>4031.6666666666665</v>
      </c>
      <c r="BA148" s="66">
        <f t="shared" si="53"/>
        <v>4284.1679999999997</v>
      </c>
    </row>
    <row r="149" spans="1:53" ht="15">
      <c r="A149" s="123" t="s">
        <v>188</v>
      </c>
      <c r="B149" s="132" t="s">
        <v>245</v>
      </c>
      <c r="C149" s="697" t="s">
        <v>979</v>
      </c>
      <c r="D149" s="144">
        <v>482699</v>
      </c>
      <c r="E149" s="698">
        <v>7</v>
      </c>
      <c r="F149" s="29" t="s">
        <v>75</v>
      </c>
      <c r="G149" s="16"/>
      <c r="H149" s="27"/>
      <c r="I149" s="26"/>
      <c r="J149" s="27">
        <v>27784</v>
      </c>
      <c r="K149" s="143">
        <v>28334</v>
      </c>
      <c r="L149" s="27">
        <v>4539</v>
      </c>
      <c r="M149" s="129">
        <v>4698</v>
      </c>
      <c r="N149" s="27">
        <v>31624</v>
      </c>
      <c r="O149" s="140">
        <v>29225</v>
      </c>
      <c r="P149" s="64">
        <f t="shared" si="36"/>
        <v>63947</v>
      </c>
      <c r="Q149" s="65">
        <f t="shared" si="37"/>
        <v>2131.5666666666666</v>
      </c>
      <c r="R149" s="66">
        <f t="shared" si="38"/>
        <v>62257</v>
      </c>
      <c r="S149" s="67">
        <f t="shared" si="39"/>
        <v>2075.2333333333331</v>
      </c>
      <c r="T149" s="27">
        <v>4317</v>
      </c>
      <c r="U149" s="137">
        <v>5523</v>
      </c>
      <c r="V149" s="64">
        <f t="shared" si="40"/>
        <v>63947</v>
      </c>
      <c r="W149" s="68">
        <f t="shared" si="41"/>
        <v>62257</v>
      </c>
      <c r="X149" s="27"/>
      <c r="Y149" s="26"/>
      <c r="Z149" s="27"/>
      <c r="AA149" s="26"/>
      <c r="AB149" s="27"/>
      <c r="AC149" s="26"/>
      <c r="AD149" s="27"/>
      <c r="AE149" s="26"/>
      <c r="AF149" s="64">
        <f t="shared" si="42"/>
        <v>0</v>
      </c>
      <c r="AG149" s="65">
        <f t="shared" si="43"/>
        <v>0</v>
      </c>
      <c r="AH149" s="66">
        <f t="shared" si="44"/>
        <v>0</v>
      </c>
      <c r="AI149" s="66">
        <f t="shared" si="45"/>
        <v>0</v>
      </c>
      <c r="AJ149" s="27"/>
      <c r="AK149" s="26"/>
      <c r="AL149" s="64">
        <f t="shared" si="46"/>
        <v>0</v>
      </c>
      <c r="AM149" s="67">
        <f t="shared" si="47"/>
        <v>0</v>
      </c>
      <c r="AN149" s="27"/>
      <c r="AO149" s="26"/>
      <c r="AP149" s="27"/>
      <c r="AQ149" s="26"/>
      <c r="AR149" s="27"/>
      <c r="AS149" s="26"/>
      <c r="AT149" s="27"/>
      <c r="AU149" s="26">
        <v>0</v>
      </c>
      <c r="AV149" s="64">
        <f t="shared" si="48"/>
        <v>0</v>
      </c>
      <c r="AW149" s="70">
        <f t="shared" si="49"/>
        <v>0</v>
      </c>
      <c r="AX149" s="66">
        <f t="shared" si="50"/>
        <v>0</v>
      </c>
      <c r="AY149" s="71">
        <f t="shared" si="51"/>
        <v>0</v>
      </c>
      <c r="AZ149" s="72">
        <f t="shared" si="52"/>
        <v>2131.5666666666666</v>
      </c>
      <c r="BA149" s="66">
        <f t="shared" si="53"/>
        <v>2075.2333333333331</v>
      </c>
    </row>
    <row r="150" spans="1:53" s="54" customFormat="1" ht="13.5" customHeight="1">
      <c r="A150" s="148" t="s">
        <v>188</v>
      </c>
      <c r="B150" s="104" t="s">
        <v>246</v>
      </c>
      <c r="C150" s="110"/>
      <c r="D150" s="106">
        <v>138682</v>
      </c>
      <c r="E150" s="106">
        <v>12</v>
      </c>
      <c r="F150" s="29" t="s">
        <v>75</v>
      </c>
      <c r="G150" s="16" t="s">
        <v>75</v>
      </c>
      <c r="H150" s="27"/>
      <c r="I150" s="149"/>
      <c r="J150" s="27">
        <v>35931</v>
      </c>
      <c r="K150" s="150">
        <v>30423</v>
      </c>
      <c r="L150" s="27">
        <v>27774</v>
      </c>
      <c r="M150" s="150">
        <v>22780</v>
      </c>
      <c r="N150" s="27">
        <v>33583</v>
      </c>
      <c r="O150" s="149">
        <v>32026</v>
      </c>
      <c r="P150" s="64">
        <f t="shared" si="36"/>
        <v>97288</v>
      </c>
      <c r="Q150" s="65">
        <f t="shared" si="37"/>
        <v>3242.9333333333334</v>
      </c>
      <c r="R150" s="66">
        <f t="shared" si="38"/>
        <v>85229</v>
      </c>
      <c r="S150" s="67">
        <f t="shared" si="39"/>
        <v>2840.9666666666667</v>
      </c>
      <c r="T150" s="27">
        <v>3873.2</v>
      </c>
      <c r="U150" s="150">
        <v>5298</v>
      </c>
      <c r="V150" s="64">
        <f t="shared" si="40"/>
        <v>97288</v>
      </c>
      <c r="W150" s="68">
        <f t="shared" si="41"/>
        <v>85229</v>
      </c>
      <c r="X150" s="27"/>
      <c r="Y150" s="149"/>
      <c r="Z150" s="27"/>
      <c r="AA150" s="149"/>
      <c r="AB150" s="27"/>
      <c r="AC150" s="149"/>
      <c r="AD150" s="27"/>
      <c r="AE150" s="149"/>
      <c r="AF150" s="64">
        <f t="shared" si="42"/>
        <v>0</v>
      </c>
      <c r="AG150" s="65">
        <f t="shared" si="43"/>
        <v>0</v>
      </c>
      <c r="AH150" s="66">
        <f t="shared" si="44"/>
        <v>0</v>
      </c>
      <c r="AI150" s="66">
        <f t="shared" si="45"/>
        <v>0</v>
      </c>
      <c r="AJ150" s="27"/>
      <c r="AK150" s="149"/>
      <c r="AL150" s="64">
        <f t="shared" si="46"/>
        <v>0</v>
      </c>
      <c r="AM150" s="67">
        <f t="shared" si="47"/>
        <v>0</v>
      </c>
      <c r="AN150" s="27"/>
      <c r="AO150" s="149"/>
      <c r="AP150" s="27"/>
      <c r="AQ150" s="149"/>
      <c r="AR150" s="27"/>
      <c r="AS150" s="149"/>
      <c r="AT150" s="27"/>
      <c r="AU150" s="149"/>
      <c r="AV150" s="64">
        <f t="shared" si="48"/>
        <v>0</v>
      </c>
      <c r="AW150" s="70">
        <f t="shared" si="49"/>
        <v>0</v>
      </c>
      <c r="AX150" s="66">
        <f t="shared" si="50"/>
        <v>0</v>
      </c>
      <c r="AY150" s="71">
        <f t="shared" si="51"/>
        <v>0</v>
      </c>
      <c r="AZ150" s="72">
        <f t="shared" si="52"/>
        <v>3242.9333333333334</v>
      </c>
      <c r="BA150" s="66">
        <f t="shared" si="53"/>
        <v>2840.9666666666667</v>
      </c>
    </row>
    <row r="151" spans="1:53">
      <c r="A151" s="148" t="s">
        <v>188</v>
      </c>
      <c r="B151" s="104" t="s">
        <v>247</v>
      </c>
      <c r="C151" s="110"/>
      <c r="D151" s="106">
        <v>246813</v>
      </c>
      <c r="E151" s="106">
        <v>12</v>
      </c>
      <c r="F151" s="29" t="s">
        <v>75</v>
      </c>
      <c r="G151" s="16" t="s">
        <v>75</v>
      </c>
      <c r="H151" s="27"/>
      <c r="I151" s="149"/>
      <c r="J151" s="27">
        <v>32050</v>
      </c>
      <c r="K151" s="150">
        <v>30143</v>
      </c>
      <c r="L151" s="27">
        <v>13898</v>
      </c>
      <c r="M151" s="149">
        <v>13823</v>
      </c>
      <c r="N151" s="27">
        <v>34079</v>
      </c>
      <c r="O151" s="149">
        <v>34503</v>
      </c>
      <c r="P151" s="64">
        <f t="shared" si="36"/>
        <v>80027</v>
      </c>
      <c r="Q151" s="65">
        <f t="shared" si="37"/>
        <v>2667.5666666666666</v>
      </c>
      <c r="R151" s="66">
        <f t="shared" si="38"/>
        <v>78469</v>
      </c>
      <c r="S151" s="67">
        <f t="shared" si="39"/>
        <v>2615.6333333333332</v>
      </c>
      <c r="T151" s="27">
        <v>3859</v>
      </c>
      <c r="U151" s="150">
        <v>5343</v>
      </c>
      <c r="V151" s="64">
        <f t="shared" si="40"/>
        <v>80027</v>
      </c>
      <c r="W151" s="68">
        <f t="shared" si="41"/>
        <v>78469</v>
      </c>
      <c r="X151" s="27"/>
      <c r="Y151" s="149"/>
      <c r="Z151" s="27"/>
      <c r="AA151" s="149"/>
      <c r="AB151" s="27"/>
      <c r="AC151" s="149"/>
      <c r="AD151" s="27"/>
      <c r="AE151" s="149"/>
      <c r="AF151" s="64">
        <f t="shared" si="42"/>
        <v>0</v>
      </c>
      <c r="AG151" s="65">
        <f t="shared" si="43"/>
        <v>0</v>
      </c>
      <c r="AH151" s="66">
        <f t="shared" si="44"/>
        <v>0</v>
      </c>
      <c r="AI151" s="66">
        <f t="shared" si="45"/>
        <v>0</v>
      </c>
      <c r="AJ151" s="27"/>
      <c r="AK151" s="149"/>
      <c r="AL151" s="64">
        <f t="shared" si="46"/>
        <v>0</v>
      </c>
      <c r="AM151" s="67">
        <f t="shared" si="47"/>
        <v>0</v>
      </c>
      <c r="AN151" s="27"/>
      <c r="AO151" s="149"/>
      <c r="AP151" s="27"/>
      <c r="AQ151" s="149"/>
      <c r="AR151" s="27"/>
      <c r="AS151" s="149"/>
      <c r="AT151" s="27"/>
      <c r="AU151" s="149"/>
      <c r="AV151" s="64">
        <f t="shared" si="48"/>
        <v>0</v>
      </c>
      <c r="AW151" s="70">
        <f t="shared" si="49"/>
        <v>0</v>
      </c>
      <c r="AX151" s="66">
        <f t="shared" si="50"/>
        <v>0</v>
      </c>
      <c r="AY151" s="71">
        <f t="shared" si="51"/>
        <v>0</v>
      </c>
      <c r="AZ151" s="72">
        <f t="shared" si="52"/>
        <v>2667.5666666666666</v>
      </c>
      <c r="BA151" s="66">
        <f t="shared" si="53"/>
        <v>2615.6333333333332</v>
      </c>
    </row>
    <row r="152" spans="1:53">
      <c r="A152" s="148" t="s">
        <v>188</v>
      </c>
      <c r="B152" s="104" t="s">
        <v>248</v>
      </c>
      <c r="C152" s="110"/>
      <c r="D152" s="106">
        <v>138840</v>
      </c>
      <c r="E152" s="106">
        <v>12</v>
      </c>
      <c r="F152" s="29" t="s">
        <v>75</v>
      </c>
      <c r="G152" s="16" t="s">
        <v>75</v>
      </c>
      <c r="H152" s="27"/>
      <c r="I152" s="149"/>
      <c r="J152" s="27">
        <v>40337</v>
      </c>
      <c r="K152" s="150">
        <v>36097</v>
      </c>
      <c r="L152" s="27">
        <v>28371</v>
      </c>
      <c r="M152" s="150">
        <v>23972</v>
      </c>
      <c r="N152" s="27">
        <v>36243</v>
      </c>
      <c r="O152" s="149">
        <v>36450</v>
      </c>
      <c r="P152" s="64">
        <f t="shared" si="36"/>
        <v>104951</v>
      </c>
      <c r="Q152" s="65">
        <f t="shared" si="37"/>
        <v>3498.3666666666668</v>
      </c>
      <c r="R152" s="66">
        <f t="shared" si="38"/>
        <v>96519</v>
      </c>
      <c r="S152" s="67">
        <f t="shared" si="39"/>
        <v>3217.3</v>
      </c>
      <c r="T152" s="27">
        <v>3378</v>
      </c>
      <c r="U152" s="149">
        <v>3336</v>
      </c>
      <c r="V152" s="64">
        <f t="shared" si="40"/>
        <v>104951</v>
      </c>
      <c r="W152" s="68">
        <f t="shared" si="41"/>
        <v>96519</v>
      </c>
      <c r="X152" s="27"/>
      <c r="Y152" s="149"/>
      <c r="Z152" s="27"/>
      <c r="AA152" s="149"/>
      <c r="AB152" s="27"/>
      <c r="AC152" s="149"/>
      <c r="AD152" s="27"/>
      <c r="AE152" s="149"/>
      <c r="AF152" s="64">
        <f t="shared" si="42"/>
        <v>0</v>
      </c>
      <c r="AG152" s="65">
        <f t="shared" si="43"/>
        <v>0</v>
      </c>
      <c r="AH152" s="66">
        <f t="shared" si="44"/>
        <v>0</v>
      </c>
      <c r="AI152" s="66">
        <f t="shared" si="45"/>
        <v>0</v>
      </c>
      <c r="AJ152" s="27"/>
      <c r="AK152" s="149"/>
      <c r="AL152" s="64">
        <f t="shared" si="46"/>
        <v>0</v>
      </c>
      <c r="AM152" s="67">
        <f t="shared" si="47"/>
        <v>0</v>
      </c>
      <c r="AN152" s="27"/>
      <c r="AO152" s="149"/>
      <c r="AP152" s="27"/>
      <c r="AQ152" s="149"/>
      <c r="AR152" s="27"/>
      <c r="AS152" s="149"/>
      <c r="AT152" s="27"/>
      <c r="AU152" s="149"/>
      <c r="AV152" s="64">
        <f t="shared" si="48"/>
        <v>0</v>
      </c>
      <c r="AW152" s="70">
        <f t="shared" si="49"/>
        <v>0</v>
      </c>
      <c r="AX152" s="66">
        <f t="shared" si="50"/>
        <v>0</v>
      </c>
      <c r="AY152" s="71">
        <f t="shared" si="51"/>
        <v>0</v>
      </c>
      <c r="AZ152" s="72">
        <f t="shared" si="52"/>
        <v>3498.3666666666668</v>
      </c>
      <c r="BA152" s="66">
        <f t="shared" si="53"/>
        <v>3217.3</v>
      </c>
    </row>
    <row r="153" spans="1:53">
      <c r="A153" s="148" t="s">
        <v>188</v>
      </c>
      <c r="B153" s="104" t="s">
        <v>249</v>
      </c>
      <c r="C153" s="110"/>
      <c r="D153" s="106">
        <v>138956</v>
      </c>
      <c r="E153" s="106">
        <v>12</v>
      </c>
      <c r="F153" s="29" t="s">
        <v>75</v>
      </c>
      <c r="G153" s="16" t="s">
        <v>75</v>
      </c>
      <c r="H153" s="27"/>
      <c r="I153" s="149"/>
      <c r="J153" s="27">
        <v>37040</v>
      </c>
      <c r="K153" s="149">
        <v>36252</v>
      </c>
      <c r="L153" s="27">
        <v>21382</v>
      </c>
      <c r="M153" s="149">
        <v>20692</v>
      </c>
      <c r="N153" s="27">
        <v>41988</v>
      </c>
      <c r="O153" s="149">
        <v>40968</v>
      </c>
      <c r="P153" s="64">
        <f t="shared" si="36"/>
        <v>100410</v>
      </c>
      <c r="Q153" s="65">
        <f t="shared" si="37"/>
        <v>3347</v>
      </c>
      <c r="R153" s="66">
        <f t="shared" si="38"/>
        <v>97912</v>
      </c>
      <c r="S153" s="67">
        <f t="shared" si="39"/>
        <v>3263.7333333333331</v>
      </c>
      <c r="T153" s="27">
        <v>2557.3000000000002</v>
      </c>
      <c r="U153" s="150">
        <v>4191.3999999999996</v>
      </c>
      <c r="V153" s="64">
        <f t="shared" si="40"/>
        <v>100410</v>
      </c>
      <c r="W153" s="68">
        <f t="shared" si="41"/>
        <v>97912</v>
      </c>
      <c r="X153" s="27"/>
      <c r="Y153" s="149"/>
      <c r="Z153" s="27"/>
      <c r="AA153" s="149"/>
      <c r="AB153" s="27"/>
      <c r="AC153" s="149"/>
      <c r="AD153" s="27"/>
      <c r="AE153" s="149"/>
      <c r="AF153" s="64">
        <f t="shared" si="42"/>
        <v>0</v>
      </c>
      <c r="AG153" s="65">
        <f t="shared" si="43"/>
        <v>0</v>
      </c>
      <c r="AH153" s="66">
        <f t="shared" si="44"/>
        <v>0</v>
      </c>
      <c r="AI153" s="66">
        <f t="shared" si="45"/>
        <v>0</v>
      </c>
      <c r="AJ153" s="27"/>
      <c r="AK153" s="149"/>
      <c r="AL153" s="64">
        <f t="shared" si="46"/>
        <v>0</v>
      </c>
      <c r="AM153" s="67">
        <f t="shared" si="47"/>
        <v>0</v>
      </c>
      <c r="AN153" s="27"/>
      <c r="AO153" s="149"/>
      <c r="AP153" s="27"/>
      <c r="AQ153" s="149"/>
      <c r="AR153" s="27"/>
      <c r="AS153" s="149"/>
      <c r="AT153" s="27"/>
      <c r="AU153" s="149"/>
      <c r="AV153" s="64">
        <f t="shared" si="48"/>
        <v>0</v>
      </c>
      <c r="AW153" s="70">
        <f t="shared" si="49"/>
        <v>0</v>
      </c>
      <c r="AX153" s="66">
        <f t="shared" si="50"/>
        <v>0</v>
      </c>
      <c r="AY153" s="71">
        <f t="shared" si="51"/>
        <v>0</v>
      </c>
      <c r="AZ153" s="72">
        <f t="shared" si="52"/>
        <v>3347</v>
      </c>
      <c r="BA153" s="66">
        <f t="shared" si="53"/>
        <v>3263.7333333333331</v>
      </c>
    </row>
    <row r="154" spans="1:53">
      <c r="A154" s="148" t="s">
        <v>188</v>
      </c>
      <c r="B154" s="104" t="s">
        <v>250</v>
      </c>
      <c r="C154" s="110"/>
      <c r="D154" s="106">
        <v>483045</v>
      </c>
      <c r="E154" s="106">
        <v>12</v>
      </c>
      <c r="F154" s="29" t="s">
        <v>75</v>
      </c>
      <c r="G154" s="16" t="s">
        <v>75</v>
      </c>
      <c r="H154" s="27"/>
      <c r="I154" s="149"/>
      <c r="J154" s="27">
        <v>69317</v>
      </c>
      <c r="K154" s="150">
        <v>64577</v>
      </c>
      <c r="L154" s="27">
        <v>42799</v>
      </c>
      <c r="M154" s="150">
        <v>37112</v>
      </c>
      <c r="N154" s="27">
        <v>71886</v>
      </c>
      <c r="O154" s="149">
        <v>69666</v>
      </c>
      <c r="P154" s="64">
        <f t="shared" si="36"/>
        <v>184002</v>
      </c>
      <c r="Q154" s="65">
        <f t="shared" si="37"/>
        <v>6133.4</v>
      </c>
      <c r="R154" s="66">
        <f t="shared" si="38"/>
        <v>171355</v>
      </c>
      <c r="S154" s="67">
        <f t="shared" si="39"/>
        <v>5711.833333333333</v>
      </c>
      <c r="T154" s="27">
        <v>11965</v>
      </c>
      <c r="U154" s="149">
        <v>12455</v>
      </c>
      <c r="V154" s="64">
        <f t="shared" si="40"/>
        <v>184002</v>
      </c>
      <c r="W154" s="68">
        <f t="shared" si="41"/>
        <v>171355</v>
      </c>
      <c r="X154" s="27"/>
      <c r="Y154" s="149"/>
      <c r="Z154" s="27"/>
      <c r="AA154" s="149"/>
      <c r="AB154" s="27"/>
      <c r="AC154" s="149"/>
      <c r="AD154" s="27"/>
      <c r="AE154" s="149"/>
      <c r="AF154" s="64">
        <f t="shared" si="42"/>
        <v>0</v>
      </c>
      <c r="AG154" s="65">
        <f t="shared" si="43"/>
        <v>0</v>
      </c>
      <c r="AH154" s="66">
        <f t="shared" si="44"/>
        <v>0</v>
      </c>
      <c r="AI154" s="66">
        <f t="shared" si="45"/>
        <v>0</v>
      </c>
      <c r="AJ154" s="27"/>
      <c r="AK154" s="149"/>
      <c r="AL154" s="64">
        <f t="shared" si="46"/>
        <v>0</v>
      </c>
      <c r="AM154" s="67">
        <f t="shared" si="47"/>
        <v>0</v>
      </c>
      <c r="AN154" s="27"/>
      <c r="AO154" s="149"/>
      <c r="AP154" s="27"/>
      <c r="AQ154" s="149"/>
      <c r="AR154" s="27"/>
      <c r="AS154" s="149"/>
      <c r="AT154" s="27"/>
      <c r="AU154" s="149"/>
      <c r="AV154" s="64">
        <f t="shared" si="48"/>
        <v>0</v>
      </c>
      <c r="AW154" s="70">
        <f t="shared" si="49"/>
        <v>0</v>
      </c>
      <c r="AX154" s="66">
        <f t="shared" si="50"/>
        <v>0</v>
      </c>
      <c r="AY154" s="71">
        <f t="shared" si="51"/>
        <v>0</v>
      </c>
      <c r="AZ154" s="72">
        <f t="shared" si="52"/>
        <v>6133.4</v>
      </c>
      <c r="BA154" s="66">
        <f t="shared" si="53"/>
        <v>5711.833333333333</v>
      </c>
    </row>
    <row r="155" spans="1:53">
      <c r="A155" s="148" t="s">
        <v>188</v>
      </c>
      <c r="B155" s="104" t="s">
        <v>251</v>
      </c>
      <c r="C155" s="110"/>
      <c r="D155" s="106">
        <v>140331</v>
      </c>
      <c r="E155" s="106">
        <v>12</v>
      </c>
      <c r="F155" s="29" t="s">
        <v>75</v>
      </c>
      <c r="G155" s="16" t="s">
        <v>75</v>
      </c>
      <c r="H155" s="27"/>
      <c r="I155" s="149"/>
      <c r="J155" s="27">
        <v>82675</v>
      </c>
      <c r="K155" s="150">
        <v>77389</v>
      </c>
      <c r="L155" s="27">
        <v>33540</v>
      </c>
      <c r="M155" s="150">
        <v>31699</v>
      </c>
      <c r="N155" s="27">
        <v>83725</v>
      </c>
      <c r="O155" s="149">
        <v>83826</v>
      </c>
      <c r="P155" s="64">
        <f t="shared" si="36"/>
        <v>199940</v>
      </c>
      <c r="Q155" s="65">
        <f t="shared" si="37"/>
        <v>6664.666666666667</v>
      </c>
      <c r="R155" s="66">
        <f t="shared" si="38"/>
        <v>192914</v>
      </c>
      <c r="S155" s="67">
        <f t="shared" si="39"/>
        <v>6430.4666666666662</v>
      </c>
      <c r="T155" s="27">
        <v>8596</v>
      </c>
      <c r="U155" s="150">
        <v>14417.3</v>
      </c>
      <c r="V155" s="64">
        <f t="shared" si="40"/>
        <v>199940</v>
      </c>
      <c r="W155" s="68">
        <f t="shared" si="41"/>
        <v>192914</v>
      </c>
      <c r="X155" s="27"/>
      <c r="Y155" s="149"/>
      <c r="Z155" s="27"/>
      <c r="AA155" s="149"/>
      <c r="AB155" s="27"/>
      <c r="AC155" s="149"/>
      <c r="AD155" s="27"/>
      <c r="AE155" s="149"/>
      <c r="AF155" s="64">
        <f t="shared" si="42"/>
        <v>0</v>
      </c>
      <c r="AG155" s="65">
        <f t="shared" si="43"/>
        <v>0</v>
      </c>
      <c r="AH155" s="66">
        <f t="shared" si="44"/>
        <v>0</v>
      </c>
      <c r="AI155" s="66">
        <f t="shared" si="45"/>
        <v>0</v>
      </c>
      <c r="AJ155" s="27"/>
      <c r="AK155" s="149"/>
      <c r="AL155" s="64">
        <f t="shared" si="46"/>
        <v>0</v>
      </c>
      <c r="AM155" s="67">
        <f t="shared" si="47"/>
        <v>0</v>
      </c>
      <c r="AN155" s="27"/>
      <c r="AO155" s="149"/>
      <c r="AP155" s="27"/>
      <c r="AQ155" s="149"/>
      <c r="AR155" s="27"/>
      <c r="AS155" s="149"/>
      <c r="AT155" s="27"/>
      <c r="AU155" s="149"/>
      <c r="AV155" s="64">
        <f t="shared" si="48"/>
        <v>0</v>
      </c>
      <c r="AW155" s="70">
        <f t="shared" si="49"/>
        <v>0</v>
      </c>
      <c r="AX155" s="66">
        <f t="shared" si="50"/>
        <v>0</v>
      </c>
      <c r="AY155" s="71">
        <f t="shared" si="51"/>
        <v>0</v>
      </c>
      <c r="AZ155" s="72">
        <f t="shared" si="52"/>
        <v>6664.666666666667</v>
      </c>
      <c r="BA155" s="66">
        <f t="shared" si="53"/>
        <v>6430.4666666666662</v>
      </c>
    </row>
    <row r="156" spans="1:53">
      <c r="A156" s="103" t="s">
        <v>188</v>
      </c>
      <c r="B156" s="151" t="s">
        <v>252</v>
      </c>
      <c r="C156" s="110"/>
      <c r="D156" s="152">
        <v>485458</v>
      </c>
      <c r="E156" s="106">
        <v>12</v>
      </c>
      <c r="F156" s="29" t="s">
        <v>75</v>
      </c>
      <c r="G156" s="16" t="s">
        <v>75</v>
      </c>
      <c r="H156" s="139"/>
      <c r="I156" s="149"/>
      <c r="J156" s="139">
        <v>19824</v>
      </c>
      <c r="K156" s="150">
        <v>18482</v>
      </c>
      <c r="L156" s="139">
        <v>10093</v>
      </c>
      <c r="M156" s="150">
        <v>9242</v>
      </c>
      <c r="N156" s="139">
        <v>19993</v>
      </c>
      <c r="O156" s="150">
        <v>21867</v>
      </c>
      <c r="P156" s="64">
        <f t="shared" si="36"/>
        <v>49910</v>
      </c>
      <c r="Q156" s="65">
        <f t="shared" si="37"/>
        <v>1663.6666666666667</v>
      </c>
      <c r="R156" s="66">
        <f t="shared" si="38"/>
        <v>49591</v>
      </c>
      <c r="S156" s="67">
        <f t="shared" si="39"/>
        <v>1653.0333333333333</v>
      </c>
      <c r="T156" s="139">
        <v>8489</v>
      </c>
      <c r="U156" s="150">
        <v>11339</v>
      </c>
      <c r="V156" s="64">
        <f t="shared" si="40"/>
        <v>49910</v>
      </c>
      <c r="W156" s="68">
        <f t="shared" si="41"/>
        <v>49591</v>
      </c>
      <c r="X156" s="139"/>
      <c r="Y156" s="149"/>
      <c r="Z156" s="139"/>
      <c r="AA156" s="149"/>
      <c r="AB156" s="139"/>
      <c r="AC156" s="149"/>
      <c r="AD156" s="139"/>
      <c r="AE156" s="149"/>
      <c r="AF156" s="64">
        <f t="shared" si="42"/>
        <v>0</v>
      </c>
      <c r="AG156" s="65">
        <f t="shared" si="43"/>
        <v>0</v>
      </c>
      <c r="AH156" s="66">
        <f t="shared" si="44"/>
        <v>0</v>
      </c>
      <c r="AI156" s="66">
        <f t="shared" si="45"/>
        <v>0</v>
      </c>
      <c r="AJ156" s="139"/>
      <c r="AK156" s="149"/>
      <c r="AL156" s="64">
        <f t="shared" si="46"/>
        <v>0</v>
      </c>
      <c r="AM156" s="67">
        <f t="shared" si="47"/>
        <v>0</v>
      </c>
      <c r="AN156" s="139"/>
      <c r="AO156" s="149"/>
      <c r="AP156" s="139"/>
      <c r="AQ156" s="149"/>
      <c r="AR156" s="139"/>
      <c r="AS156" s="149"/>
      <c r="AT156" s="139"/>
      <c r="AU156" s="149"/>
      <c r="AV156" s="64">
        <f t="shared" si="48"/>
        <v>0</v>
      </c>
      <c r="AW156" s="70">
        <f t="shared" si="49"/>
        <v>0</v>
      </c>
      <c r="AX156" s="66">
        <f t="shared" si="50"/>
        <v>0</v>
      </c>
      <c r="AY156" s="71">
        <f t="shared" si="51"/>
        <v>0</v>
      </c>
      <c r="AZ156" s="72">
        <f t="shared" si="52"/>
        <v>1663.6666666666667</v>
      </c>
      <c r="BA156" s="66">
        <f t="shared" si="53"/>
        <v>1653.0333333333333</v>
      </c>
    </row>
    <row r="157" spans="1:53">
      <c r="A157" s="148" t="s">
        <v>188</v>
      </c>
      <c r="B157" s="104" t="s">
        <v>253</v>
      </c>
      <c r="C157" s="110"/>
      <c r="D157" s="106">
        <v>139357</v>
      </c>
      <c r="E157" s="106">
        <v>12</v>
      </c>
      <c r="F157" s="29" t="s">
        <v>75</v>
      </c>
      <c r="G157" s="16" t="s">
        <v>75</v>
      </c>
      <c r="H157" s="27"/>
      <c r="I157" s="149"/>
      <c r="J157" s="27">
        <v>28967</v>
      </c>
      <c r="K157" s="149">
        <v>27799.1</v>
      </c>
      <c r="L157" s="27">
        <v>15894</v>
      </c>
      <c r="M157" s="150">
        <v>13835.3</v>
      </c>
      <c r="N157" s="27">
        <v>30659</v>
      </c>
      <c r="O157" s="150">
        <v>27110.9</v>
      </c>
      <c r="P157" s="64">
        <f t="shared" si="36"/>
        <v>75520</v>
      </c>
      <c r="Q157" s="65">
        <f t="shared" si="37"/>
        <v>2517.3333333333335</v>
      </c>
      <c r="R157" s="66">
        <f t="shared" si="38"/>
        <v>68745.299999999988</v>
      </c>
      <c r="S157" s="67">
        <f t="shared" si="39"/>
        <v>2291.5099999999998</v>
      </c>
      <c r="T157" s="27">
        <v>7381</v>
      </c>
      <c r="U157" s="150">
        <v>8214.2999999999993</v>
      </c>
      <c r="V157" s="64">
        <f t="shared" si="40"/>
        <v>75520</v>
      </c>
      <c r="W157" s="68">
        <f t="shared" si="41"/>
        <v>68745.299999999988</v>
      </c>
      <c r="X157" s="27"/>
      <c r="Y157" s="149"/>
      <c r="Z157" s="27"/>
      <c r="AA157" s="149"/>
      <c r="AB157" s="27"/>
      <c r="AC157" s="149"/>
      <c r="AD157" s="27"/>
      <c r="AE157" s="149"/>
      <c r="AF157" s="64">
        <f t="shared" si="42"/>
        <v>0</v>
      </c>
      <c r="AG157" s="65">
        <f t="shared" si="43"/>
        <v>0</v>
      </c>
      <c r="AH157" s="66">
        <f t="shared" si="44"/>
        <v>0</v>
      </c>
      <c r="AI157" s="66">
        <f t="shared" si="45"/>
        <v>0</v>
      </c>
      <c r="AJ157" s="27"/>
      <c r="AK157" s="149"/>
      <c r="AL157" s="64">
        <f t="shared" si="46"/>
        <v>0</v>
      </c>
      <c r="AM157" s="67">
        <f t="shared" si="47"/>
        <v>0</v>
      </c>
      <c r="AN157" s="27"/>
      <c r="AO157" s="149"/>
      <c r="AP157" s="27"/>
      <c r="AQ157" s="149"/>
      <c r="AR157" s="27"/>
      <c r="AS157" s="149"/>
      <c r="AT157" s="27"/>
      <c r="AU157" s="149"/>
      <c r="AV157" s="64">
        <f t="shared" si="48"/>
        <v>0</v>
      </c>
      <c r="AW157" s="70">
        <f t="shared" si="49"/>
        <v>0</v>
      </c>
      <c r="AX157" s="66">
        <f t="shared" si="50"/>
        <v>0</v>
      </c>
      <c r="AY157" s="71">
        <f t="shared" si="51"/>
        <v>0</v>
      </c>
      <c r="AZ157" s="72">
        <f t="shared" si="52"/>
        <v>2517.3333333333335</v>
      </c>
      <c r="BA157" s="66">
        <f t="shared" si="53"/>
        <v>2291.5099999999998</v>
      </c>
    </row>
    <row r="158" spans="1:53">
      <c r="A158" s="148" t="s">
        <v>188</v>
      </c>
      <c r="B158" s="104" t="s">
        <v>254</v>
      </c>
      <c r="C158" s="110"/>
      <c r="D158" s="106">
        <v>139384</v>
      </c>
      <c r="E158" s="106">
        <v>12</v>
      </c>
      <c r="F158" s="29" t="s">
        <v>75</v>
      </c>
      <c r="G158" s="16" t="s">
        <v>75</v>
      </c>
      <c r="H158" s="27"/>
      <c r="I158" s="149"/>
      <c r="J158" s="27">
        <v>48221</v>
      </c>
      <c r="K158" s="149">
        <v>49784</v>
      </c>
      <c r="L158" s="27">
        <v>21118</v>
      </c>
      <c r="M158" s="150">
        <v>17128</v>
      </c>
      <c r="N158" s="27">
        <v>51948</v>
      </c>
      <c r="O158" s="149">
        <v>52258</v>
      </c>
      <c r="P158" s="64">
        <f t="shared" si="36"/>
        <v>121287</v>
      </c>
      <c r="Q158" s="65">
        <f t="shared" si="37"/>
        <v>4042.9</v>
      </c>
      <c r="R158" s="66">
        <f t="shared" si="38"/>
        <v>119170</v>
      </c>
      <c r="S158" s="67">
        <f t="shared" si="39"/>
        <v>3972.3333333333335</v>
      </c>
      <c r="T158" s="27">
        <v>14681</v>
      </c>
      <c r="U158" s="150">
        <v>21650</v>
      </c>
      <c r="V158" s="64">
        <f t="shared" si="40"/>
        <v>121287</v>
      </c>
      <c r="W158" s="68">
        <f t="shared" si="41"/>
        <v>119170</v>
      </c>
      <c r="X158" s="27"/>
      <c r="Y158" s="149"/>
      <c r="Z158" s="27"/>
      <c r="AA158" s="149"/>
      <c r="AB158" s="27"/>
      <c r="AC158" s="149"/>
      <c r="AD158" s="27"/>
      <c r="AE158" s="149"/>
      <c r="AF158" s="64">
        <f t="shared" si="42"/>
        <v>0</v>
      </c>
      <c r="AG158" s="65">
        <f t="shared" si="43"/>
        <v>0</v>
      </c>
      <c r="AH158" s="66">
        <f t="shared" si="44"/>
        <v>0</v>
      </c>
      <c r="AI158" s="66">
        <f t="shared" si="45"/>
        <v>0</v>
      </c>
      <c r="AJ158" s="27"/>
      <c r="AK158" s="149"/>
      <c r="AL158" s="64">
        <f t="shared" si="46"/>
        <v>0</v>
      </c>
      <c r="AM158" s="67">
        <f t="shared" si="47"/>
        <v>0</v>
      </c>
      <c r="AN158" s="27"/>
      <c r="AO158" s="149"/>
      <c r="AP158" s="27"/>
      <c r="AQ158" s="149"/>
      <c r="AR158" s="27"/>
      <c r="AS158" s="149"/>
      <c r="AT158" s="27"/>
      <c r="AU158" s="149"/>
      <c r="AV158" s="64">
        <f t="shared" si="48"/>
        <v>0</v>
      </c>
      <c r="AW158" s="70">
        <f t="shared" si="49"/>
        <v>0</v>
      </c>
      <c r="AX158" s="66">
        <f t="shared" si="50"/>
        <v>0</v>
      </c>
      <c r="AY158" s="71">
        <f t="shared" si="51"/>
        <v>0</v>
      </c>
      <c r="AZ158" s="72">
        <f t="shared" si="52"/>
        <v>4042.9</v>
      </c>
      <c r="BA158" s="66">
        <f t="shared" si="53"/>
        <v>3972.3333333333335</v>
      </c>
    </row>
    <row r="159" spans="1:53">
      <c r="A159" s="148" t="s">
        <v>188</v>
      </c>
      <c r="B159" s="104" t="s">
        <v>255</v>
      </c>
      <c r="C159" s="112"/>
      <c r="D159" s="106">
        <v>244446</v>
      </c>
      <c r="E159" s="106">
        <v>12</v>
      </c>
      <c r="F159" s="29" t="s">
        <v>75</v>
      </c>
      <c r="G159" s="16" t="s">
        <v>75</v>
      </c>
      <c r="H159" s="27"/>
      <c r="I159" s="149"/>
      <c r="J159" s="27">
        <v>34781</v>
      </c>
      <c r="K159" s="150">
        <v>31721.5</v>
      </c>
      <c r="L159" s="27">
        <v>20930</v>
      </c>
      <c r="M159" s="149">
        <v>20681</v>
      </c>
      <c r="N159" s="27">
        <v>32736</v>
      </c>
      <c r="O159" s="149">
        <v>33930.5</v>
      </c>
      <c r="P159" s="64">
        <f t="shared" si="36"/>
        <v>88447</v>
      </c>
      <c r="Q159" s="65">
        <f t="shared" si="37"/>
        <v>2948.2333333333331</v>
      </c>
      <c r="R159" s="66">
        <f t="shared" si="38"/>
        <v>86333</v>
      </c>
      <c r="S159" s="67">
        <f t="shared" si="39"/>
        <v>2877.7666666666669</v>
      </c>
      <c r="T159" s="27">
        <v>6567.4</v>
      </c>
      <c r="U159" s="150">
        <v>8297.2000000000007</v>
      </c>
      <c r="V159" s="64">
        <f t="shared" si="40"/>
        <v>88447</v>
      </c>
      <c r="W159" s="68">
        <f t="shared" si="41"/>
        <v>86333</v>
      </c>
      <c r="X159" s="27"/>
      <c r="Y159" s="149"/>
      <c r="Z159" s="27"/>
      <c r="AA159" s="149"/>
      <c r="AB159" s="27"/>
      <c r="AC159" s="149"/>
      <c r="AD159" s="27"/>
      <c r="AE159" s="149"/>
      <c r="AF159" s="64">
        <f t="shared" si="42"/>
        <v>0</v>
      </c>
      <c r="AG159" s="65">
        <f t="shared" si="43"/>
        <v>0</v>
      </c>
      <c r="AH159" s="66">
        <f t="shared" si="44"/>
        <v>0</v>
      </c>
      <c r="AI159" s="66">
        <f t="shared" si="45"/>
        <v>0</v>
      </c>
      <c r="AJ159" s="27"/>
      <c r="AK159" s="149"/>
      <c r="AL159" s="64">
        <f t="shared" si="46"/>
        <v>0</v>
      </c>
      <c r="AM159" s="67">
        <f t="shared" si="47"/>
        <v>0</v>
      </c>
      <c r="AN159" s="27"/>
      <c r="AO159" s="149"/>
      <c r="AP159" s="27"/>
      <c r="AQ159" s="149"/>
      <c r="AR159" s="27"/>
      <c r="AS159" s="149"/>
      <c r="AT159" s="27"/>
      <c r="AU159" s="149"/>
      <c r="AV159" s="64">
        <f t="shared" si="48"/>
        <v>0</v>
      </c>
      <c r="AW159" s="70">
        <f t="shared" si="49"/>
        <v>0</v>
      </c>
      <c r="AX159" s="66">
        <f t="shared" si="50"/>
        <v>0</v>
      </c>
      <c r="AY159" s="71">
        <f t="shared" si="51"/>
        <v>0</v>
      </c>
      <c r="AZ159" s="72">
        <f t="shared" si="52"/>
        <v>2948.2333333333331</v>
      </c>
      <c r="BA159" s="66">
        <f t="shared" si="53"/>
        <v>2877.7666666666669</v>
      </c>
    </row>
    <row r="160" spans="1:53">
      <c r="A160" s="148" t="s">
        <v>188</v>
      </c>
      <c r="B160" s="104" t="s">
        <v>256</v>
      </c>
      <c r="C160" s="110"/>
      <c r="D160" s="106">
        <v>140012</v>
      </c>
      <c r="E160" s="106">
        <v>12</v>
      </c>
      <c r="F160" s="29" t="s">
        <v>75</v>
      </c>
      <c r="G160" s="16" t="s">
        <v>75</v>
      </c>
      <c r="H160" s="27"/>
      <c r="I160" s="149"/>
      <c r="J160" s="27">
        <v>60814</v>
      </c>
      <c r="K160" s="149">
        <v>58128</v>
      </c>
      <c r="L160" s="27">
        <v>22814</v>
      </c>
      <c r="M160" s="149">
        <v>22468</v>
      </c>
      <c r="N160" s="27">
        <v>58037</v>
      </c>
      <c r="O160" s="149">
        <v>60665</v>
      </c>
      <c r="P160" s="64">
        <f t="shared" si="36"/>
        <v>141665</v>
      </c>
      <c r="Q160" s="65">
        <f t="shared" si="37"/>
        <v>4722.166666666667</v>
      </c>
      <c r="R160" s="66">
        <f t="shared" si="38"/>
        <v>141261</v>
      </c>
      <c r="S160" s="67">
        <f t="shared" si="39"/>
        <v>4708.7</v>
      </c>
      <c r="T160" s="27">
        <v>5367</v>
      </c>
      <c r="U160" s="150">
        <v>10801</v>
      </c>
      <c r="V160" s="64">
        <f t="shared" si="40"/>
        <v>141665</v>
      </c>
      <c r="W160" s="68">
        <f t="shared" si="41"/>
        <v>141261</v>
      </c>
      <c r="X160" s="27"/>
      <c r="Y160" s="149"/>
      <c r="Z160" s="27"/>
      <c r="AA160" s="149"/>
      <c r="AB160" s="27"/>
      <c r="AC160" s="149"/>
      <c r="AD160" s="27"/>
      <c r="AE160" s="149"/>
      <c r="AF160" s="64">
        <f t="shared" si="42"/>
        <v>0</v>
      </c>
      <c r="AG160" s="65">
        <f t="shared" si="43"/>
        <v>0</v>
      </c>
      <c r="AH160" s="66">
        <f t="shared" si="44"/>
        <v>0</v>
      </c>
      <c r="AI160" s="66">
        <f t="shared" si="45"/>
        <v>0</v>
      </c>
      <c r="AJ160" s="27"/>
      <c r="AK160" s="149"/>
      <c r="AL160" s="64">
        <f t="shared" si="46"/>
        <v>0</v>
      </c>
      <c r="AM160" s="67">
        <f t="shared" si="47"/>
        <v>0</v>
      </c>
      <c r="AN160" s="27"/>
      <c r="AO160" s="149"/>
      <c r="AP160" s="27"/>
      <c r="AQ160" s="149"/>
      <c r="AR160" s="27"/>
      <c r="AS160" s="149"/>
      <c r="AT160" s="27"/>
      <c r="AU160" s="149"/>
      <c r="AV160" s="64">
        <f t="shared" si="48"/>
        <v>0</v>
      </c>
      <c r="AW160" s="70">
        <f t="shared" si="49"/>
        <v>0</v>
      </c>
      <c r="AX160" s="66">
        <f t="shared" si="50"/>
        <v>0</v>
      </c>
      <c r="AY160" s="71">
        <f t="shared" si="51"/>
        <v>0</v>
      </c>
      <c r="AZ160" s="72">
        <f t="shared" si="52"/>
        <v>4722.166666666667</v>
      </c>
      <c r="BA160" s="66">
        <f t="shared" si="53"/>
        <v>4708.7</v>
      </c>
    </row>
    <row r="161" spans="1:53">
      <c r="A161" s="148" t="s">
        <v>188</v>
      </c>
      <c r="B161" s="104" t="s">
        <v>257</v>
      </c>
      <c r="C161" s="110"/>
      <c r="D161" s="106">
        <v>140243</v>
      </c>
      <c r="E161" s="106">
        <v>12</v>
      </c>
      <c r="F161" s="29" t="s">
        <v>75</v>
      </c>
      <c r="G161" s="16" t="s">
        <v>75</v>
      </c>
      <c r="H161" s="27"/>
      <c r="I161" s="149"/>
      <c r="J161" s="27">
        <v>28989</v>
      </c>
      <c r="K161" s="149">
        <v>27543</v>
      </c>
      <c r="L161" s="27">
        <v>14323</v>
      </c>
      <c r="M161" s="149">
        <v>14048</v>
      </c>
      <c r="N161" s="27">
        <v>31149</v>
      </c>
      <c r="O161" s="149">
        <v>30993</v>
      </c>
      <c r="P161" s="64">
        <f t="shared" si="36"/>
        <v>74461</v>
      </c>
      <c r="Q161" s="65">
        <f t="shared" si="37"/>
        <v>2482.0333333333333</v>
      </c>
      <c r="R161" s="66">
        <f t="shared" si="38"/>
        <v>72584</v>
      </c>
      <c r="S161" s="67">
        <f t="shared" si="39"/>
        <v>2419.4666666666667</v>
      </c>
      <c r="T161" s="27">
        <v>3075</v>
      </c>
      <c r="U161" s="150">
        <v>4387</v>
      </c>
      <c r="V161" s="64">
        <f t="shared" si="40"/>
        <v>74461</v>
      </c>
      <c r="W161" s="68">
        <f t="shared" si="41"/>
        <v>72584</v>
      </c>
      <c r="X161" s="27"/>
      <c r="Y161" s="149"/>
      <c r="Z161" s="27"/>
      <c r="AA161" s="149"/>
      <c r="AB161" s="27"/>
      <c r="AC161" s="149"/>
      <c r="AD161" s="27"/>
      <c r="AE161" s="149"/>
      <c r="AF161" s="64">
        <f t="shared" si="42"/>
        <v>0</v>
      </c>
      <c r="AG161" s="65">
        <f t="shared" si="43"/>
        <v>0</v>
      </c>
      <c r="AH161" s="66">
        <f t="shared" si="44"/>
        <v>0</v>
      </c>
      <c r="AI161" s="66">
        <f t="shared" si="45"/>
        <v>0</v>
      </c>
      <c r="AJ161" s="27"/>
      <c r="AK161" s="149"/>
      <c r="AL161" s="64">
        <f t="shared" si="46"/>
        <v>0</v>
      </c>
      <c r="AM161" s="67">
        <f t="shared" si="47"/>
        <v>0</v>
      </c>
      <c r="AN161" s="27"/>
      <c r="AO161" s="149"/>
      <c r="AP161" s="27"/>
      <c r="AQ161" s="149"/>
      <c r="AR161" s="27"/>
      <c r="AS161" s="149"/>
      <c r="AT161" s="27"/>
      <c r="AU161" s="149"/>
      <c r="AV161" s="64">
        <f t="shared" si="48"/>
        <v>0</v>
      </c>
      <c r="AW161" s="70">
        <f t="shared" si="49"/>
        <v>0</v>
      </c>
      <c r="AX161" s="66">
        <f t="shared" si="50"/>
        <v>0</v>
      </c>
      <c r="AY161" s="71">
        <f t="shared" si="51"/>
        <v>0</v>
      </c>
      <c r="AZ161" s="72">
        <f t="shared" si="52"/>
        <v>2482.0333333333333</v>
      </c>
      <c r="BA161" s="66">
        <f t="shared" si="53"/>
        <v>2419.4666666666667</v>
      </c>
    </row>
    <row r="162" spans="1:53">
      <c r="A162" s="148" t="s">
        <v>188</v>
      </c>
      <c r="B162" s="104" t="s">
        <v>258</v>
      </c>
      <c r="C162" s="110"/>
      <c r="D162" s="106">
        <v>140678</v>
      </c>
      <c r="E162" s="106">
        <v>12</v>
      </c>
      <c r="F162" s="29" t="s">
        <v>75</v>
      </c>
      <c r="G162" s="16" t="s">
        <v>75</v>
      </c>
      <c r="H162" s="27"/>
      <c r="I162" s="149"/>
      <c r="J162" s="27">
        <v>23426</v>
      </c>
      <c r="K162" s="149">
        <v>23149</v>
      </c>
      <c r="L162" s="27">
        <v>9467</v>
      </c>
      <c r="M162" s="150">
        <v>10056</v>
      </c>
      <c r="N162" s="27">
        <v>24876</v>
      </c>
      <c r="O162" s="149">
        <v>25466</v>
      </c>
      <c r="P162" s="64">
        <f t="shared" si="36"/>
        <v>57769</v>
      </c>
      <c r="Q162" s="65">
        <f t="shared" si="37"/>
        <v>1925.6333333333334</v>
      </c>
      <c r="R162" s="66">
        <f t="shared" si="38"/>
        <v>58671</v>
      </c>
      <c r="S162" s="67">
        <f t="shared" si="39"/>
        <v>1955.7</v>
      </c>
      <c r="T162" s="27">
        <v>2237</v>
      </c>
      <c r="U162" s="150">
        <v>4319</v>
      </c>
      <c r="V162" s="64">
        <f t="shared" si="40"/>
        <v>57769</v>
      </c>
      <c r="W162" s="68">
        <f t="shared" si="41"/>
        <v>58671</v>
      </c>
      <c r="X162" s="27"/>
      <c r="Y162" s="149"/>
      <c r="Z162" s="27"/>
      <c r="AA162" s="149"/>
      <c r="AB162" s="27"/>
      <c r="AC162" s="149"/>
      <c r="AD162" s="27"/>
      <c r="AE162" s="149"/>
      <c r="AF162" s="64">
        <f t="shared" si="42"/>
        <v>0</v>
      </c>
      <c r="AG162" s="65">
        <f t="shared" si="43"/>
        <v>0</v>
      </c>
      <c r="AH162" s="66">
        <f t="shared" si="44"/>
        <v>0</v>
      </c>
      <c r="AI162" s="66">
        <f t="shared" si="45"/>
        <v>0</v>
      </c>
      <c r="AJ162" s="27"/>
      <c r="AK162" s="149"/>
      <c r="AL162" s="64">
        <f t="shared" si="46"/>
        <v>0</v>
      </c>
      <c r="AM162" s="67">
        <f t="shared" si="47"/>
        <v>0</v>
      </c>
      <c r="AN162" s="27"/>
      <c r="AO162" s="149"/>
      <c r="AP162" s="27"/>
      <c r="AQ162" s="149"/>
      <c r="AR162" s="27"/>
      <c r="AS162" s="149"/>
      <c r="AT162" s="27"/>
      <c r="AU162" s="149"/>
      <c r="AV162" s="64">
        <f t="shared" si="48"/>
        <v>0</v>
      </c>
      <c r="AW162" s="70">
        <f t="shared" si="49"/>
        <v>0</v>
      </c>
      <c r="AX162" s="66">
        <f t="shared" si="50"/>
        <v>0</v>
      </c>
      <c r="AY162" s="71">
        <f t="shared" si="51"/>
        <v>0</v>
      </c>
      <c r="AZ162" s="72">
        <f t="shared" si="52"/>
        <v>1925.6333333333334</v>
      </c>
      <c r="BA162" s="66">
        <f t="shared" si="53"/>
        <v>1955.7</v>
      </c>
    </row>
    <row r="163" spans="1:53">
      <c r="A163" s="103" t="s">
        <v>188</v>
      </c>
      <c r="B163" s="104" t="s">
        <v>259</v>
      </c>
      <c r="C163" s="112"/>
      <c r="D163" s="106">
        <v>420431</v>
      </c>
      <c r="E163" s="106">
        <v>12</v>
      </c>
      <c r="F163" s="29" t="s">
        <v>75</v>
      </c>
      <c r="G163" s="16" t="s">
        <v>75</v>
      </c>
      <c r="H163" s="27"/>
      <c r="I163" s="149"/>
      <c r="J163" s="27">
        <v>13175</v>
      </c>
      <c r="K163" s="150">
        <v>11850</v>
      </c>
      <c r="L163" s="27">
        <v>8867</v>
      </c>
      <c r="M163" s="150">
        <v>7497</v>
      </c>
      <c r="N163" s="27">
        <v>13679</v>
      </c>
      <c r="O163" s="150">
        <v>11962</v>
      </c>
      <c r="P163" s="64">
        <f t="shared" si="36"/>
        <v>35721</v>
      </c>
      <c r="Q163" s="65">
        <f t="shared" si="37"/>
        <v>1190.7</v>
      </c>
      <c r="R163" s="66">
        <f t="shared" si="38"/>
        <v>31309</v>
      </c>
      <c r="S163" s="67">
        <f t="shared" si="39"/>
        <v>1043.6333333333334</v>
      </c>
      <c r="T163" s="27">
        <v>2767</v>
      </c>
      <c r="U163" s="150">
        <v>2461</v>
      </c>
      <c r="V163" s="64">
        <f t="shared" si="40"/>
        <v>35721</v>
      </c>
      <c r="W163" s="68">
        <f t="shared" si="41"/>
        <v>31309</v>
      </c>
      <c r="X163" s="27"/>
      <c r="Y163" s="149"/>
      <c r="Z163" s="27"/>
      <c r="AA163" s="149"/>
      <c r="AB163" s="27"/>
      <c r="AC163" s="149"/>
      <c r="AD163" s="27"/>
      <c r="AE163" s="149"/>
      <c r="AF163" s="64">
        <f t="shared" si="42"/>
        <v>0</v>
      </c>
      <c r="AG163" s="65">
        <f t="shared" si="43"/>
        <v>0</v>
      </c>
      <c r="AH163" s="66">
        <f t="shared" si="44"/>
        <v>0</v>
      </c>
      <c r="AI163" s="66">
        <f t="shared" si="45"/>
        <v>0</v>
      </c>
      <c r="AJ163" s="27"/>
      <c r="AK163" s="149"/>
      <c r="AL163" s="64">
        <f t="shared" si="46"/>
        <v>0</v>
      </c>
      <c r="AM163" s="67">
        <f t="shared" si="47"/>
        <v>0</v>
      </c>
      <c r="AN163" s="27"/>
      <c r="AO163" s="149"/>
      <c r="AP163" s="27"/>
      <c r="AQ163" s="149"/>
      <c r="AR163" s="27"/>
      <c r="AS163" s="149"/>
      <c r="AT163" s="27"/>
      <c r="AU163" s="149"/>
      <c r="AV163" s="64">
        <f t="shared" si="48"/>
        <v>0</v>
      </c>
      <c r="AW163" s="70">
        <f t="shared" si="49"/>
        <v>0</v>
      </c>
      <c r="AX163" s="66">
        <f t="shared" si="50"/>
        <v>0</v>
      </c>
      <c r="AY163" s="71">
        <f t="shared" si="51"/>
        <v>0</v>
      </c>
      <c r="AZ163" s="72">
        <f t="shared" si="52"/>
        <v>1190.7</v>
      </c>
      <c r="BA163" s="66">
        <f t="shared" si="53"/>
        <v>1043.6333333333334</v>
      </c>
    </row>
    <row r="164" spans="1:53">
      <c r="A164" s="103" t="s">
        <v>188</v>
      </c>
      <c r="B164" s="104" t="s">
        <v>260</v>
      </c>
      <c r="C164" s="110"/>
      <c r="D164" s="106">
        <v>366465</v>
      </c>
      <c r="E164" s="106">
        <v>12</v>
      </c>
      <c r="F164" s="29" t="s">
        <v>75</v>
      </c>
      <c r="G164" s="16" t="s">
        <v>75</v>
      </c>
      <c r="H164" s="27"/>
      <c r="I164" s="149"/>
      <c r="J164" s="27">
        <v>22047</v>
      </c>
      <c r="K164" s="150">
        <v>19744</v>
      </c>
      <c r="L164" s="27">
        <v>13140</v>
      </c>
      <c r="M164" s="150">
        <v>10103</v>
      </c>
      <c r="N164" s="27">
        <v>20063</v>
      </c>
      <c r="O164" s="150">
        <v>18997</v>
      </c>
      <c r="P164" s="64">
        <f t="shared" si="36"/>
        <v>55250</v>
      </c>
      <c r="Q164" s="65">
        <f t="shared" si="37"/>
        <v>1841.6666666666667</v>
      </c>
      <c r="R164" s="66">
        <f t="shared" si="38"/>
        <v>48844</v>
      </c>
      <c r="S164" s="67">
        <f t="shared" si="39"/>
        <v>1628.1333333333334</v>
      </c>
      <c r="T164" s="27">
        <v>2635</v>
      </c>
      <c r="U164" s="150">
        <v>3178</v>
      </c>
      <c r="V164" s="64">
        <f t="shared" si="40"/>
        <v>55250</v>
      </c>
      <c r="W164" s="68">
        <f t="shared" si="41"/>
        <v>48844</v>
      </c>
      <c r="X164" s="27"/>
      <c r="Y164" s="149"/>
      <c r="Z164" s="27"/>
      <c r="AA164" s="149"/>
      <c r="AB164" s="27"/>
      <c r="AC164" s="149"/>
      <c r="AD164" s="27"/>
      <c r="AE164" s="149"/>
      <c r="AF164" s="64">
        <f t="shared" si="42"/>
        <v>0</v>
      </c>
      <c r="AG164" s="65">
        <f t="shared" si="43"/>
        <v>0</v>
      </c>
      <c r="AH164" s="66">
        <f t="shared" si="44"/>
        <v>0</v>
      </c>
      <c r="AI164" s="66">
        <f t="shared" si="45"/>
        <v>0</v>
      </c>
      <c r="AJ164" s="27"/>
      <c r="AK164" s="149"/>
      <c r="AL164" s="64">
        <f t="shared" si="46"/>
        <v>0</v>
      </c>
      <c r="AM164" s="67">
        <f t="shared" si="47"/>
        <v>0</v>
      </c>
      <c r="AN164" s="27"/>
      <c r="AO164" s="149"/>
      <c r="AP164" s="27"/>
      <c r="AQ164" s="149"/>
      <c r="AR164" s="27"/>
      <c r="AS164" s="149"/>
      <c r="AT164" s="27"/>
      <c r="AU164" s="149"/>
      <c r="AV164" s="64">
        <f t="shared" si="48"/>
        <v>0</v>
      </c>
      <c r="AW164" s="70">
        <f t="shared" si="49"/>
        <v>0</v>
      </c>
      <c r="AX164" s="66">
        <f t="shared" si="50"/>
        <v>0</v>
      </c>
      <c r="AY164" s="71">
        <f t="shared" si="51"/>
        <v>0</v>
      </c>
      <c r="AZ164" s="72">
        <f t="shared" si="52"/>
        <v>1841.6666666666667</v>
      </c>
      <c r="BA164" s="66">
        <f t="shared" si="53"/>
        <v>1628.1333333333334</v>
      </c>
    </row>
    <row r="165" spans="1:53">
      <c r="A165" s="103" t="s">
        <v>188</v>
      </c>
      <c r="B165" s="104" t="s">
        <v>261</v>
      </c>
      <c r="C165" s="110"/>
      <c r="D165" s="106">
        <v>140942</v>
      </c>
      <c r="E165" s="106">
        <v>12</v>
      </c>
      <c r="F165" s="29" t="s">
        <v>75</v>
      </c>
      <c r="G165" s="16" t="s">
        <v>75</v>
      </c>
      <c r="H165" s="27"/>
      <c r="I165" s="149"/>
      <c r="J165" s="27">
        <v>40200</v>
      </c>
      <c r="K165" s="149">
        <v>38563</v>
      </c>
      <c r="L165" s="27">
        <v>16359</v>
      </c>
      <c r="M165" s="149">
        <v>16156</v>
      </c>
      <c r="N165" s="27">
        <v>38714</v>
      </c>
      <c r="O165" s="150">
        <v>36639</v>
      </c>
      <c r="P165" s="64">
        <f t="shared" si="36"/>
        <v>95273</v>
      </c>
      <c r="Q165" s="65">
        <f t="shared" si="37"/>
        <v>3175.7666666666669</v>
      </c>
      <c r="R165" s="66">
        <f t="shared" si="38"/>
        <v>91358</v>
      </c>
      <c r="S165" s="67">
        <f t="shared" si="39"/>
        <v>3045.2666666666669</v>
      </c>
      <c r="T165" s="27">
        <v>4797</v>
      </c>
      <c r="U165" s="150">
        <v>6857</v>
      </c>
      <c r="V165" s="64">
        <f t="shared" si="40"/>
        <v>95273</v>
      </c>
      <c r="W165" s="68">
        <f t="shared" si="41"/>
        <v>91358</v>
      </c>
      <c r="X165" s="27"/>
      <c r="Y165" s="149"/>
      <c r="Z165" s="27"/>
      <c r="AA165" s="149"/>
      <c r="AB165" s="27"/>
      <c r="AC165" s="149"/>
      <c r="AD165" s="27"/>
      <c r="AE165" s="149"/>
      <c r="AF165" s="64">
        <f t="shared" si="42"/>
        <v>0</v>
      </c>
      <c r="AG165" s="65">
        <f t="shared" si="43"/>
        <v>0</v>
      </c>
      <c r="AH165" s="66">
        <f t="shared" si="44"/>
        <v>0</v>
      </c>
      <c r="AI165" s="66">
        <f t="shared" si="45"/>
        <v>0</v>
      </c>
      <c r="AJ165" s="27"/>
      <c r="AK165" s="149"/>
      <c r="AL165" s="64">
        <f t="shared" si="46"/>
        <v>0</v>
      </c>
      <c r="AM165" s="67">
        <f t="shared" si="47"/>
        <v>0</v>
      </c>
      <c r="AN165" s="27"/>
      <c r="AO165" s="149"/>
      <c r="AP165" s="27"/>
      <c r="AQ165" s="149"/>
      <c r="AR165" s="27"/>
      <c r="AS165" s="149"/>
      <c r="AT165" s="27"/>
      <c r="AU165" s="149"/>
      <c r="AV165" s="64">
        <f t="shared" si="48"/>
        <v>0</v>
      </c>
      <c r="AW165" s="70">
        <f t="shared" si="49"/>
        <v>0</v>
      </c>
      <c r="AX165" s="66">
        <f t="shared" si="50"/>
        <v>0</v>
      </c>
      <c r="AY165" s="71">
        <f t="shared" si="51"/>
        <v>0</v>
      </c>
      <c r="AZ165" s="72">
        <f t="shared" si="52"/>
        <v>3175.7666666666669</v>
      </c>
      <c r="BA165" s="66">
        <f t="shared" si="53"/>
        <v>3045.2666666666669</v>
      </c>
    </row>
    <row r="166" spans="1:53">
      <c r="A166" s="103" t="s">
        <v>188</v>
      </c>
      <c r="B166" s="104" t="s">
        <v>262</v>
      </c>
      <c r="C166" s="110"/>
      <c r="D166" s="106">
        <v>141006</v>
      </c>
      <c r="E166" s="106">
        <v>12</v>
      </c>
      <c r="F166" s="29" t="s">
        <v>75</v>
      </c>
      <c r="G166" s="16" t="s">
        <v>75</v>
      </c>
      <c r="H166" s="27"/>
      <c r="I166" s="149"/>
      <c r="J166" s="27">
        <v>17622</v>
      </c>
      <c r="K166" s="149">
        <v>17283</v>
      </c>
      <c r="L166" s="27">
        <v>8042</v>
      </c>
      <c r="M166" s="149">
        <v>8124</v>
      </c>
      <c r="N166" s="27">
        <v>17666</v>
      </c>
      <c r="O166" s="150">
        <v>19460</v>
      </c>
      <c r="P166" s="64">
        <f t="shared" si="36"/>
        <v>43330</v>
      </c>
      <c r="Q166" s="65">
        <f t="shared" si="37"/>
        <v>1444.3333333333333</v>
      </c>
      <c r="R166" s="66">
        <f t="shared" si="38"/>
        <v>44867</v>
      </c>
      <c r="S166" s="67">
        <f t="shared" si="39"/>
        <v>1495.5666666666666</v>
      </c>
      <c r="T166" s="27">
        <v>3901</v>
      </c>
      <c r="U166" s="150">
        <v>5371</v>
      </c>
      <c r="V166" s="64">
        <f t="shared" si="40"/>
        <v>43330</v>
      </c>
      <c r="W166" s="68">
        <f t="shared" si="41"/>
        <v>44867</v>
      </c>
      <c r="X166" s="27"/>
      <c r="Y166" s="149"/>
      <c r="Z166" s="27"/>
      <c r="AA166" s="149"/>
      <c r="AB166" s="27"/>
      <c r="AC166" s="149"/>
      <c r="AD166" s="27"/>
      <c r="AE166" s="149"/>
      <c r="AF166" s="64">
        <f t="shared" si="42"/>
        <v>0</v>
      </c>
      <c r="AG166" s="65">
        <f t="shared" si="43"/>
        <v>0</v>
      </c>
      <c r="AH166" s="66">
        <f t="shared" si="44"/>
        <v>0</v>
      </c>
      <c r="AI166" s="66">
        <f t="shared" si="45"/>
        <v>0</v>
      </c>
      <c r="AJ166" s="27"/>
      <c r="AK166" s="149"/>
      <c r="AL166" s="64">
        <f t="shared" si="46"/>
        <v>0</v>
      </c>
      <c r="AM166" s="67">
        <f t="shared" si="47"/>
        <v>0</v>
      </c>
      <c r="AN166" s="27"/>
      <c r="AO166" s="149"/>
      <c r="AP166" s="27"/>
      <c r="AQ166" s="149"/>
      <c r="AR166" s="27"/>
      <c r="AS166" s="149"/>
      <c r="AT166" s="27"/>
      <c r="AU166" s="149"/>
      <c r="AV166" s="64">
        <f t="shared" si="48"/>
        <v>0</v>
      </c>
      <c r="AW166" s="70">
        <f t="shared" si="49"/>
        <v>0</v>
      </c>
      <c r="AX166" s="66">
        <f t="shared" si="50"/>
        <v>0</v>
      </c>
      <c r="AY166" s="71">
        <f t="shared" si="51"/>
        <v>0</v>
      </c>
      <c r="AZ166" s="72">
        <f t="shared" si="52"/>
        <v>1444.3333333333333</v>
      </c>
      <c r="BA166" s="66">
        <f t="shared" si="53"/>
        <v>1495.5666666666666</v>
      </c>
    </row>
    <row r="167" spans="1:53">
      <c r="A167" s="103" t="s">
        <v>188</v>
      </c>
      <c r="B167" s="104" t="s">
        <v>263</v>
      </c>
      <c r="C167" s="110"/>
      <c r="D167" s="106">
        <v>368911</v>
      </c>
      <c r="E167" s="106">
        <v>12</v>
      </c>
      <c r="F167" s="29" t="s">
        <v>75</v>
      </c>
      <c r="G167" s="16" t="s">
        <v>75</v>
      </c>
      <c r="H167" s="27"/>
      <c r="I167" s="149"/>
      <c r="J167" s="27">
        <v>12922</v>
      </c>
      <c r="K167" s="150">
        <v>13727</v>
      </c>
      <c r="L167" s="27">
        <v>6929</v>
      </c>
      <c r="M167" s="149">
        <v>6977</v>
      </c>
      <c r="N167" s="27">
        <v>14592</v>
      </c>
      <c r="O167" s="150">
        <v>13855</v>
      </c>
      <c r="P167" s="64">
        <f t="shared" si="36"/>
        <v>34443</v>
      </c>
      <c r="Q167" s="65">
        <f t="shared" si="37"/>
        <v>1148.0999999999999</v>
      </c>
      <c r="R167" s="66">
        <f t="shared" si="38"/>
        <v>34559</v>
      </c>
      <c r="S167" s="67">
        <f t="shared" si="39"/>
        <v>1151.9666666666667</v>
      </c>
      <c r="T167" s="27">
        <v>3328</v>
      </c>
      <c r="U167" s="149">
        <v>3331</v>
      </c>
      <c r="V167" s="64">
        <f t="shared" si="40"/>
        <v>34443</v>
      </c>
      <c r="W167" s="68">
        <f t="shared" si="41"/>
        <v>34559</v>
      </c>
      <c r="X167" s="27"/>
      <c r="Y167" s="149"/>
      <c r="Z167" s="27"/>
      <c r="AA167" s="149"/>
      <c r="AB167" s="27"/>
      <c r="AC167" s="149"/>
      <c r="AD167" s="27"/>
      <c r="AE167" s="149"/>
      <c r="AF167" s="64">
        <f t="shared" si="42"/>
        <v>0</v>
      </c>
      <c r="AG167" s="65">
        <f t="shared" si="43"/>
        <v>0</v>
      </c>
      <c r="AH167" s="66">
        <f t="shared" si="44"/>
        <v>0</v>
      </c>
      <c r="AI167" s="66">
        <f t="shared" si="45"/>
        <v>0</v>
      </c>
      <c r="AJ167" s="27"/>
      <c r="AK167" s="149"/>
      <c r="AL167" s="64">
        <f t="shared" si="46"/>
        <v>0</v>
      </c>
      <c r="AM167" s="67">
        <f t="shared" si="47"/>
        <v>0</v>
      </c>
      <c r="AN167" s="27"/>
      <c r="AO167" s="149"/>
      <c r="AP167" s="27"/>
      <c r="AQ167" s="149"/>
      <c r="AR167" s="27"/>
      <c r="AS167" s="149"/>
      <c r="AT167" s="27"/>
      <c r="AU167" s="149"/>
      <c r="AV167" s="64">
        <f t="shared" si="48"/>
        <v>0</v>
      </c>
      <c r="AW167" s="70">
        <f t="shared" si="49"/>
        <v>0</v>
      </c>
      <c r="AX167" s="66">
        <f t="shared" si="50"/>
        <v>0</v>
      </c>
      <c r="AY167" s="71">
        <f t="shared" si="51"/>
        <v>0</v>
      </c>
      <c r="AZ167" s="72">
        <f t="shared" si="52"/>
        <v>1148.0999999999999</v>
      </c>
      <c r="BA167" s="66">
        <f t="shared" si="53"/>
        <v>1151.9666666666667</v>
      </c>
    </row>
    <row r="168" spans="1:53">
      <c r="A168" s="103" t="s">
        <v>188</v>
      </c>
      <c r="B168" s="153" t="s">
        <v>264</v>
      </c>
      <c r="C168" s="110"/>
      <c r="D168" s="106">
        <v>139986</v>
      </c>
      <c r="E168" s="106">
        <v>12</v>
      </c>
      <c r="F168" s="29" t="s">
        <v>75</v>
      </c>
      <c r="G168" s="16" t="s">
        <v>75</v>
      </c>
      <c r="H168" s="27"/>
      <c r="I168" s="149"/>
      <c r="J168" s="27">
        <v>42049</v>
      </c>
      <c r="K168" s="150">
        <v>39153</v>
      </c>
      <c r="L168" s="27">
        <v>14718</v>
      </c>
      <c r="M168" s="149">
        <v>14410</v>
      </c>
      <c r="N168" s="27">
        <v>44429</v>
      </c>
      <c r="O168" s="150">
        <v>41999</v>
      </c>
      <c r="P168" s="64">
        <f t="shared" si="36"/>
        <v>101196</v>
      </c>
      <c r="Q168" s="65">
        <f t="shared" si="37"/>
        <v>3373.2</v>
      </c>
      <c r="R168" s="66">
        <f t="shared" si="38"/>
        <v>95562</v>
      </c>
      <c r="S168" s="67">
        <f t="shared" si="39"/>
        <v>3185.4</v>
      </c>
      <c r="T168" s="27">
        <v>6002</v>
      </c>
      <c r="U168" s="150">
        <v>7493</v>
      </c>
      <c r="V168" s="64">
        <f t="shared" si="40"/>
        <v>101196</v>
      </c>
      <c r="W168" s="68">
        <f t="shared" si="41"/>
        <v>95562</v>
      </c>
      <c r="X168" s="27"/>
      <c r="Y168" s="149"/>
      <c r="Z168" s="27"/>
      <c r="AA168" s="149"/>
      <c r="AB168" s="27"/>
      <c r="AC168" s="149"/>
      <c r="AD168" s="27"/>
      <c r="AE168" s="149"/>
      <c r="AF168" s="64">
        <f t="shared" si="42"/>
        <v>0</v>
      </c>
      <c r="AG168" s="65">
        <f t="shared" si="43"/>
        <v>0</v>
      </c>
      <c r="AH168" s="66">
        <f t="shared" si="44"/>
        <v>0</v>
      </c>
      <c r="AI168" s="66">
        <f t="shared" si="45"/>
        <v>0</v>
      </c>
      <c r="AJ168" s="27"/>
      <c r="AK168" s="149"/>
      <c r="AL168" s="64">
        <f t="shared" si="46"/>
        <v>0</v>
      </c>
      <c r="AM168" s="67">
        <f t="shared" si="47"/>
        <v>0</v>
      </c>
      <c r="AN168" s="27"/>
      <c r="AO168" s="149"/>
      <c r="AP168" s="27"/>
      <c r="AQ168" s="149"/>
      <c r="AR168" s="27"/>
      <c r="AS168" s="149"/>
      <c r="AT168" s="27"/>
      <c r="AU168" s="149"/>
      <c r="AV168" s="64">
        <f t="shared" si="48"/>
        <v>0</v>
      </c>
      <c r="AW168" s="70">
        <f t="shared" si="49"/>
        <v>0</v>
      </c>
      <c r="AX168" s="66">
        <f t="shared" si="50"/>
        <v>0</v>
      </c>
      <c r="AY168" s="71">
        <f t="shared" si="51"/>
        <v>0</v>
      </c>
      <c r="AZ168" s="72">
        <f t="shared" si="52"/>
        <v>3373.2</v>
      </c>
      <c r="BA168" s="66">
        <f t="shared" si="53"/>
        <v>3185.4</v>
      </c>
    </row>
    <row r="169" spans="1:53">
      <c r="A169" s="103" t="s">
        <v>188</v>
      </c>
      <c r="B169" s="151" t="s">
        <v>265</v>
      </c>
      <c r="C169" s="110"/>
      <c r="D169" s="152">
        <v>487162</v>
      </c>
      <c r="E169" s="106">
        <v>12</v>
      </c>
      <c r="F169" s="29" t="s">
        <v>75</v>
      </c>
      <c r="G169" s="16" t="s">
        <v>75</v>
      </c>
      <c r="H169" s="27"/>
      <c r="I169" s="149"/>
      <c r="J169" s="139">
        <v>29921</v>
      </c>
      <c r="K169" s="154">
        <v>29253</v>
      </c>
      <c r="L169" s="139">
        <v>15716</v>
      </c>
      <c r="M169" s="154">
        <v>16200</v>
      </c>
      <c r="N169" s="139">
        <v>29986</v>
      </c>
      <c r="O169" s="149">
        <v>30599</v>
      </c>
      <c r="P169" s="64">
        <f t="shared" si="36"/>
        <v>75623</v>
      </c>
      <c r="Q169" s="65">
        <f t="shared" si="37"/>
        <v>2520.7666666666669</v>
      </c>
      <c r="R169" s="66">
        <f t="shared" si="38"/>
        <v>76052</v>
      </c>
      <c r="S169" s="67">
        <f t="shared" si="39"/>
        <v>2535.0666666666666</v>
      </c>
      <c r="T169" s="139">
        <v>6727</v>
      </c>
      <c r="U169" s="150">
        <v>13286</v>
      </c>
      <c r="V169" s="64">
        <f t="shared" si="40"/>
        <v>75623</v>
      </c>
      <c r="W169" s="68">
        <f t="shared" si="41"/>
        <v>76052</v>
      </c>
      <c r="X169" s="27"/>
      <c r="Y169" s="149"/>
      <c r="Z169" s="27"/>
      <c r="AA169" s="149"/>
      <c r="AB169" s="27"/>
      <c r="AC169" s="149"/>
      <c r="AD169" s="27"/>
      <c r="AE169" s="149"/>
      <c r="AF169" s="64">
        <f t="shared" si="42"/>
        <v>0</v>
      </c>
      <c r="AG169" s="65">
        <f t="shared" si="43"/>
        <v>0</v>
      </c>
      <c r="AH169" s="66">
        <f t="shared" si="44"/>
        <v>0</v>
      </c>
      <c r="AI169" s="66">
        <f t="shared" si="45"/>
        <v>0</v>
      </c>
      <c r="AJ169" s="27"/>
      <c r="AK169" s="149"/>
      <c r="AL169" s="64">
        <f t="shared" si="46"/>
        <v>0</v>
      </c>
      <c r="AM169" s="67">
        <f t="shared" si="47"/>
        <v>0</v>
      </c>
      <c r="AN169" s="27"/>
      <c r="AO169" s="149"/>
      <c r="AP169" s="27"/>
      <c r="AQ169" s="149"/>
      <c r="AR169" s="27"/>
      <c r="AS169" s="149"/>
      <c r="AT169" s="27"/>
      <c r="AU169" s="149"/>
      <c r="AV169" s="64">
        <f t="shared" si="48"/>
        <v>0</v>
      </c>
      <c r="AW169" s="70">
        <f t="shared" si="49"/>
        <v>0</v>
      </c>
      <c r="AX169" s="66">
        <f t="shared" si="50"/>
        <v>0</v>
      </c>
      <c r="AY169" s="71">
        <f t="shared" si="51"/>
        <v>0</v>
      </c>
      <c r="AZ169" s="72">
        <f t="shared" si="52"/>
        <v>2520.7666666666669</v>
      </c>
      <c r="BA169" s="66">
        <f t="shared" si="53"/>
        <v>2535.0666666666666</v>
      </c>
    </row>
    <row r="170" spans="1:53">
      <c r="A170" s="103" t="s">
        <v>188</v>
      </c>
      <c r="B170" s="104" t="s">
        <v>266</v>
      </c>
      <c r="C170" s="110"/>
      <c r="D170" s="106">
        <v>139278</v>
      </c>
      <c r="E170" s="106">
        <v>12</v>
      </c>
      <c r="F170" s="29" t="s">
        <v>75</v>
      </c>
      <c r="G170" s="16" t="s">
        <v>75</v>
      </c>
      <c r="H170" s="27"/>
      <c r="I170" s="149"/>
      <c r="J170" s="27">
        <v>54030</v>
      </c>
      <c r="K170" s="149">
        <v>54130</v>
      </c>
      <c r="L170" s="27">
        <v>22159</v>
      </c>
      <c r="M170" s="149">
        <v>22291</v>
      </c>
      <c r="N170" s="27">
        <v>56768</v>
      </c>
      <c r="O170" s="149">
        <v>58419</v>
      </c>
      <c r="P170" s="64">
        <f t="shared" si="36"/>
        <v>132957</v>
      </c>
      <c r="Q170" s="65">
        <f t="shared" si="37"/>
        <v>4431.8999999999996</v>
      </c>
      <c r="R170" s="66">
        <f t="shared" si="38"/>
        <v>134840</v>
      </c>
      <c r="S170" s="67">
        <f t="shared" si="39"/>
        <v>4494.666666666667</v>
      </c>
      <c r="T170" s="27">
        <v>11882</v>
      </c>
      <c r="U170" s="150">
        <v>16563</v>
      </c>
      <c r="V170" s="64">
        <f t="shared" si="40"/>
        <v>132957</v>
      </c>
      <c r="W170" s="68">
        <f t="shared" si="41"/>
        <v>134840</v>
      </c>
      <c r="X170" s="27"/>
      <c r="Y170" s="149"/>
      <c r="Z170" s="27"/>
      <c r="AA170" s="149"/>
      <c r="AB170" s="27"/>
      <c r="AC170" s="149"/>
      <c r="AD170" s="27"/>
      <c r="AE170" s="149"/>
      <c r="AF170" s="64">
        <f t="shared" si="42"/>
        <v>0</v>
      </c>
      <c r="AG170" s="65">
        <f t="shared" si="43"/>
        <v>0</v>
      </c>
      <c r="AH170" s="66">
        <f t="shared" si="44"/>
        <v>0</v>
      </c>
      <c r="AI170" s="66">
        <f t="shared" si="45"/>
        <v>0</v>
      </c>
      <c r="AJ170" s="27"/>
      <c r="AK170" s="149"/>
      <c r="AL170" s="64">
        <f t="shared" si="46"/>
        <v>0</v>
      </c>
      <c r="AM170" s="67">
        <f t="shared" si="47"/>
        <v>0</v>
      </c>
      <c r="AN170" s="27"/>
      <c r="AO170" s="149"/>
      <c r="AP170" s="27"/>
      <c r="AQ170" s="149"/>
      <c r="AR170" s="27"/>
      <c r="AS170" s="149"/>
      <c r="AT170" s="27"/>
      <c r="AU170" s="149"/>
      <c r="AV170" s="64">
        <f t="shared" si="48"/>
        <v>0</v>
      </c>
      <c r="AW170" s="70">
        <f t="shared" si="49"/>
        <v>0</v>
      </c>
      <c r="AX170" s="66">
        <f t="shared" si="50"/>
        <v>0</v>
      </c>
      <c r="AY170" s="71">
        <f t="shared" si="51"/>
        <v>0</v>
      </c>
      <c r="AZ170" s="72">
        <f t="shared" si="52"/>
        <v>4431.8999999999996</v>
      </c>
      <c r="BA170" s="66">
        <f t="shared" si="53"/>
        <v>4494.666666666667</v>
      </c>
    </row>
    <row r="171" spans="1:53">
      <c r="A171" s="103" t="s">
        <v>188</v>
      </c>
      <c r="B171" s="153" t="s">
        <v>267</v>
      </c>
      <c r="C171" s="110"/>
      <c r="D171" s="106">
        <v>141255</v>
      </c>
      <c r="E171" s="106">
        <v>12</v>
      </c>
      <c r="F171" s="29" t="s">
        <v>75</v>
      </c>
      <c r="G171" s="16" t="s">
        <v>75</v>
      </c>
      <c r="H171" s="27"/>
      <c r="I171" s="149"/>
      <c r="J171" s="27">
        <v>30812</v>
      </c>
      <c r="K171" s="150">
        <v>29182</v>
      </c>
      <c r="L171" s="27">
        <v>14892</v>
      </c>
      <c r="M171" s="149">
        <v>14313</v>
      </c>
      <c r="N171" s="27">
        <v>30013</v>
      </c>
      <c r="O171" s="150">
        <v>31846</v>
      </c>
      <c r="P171" s="64">
        <f t="shared" si="36"/>
        <v>75717</v>
      </c>
      <c r="Q171" s="65">
        <f t="shared" si="37"/>
        <v>2523.9</v>
      </c>
      <c r="R171" s="66">
        <f t="shared" si="38"/>
        <v>75341</v>
      </c>
      <c r="S171" s="67">
        <f t="shared" si="39"/>
        <v>2511.3666666666668</v>
      </c>
      <c r="T171" s="27">
        <v>11437</v>
      </c>
      <c r="U171" s="150">
        <v>14926</v>
      </c>
      <c r="V171" s="64">
        <f t="shared" si="40"/>
        <v>75717</v>
      </c>
      <c r="W171" s="68">
        <f t="shared" si="41"/>
        <v>75341</v>
      </c>
      <c r="X171" s="27"/>
      <c r="Y171" s="149"/>
      <c r="Z171" s="27"/>
      <c r="AA171" s="149"/>
      <c r="AB171" s="27"/>
      <c r="AC171" s="149"/>
      <c r="AD171" s="27"/>
      <c r="AE171" s="149"/>
      <c r="AF171" s="64">
        <f t="shared" si="42"/>
        <v>0</v>
      </c>
      <c r="AG171" s="65">
        <f t="shared" si="43"/>
        <v>0</v>
      </c>
      <c r="AH171" s="66">
        <f t="shared" si="44"/>
        <v>0</v>
      </c>
      <c r="AI171" s="66">
        <f t="shared" si="45"/>
        <v>0</v>
      </c>
      <c r="AJ171" s="27"/>
      <c r="AK171" s="149"/>
      <c r="AL171" s="64">
        <f t="shared" si="46"/>
        <v>0</v>
      </c>
      <c r="AM171" s="67">
        <f t="shared" si="47"/>
        <v>0</v>
      </c>
      <c r="AN171" s="27"/>
      <c r="AO171" s="149"/>
      <c r="AP171" s="27"/>
      <c r="AQ171" s="149"/>
      <c r="AR171" s="27"/>
      <c r="AS171" s="149"/>
      <c r="AT171" s="27"/>
      <c r="AU171" s="149"/>
      <c r="AV171" s="64">
        <f t="shared" si="48"/>
        <v>0</v>
      </c>
      <c r="AW171" s="70">
        <f t="shared" si="49"/>
        <v>0</v>
      </c>
      <c r="AX171" s="66">
        <f t="shared" si="50"/>
        <v>0</v>
      </c>
      <c r="AY171" s="71">
        <f t="shared" si="51"/>
        <v>0</v>
      </c>
      <c r="AZ171" s="72">
        <f t="shared" si="52"/>
        <v>2523.9</v>
      </c>
      <c r="BA171" s="66">
        <f t="shared" si="53"/>
        <v>2511.3666666666668</v>
      </c>
    </row>
    <row r="172" spans="1:53" s="54" customFormat="1" ht="13.5" customHeight="1">
      <c r="A172" s="22" t="s">
        <v>268</v>
      </c>
      <c r="B172" s="32" t="s">
        <v>269</v>
      </c>
      <c r="C172" s="691"/>
      <c r="D172" s="30">
        <v>157085</v>
      </c>
      <c r="E172" s="30">
        <v>1</v>
      </c>
      <c r="F172" s="29" t="s">
        <v>75</v>
      </c>
      <c r="G172" s="16" t="s">
        <v>75</v>
      </c>
      <c r="H172" s="27"/>
      <c r="I172" s="26"/>
      <c r="J172" s="27">
        <v>283884</v>
      </c>
      <c r="K172" s="26">
        <v>282122</v>
      </c>
      <c r="L172" s="27">
        <v>24359</v>
      </c>
      <c r="M172" s="26">
        <v>24354</v>
      </c>
      <c r="N172" s="27">
        <v>319524</v>
      </c>
      <c r="O172" s="26">
        <v>310048</v>
      </c>
      <c r="P172" s="64">
        <f t="shared" si="36"/>
        <v>627767</v>
      </c>
      <c r="Q172" s="65">
        <f t="shared" si="37"/>
        <v>20925.566666666666</v>
      </c>
      <c r="R172" s="66">
        <f t="shared" si="38"/>
        <v>616524</v>
      </c>
      <c r="S172" s="67">
        <f t="shared" si="39"/>
        <v>20550.8</v>
      </c>
      <c r="T172" s="27">
        <v>33</v>
      </c>
      <c r="U172" s="52">
        <v>75</v>
      </c>
      <c r="V172" s="64">
        <f t="shared" si="40"/>
        <v>627767</v>
      </c>
      <c r="W172" s="68">
        <f t="shared" si="41"/>
        <v>616524</v>
      </c>
      <c r="X172" s="27"/>
      <c r="Y172" s="26"/>
      <c r="Z172" s="27"/>
      <c r="AA172" s="26"/>
      <c r="AB172" s="27"/>
      <c r="AC172" s="26"/>
      <c r="AD172" s="27"/>
      <c r="AE172" s="26"/>
      <c r="AF172" s="64">
        <f t="shared" si="42"/>
        <v>0</v>
      </c>
      <c r="AG172" s="65">
        <f t="shared" si="43"/>
        <v>0</v>
      </c>
      <c r="AH172" s="66">
        <f t="shared" si="44"/>
        <v>0</v>
      </c>
      <c r="AI172" s="66">
        <f t="shared" si="45"/>
        <v>0</v>
      </c>
      <c r="AJ172" s="27"/>
      <c r="AK172" s="26"/>
      <c r="AL172" s="64">
        <f t="shared" si="46"/>
        <v>0</v>
      </c>
      <c r="AM172" s="67">
        <f t="shared" si="47"/>
        <v>0</v>
      </c>
      <c r="AN172" s="27"/>
      <c r="AO172" s="26"/>
      <c r="AP172" s="27">
        <v>35933</v>
      </c>
      <c r="AQ172" s="109">
        <v>32996</v>
      </c>
      <c r="AR172" s="27">
        <v>5484</v>
      </c>
      <c r="AS172" s="26">
        <v>5558</v>
      </c>
      <c r="AT172" s="27">
        <v>38093</v>
      </c>
      <c r="AU172" s="26">
        <v>38713</v>
      </c>
      <c r="AV172" s="64">
        <f t="shared" si="48"/>
        <v>79510</v>
      </c>
      <c r="AW172" s="70">
        <f t="shared" si="49"/>
        <v>3312.9166666666665</v>
      </c>
      <c r="AX172" s="66">
        <f t="shared" si="50"/>
        <v>77267</v>
      </c>
      <c r="AY172" s="71">
        <f t="shared" si="51"/>
        <v>3219.4583333333335</v>
      </c>
      <c r="AZ172" s="72">
        <f t="shared" si="52"/>
        <v>24238.483333333334</v>
      </c>
      <c r="BA172" s="66">
        <f t="shared" si="53"/>
        <v>23770.258333333331</v>
      </c>
    </row>
    <row r="173" spans="1:53" ht="15">
      <c r="A173" s="22" t="s">
        <v>268</v>
      </c>
      <c r="B173" s="32" t="s">
        <v>270</v>
      </c>
      <c r="C173" s="691"/>
      <c r="D173" s="30">
        <v>157289</v>
      </c>
      <c r="E173" s="30">
        <v>1</v>
      </c>
      <c r="F173" s="29" t="s">
        <v>75</v>
      </c>
      <c r="G173" s="16" t="s">
        <v>75</v>
      </c>
      <c r="H173" s="27"/>
      <c r="I173" s="26"/>
      <c r="J173" s="27">
        <v>173781</v>
      </c>
      <c r="K173" s="26">
        <v>173557</v>
      </c>
      <c r="L173" s="27">
        <v>37541</v>
      </c>
      <c r="M173" s="26">
        <v>38796</v>
      </c>
      <c r="N173" s="27">
        <v>193484</v>
      </c>
      <c r="O173" s="26">
        <v>193419</v>
      </c>
      <c r="P173" s="64">
        <f t="shared" si="36"/>
        <v>404806</v>
      </c>
      <c r="Q173" s="65">
        <f t="shared" si="37"/>
        <v>13493.533333333333</v>
      </c>
      <c r="R173" s="66">
        <f t="shared" si="38"/>
        <v>405772</v>
      </c>
      <c r="S173" s="67">
        <f t="shared" si="39"/>
        <v>13525.733333333334</v>
      </c>
      <c r="T173" s="27">
        <v>1939</v>
      </c>
      <c r="U173" s="109">
        <v>1767</v>
      </c>
      <c r="V173" s="64">
        <f t="shared" si="40"/>
        <v>404806</v>
      </c>
      <c r="W173" s="68">
        <f t="shared" si="41"/>
        <v>405772</v>
      </c>
      <c r="X173" s="27"/>
      <c r="Y173" s="26"/>
      <c r="Z173" s="27"/>
      <c r="AA173" s="26"/>
      <c r="AB173" s="27"/>
      <c r="AC173" s="26"/>
      <c r="AD173" s="27"/>
      <c r="AE173" s="26"/>
      <c r="AF173" s="64">
        <f t="shared" si="42"/>
        <v>0</v>
      </c>
      <c r="AG173" s="65">
        <f t="shared" si="43"/>
        <v>0</v>
      </c>
      <c r="AH173" s="66">
        <f t="shared" si="44"/>
        <v>0</v>
      </c>
      <c r="AI173" s="66">
        <f t="shared" si="45"/>
        <v>0</v>
      </c>
      <c r="AJ173" s="27"/>
      <c r="AK173" s="26"/>
      <c r="AL173" s="64">
        <f t="shared" si="46"/>
        <v>0</v>
      </c>
      <c r="AM173" s="67">
        <f t="shared" si="47"/>
        <v>0</v>
      </c>
      <c r="AN173" s="27"/>
      <c r="AO173" s="26"/>
      <c r="AP173" s="27">
        <v>31617</v>
      </c>
      <c r="AQ173" s="109">
        <v>29964</v>
      </c>
      <c r="AR173" s="27">
        <v>12869</v>
      </c>
      <c r="AS173" s="109">
        <v>14061</v>
      </c>
      <c r="AT173" s="27">
        <v>33007</v>
      </c>
      <c r="AU173" s="26">
        <v>34521</v>
      </c>
      <c r="AV173" s="64">
        <f t="shared" si="48"/>
        <v>77493</v>
      </c>
      <c r="AW173" s="70">
        <f t="shared" si="49"/>
        <v>3228.875</v>
      </c>
      <c r="AX173" s="66">
        <f t="shared" si="50"/>
        <v>78546</v>
      </c>
      <c r="AY173" s="71">
        <f t="shared" si="51"/>
        <v>3272.75</v>
      </c>
      <c r="AZ173" s="72">
        <f t="shared" si="52"/>
        <v>16722.408333333333</v>
      </c>
      <c r="BA173" s="66">
        <f t="shared" si="53"/>
        <v>16798.483333333334</v>
      </c>
    </row>
    <row r="174" spans="1:53" ht="15">
      <c r="A174" s="22" t="s">
        <v>268</v>
      </c>
      <c r="B174" s="32" t="s">
        <v>271</v>
      </c>
      <c r="C174" s="691"/>
      <c r="D174" s="30">
        <v>156620</v>
      </c>
      <c r="E174" s="30">
        <v>3</v>
      </c>
      <c r="F174" s="29" t="s">
        <v>75</v>
      </c>
      <c r="G174" s="16" t="s">
        <v>75</v>
      </c>
      <c r="H174" s="27"/>
      <c r="I174" s="26"/>
      <c r="J174" s="27">
        <v>162997</v>
      </c>
      <c r="K174" s="26">
        <v>163342</v>
      </c>
      <c r="L174" s="27">
        <v>18605</v>
      </c>
      <c r="M174" s="26">
        <v>18263</v>
      </c>
      <c r="N174" s="27">
        <v>181140</v>
      </c>
      <c r="O174" s="26">
        <v>177598</v>
      </c>
      <c r="P174" s="64">
        <f t="shared" si="36"/>
        <v>362742</v>
      </c>
      <c r="Q174" s="65">
        <f t="shared" si="37"/>
        <v>12091.4</v>
      </c>
      <c r="R174" s="66">
        <f t="shared" si="38"/>
        <v>359203</v>
      </c>
      <c r="S174" s="67">
        <f t="shared" si="39"/>
        <v>11973.433333333332</v>
      </c>
      <c r="T174" s="27">
        <v>5958</v>
      </c>
      <c r="U174" s="109">
        <v>7963</v>
      </c>
      <c r="V174" s="64">
        <f t="shared" si="40"/>
        <v>362742</v>
      </c>
      <c r="W174" s="68">
        <f t="shared" si="41"/>
        <v>359203</v>
      </c>
      <c r="X174" s="27"/>
      <c r="Y174" s="26"/>
      <c r="Z174" s="27"/>
      <c r="AA174" s="26"/>
      <c r="AB174" s="27"/>
      <c r="AC174" s="26"/>
      <c r="AD174" s="27"/>
      <c r="AE174" s="26"/>
      <c r="AF174" s="64">
        <f t="shared" si="42"/>
        <v>0</v>
      </c>
      <c r="AG174" s="65">
        <f t="shared" si="43"/>
        <v>0</v>
      </c>
      <c r="AH174" s="66">
        <f t="shared" si="44"/>
        <v>0</v>
      </c>
      <c r="AI174" s="66">
        <f t="shared" si="45"/>
        <v>0</v>
      </c>
      <c r="AJ174" s="27"/>
      <c r="AK174" s="26"/>
      <c r="AL174" s="64">
        <f t="shared" si="46"/>
        <v>0</v>
      </c>
      <c r="AM174" s="67">
        <f t="shared" si="47"/>
        <v>0</v>
      </c>
      <c r="AN174" s="27"/>
      <c r="AO174" s="26"/>
      <c r="AP174" s="27">
        <v>16466</v>
      </c>
      <c r="AQ174" s="109">
        <v>17579</v>
      </c>
      <c r="AR174" s="27">
        <v>9239</v>
      </c>
      <c r="AS174" s="109">
        <v>9770</v>
      </c>
      <c r="AT174" s="27">
        <v>17068</v>
      </c>
      <c r="AU174" s="26">
        <v>17305</v>
      </c>
      <c r="AV174" s="64">
        <f t="shared" si="48"/>
        <v>42773</v>
      </c>
      <c r="AW174" s="70">
        <f t="shared" si="49"/>
        <v>1782.2083333333333</v>
      </c>
      <c r="AX174" s="66">
        <f t="shared" si="50"/>
        <v>44654</v>
      </c>
      <c r="AY174" s="71">
        <f t="shared" si="51"/>
        <v>1860.5833333333333</v>
      </c>
      <c r="AZ174" s="72">
        <f t="shared" si="52"/>
        <v>13873.608333333334</v>
      </c>
      <c r="BA174" s="66">
        <f t="shared" si="53"/>
        <v>13834.016666666666</v>
      </c>
    </row>
    <row r="175" spans="1:53" ht="15">
      <c r="A175" s="22" t="s">
        <v>268</v>
      </c>
      <c r="B175" s="32" t="s">
        <v>272</v>
      </c>
      <c r="C175" s="691"/>
      <c r="D175" s="30">
        <v>157386</v>
      </c>
      <c r="E175" s="30">
        <v>3</v>
      </c>
      <c r="F175" s="29" t="s">
        <v>75</v>
      </c>
      <c r="G175" s="16" t="s">
        <v>75</v>
      </c>
      <c r="H175" s="27"/>
      <c r="I175" s="26"/>
      <c r="J175" s="27">
        <v>93581</v>
      </c>
      <c r="K175" s="26">
        <v>94009</v>
      </c>
      <c r="L175" s="27">
        <v>7540</v>
      </c>
      <c r="M175" s="26">
        <v>7681</v>
      </c>
      <c r="N175" s="27">
        <v>105850</v>
      </c>
      <c r="O175" s="26">
        <v>104068</v>
      </c>
      <c r="P175" s="64">
        <f t="shared" si="36"/>
        <v>206971</v>
      </c>
      <c r="Q175" s="65">
        <f t="shared" si="37"/>
        <v>6899.0333333333338</v>
      </c>
      <c r="R175" s="66">
        <f t="shared" si="38"/>
        <v>205758</v>
      </c>
      <c r="S175" s="67">
        <f t="shared" si="39"/>
        <v>6858.6</v>
      </c>
      <c r="T175" s="27">
        <v>17436</v>
      </c>
      <c r="U175" s="109">
        <v>21121</v>
      </c>
      <c r="V175" s="64">
        <f t="shared" si="40"/>
        <v>206971</v>
      </c>
      <c r="W175" s="68">
        <f t="shared" si="41"/>
        <v>205758</v>
      </c>
      <c r="X175" s="27"/>
      <c r="Y175" s="26"/>
      <c r="Z175" s="27"/>
      <c r="AA175" s="26"/>
      <c r="AB175" s="27"/>
      <c r="AC175" s="26"/>
      <c r="AD175" s="27"/>
      <c r="AE175" s="26"/>
      <c r="AF175" s="64">
        <f t="shared" si="42"/>
        <v>0</v>
      </c>
      <c r="AG175" s="65">
        <f t="shared" si="43"/>
        <v>0</v>
      </c>
      <c r="AH175" s="66">
        <f t="shared" si="44"/>
        <v>0</v>
      </c>
      <c r="AI175" s="66">
        <f t="shared" si="45"/>
        <v>0</v>
      </c>
      <c r="AJ175" s="27"/>
      <c r="AK175" s="26"/>
      <c r="AL175" s="64">
        <f t="shared" si="46"/>
        <v>0</v>
      </c>
      <c r="AM175" s="67">
        <f t="shared" si="47"/>
        <v>0</v>
      </c>
      <c r="AN175" s="27"/>
      <c r="AO175" s="26"/>
      <c r="AP175" s="27">
        <v>6314</v>
      </c>
      <c r="AQ175" s="26">
        <v>6425</v>
      </c>
      <c r="AR175" s="27">
        <v>3275</v>
      </c>
      <c r="AS175" s="26">
        <v>3404</v>
      </c>
      <c r="AT175" s="27">
        <v>6414</v>
      </c>
      <c r="AU175" s="109">
        <v>5812</v>
      </c>
      <c r="AV175" s="64">
        <f t="shared" si="48"/>
        <v>16003</v>
      </c>
      <c r="AW175" s="70">
        <f t="shared" si="49"/>
        <v>666.79166666666663</v>
      </c>
      <c r="AX175" s="66">
        <f t="shared" si="50"/>
        <v>15641</v>
      </c>
      <c r="AY175" s="71">
        <f t="shared" si="51"/>
        <v>651.70833333333337</v>
      </c>
      <c r="AZ175" s="72">
        <f t="shared" si="52"/>
        <v>7565.8250000000007</v>
      </c>
      <c r="BA175" s="66">
        <f t="shared" si="53"/>
        <v>7510.3083333333334</v>
      </c>
    </row>
    <row r="176" spans="1:53" ht="15">
      <c r="A176" s="22" t="s">
        <v>268</v>
      </c>
      <c r="B176" s="32" t="s">
        <v>273</v>
      </c>
      <c r="C176" s="691"/>
      <c r="D176" s="30">
        <v>157401</v>
      </c>
      <c r="E176" s="30">
        <v>3</v>
      </c>
      <c r="F176" s="29" t="s">
        <v>75</v>
      </c>
      <c r="G176" s="16" t="s">
        <v>75</v>
      </c>
      <c r="H176" s="27"/>
      <c r="I176" s="26"/>
      <c r="J176" s="27">
        <v>109878</v>
      </c>
      <c r="K176" s="26">
        <v>105338</v>
      </c>
      <c r="L176" s="27">
        <v>8530</v>
      </c>
      <c r="M176" s="26">
        <v>8691</v>
      </c>
      <c r="N176" s="27">
        <v>117423</v>
      </c>
      <c r="O176" s="26">
        <v>113112</v>
      </c>
      <c r="P176" s="64">
        <f t="shared" si="36"/>
        <v>235831</v>
      </c>
      <c r="Q176" s="65">
        <f t="shared" si="37"/>
        <v>7861.0333333333338</v>
      </c>
      <c r="R176" s="66">
        <f t="shared" si="38"/>
        <v>227141</v>
      </c>
      <c r="S176" s="67">
        <f t="shared" si="39"/>
        <v>7571.3666666666668</v>
      </c>
      <c r="T176" s="27">
        <v>6579</v>
      </c>
      <c r="U176" s="109">
        <v>6010</v>
      </c>
      <c r="V176" s="64">
        <f t="shared" si="40"/>
        <v>235831</v>
      </c>
      <c r="W176" s="68">
        <f t="shared" si="41"/>
        <v>227141</v>
      </c>
      <c r="X176" s="27"/>
      <c r="Y176" s="26"/>
      <c r="Z176" s="27"/>
      <c r="AA176" s="26"/>
      <c r="AB176" s="27"/>
      <c r="AC176" s="26"/>
      <c r="AD176" s="27"/>
      <c r="AE176" s="26"/>
      <c r="AF176" s="64">
        <f t="shared" si="42"/>
        <v>0</v>
      </c>
      <c r="AG176" s="65">
        <f t="shared" si="43"/>
        <v>0</v>
      </c>
      <c r="AH176" s="66">
        <f t="shared" si="44"/>
        <v>0</v>
      </c>
      <c r="AI176" s="66">
        <f t="shared" si="45"/>
        <v>0</v>
      </c>
      <c r="AJ176" s="27"/>
      <c r="AK176" s="26"/>
      <c r="AL176" s="64">
        <f t="shared" si="46"/>
        <v>0</v>
      </c>
      <c r="AM176" s="67">
        <f t="shared" si="47"/>
        <v>0</v>
      </c>
      <c r="AN176" s="27"/>
      <c r="AO176" s="26"/>
      <c r="AP176" s="27">
        <v>11682</v>
      </c>
      <c r="AQ176" s="26">
        <v>11256</v>
      </c>
      <c r="AR176" s="27">
        <v>5044</v>
      </c>
      <c r="AS176" s="109">
        <v>4385</v>
      </c>
      <c r="AT176" s="27">
        <v>11649</v>
      </c>
      <c r="AU176" s="109">
        <v>10496</v>
      </c>
      <c r="AV176" s="64">
        <f t="shared" si="48"/>
        <v>28375</v>
      </c>
      <c r="AW176" s="70">
        <f t="shared" si="49"/>
        <v>1182.2916666666667</v>
      </c>
      <c r="AX176" s="66">
        <f t="shared" si="50"/>
        <v>26137</v>
      </c>
      <c r="AY176" s="71">
        <f t="shared" si="51"/>
        <v>1089.0416666666667</v>
      </c>
      <c r="AZ176" s="72">
        <f t="shared" si="52"/>
        <v>9043.3250000000007</v>
      </c>
      <c r="BA176" s="66">
        <f t="shared" si="53"/>
        <v>8660.4083333333328</v>
      </c>
    </row>
    <row r="177" spans="1:53" ht="15">
      <c r="A177" s="22" t="s">
        <v>268</v>
      </c>
      <c r="B177" s="32" t="s">
        <v>274</v>
      </c>
      <c r="C177" s="691"/>
      <c r="D177" s="30">
        <v>157447</v>
      </c>
      <c r="E177" s="30">
        <v>3</v>
      </c>
      <c r="F177" s="29" t="s">
        <v>75</v>
      </c>
      <c r="G177" s="16" t="s">
        <v>75</v>
      </c>
      <c r="H177" s="27"/>
      <c r="I177" s="26"/>
      <c r="J177" s="27">
        <v>144915</v>
      </c>
      <c r="K177" s="26">
        <v>143103</v>
      </c>
      <c r="L177" s="27">
        <v>15585</v>
      </c>
      <c r="M177" s="26">
        <v>14873</v>
      </c>
      <c r="N177" s="27">
        <v>156966</v>
      </c>
      <c r="O177" s="26">
        <v>155608</v>
      </c>
      <c r="P177" s="64">
        <f t="shared" si="36"/>
        <v>317466</v>
      </c>
      <c r="Q177" s="65">
        <f t="shared" si="37"/>
        <v>10582.2</v>
      </c>
      <c r="R177" s="66">
        <f t="shared" si="38"/>
        <v>313584</v>
      </c>
      <c r="S177" s="67">
        <f t="shared" si="39"/>
        <v>10452.799999999999</v>
      </c>
      <c r="T177" s="27">
        <v>7461</v>
      </c>
      <c r="U177" s="109">
        <v>8235</v>
      </c>
      <c r="V177" s="64">
        <f t="shared" si="40"/>
        <v>317466</v>
      </c>
      <c r="W177" s="68">
        <f t="shared" si="41"/>
        <v>313584</v>
      </c>
      <c r="X177" s="27"/>
      <c r="Y177" s="26"/>
      <c r="Z177" s="27"/>
      <c r="AA177" s="26"/>
      <c r="AB177" s="27"/>
      <c r="AC177" s="26"/>
      <c r="AD177" s="27"/>
      <c r="AE177" s="26"/>
      <c r="AF177" s="64">
        <f t="shared" si="42"/>
        <v>0</v>
      </c>
      <c r="AG177" s="65">
        <f t="shared" si="43"/>
        <v>0</v>
      </c>
      <c r="AH177" s="66">
        <f t="shared" si="44"/>
        <v>0</v>
      </c>
      <c r="AI177" s="66">
        <f t="shared" si="45"/>
        <v>0</v>
      </c>
      <c r="AJ177" s="27"/>
      <c r="AK177" s="26"/>
      <c r="AL177" s="64">
        <f t="shared" si="46"/>
        <v>0</v>
      </c>
      <c r="AM177" s="67">
        <f t="shared" si="47"/>
        <v>0</v>
      </c>
      <c r="AN177" s="27"/>
      <c r="AO177" s="26"/>
      <c r="AP177" s="27">
        <v>14027</v>
      </c>
      <c r="AQ177" s="26">
        <v>13915</v>
      </c>
      <c r="AR177" s="27">
        <v>4691</v>
      </c>
      <c r="AS177" s="26">
        <v>4718</v>
      </c>
      <c r="AT177" s="27">
        <v>14471</v>
      </c>
      <c r="AU177" s="26">
        <v>14141</v>
      </c>
      <c r="AV177" s="64">
        <f t="shared" si="48"/>
        <v>33189</v>
      </c>
      <c r="AW177" s="70">
        <f t="shared" si="49"/>
        <v>1382.875</v>
      </c>
      <c r="AX177" s="66">
        <f t="shared" si="50"/>
        <v>32774</v>
      </c>
      <c r="AY177" s="71">
        <f t="shared" si="51"/>
        <v>1365.5833333333333</v>
      </c>
      <c r="AZ177" s="72">
        <f t="shared" si="52"/>
        <v>11965.075000000001</v>
      </c>
      <c r="BA177" s="66">
        <f t="shared" si="53"/>
        <v>11818.383333333333</v>
      </c>
    </row>
    <row r="178" spans="1:53" ht="15">
      <c r="A178" s="22" t="s">
        <v>268</v>
      </c>
      <c r="B178" s="32" t="s">
        <v>275</v>
      </c>
      <c r="C178" s="691"/>
      <c r="D178" s="30">
        <v>157951</v>
      </c>
      <c r="E178" s="30">
        <v>3</v>
      </c>
      <c r="F178" s="29" t="s">
        <v>75</v>
      </c>
      <c r="G178" s="16" t="s">
        <v>75</v>
      </c>
      <c r="H178" s="27"/>
      <c r="I178" s="26"/>
      <c r="J178" s="27">
        <v>198661</v>
      </c>
      <c r="K178" s="26">
        <v>197699</v>
      </c>
      <c r="L178" s="27">
        <v>21715</v>
      </c>
      <c r="M178" s="26">
        <v>22289</v>
      </c>
      <c r="N178" s="27">
        <v>212833</v>
      </c>
      <c r="O178" s="26">
        <v>213964</v>
      </c>
      <c r="P178" s="64">
        <f t="shared" si="36"/>
        <v>433209</v>
      </c>
      <c r="Q178" s="65">
        <f t="shared" si="37"/>
        <v>14440.3</v>
      </c>
      <c r="R178" s="66">
        <f t="shared" si="38"/>
        <v>433952</v>
      </c>
      <c r="S178" s="67">
        <f t="shared" si="39"/>
        <v>14465.066666666668</v>
      </c>
      <c r="T178" s="27">
        <v>16299</v>
      </c>
      <c r="U178" s="109">
        <v>20386</v>
      </c>
      <c r="V178" s="64">
        <f t="shared" si="40"/>
        <v>433209</v>
      </c>
      <c r="W178" s="68">
        <f t="shared" si="41"/>
        <v>433952</v>
      </c>
      <c r="X178" s="27"/>
      <c r="Y178" s="26"/>
      <c r="Z178" s="27"/>
      <c r="AA178" s="26"/>
      <c r="AB178" s="27"/>
      <c r="AC178" s="26"/>
      <c r="AD178" s="27"/>
      <c r="AE178" s="26"/>
      <c r="AF178" s="64">
        <f t="shared" si="42"/>
        <v>0</v>
      </c>
      <c r="AG178" s="65">
        <f t="shared" si="43"/>
        <v>0</v>
      </c>
      <c r="AH178" s="66">
        <f t="shared" si="44"/>
        <v>0</v>
      </c>
      <c r="AI178" s="66">
        <f t="shared" si="45"/>
        <v>0</v>
      </c>
      <c r="AJ178" s="27"/>
      <c r="AK178" s="26"/>
      <c r="AL178" s="64">
        <f t="shared" si="46"/>
        <v>0</v>
      </c>
      <c r="AM178" s="67">
        <f t="shared" si="47"/>
        <v>0</v>
      </c>
      <c r="AN178" s="27"/>
      <c r="AO178" s="26"/>
      <c r="AP178" s="27">
        <v>17430</v>
      </c>
      <c r="AQ178" s="109">
        <v>18692</v>
      </c>
      <c r="AR178" s="27">
        <v>7874</v>
      </c>
      <c r="AS178" s="26">
        <v>7738</v>
      </c>
      <c r="AT178" s="27">
        <v>17400</v>
      </c>
      <c r="AU178" s="26">
        <v>16885</v>
      </c>
      <c r="AV178" s="64">
        <f t="shared" si="48"/>
        <v>42704</v>
      </c>
      <c r="AW178" s="70">
        <f t="shared" si="49"/>
        <v>1779.3333333333333</v>
      </c>
      <c r="AX178" s="66">
        <f t="shared" si="50"/>
        <v>43315</v>
      </c>
      <c r="AY178" s="71">
        <f t="shared" si="51"/>
        <v>1804.7916666666667</v>
      </c>
      <c r="AZ178" s="72">
        <f t="shared" si="52"/>
        <v>16219.633333333333</v>
      </c>
      <c r="BA178" s="66">
        <f t="shared" si="53"/>
        <v>16269.858333333334</v>
      </c>
    </row>
    <row r="179" spans="1:53" ht="15">
      <c r="A179" s="22" t="s">
        <v>268</v>
      </c>
      <c r="B179" s="32" t="s">
        <v>276</v>
      </c>
      <c r="C179" s="691"/>
      <c r="D179" s="30">
        <v>157058</v>
      </c>
      <c r="E179" s="30">
        <v>4</v>
      </c>
      <c r="F179" s="29" t="s">
        <v>75</v>
      </c>
      <c r="G179" s="16" t="s">
        <v>75</v>
      </c>
      <c r="H179" s="27"/>
      <c r="I179" s="26"/>
      <c r="J179" s="27">
        <v>21950</v>
      </c>
      <c r="K179" s="109">
        <v>17883</v>
      </c>
      <c r="L179" s="27">
        <v>805</v>
      </c>
      <c r="M179" s="109">
        <v>947</v>
      </c>
      <c r="N179" s="27">
        <v>18401</v>
      </c>
      <c r="O179" s="26">
        <v>18984</v>
      </c>
      <c r="P179" s="64">
        <f t="shared" si="36"/>
        <v>41156</v>
      </c>
      <c r="Q179" s="65">
        <f t="shared" si="37"/>
        <v>1371.8666666666666</v>
      </c>
      <c r="R179" s="66">
        <f t="shared" si="38"/>
        <v>37814</v>
      </c>
      <c r="S179" s="67">
        <f t="shared" si="39"/>
        <v>1260.4666666666667</v>
      </c>
      <c r="T179" s="27">
        <v>1697</v>
      </c>
      <c r="U179" s="109">
        <v>2316</v>
      </c>
      <c r="V179" s="64">
        <f t="shared" si="40"/>
        <v>41156</v>
      </c>
      <c r="W179" s="68">
        <f t="shared" si="41"/>
        <v>37814</v>
      </c>
      <c r="X179" s="27"/>
      <c r="Y179" s="26"/>
      <c r="Z179" s="27"/>
      <c r="AA179" s="26"/>
      <c r="AB179" s="27"/>
      <c r="AC179" s="26"/>
      <c r="AD179" s="27"/>
      <c r="AE179" s="26"/>
      <c r="AF179" s="64">
        <f t="shared" si="42"/>
        <v>0</v>
      </c>
      <c r="AG179" s="65">
        <f t="shared" si="43"/>
        <v>0</v>
      </c>
      <c r="AH179" s="66">
        <f t="shared" si="44"/>
        <v>0</v>
      </c>
      <c r="AI179" s="66">
        <f t="shared" si="45"/>
        <v>0</v>
      </c>
      <c r="AJ179" s="27"/>
      <c r="AK179" s="26"/>
      <c r="AL179" s="64">
        <f t="shared" si="46"/>
        <v>0</v>
      </c>
      <c r="AM179" s="67">
        <f t="shared" si="47"/>
        <v>0</v>
      </c>
      <c r="AN179" s="27"/>
      <c r="AO179" s="26"/>
      <c r="AP179" s="27">
        <v>959</v>
      </c>
      <c r="AQ179" s="109">
        <v>1048</v>
      </c>
      <c r="AR179" s="27">
        <v>148</v>
      </c>
      <c r="AS179" s="109">
        <v>98</v>
      </c>
      <c r="AT179" s="27">
        <v>1102</v>
      </c>
      <c r="AU179" s="109">
        <v>1167</v>
      </c>
      <c r="AV179" s="64">
        <f t="shared" si="48"/>
        <v>2209</v>
      </c>
      <c r="AW179" s="70">
        <f t="shared" si="49"/>
        <v>92.041666666666671</v>
      </c>
      <c r="AX179" s="66">
        <f t="shared" si="50"/>
        <v>2313</v>
      </c>
      <c r="AY179" s="71">
        <f t="shared" si="51"/>
        <v>96.375</v>
      </c>
      <c r="AZ179" s="72">
        <f t="shared" si="52"/>
        <v>1463.9083333333333</v>
      </c>
      <c r="BA179" s="66">
        <f t="shared" si="53"/>
        <v>1356.8416666666667</v>
      </c>
    </row>
    <row r="180" spans="1:53" ht="15">
      <c r="A180" s="22" t="s">
        <v>268</v>
      </c>
      <c r="B180" s="32" t="s">
        <v>277</v>
      </c>
      <c r="C180" s="691"/>
      <c r="D180" s="30">
        <v>157173</v>
      </c>
      <c r="E180" s="30">
        <v>8</v>
      </c>
      <c r="F180" s="29" t="s">
        <v>75</v>
      </c>
      <c r="G180" s="16" t="s">
        <v>75</v>
      </c>
      <c r="H180" s="27"/>
      <c r="I180" s="26"/>
      <c r="J180" s="27">
        <v>89936</v>
      </c>
      <c r="K180" s="109">
        <v>84771</v>
      </c>
      <c r="L180" s="27">
        <v>17502</v>
      </c>
      <c r="M180" s="26">
        <v>17178</v>
      </c>
      <c r="N180" s="27">
        <v>96789</v>
      </c>
      <c r="O180" s="53">
        <v>94655</v>
      </c>
      <c r="P180" s="64">
        <f t="shared" si="36"/>
        <v>204227</v>
      </c>
      <c r="Q180" s="65">
        <f t="shared" si="37"/>
        <v>6807.5666666666666</v>
      </c>
      <c r="R180" s="66">
        <f t="shared" si="38"/>
        <v>196604</v>
      </c>
      <c r="S180" s="67">
        <f t="shared" si="39"/>
        <v>6553.4666666666662</v>
      </c>
      <c r="T180" s="27">
        <v>7589</v>
      </c>
      <c r="U180" s="109">
        <v>8932</v>
      </c>
      <c r="V180" s="64">
        <f t="shared" si="40"/>
        <v>204227</v>
      </c>
      <c r="W180" s="68">
        <f t="shared" si="41"/>
        <v>196604</v>
      </c>
      <c r="X180" s="27"/>
      <c r="Y180" s="26"/>
      <c r="Z180" s="27"/>
      <c r="AA180" s="26"/>
      <c r="AB180" s="27"/>
      <c r="AC180" s="26"/>
      <c r="AD180" s="27"/>
      <c r="AE180" s="26"/>
      <c r="AF180" s="64">
        <f t="shared" si="42"/>
        <v>0</v>
      </c>
      <c r="AG180" s="65">
        <f t="shared" si="43"/>
        <v>0</v>
      </c>
      <c r="AH180" s="66">
        <f t="shared" si="44"/>
        <v>0</v>
      </c>
      <c r="AI180" s="66">
        <f t="shared" si="45"/>
        <v>0</v>
      </c>
      <c r="AJ180" s="27"/>
      <c r="AK180" s="26"/>
      <c r="AL180" s="64">
        <f t="shared" si="46"/>
        <v>0</v>
      </c>
      <c r="AM180" s="67">
        <f t="shared" si="47"/>
        <v>0</v>
      </c>
      <c r="AN180" s="27"/>
      <c r="AO180" s="26"/>
      <c r="AP180" s="27"/>
      <c r="AQ180" s="26"/>
      <c r="AR180" s="27"/>
      <c r="AS180" s="26"/>
      <c r="AT180" s="27"/>
      <c r="AU180" s="26"/>
      <c r="AV180" s="64">
        <f t="shared" si="48"/>
        <v>0</v>
      </c>
      <c r="AW180" s="70">
        <f t="shared" si="49"/>
        <v>0</v>
      </c>
      <c r="AX180" s="66">
        <f t="shared" si="50"/>
        <v>0</v>
      </c>
      <c r="AY180" s="71">
        <f t="shared" si="51"/>
        <v>0</v>
      </c>
      <c r="AZ180" s="72">
        <f t="shared" si="52"/>
        <v>6807.5666666666666</v>
      </c>
      <c r="BA180" s="66">
        <f t="shared" si="53"/>
        <v>6553.4666666666662</v>
      </c>
    </row>
    <row r="181" spans="1:53" ht="15">
      <c r="A181" s="22" t="s">
        <v>268</v>
      </c>
      <c r="B181" s="32" t="s">
        <v>278</v>
      </c>
      <c r="C181" s="691"/>
      <c r="D181" s="30">
        <v>156921</v>
      </c>
      <c r="E181" s="30">
        <v>8</v>
      </c>
      <c r="F181" s="29" t="s">
        <v>75</v>
      </c>
      <c r="G181" s="16" t="s">
        <v>75</v>
      </c>
      <c r="H181" s="27"/>
      <c r="I181" s="26"/>
      <c r="J181" s="27">
        <v>97225</v>
      </c>
      <c r="K181" s="109">
        <v>88156</v>
      </c>
      <c r="L181" s="27">
        <v>14450</v>
      </c>
      <c r="M181" s="109">
        <v>13228</v>
      </c>
      <c r="N181" s="27">
        <v>102031</v>
      </c>
      <c r="O181" s="109">
        <v>92475</v>
      </c>
      <c r="P181" s="64">
        <f t="shared" si="36"/>
        <v>213706</v>
      </c>
      <c r="Q181" s="65">
        <f t="shared" si="37"/>
        <v>7123.5333333333338</v>
      </c>
      <c r="R181" s="66">
        <f t="shared" si="38"/>
        <v>193859</v>
      </c>
      <c r="S181" s="67">
        <f t="shared" si="39"/>
        <v>6461.9666666666662</v>
      </c>
      <c r="T181" s="27">
        <v>11730</v>
      </c>
      <c r="U181" s="109">
        <v>14758</v>
      </c>
      <c r="V181" s="64">
        <f t="shared" si="40"/>
        <v>213706</v>
      </c>
      <c r="W181" s="68">
        <f t="shared" si="41"/>
        <v>193859</v>
      </c>
      <c r="X181" s="27"/>
      <c r="Y181" s="26"/>
      <c r="Z181" s="27"/>
      <c r="AA181" s="26"/>
      <c r="AB181" s="27"/>
      <c r="AC181" s="26"/>
      <c r="AD181" s="27"/>
      <c r="AE181" s="26"/>
      <c r="AF181" s="64">
        <f t="shared" si="42"/>
        <v>0</v>
      </c>
      <c r="AG181" s="65">
        <f t="shared" si="43"/>
        <v>0</v>
      </c>
      <c r="AH181" s="66">
        <f t="shared" si="44"/>
        <v>0</v>
      </c>
      <c r="AI181" s="66">
        <f t="shared" si="45"/>
        <v>0</v>
      </c>
      <c r="AJ181" s="27"/>
      <c r="AK181" s="26"/>
      <c r="AL181" s="64">
        <f t="shared" si="46"/>
        <v>0</v>
      </c>
      <c r="AM181" s="67">
        <f t="shared" si="47"/>
        <v>0</v>
      </c>
      <c r="AN181" s="27"/>
      <c r="AO181" s="26"/>
      <c r="AP181" s="27"/>
      <c r="AQ181" s="26"/>
      <c r="AR181" s="27"/>
      <c r="AS181" s="26"/>
      <c r="AT181" s="27"/>
      <c r="AU181" s="26"/>
      <c r="AV181" s="64">
        <f t="shared" si="48"/>
        <v>0</v>
      </c>
      <c r="AW181" s="70">
        <f t="shared" si="49"/>
        <v>0</v>
      </c>
      <c r="AX181" s="66">
        <f t="shared" si="50"/>
        <v>0</v>
      </c>
      <c r="AY181" s="71">
        <f t="shared" si="51"/>
        <v>0</v>
      </c>
      <c r="AZ181" s="72">
        <f t="shared" si="52"/>
        <v>7123.5333333333338</v>
      </c>
      <c r="BA181" s="66">
        <f t="shared" si="53"/>
        <v>6461.9666666666662</v>
      </c>
    </row>
    <row r="182" spans="1:53" ht="15">
      <c r="A182" s="22" t="s">
        <v>268</v>
      </c>
      <c r="B182" s="32" t="s">
        <v>279</v>
      </c>
      <c r="C182" s="691"/>
      <c r="D182" s="30">
        <v>156231</v>
      </c>
      <c r="E182" s="30">
        <v>9</v>
      </c>
      <c r="F182" s="29" t="s">
        <v>75</v>
      </c>
      <c r="G182" s="16" t="s">
        <v>75</v>
      </c>
      <c r="H182" s="27"/>
      <c r="I182" s="26"/>
      <c r="J182" s="27">
        <v>27667</v>
      </c>
      <c r="K182" s="109">
        <v>26018</v>
      </c>
      <c r="L182" s="27">
        <v>4452</v>
      </c>
      <c r="M182" s="109">
        <v>5046</v>
      </c>
      <c r="N182" s="27">
        <v>30228</v>
      </c>
      <c r="O182" s="53">
        <v>29285</v>
      </c>
      <c r="P182" s="64">
        <f t="shared" si="36"/>
        <v>62347</v>
      </c>
      <c r="Q182" s="65">
        <f t="shared" si="37"/>
        <v>2078.2333333333331</v>
      </c>
      <c r="R182" s="66">
        <f t="shared" si="38"/>
        <v>60349</v>
      </c>
      <c r="S182" s="67">
        <f t="shared" si="39"/>
        <v>2011.6333333333334</v>
      </c>
      <c r="T182" s="27">
        <v>3619</v>
      </c>
      <c r="U182" s="109">
        <v>3387</v>
      </c>
      <c r="V182" s="64">
        <f t="shared" si="40"/>
        <v>62347</v>
      </c>
      <c r="W182" s="68">
        <f t="shared" si="41"/>
        <v>60349</v>
      </c>
      <c r="X182" s="27"/>
      <c r="Y182" s="26"/>
      <c r="Z182" s="27"/>
      <c r="AA182" s="26"/>
      <c r="AB182" s="27"/>
      <c r="AC182" s="26"/>
      <c r="AD182" s="27"/>
      <c r="AE182" s="26"/>
      <c r="AF182" s="64">
        <f t="shared" si="42"/>
        <v>0</v>
      </c>
      <c r="AG182" s="65">
        <f t="shared" si="43"/>
        <v>0</v>
      </c>
      <c r="AH182" s="66">
        <f t="shared" si="44"/>
        <v>0</v>
      </c>
      <c r="AI182" s="66">
        <f t="shared" si="45"/>
        <v>0</v>
      </c>
      <c r="AJ182" s="27"/>
      <c r="AK182" s="26"/>
      <c r="AL182" s="64">
        <f t="shared" si="46"/>
        <v>0</v>
      </c>
      <c r="AM182" s="67">
        <f t="shared" si="47"/>
        <v>0</v>
      </c>
      <c r="AN182" s="27"/>
      <c r="AO182" s="26"/>
      <c r="AP182" s="27"/>
      <c r="AQ182" s="26"/>
      <c r="AR182" s="27"/>
      <c r="AS182" s="26"/>
      <c r="AT182" s="27"/>
      <c r="AU182" s="26"/>
      <c r="AV182" s="64">
        <f t="shared" si="48"/>
        <v>0</v>
      </c>
      <c r="AW182" s="70">
        <f t="shared" si="49"/>
        <v>0</v>
      </c>
      <c r="AX182" s="66">
        <f t="shared" si="50"/>
        <v>0</v>
      </c>
      <c r="AY182" s="71">
        <f t="shared" si="51"/>
        <v>0</v>
      </c>
      <c r="AZ182" s="72">
        <f t="shared" si="52"/>
        <v>2078.2333333333331</v>
      </c>
      <c r="BA182" s="66">
        <f t="shared" si="53"/>
        <v>2011.6333333333334</v>
      </c>
    </row>
    <row r="183" spans="1:53" ht="15">
      <c r="A183" s="22" t="s">
        <v>268</v>
      </c>
      <c r="B183" s="32" t="s">
        <v>280</v>
      </c>
      <c r="C183" s="691"/>
      <c r="D183" s="30">
        <v>157553</v>
      </c>
      <c r="E183" s="30">
        <v>9</v>
      </c>
      <c r="F183" s="29" t="s">
        <v>75</v>
      </c>
      <c r="G183" s="16" t="s">
        <v>75</v>
      </c>
      <c r="H183" s="27"/>
      <c r="I183" s="26"/>
      <c r="J183" s="27">
        <v>33971</v>
      </c>
      <c r="K183" s="26">
        <v>32940</v>
      </c>
      <c r="L183" s="27">
        <v>3529</v>
      </c>
      <c r="M183" s="26">
        <v>3596</v>
      </c>
      <c r="N183" s="27">
        <v>36500</v>
      </c>
      <c r="O183" s="53">
        <v>37191</v>
      </c>
      <c r="P183" s="64">
        <f t="shared" si="36"/>
        <v>74000</v>
      </c>
      <c r="Q183" s="65">
        <f t="shared" si="37"/>
        <v>2466.6666666666665</v>
      </c>
      <c r="R183" s="66">
        <f t="shared" si="38"/>
        <v>73727</v>
      </c>
      <c r="S183" s="67">
        <f t="shared" si="39"/>
        <v>2457.5666666666666</v>
      </c>
      <c r="T183" s="27">
        <v>4007</v>
      </c>
      <c r="U183" s="109">
        <v>5394</v>
      </c>
      <c r="V183" s="64">
        <f t="shared" si="40"/>
        <v>74000</v>
      </c>
      <c r="W183" s="68">
        <f t="shared" si="41"/>
        <v>73727</v>
      </c>
      <c r="X183" s="27"/>
      <c r="Y183" s="26"/>
      <c r="Z183" s="27"/>
      <c r="AA183" s="26"/>
      <c r="AB183" s="27"/>
      <c r="AC183" s="26"/>
      <c r="AD183" s="27"/>
      <c r="AE183" s="26"/>
      <c r="AF183" s="64">
        <f t="shared" si="42"/>
        <v>0</v>
      </c>
      <c r="AG183" s="65">
        <f t="shared" si="43"/>
        <v>0</v>
      </c>
      <c r="AH183" s="66">
        <f t="shared" si="44"/>
        <v>0</v>
      </c>
      <c r="AI183" s="66">
        <f t="shared" si="45"/>
        <v>0</v>
      </c>
      <c r="AJ183" s="27"/>
      <c r="AK183" s="26"/>
      <c r="AL183" s="64">
        <f t="shared" si="46"/>
        <v>0</v>
      </c>
      <c r="AM183" s="67">
        <f t="shared" si="47"/>
        <v>0</v>
      </c>
      <c r="AN183" s="27"/>
      <c r="AO183" s="26"/>
      <c r="AP183" s="27"/>
      <c r="AQ183" s="26"/>
      <c r="AR183" s="27"/>
      <c r="AS183" s="26"/>
      <c r="AT183" s="27"/>
      <c r="AU183" s="26"/>
      <c r="AV183" s="64">
        <f t="shared" si="48"/>
        <v>0</v>
      </c>
      <c r="AW183" s="70">
        <f t="shared" si="49"/>
        <v>0</v>
      </c>
      <c r="AX183" s="66">
        <f t="shared" si="50"/>
        <v>0</v>
      </c>
      <c r="AY183" s="71">
        <f t="shared" si="51"/>
        <v>0</v>
      </c>
      <c r="AZ183" s="72">
        <f t="shared" si="52"/>
        <v>2466.6666666666665</v>
      </c>
      <c r="BA183" s="66">
        <f t="shared" si="53"/>
        <v>2457.5666666666666</v>
      </c>
    </row>
    <row r="184" spans="1:53" ht="15">
      <c r="A184" s="22" t="s">
        <v>268</v>
      </c>
      <c r="B184" s="32" t="s">
        <v>281</v>
      </c>
      <c r="C184" s="691"/>
      <c r="D184" s="30">
        <v>156648</v>
      </c>
      <c r="E184" s="30">
        <v>9</v>
      </c>
      <c r="F184" s="29" t="s">
        <v>75</v>
      </c>
      <c r="G184" s="16" t="s">
        <v>75</v>
      </c>
      <c r="H184" s="27"/>
      <c r="I184" s="26"/>
      <c r="J184" s="27">
        <v>46819</v>
      </c>
      <c r="K184" s="109">
        <v>44332</v>
      </c>
      <c r="L184" s="27">
        <v>7749</v>
      </c>
      <c r="M184" s="109">
        <v>8847</v>
      </c>
      <c r="N184" s="27">
        <v>50945</v>
      </c>
      <c r="O184" s="53">
        <v>51845</v>
      </c>
      <c r="P184" s="64">
        <f t="shared" si="36"/>
        <v>105513</v>
      </c>
      <c r="Q184" s="65">
        <f t="shared" si="37"/>
        <v>3517.1</v>
      </c>
      <c r="R184" s="66">
        <f t="shared" si="38"/>
        <v>105024</v>
      </c>
      <c r="S184" s="67">
        <f t="shared" si="39"/>
        <v>3500.8</v>
      </c>
      <c r="T184" s="27">
        <v>4074</v>
      </c>
      <c r="U184" s="109">
        <v>5361</v>
      </c>
      <c r="V184" s="64">
        <f t="shared" si="40"/>
        <v>105513</v>
      </c>
      <c r="W184" s="68">
        <f t="shared" si="41"/>
        <v>105024</v>
      </c>
      <c r="X184" s="27"/>
      <c r="Y184" s="26"/>
      <c r="Z184" s="27"/>
      <c r="AA184" s="26"/>
      <c r="AB184" s="27"/>
      <c r="AC184" s="26"/>
      <c r="AD184" s="27"/>
      <c r="AE184" s="26"/>
      <c r="AF184" s="64">
        <f t="shared" si="42"/>
        <v>0</v>
      </c>
      <c r="AG184" s="65">
        <f t="shared" si="43"/>
        <v>0</v>
      </c>
      <c r="AH184" s="66">
        <f t="shared" si="44"/>
        <v>0</v>
      </c>
      <c r="AI184" s="66">
        <f t="shared" si="45"/>
        <v>0</v>
      </c>
      <c r="AJ184" s="27"/>
      <c r="AK184" s="26"/>
      <c r="AL184" s="64">
        <f t="shared" si="46"/>
        <v>0</v>
      </c>
      <c r="AM184" s="67">
        <f t="shared" si="47"/>
        <v>0</v>
      </c>
      <c r="AN184" s="27"/>
      <c r="AO184" s="26"/>
      <c r="AP184" s="27"/>
      <c r="AQ184" s="26"/>
      <c r="AR184" s="27"/>
      <c r="AS184" s="26"/>
      <c r="AT184" s="27"/>
      <c r="AU184" s="26"/>
      <c r="AV184" s="64">
        <f t="shared" si="48"/>
        <v>0</v>
      </c>
      <c r="AW184" s="70">
        <f t="shared" si="49"/>
        <v>0</v>
      </c>
      <c r="AX184" s="66">
        <f t="shared" si="50"/>
        <v>0</v>
      </c>
      <c r="AY184" s="71">
        <f t="shared" si="51"/>
        <v>0</v>
      </c>
      <c r="AZ184" s="72">
        <f t="shared" si="52"/>
        <v>3517.1</v>
      </c>
      <c r="BA184" s="66">
        <f t="shared" si="53"/>
        <v>3500.8</v>
      </c>
    </row>
    <row r="185" spans="1:53" ht="15">
      <c r="A185" s="22" t="s">
        <v>268</v>
      </c>
      <c r="B185" s="32" t="s">
        <v>282</v>
      </c>
      <c r="C185" s="699" t="s">
        <v>964</v>
      </c>
      <c r="D185" s="30">
        <v>156790</v>
      </c>
      <c r="E185" s="172">
        <v>10</v>
      </c>
      <c r="F185" s="29" t="s">
        <v>75</v>
      </c>
      <c r="G185" s="16" t="s">
        <v>75</v>
      </c>
      <c r="H185" s="27"/>
      <c r="I185" s="26"/>
      <c r="J185" s="27">
        <v>25359</v>
      </c>
      <c r="K185" s="26">
        <v>24242</v>
      </c>
      <c r="L185" s="27">
        <v>4221</v>
      </c>
      <c r="M185" s="109">
        <v>5034</v>
      </c>
      <c r="N185" s="27">
        <v>26819</v>
      </c>
      <c r="O185" s="53">
        <v>27212</v>
      </c>
      <c r="P185" s="64">
        <f t="shared" si="36"/>
        <v>56399</v>
      </c>
      <c r="Q185" s="65">
        <f t="shared" si="37"/>
        <v>1879.9666666666667</v>
      </c>
      <c r="R185" s="66">
        <f t="shared" si="38"/>
        <v>56488</v>
      </c>
      <c r="S185" s="67">
        <f t="shared" si="39"/>
        <v>1882.9333333333334</v>
      </c>
      <c r="T185" s="27">
        <v>3474</v>
      </c>
      <c r="U185" s="109">
        <v>3854</v>
      </c>
      <c r="V185" s="64">
        <f t="shared" si="40"/>
        <v>56399</v>
      </c>
      <c r="W185" s="68">
        <f t="shared" si="41"/>
        <v>56488</v>
      </c>
      <c r="X185" s="27"/>
      <c r="Y185" s="26"/>
      <c r="Z185" s="27"/>
      <c r="AA185" s="26"/>
      <c r="AB185" s="27"/>
      <c r="AC185" s="26"/>
      <c r="AD185" s="27"/>
      <c r="AE185" s="26"/>
      <c r="AF185" s="64">
        <f t="shared" si="42"/>
        <v>0</v>
      </c>
      <c r="AG185" s="65">
        <f t="shared" si="43"/>
        <v>0</v>
      </c>
      <c r="AH185" s="66">
        <f t="shared" si="44"/>
        <v>0</v>
      </c>
      <c r="AI185" s="66">
        <f t="shared" si="45"/>
        <v>0</v>
      </c>
      <c r="AJ185" s="27"/>
      <c r="AK185" s="26"/>
      <c r="AL185" s="64">
        <f t="shared" si="46"/>
        <v>0</v>
      </c>
      <c r="AM185" s="67">
        <f t="shared" si="47"/>
        <v>0</v>
      </c>
      <c r="AN185" s="27"/>
      <c r="AO185" s="26"/>
      <c r="AP185" s="27"/>
      <c r="AQ185" s="26"/>
      <c r="AR185" s="27"/>
      <c r="AS185" s="26"/>
      <c r="AT185" s="27"/>
      <c r="AU185" s="26"/>
      <c r="AV185" s="64">
        <f t="shared" si="48"/>
        <v>0</v>
      </c>
      <c r="AW185" s="70">
        <f t="shared" si="49"/>
        <v>0</v>
      </c>
      <c r="AX185" s="66">
        <f t="shared" si="50"/>
        <v>0</v>
      </c>
      <c r="AY185" s="71">
        <f t="shared" si="51"/>
        <v>0</v>
      </c>
      <c r="AZ185" s="72">
        <f t="shared" si="52"/>
        <v>1879.9666666666667</v>
      </c>
      <c r="BA185" s="66">
        <f t="shared" si="53"/>
        <v>1882.9333333333334</v>
      </c>
    </row>
    <row r="186" spans="1:53" ht="15">
      <c r="A186" s="22" t="s">
        <v>268</v>
      </c>
      <c r="B186" s="32" t="s">
        <v>283</v>
      </c>
      <c r="C186" s="691" t="s">
        <v>965</v>
      </c>
      <c r="D186" s="30">
        <v>156860</v>
      </c>
      <c r="E186" s="30">
        <v>9</v>
      </c>
      <c r="F186" s="29" t="s">
        <v>75</v>
      </c>
      <c r="G186" s="16" t="s">
        <v>75</v>
      </c>
      <c r="H186" s="27"/>
      <c r="I186" s="26"/>
      <c r="J186" s="27">
        <v>26880</v>
      </c>
      <c r="K186" s="109">
        <v>24666</v>
      </c>
      <c r="L186" s="27">
        <v>5869</v>
      </c>
      <c r="M186" s="26">
        <v>5632</v>
      </c>
      <c r="N186" s="27">
        <v>26295</v>
      </c>
      <c r="O186" s="109">
        <v>23909</v>
      </c>
      <c r="P186" s="64">
        <f t="shared" si="36"/>
        <v>59044</v>
      </c>
      <c r="Q186" s="65">
        <f t="shared" si="37"/>
        <v>1968.1333333333334</v>
      </c>
      <c r="R186" s="66">
        <f t="shared" si="38"/>
        <v>54207</v>
      </c>
      <c r="S186" s="67">
        <f t="shared" si="39"/>
        <v>1806.9</v>
      </c>
      <c r="T186" s="27">
        <v>2098</v>
      </c>
      <c r="U186" s="109">
        <v>2456</v>
      </c>
      <c r="V186" s="64">
        <f t="shared" si="40"/>
        <v>59044</v>
      </c>
      <c r="W186" s="68">
        <f t="shared" si="41"/>
        <v>54207</v>
      </c>
      <c r="X186" s="27"/>
      <c r="Y186" s="26"/>
      <c r="Z186" s="27"/>
      <c r="AA186" s="26"/>
      <c r="AB186" s="27"/>
      <c r="AC186" s="26"/>
      <c r="AD186" s="27"/>
      <c r="AE186" s="26"/>
      <c r="AF186" s="64">
        <f t="shared" si="42"/>
        <v>0</v>
      </c>
      <c r="AG186" s="65">
        <f t="shared" si="43"/>
        <v>0</v>
      </c>
      <c r="AH186" s="66">
        <f t="shared" si="44"/>
        <v>0</v>
      </c>
      <c r="AI186" s="66">
        <f t="shared" si="45"/>
        <v>0</v>
      </c>
      <c r="AJ186" s="27"/>
      <c r="AK186" s="26"/>
      <c r="AL186" s="64">
        <f t="shared" si="46"/>
        <v>0</v>
      </c>
      <c r="AM186" s="67">
        <f t="shared" si="47"/>
        <v>0</v>
      </c>
      <c r="AN186" s="27"/>
      <c r="AO186" s="26"/>
      <c r="AP186" s="27"/>
      <c r="AQ186" s="26"/>
      <c r="AR186" s="27"/>
      <c r="AS186" s="26"/>
      <c r="AT186" s="27"/>
      <c r="AU186" s="26"/>
      <c r="AV186" s="64">
        <f t="shared" si="48"/>
        <v>0</v>
      </c>
      <c r="AW186" s="70">
        <f t="shared" si="49"/>
        <v>0</v>
      </c>
      <c r="AX186" s="66">
        <f t="shared" si="50"/>
        <v>0</v>
      </c>
      <c r="AY186" s="71">
        <f t="shared" si="51"/>
        <v>0</v>
      </c>
      <c r="AZ186" s="72">
        <f t="shared" si="52"/>
        <v>1968.1333333333334</v>
      </c>
      <c r="BA186" s="66">
        <f t="shared" si="53"/>
        <v>1806.9</v>
      </c>
    </row>
    <row r="187" spans="1:53" ht="15">
      <c r="A187" s="22" t="s">
        <v>268</v>
      </c>
      <c r="B187" s="32" t="s">
        <v>284</v>
      </c>
      <c r="C187" s="691" t="s">
        <v>965</v>
      </c>
      <c r="D187" s="30">
        <v>157304</v>
      </c>
      <c r="E187" s="24">
        <v>9</v>
      </c>
      <c r="F187" s="29" t="s">
        <v>75</v>
      </c>
      <c r="G187" s="16" t="s">
        <v>75</v>
      </c>
      <c r="H187" s="27"/>
      <c r="I187" s="26"/>
      <c r="J187" s="27">
        <v>24209</v>
      </c>
      <c r="K187" s="109">
        <v>22122</v>
      </c>
      <c r="L187" s="27">
        <v>3661</v>
      </c>
      <c r="M187" s="109">
        <v>2864</v>
      </c>
      <c r="N187" s="27">
        <v>28272</v>
      </c>
      <c r="O187" s="109">
        <v>24612</v>
      </c>
      <c r="P187" s="64">
        <f t="shared" si="36"/>
        <v>56142</v>
      </c>
      <c r="Q187" s="65">
        <f t="shared" si="37"/>
        <v>1871.4</v>
      </c>
      <c r="R187" s="66">
        <f t="shared" si="38"/>
        <v>49598</v>
      </c>
      <c r="S187" s="67">
        <f t="shared" si="39"/>
        <v>1653.2666666666667</v>
      </c>
      <c r="T187" s="27">
        <v>6021</v>
      </c>
      <c r="U187" s="109">
        <v>4934</v>
      </c>
      <c r="V187" s="64">
        <f t="shared" si="40"/>
        <v>56142</v>
      </c>
      <c r="W187" s="68">
        <f t="shared" si="41"/>
        <v>49598</v>
      </c>
      <c r="X187" s="27"/>
      <c r="Y187" s="26"/>
      <c r="Z187" s="27"/>
      <c r="AA187" s="26"/>
      <c r="AB187" s="27"/>
      <c r="AC187" s="26"/>
      <c r="AD187" s="27"/>
      <c r="AE187" s="26"/>
      <c r="AF187" s="64">
        <f t="shared" si="42"/>
        <v>0</v>
      </c>
      <c r="AG187" s="65">
        <f t="shared" si="43"/>
        <v>0</v>
      </c>
      <c r="AH187" s="66">
        <f t="shared" si="44"/>
        <v>0</v>
      </c>
      <c r="AI187" s="66">
        <f t="shared" si="45"/>
        <v>0</v>
      </c>
      <c r="AJ187" s="27"/>
      <c r="AK187" s="26"/>
      <c r="AL187" s="64">
        <f t="shared" si="46"/>
        <v>0</v>
      </c>
      <c r="AM187" s="67">
        <f t="shared" si="47"/>
        <v>0</v>
      </c>
      <c r="AN187" s="27"/>
      <c r="AO187" s="26"/>
      <c r="AP187" s="27"/>
      <c r="AQ187" s="26"/>
      <c r="AR187" s="27"/>
      <c r="AS187" s="26"/>
      <c r="AT187" s="27"/>
      <c r="AU187" s="26"/>
      <c r="AV187" s="64">
        <f t="shared" si="48"/>
        <v>0</v>
      </c>
      <c r="AW187" s="70">
        <f t="shared" si="49"/>
        <v>0</v>
      </c>
      <c r="AX187" s="66">
        <f t="shared" si="50"/>
        <v>0</v>
      </c>
      <c r="AY187" s="71">
        <f t="shared" si="51"/>
        <v>0</v>
      </c>
      <c r="AZ187" s="72">
        <f t="shared" si="52"/>
        <v>1871.4</v>
      </c>
      <c r="BA187" s="66">
        <f t="shared" si="53"/>
        <v>1653.2666666666667</v>
      </c>
    </row>
    <row r="188" spans="1:53" ht="15">
      <c r="A188" s="22" t="s">
        <v>268</v>
      </c>
      <c r="B188" s="32" t="s">
        <v>285</v>
      </c>
      <c r="C188" s="691"/>
      <c r="D188" s="30">
        <v>157331</v>
      </c>
      <c r="E188" s="24">
        <v>9</v>
      </c>
      <c r="F188" s="29" t="s">
        <v>75</v>
      </c>
      <c r="G188" s="16" t="s">
        <v>75</v>
      </c>
      <c r="H188" s="27"/>
      <c r="I188" s="26"/>
      <c r="J188" s="27">
        <v>32155</v>
      </c>
      <c r="K188" s="109">
        <v>29907</v>
      </c>
      <c r="L188" s="27">
        <v>4748</v>
      </c>
      <c r="M188" s="109">
        <v>5473</v>
      </c>
      <c r="N188" s="27">
        <v>31009</v>
      </c>
      <c r="O188" s="109">
        <v>33036</v>
      </c>
      <c r="P188" s="64">
        <f t="shared" si="36"/>
        <v>67912</v>
      </c>
      <c r="Q188" s="65">
        <f t="shared" si="37"/>
        <v>2263.7333333333331</v>
      </c>
      <c r="R188" s="66">
        <f t="shared" si="38"/>
        <v>68416</v>
      </c>
      <c r="S188" s="67">
        <f t="shared" si="39"/>
        <v>2280.5333333333333</v>
      </c>
      <c r="T188" s="27">
        <v>5797</v>
      </c>
      <c r="U188" s="109">
        <v>6997</v>
      </c>
      <c r="V188" s="64">
        <f t="shared" si="40"/>
        <v>67912</v>
      </c>
      <c r="W188" s="68">
        <f t="shared" si="41"/>
        <v>68416</v>
      </c>
      <c r="X188" s="27"/>
      <c r="Y188" s="26"/>
      <c r="Z188" s="27"/>
      <c r="AA188" s="26"/>
      <c r="AB188" s="27"/>
      <c r="AC188" s="26"/>
      <c r="AD188" s="27"/>
      <c r="AE188" s="26"/>
      <c r="AF188" s="64">
        <f t="shared" si="42"/>
        <v>0</v>
      </c>
      <c r="AG188" s="65">
        <f t="shared" si="43"/>
        <v>0</v>
      </c>
      <c r="AH188" s="66">
        <f t="shared" si="44"/>
        <v>0</v>
      </c>
      <c r="AI188" s="66">
        <f t="shared" si="45"/>
        <v>0</v>
      </c>
      <c r="AJ188" s="27"/>
      <c r="AK188" s="26"/>
      <c r="AL188" s="64">
        <f t="shared" si="46"/>
        <v>0</v>
      </c>
      <c r="AM188" s="67">
        <f t="shared" si="47"/>
        <v>0</v>
      </c>
      <c r="AN188" s="27"/>
      <c r="AO188" s="26"/>
      <c r="AP188" s="27"/>
      <c r="AQ188" s="26"/>
      <c r="AR188" s="27"/>
      <c r="AS188" s="26"/>
      <c r="AT188" s="27"/>
      <c r="AU188" s="26"/>
      <c r="AV188" s="64">
        <f t="shared" si="48"/>
        <v>0</v>
      </c>
      <c r="AW188" s="70">
        <f t="shared" si="49"/>
        <v>0</v>
      </c>
      <c r="AX188" s="66">
        <f t="shared" si="50"/>
        <v>0</v>
      </c>
      <c r="AY188" s="71">
        <f t="shared" si="51"/>
        <v>0</v>
      </c>
      <c r="AZ188" s="72">
        <f t="shared" si="52"/>
        <v>2263.7333333333331</v>
      </c>
      <c r="BA188" s="66">
        <f t="shared" si="53"/>
        <v>2280.5333333333333</v>
      </c>
    </row>
    <row r="189" spans="1:53" ht="15">
      <c r="A189" s="22" t="s">
        <v>268</v>
      </c>
      <c r="B189" s="32" t="s">
        <v>286</v>
      </c>
      <c r="C189" s="691"/>
      <c r="D189" s="30">
        <v>247940</v>
      </c>
      <c r="E189" s="30">
        <v>9</v>
      </c>
      <c r="F189" s="29" t="s">
        <v>75</v>
      </c>
      <c r="G189" s="16" t="s">
        <v>75</v>
      </c>
      <c r="H189" s="27"/>
      <c r="I189" s="26"/>
      <c r="J189" s="27">
        <v>27884</v>
      </c>
      <c r="K189" s="26">
        <v>27707</v>
      </c>
      <c r="L189" s="27">
        <v>3952</v>
      </c>
      <c r="M189" s="26">
        <v>3841</v>
      </c>
      <c r="N189" s="27">
        <v>34073</v>
      </c>
      <c r="O189" s="53">
        <v>32754</v>
      </c>
      <c r="P189" s="64">
        <f t="shared" si="36"/>
        <v>65909</v>
      </c>
      <c r="Q189" s="65">
        <f t="shared" si="37"/>
        <v>2196.9666666666667</v>
      </c>
      <c r="R189" s="66">
        <f t="shared" si="38"/>
        <v>64302</v>
      </c>
      <c r="S189" s="67">
        <f t="shared" si="39"/>
        <v>2143.4</v>
      </c>
      <c r="T189" s="27">
        <v>8652</v>
      </c>
      <c r="U189" s="109">
        <v>7003</v>
      </c>
      <c r="V189" s="64">
        <f t="shared" si="40"/>
        <v>65909</v>
      </c>
      <c r="W189" s="68">
        <f t="shared" si="41"/>
        <v>64302</v>
      </c>
      <c r="X189" s="27"/>
      <c r="Y189" s="26"/>
      <c r="Z189" s="27"/>
      <c r="AA189" s="26"/>
      <c r="AB189" s="27"/>
      <c r="AC189" s="26"/>
      <c r="AD189" s="27"/>
      <c r="AE189" s="26"/>
      <c r="AF189" s="64">
        <f t="shared" si="42"/>
        <v>0</v>
      </c>
      <c r="AG189" s="65">
        <f t="shared" si="43"/>
        <v>0</v>
      </c>
      <c r="AH189" s="66">
        <f t="shared" si="44"/>
        <v>0</v>
      </c>
      <c r="AI189" s="66">
        <f t="shared" si="45"/>
        <v>0</v>
      </c>
      <c r="AJ189" s="27"/>
      <c r="AK189" s="26"/>
      <c r="AL189" s="64">
        <f t="shared" si="46"/>
        <v>0</v>
      </c>
      <c r="AM189" s="67">
        <f t="shared" si="47"/>
        <v>0</v>
      </c>
      <c r="AN189" s="27"/>
      <c r="AO189" s="26"/>
      <c r="AP189" s="27"/>
      <c r="AQ189" s="26"/>
      <c r="AR189" s="27"/>
      <c r="AS189" s="26"/>
      <c r="AT189" s="27"/>
      <c r="AU189" s="26"/>
      <c r="AV189" s="64">
        <f t="shared" si="48"/>
        <v>0</v>
      </c>
      <c r="AW189" s="70">
        <f t="shared" si="49"/>
        <v>0</v>
      </c>
      <c r="AX189" s="66">
        <f t="shared" si="50"/>
        <v>0</v>
      </c>
      <c r="AY189" s="71">
        <f t="shared" si="51"/>
        <v>0</v>
      </c>
      <c r="AZ189" s="72">
        <f t="shared" si="52"/>
        <v>2196.9666666666667</v>
      </c>
      <c r="BA189" s="66">
        <f t="shared" si="53"/>
        <v>2143.4</v>
      </c>
    </row>
    <row r="190" spans="1:53" ht="15">
      <c r="A190" s="22" t="s">
        <v>268</v>
      </c>
      <c r="B190" s="32" t="s">
        <v>287</v>
      </c>
      <c r="C190" s="691"/>
      <c r="D190" s="30">
        <v>157711</v>
      </c>
      <c r="E190" s="30">
        <v>9</v>
      </c>
      <c r="F190" s="29" t="s">
        <v>75</v>
      </c>
      <c r="G190" s="16" t="s">
        <v>75</v>
      </c>
      <c r="H190" s="27"/>
      <c r="I190" s="26"/>
      <c r="J190" s="27">
        <v>57579</v>
      </c>
      <c r="K190" s="109">
        <v>52648</v>
      </c>
      <c r="L190" s="27">
        <v>8389</v>
      </c>
      <c r="M190" s="26">
        <v>8222</v>
      </c>
      <c r="N190" s="27">
        <v>60806</v>
      </c>
      <c r="O190" s="53">
        <v>59996</v>
      </c>
      <c r="P190" s="64">
        <f t="shared" si="36"/>
        <v>126774</v>
      </c>
      <c r="Q190" s="65">
        <f t="shared" si="37"/>
        <v>4225.8</v>
      </c>
      <c r="R190" s="66">
        <f t="shared" si="38"/>
        <v>120866</v>
      </c>
      <c r="S190" s="67">
        <f t="shared" si="39"/>
        <v>4028.8666666666668</v>
      </c>
      <c r="T190" s="27">
        <v>5491</v>
      </c>
      <c r="U190" s="53">
        <v>10031</v>
      </c>
      <c r="V190" s="64">
        <f t="shared" si="40"/>
        <v>126774</v>
      </c>
      <c r="W190" s="68">
        <f t="shared" si="41"/>
        <v>120866</v>
      </c>
      <c r="X190" s="27"/>
      <c r="Y190" s="26"/>
      <c r="Z190" s="27"/>
      <c r="AA190" s="26"/>
      <c r="AB190" s="27"/>
      <c r="AC190" s="26"/>
      <c r="AD190" s="27"/>
      <c r="AE190" s="26"/>
      <c r="AF190" s="64">
        <f t="shared" si="42"/>
        <v>0</v>
      </c>
      <c r="AG190" s="65">
        <f t="shared" si="43"/>
        <v>0</v>
      </c>
      <c r="AH190" s="66">
        <f t="shared" si="44"/>
        <v>0</v>
      </c>
      <c r="AI190" s="66">
        <f t="shared" si="45"/>
        <v>0</v>
      </c>
      <c r="AJ190" s="27"/>
      <c r="AK190" s="26"/>
      <c r="AL190" s="64">
        <f t="shared" si="46"/>
        <v>0</v>
      </c>
      <c r="AM190" s="67">
        <f t="shared" si="47"/>
        <v>0</v>
      </c>
      <c r="AN190" s="27"/>
      <c r="AO190" s="26"/>
      <c r="AP190" s="27"/>
      <c r="AQ190" s="26"/>
      <c r="AR190" s="27"/>
      <c r="AS190" s="26"/>
      <c r="AT190" s="27"/>
      <c r="AU190" s="26"/>
      <c r="AV190" s="64">
        <f t="shared" si="48"/>
        <v>0</v>
      </c>
      <c r="AW190" s="70">
        <f t="shared" si="49"/>
        <v>0</v>
      </c>
      <c r="AX190" s="66">
        <f t="shared" si="50"/>
        <v>0</v>
      </c>
      <c r="AY190" s="71">
        <f t="shared" si="51"/>
        <v>0</v>
      </c>
      <c r="AZ190" s="72">
        <f t="shared" si="52"/>
        <v>4225.8</v>
      </c>
      <c r="BA190" s="66">
        <f t="shared" si="53"/>
        <v>4028.8666666666668</v>
      </c>
    </row>
    <row r="191" spans="1:53" ht="15">
      <c r="A191" s="22" t="s">
        <v>268</v>
      </c>
      <c r="B191" s="32" t="s">
        <v>288</v>
      </c>
      <c r="C191" s="691" t="s">
        <v>965</v>
      </c>
      <c r="D191" s="30">
        <v>157739</v>
      </c>
      <c r="E191" s="30">
        <v>9</v>
      </c>
      <c r="F191" s="29" t="s">
        <v>75</v>
      </c>
      <c r="G191" s="16" t="s">
        <v>75</v>
      </c>
      <c r="H191" s="27"/>
      <c r="I191" s="26"/>
      <c r="J191" s="27">
        <v>25316</v>
      </c>
      <c r="K191" s="26">
        <v>25908</v>
      </c>
      <c r="L191" s="27">
        <v>2262</v>
      </c>
      <c r="M191" s="109">
        <v>2991</v>
      </c>
      <c r="N191" s="27">
        <v>27904</v>
      </c>
      <c r="O191" s="109">
        <v>30119</v>
      </c>
      <c r="P191" s="64">
        <f t="shared" si="36"/>
        <v>55482</v>
      </c>
      <c r="Q191" s="65">
        <f t="shared" si="37"/>
        <v>1849.4</v>
      </c>
      <c r="R191" s="66">
        <f t="shared" si="38"/>
        <v>59018</v>
      </c>
      <c r="S191" s="67">
        <f t="shared" si="39"/>
        <v>1967.2666666666667</v>
      </c>
      <c r="T191" s="27">
        <v>4572</v>
      </c>
      <c r="U191" s="109">
        <v>5309</v>
      </c>
      <c r="V191" s="64">
        <f t="shared" si="40"/>
        <v>55482</v>
      </c>
      <c r="W191" s="68">
        <f t="shared" si="41"/>
        <v>59018</v>
      </c>
      <c r="X191" s="27"/>
      <c r="Y191" s="26"/>
      <c r="Z191" s="27"/>
      <c r="AA191" s="26"/>
      <c r="AB191" s="27"/>
      <c r="AC191" s="26"/>
      <c r="AD191" s="27"/>
      <c r="AE191" s="26"/>
      <c r="AF191" s="64">
        <f t="shared" si="42"/>
        <v>0</v>
      </c>
      <c r="AG191" s="65">
        <f t="shared" si="43"/>
        <v>0</v>
      </c>
      <c r="AH191" s="66">
        <f t="shared" si="44"/>
        <v>0</v>
      </c>
      <c r="AI191" s="66">
        <f t="shared" si="45"/>
        <v>0</v>
      </c>
      <c r="AJ191" s="27"/>
      <c r="AK191" s="26"/>
      <c r="AL191" s="64">
        <f t="shared" si="46"/>
        <v>0</v>
      </c>
      <c r="AM191" s="67">
        <f t="shared" si="47"/>
        <v>0</v>
      </c>
      <c r="AN191" s="27"/>
      <c r="AO191" s="26"/>
      <c r="AP191" s="27"/>
      <c r="AQ191" s="26"/>
      <c r="AR191" s="27"/>
      <c r="AS191" s="26"/>
      <c r="AT191" s="27"/>
      <c r="AU191" s="26"/>
      <c r="AV191" s="64">
        <f t="shared" si="48"/>
        <v>0</v>
      </c>
      <c r="AW191" s="70">
        <f t="shared" si="49"/>
        <v>0</v>
      </c>
      <c r="AX191" s="66">
        <f t="shared" si="50"/>
        <v>0</v>
      </c>
      <c r="AY191" s="71">
        <f t="shared" si="51"/>
        <v>0</v>
      </c>
      <c r="AZ191" s="72">
        <f t="shared" si="52"/>
        <v>1849.4</v>
      </c>
      <c r="BA191" s="66">
        <f t="shared" si="53"/>
        <v>1967.2666666666667</v>
      </c>
    </row>
    <row r="192" spans="1:53" ht="15">
      <c r="A192" s="22" t="s">
        <v>268</v>
      </c>
      <c r="B192" s="32" t="s">
        <v>289</v>
      </c>
      <c r="C192" s="691"/>
      <c r="D192" s="30">
        <v>157483</v>
      </c>
      <c r="E192" s="30">
        <v>9</v>
      </c>
      <c r="F192" s="29" t="s">
        <v>75</v>
      </c>
      <c r="G192" s="16" t="s">
        <v>75</v>
      </c>
      <c r="H192" s="27"/>
      <c r="I192" s="26"/>
      <c r="J192" s="27">
        <v>47634</v>
      </c>
      <c r="K192" s="26">
        <v>45281</v>
      </c>
      <c r="L192" s="27">
        <v>8863</v>
      </c>
      <c r="M192" s="109">
        <v>8332</v>
      </c>
      <c r="N192" s="27">
        <v>50352</v>
      </c>
      <c r="O192" s="53">
        <v>49620</v>
      </c>
      <c r="P192" s="64">
        <f t="shared" si="36"/>
        <v>106849</v>
      </c>
      <c r="Q192" s="65">
        <f t="shared" si="37"/>
        <v>3561.6333333333332</v>
      </c>
      <c r="R192" s="66">
        <f t="shared" si="38"/>
        <v>103233</v>
      </c>
      <c r="S192" s="67">
        <f t="shared" si="39"/>
        <v>3441.1</v>
      </c>
      <c r="T192" s="27">
        <v>7955</v>
      </c>
      <c r="U192" s="109">
        <v>9002</v>
      </c>
      <c r="V192" s="64">
        <f t="shared" si="40"/>
        <v>106849</v>
      </c>
      <c r="W192" s="68">
        <f t="shared" si="41"/>
        <v>103233</v>
      </c>
      <c r="X192" s="27"/>
      <c r="Y192" s="26"/>
      <c r="Z192" s="27"/>
      <c r="AA192" s="26"/>
      <c r="AB192" s="27"/>
      <c r="AC192" s="26"/>
      <c r="AD192" s="27"/>
      <c r="AE192" s="26"/>
      <c r="AF192" s="64">
        <f t="shared" si="42"/>
        <v>0</v>
      </c>
      <c r="AG192" s="65">
        <f t="shared" si="43"/>
        <v>0</v>
      </c>
      <c r="AH192" s="66">
        <f t="shared" si="44"/>
        <v>0</v>
      </c>
      <c r="AI192" s="66">
        <f t="shared" si="45"/>
        <v>0</v>
      </c>
      <c r="AJ192" s="27"/>
      <c r="AK192" s="26"/>
      <c r="AL192" s="64">
        <f t="shared" si="46"/>
        <v>0</v>
      </c>
      <c r="AM192" s="67">
        <f t="shared" si="47"/>
        <v>0</v>
      </c>
      <c r="AN192" s="27"/>
      <c r="AO192" s="26"/>
      <c r="AP192" s="27"/>
      <c r="AQ192" s="26"/>
      <c r="AR192" s="27"/>
      <c r="AS192" s="26"/>
      <c r="AT192" s="27"/>
      <c r="AU192" s="26"/>
      <c r="AV192" s="64">
        <f t="shared" si="48"/>
        <v>0</v>
      </c>
      <c r="AW192" s="70">
        <f t="shared" si="49"/>
        <v>0</v>
      </c>
      <c r="AX192" s="66">
        <f t="shared" si="50"/>
        <v>0</v>
      </c>
      <c r="AY192" s="71">
        <f t="shared" si="51"/>
        <v>0</v>
      </c>
      <c r="AZ192" s="72">
        <f t="shared" si="52"/>
        <v>3561.6333333333332</v>
      </c>
      <c r="BA192" s="66">
        <f t="shared" si="53"/>
        <v>3441.1</v>
      </c>
    </row>
    <row r="193" spans="1:53">
      <c r="A193" s="22" t="s">
        <v>268</v>
      </c>
      <c r="B193" s="32" t="s">
        <v>290</v>
      </c>
      <c r="C193" s="31"/>
      <c r="D193" s="30">
        <v>156851</v>
      </c>
      <c r="E193" s="30">
        <v>10</v>
      </c>
      <c r="F193" s="29" t="s">
        <v>75</v>
      </c>
      <c r="G193" s="16" t="s">
        <v>75</v>
      </c>
      <c r="H193" s="27"/>
      <c r="I193" s="26"/>
      <c r="J193" s="27">
        <v>13679</v>
      </c>
      <c r="K193" s="109">
        <v>12110</v>
      </c>
      <c r="L193" s="27">
        <v>1980</v>
      </c>
      <c r="M193" s="26">
        <v>1907</v>
      </c>
      <c r="N193" s="27">
        <v>13692</v>
      </c>
      <c r="O193" s="109">
        <v>12615</v>
      </c>
      <c r="P193" s="64">
        <f t="shared" si="36"/>
        <v>29351</v>
      </c>
      <c r="Q193" s="65">
        <f t="shared" si="37"/>
        <v>978.36666666666667</v>
      </c>
      <c r="R193" s="66">
        <f t="shared" si="38"/>
        <v>26632</v>
      </c>
      <c r="S193" s="67">
        <f t="shared" si="39"/>
        <v>887.73333333333335</v>
      </c>
      <c r="T193" s="27">
        <v>1799</v>
      </c>
      <c r="U193" s="109">
        <v>1042</v>
      </c>
      <c r="V193" s="64">
        <f t="shared" si="40"/>
        <v>29351</v>
      </c>
      <c r="W193" s="68">
        <f t="shared" si="41"/>
        <v>26632</v>
      </c>
      <c r="X193" s="27"/>
      <c r="Y193" s="26"/>
      <c r="Z193" s="27"/>
      <c r="AA193" s="26"/>
      <c r="AB193" s="27"/>
      <c r="AC193" s="26"/>
      <c r="AD193" s="27"/>
      <c r="AE193" s="26"/>
      <c r="AF193" s="64">
        <f t="shared" si="42"/>
        <v>0</v>
      </c>
      <c r="AG193" s="65">
        <f t="shared" si="43"/>
        <v>0</v>
      </c>
      <c r="AH193" s="66">
        <f t="shared" si="44"/>
        <v>0</v>
      </c>
      <c r="AI193" s="66">
        <f t="shared" si="45"/>
        <v>0</v>
      </c>
      <c r="AJ193" s="27"/>
      <c r="AK193" s="26"/>
      <c r="AL193" s="64">
        <f t="shared" si="46"/>
        <v>0</v>
      </c>
      <c r="AM193" s="67">
        <f t="shared" si="47"/>
        <v>0</v>
      </c>
      <c r="AN193" s="27"/>
      <c r="AO193" s="26"/>
      <c r="AP193" s="27"/>
      <c r="AQ193" s="26"/>
      <c r="AR193" s="27"/>
      <c r="AS193" s="26"/>
      <c r="AT193" s="27"/>
      <c r="AU193" s="26"/>
      <c r="AV193" s="64">
        <f t="shared" si="48"/>
        <v>0</v>
      </c>
      <c r="AW193" s="70">
        <f t="shared" si="49"/>
        <v>0</v>
      </c>
      <c r="AX193" s="66">
        <f t="shared" si="50"/>
        <v>0</v>
      </c>
      <c r="AY193" s="71">
        <f t="shared" si="51"/>
        <v>0</v>
      </c>
      <c r="AZ193" s="72">
        <f t="shared" si="52"/>
        <v>978.36666666666667</v>
      </c>
      <c r="BA193" s="66">
        <f t="shared" si="53"/>
        <v>887.73333333333335</v>
      </c>
    </row>
    <row r="194" spans="1:53">
      <c r="A194" s="33" t="s">
        <v>268</v>
      </c>
      <c r="B194" s="32" t="s">
        <v>291</v>
      </c>
      <c r="C194" s="31"/>
      <c r="D194" s="30">
        <v>157438</v>
      </c>
      <c r="E194" s="24">
        <v>12</v>
      </c>
      <c r="F194" s="29" t="s">
        <v>75</v>
      </c>
      <c r="G194" s="16" t="s">
        <v>75</v>
      </c>
      <c r="H194" s="27"/>
      <c r="I194" s="26"/>
      <c r="J194" s="27">
        <v>31222</v>
      </c>
      <c r="K194" s="109">
        <v>29458</v>
      </c>
      <c r="L194" s="27">
        <v>6082</v>
      </c>
      <c r="M194" s="109">
        <v>6507</v>
      </c>
      <c r="N194" s="27">
        <v>33918</v>
      </c>
      <c r="O194" s="53">
        <v>33581</v>
      </c>
      <c r="P194" s="64">
        <f t="shared" si="36"/>
        <v>71222</v>
      </c>
      <c r="Q194" s="65">
        <f t="shared" si="37"/>
        <v>2374.0666666666666</v>
      </c>
      <c r="R194" s="66">
        <f t="shared" si="38"/>
        <v>69546</v>
      </c>
      <c r="S194" s="67">
        <f t="shared" si="39"/>
        <v>2318.1999999999998</v>
      </c>
      <c r="T194" s="27">
        <v>4899</v>
      </c>
      <c r="U194" s="109">
        <v>5686</v>
      </c>
      <c r="V194" s="64">
        <f t="shared" si="40"/>
        <v>71222</v>
      </c>
      <c r="W194" s="68">
        <f t="shared" si="41"/>
        <v>69546</v>
      </c>
      <c r="X194" s="27"/>
      <c r="Y194" s="26"/>
      <c r="Z194" s="27"/>
      <c r="AA194" s="26"/>
      <c r="AB194" s="27"/>
      <c r="AC194" s="26"/>
      <c r="AD194" s="27"/>
      <c r="AE194" s="26"/>
      <c r="AF194" s="64">
        <f t="shared" si="42"/>
        <v>0</v>
      </c>
      <c r="AG194" s="65">
        <f t="shared" si="43"/>
        <v>0</v>
      </c>
      <c r="AH194" s="66">
        <f t="shared" si="44"/>
        <v>0</v>
      </c>
      <c r="AI194" s="66">
        <f t="shared" si="45"/>
        <v>0</v>
      </c>
      <c r="AJ194" s="27"/>
      <c r="AK194" s="26"/>
      <c r="AL194" s="64">
        <f t="shared" si="46"/>
        <v>0</v>
      </c>
      <c r="AM194" s="67">
        <f t="shared" si="47"/>
        <v>0</v>
      </c>
      <c r="AN194" s="27"/>
      <c r="AO194" s="26"/>
      <c r="AP194" s="27"/>
      <c r="AQ194" s="26"/>
      <c r="AR194" s="27"/>
      <c r="AS194" s="26"/>
      <c r="AT194" s="27"/>
      <c r="AU194" s="26"/>
      <c r="AV194" s="64">
        <f t="shared" si="48"/>
        <v>0</v>
      </c>
      <c r="AW194" s="70">
        <f t="shared" si="49"/>
        <v>0</v>
      </c>
      <c r="AX194" s="66">
        <f t="shared" si="50"/>
        <v>0</v>
      </c>
      <c r="AY194" s="71">
        <f t="shared" si="51"/>
        <v>0</v>
      </c>
      <c r="AZ194" s="72">
        <f t="shared" si="52"/>
        <v>2374.0666666666666</v>
      </c>
      <c r="BA194" s="66">
        <f t="shared" si="53"/>
        <v>2318.1999999999998</v>
      </c>
    </row>
    <row r="195" spans="1:53">
      <c r="A195" s="33" t="s">
        <v>268</v>
      </c>
      <c r="B195" s="32" t="s">
        <v>292</v>
      </c>
      <c r="C195" s="31"/>
      <c r="D195" s="30">
        <v>156338</v>
      </c>
      <c r="E195" s="30">
        <v>12</v>
      </c>
      <c r="F195" s="29" t="s">
        <v>75</v>
      </c>
      <c r="G195" s="16" t="s">
        <v>75</v>
      </c>
      <c r="H195" s="27"/>
      <c r="I195" s="26"/>
      <c r="J195" s="27">
        <v>33527</v>
      </c>
      <c r="K195" s="26">
        <v>33151</v>
      </c>
      <c r="L195" s="27">
        <v>5293</v>
      </c>
      <c r="M195" s="109">
        <v>4995</v>
      </c>
      <c r="N195" s="27">
        <v>36919</v>
      </c>
      <c r="O195" s="53">
        <v>38734</v>
      </c>
      <c r="P195" s="64">
        <f t="shared" si="36"/>
        <v>75739</v>
      </c>
      <c r="Q195" s="65">
        <f t="shared" si="37"/>
        <v>2524.6333333333332</v>
      </c>
      <c r="R195" s="66">
        <f t="shared" si="38"/>
        <v>76880</v>
      </c>
      <c r="S195" s="67">
        <f t="shared" si="39"/>
        <v>2562.6666666666665</v>
      </c>
      <c r="T195" s="27">
        <v>6111</v>
      </c>
      <c r="U195" s="109">
        <v>7337</v>
      </c>
      <c r="V195" s="64">
        <f t="shared" si="40"/>
        <v>75739</v>
      </c>
      <c r="W195" s="68">
        <f t="shared" si="41"/>
        <v>76880</v>
      </c>
      <c r="X195" s="27"/>
      <c r="Y195" s="26"/>
      <c r="Z195" s="27"/>
      <c r="AA195" s="26"/>
      <c r="AB195" s="27"/>
      <c r="AC195" s="26"/>
      <c r="AD195" s="27"/>
      <c r="AE195" s="26"/>
      <c r="AF195" s="64">
        <f t="shared" si="42"/>
        <v>0</v>
      </c>
      <c r="AG195" s="65">
        <f t="shared" si="43"/>
        <v>0</v>
      </c>
      <c r="AH195" s="66">
        <f t="shared" si="44"/>
        <v>0</v>
      </c>
      <c r="AI195" s="66">
        <f t="shared" si="45"/>
        <v>0</v>
      </c>
      <c r="AJ195" s="27"/>
      <c r="AK195" s="26"/>
      <c r="AL195" s="64">
        <f t="shared" si="46"/>
        <v>0</v>
      </c>
      <c r="AM195" s="67">
        <f t="shared" si="47"/>
        <v>0</v>
      </c>
      <c r="AN195" s="27"/>
      <c r="AO195" s="26"/>
      <c r="AP195" s="27"/>
      <c r="AQ195" s="26"/>
      <c r="AR195" s="27"/>
      <c r="AS195" s="26"/>
      <c r="AT195" s="27"/>
      <c r="AU195" s="26"/>
      <c r="AV195" s="64">
        <f t="shared" si="48"/>
        <v>0</v>
      </c>
      <c r="AW195" s="70">
        <f t="shared" si="49"/>
        <v>0</v>
      </c>
      <c r="AX195" s="66">
        <f t="shared" si="50"/>
        <v>0</v>
      </c>
      <c r="AY195" s="71">
        <f t="shared" si="51"/>
        <v>0</v>
      </c>
      <c r="AZ195" s="72">
        <f t="shared" si="52"/>
        <v>2524.6333333333332</v>
      </c>
      <c r="BA195" s="66">
        <f t="shared" si="53"/>
        <v>2562.6666666666665</v>
      </c>
    </row>
    <row r="196" spans="1:53" s="54" customFormat="1" ht="12" customHeight="1">
      <c r="A196" s="197" t="s">
        <v>547</v>
      </c>
      <c r="B196" s="198" t="s">
        <v>548</v>
      </c>
      <c r="C196" s="199"/>
      <c r="D196" s="200">
        <v>159391</v>
      </c>
      <c r="E196" s="200">
        <v>1</v>
      </c>
      <c r="F196" s="29" t="s">
        <v>75</v>
      </c>
      <c r="G196" s="201"/>
      <c r="H196" s="27"/>
      <c r="I196" s="15"/>
      <c r="J196" s="27">
        <v>330491</v>
      </c>
      <c r="K196" s="15">
        <v>327253</v>
      </c>
      <c r="L196" s="27">
        <v>38259</v>
      </c>
      <c r="M196" s="15">
        <v>37003</v>
      </c>
      <c r="N196" s="27">
        <v>369742</v>
      </c>
      <c r="O196" s="15">
        <v>365632</v>
      </c>
      <c r="P196" s="64">
        <f t="shared" si="36"/>
        <v>738492</v>
      </c>
      <c r="Q196" s="65">
        <f t="shared" si="37"/>
        <v>24616.400000000001</v>
      </c>
      <c r="R196" s="66">
        <f t="shared" si="38"/>
        <v>729888</v>
      </c>
      <c r="S196" s="67">
        <f t="shared" si="39"/>
        <v>24329.599999999999</v>
      </c>
      <c r="T196" s="27">
        <v>5864</v>
      </c>
      <c r="U196" s="12">
        <v>8085</v>
      </c>
      <c r="V196" s="64">
        <f t="shared" si="40"/>
        <v>738492</v>
      </c>
      <c r="W196" s="68">
        <f t="shared" si="41"/>
        <v>729888</v>
      </c>
      <c r="X196" s="27"/>
      <c r="Y196" s="149"/>
      <c r="Z196" s="27"/>
      <c r="AA196" s="149"/>
      <c r="AB196" s="27"/>
      <c r="AC196" s="149"/>
      <c r="AD196" s="27"/>
      <c r="AE196" s="149"/>
      <c r="AF196" s="64">
        <f t="shared" si="42"/>
        <v>0</v>
      </c>
      <c r="AG196" s="65">
        <f t="shared" si="43"/>
        <v>0</v>
      </c>
      <c r="AH196" s="66">
        <f t="shared" si="44"/>
        <v>0</v>
      </c>
      <c r="AI196" s="66">
        <f t="shared" si="45"/>
        <v>0</v>
      </c>
      <c r="AJ196" s="27"/>
      <c r="AK196" s="149"/>
      <c r="AL196" s="64">
        <f t="shared" si="46"/>
        <v>0</v>
      </c>
      <c r="AM196" s="67">
        <f t="shared" si="47"/>
        <v>0</v>
      </c>
      <c r="AN196" s="27"/>
      <c r="AO196" s="15"/>
      <c r="AP196" s="27">
        <v>56479</v>
      </c>
      <c r="AQ196" s="15">
        <v>55277</v>
      </c>
      <c r="AR196" s="27">
        <v>16110.3</v>
      </c>
      <c r="AS196" s="15">
        <v>16012</v>
      </c>
      <c r="AT196" s="27">
        <v>58126</v>
      </c>
      <c r="AU196" s="15">
        <v>57964</v>
      </c>
      <c r="AV196" s="64">
        <f t="shared" si="48"/>
        <v>130715.3</v>
      </c>
      <c r="AW196" s="70">
        <f t="shared" si="49"/>
        <v>5446.4708333333338</v>
      </c>
      <c r="AX196" s="66">
        <f t="shared" si="50"/>
        <v>129253</v>
      </c>
      <c r="AY196" s="71">
        <f t="shared" si="51"/>
        <v>5385.541666666667</v>
      </c>
      <c r="AZ196" s="72">
        <f t="shared" si="52"/>
        <v>30062.870833333334</v>
      </c>
      <c r="BA196" s="66">
        <f t="shared" si="53"/>
        <v>29715.141666666666</v>
      </c>
    </row>
    <row r="197" spans="1:53" customFormat="1" ht="12" customHeight="1">
      <c r="A197" s="197" t="s">
        <v>547</v>
      </c>
      <c r="B197" s="198" t="s">
        <v>549</v>
      </c>
      <c r="C197" s="199"/>
      <c r="D197" s="200">
        <v>159647</v>
      </c>
      <c r="E197" s="200">
        <v>2</v>
      </c>
      <c r="F197" s="202" t="s">
        <v>550</v>
      </c>
      <c r="G197" s="203"/>
      <c r="H197" s="27">
        <v>69475</v>
      </c>
      <c r="I197" s="12">
        <v>78344</v>
      </c>
      <c r="J197" s="27">
        <v>70586</v>
      </c>
      <c r="K197" s="12">
        <v>83382</v>
      </c>
      <c r="L197" s="27">
        <v>15877</v>
      </c>
      <c r="M197" s="15">
        <v>15201</v>
      </c>
      <c r="N197" s="27">
        <v>88556</v>
      </c>
      <c r="O197" s="12">
        <v>94471</v>
      </c>
      <c r="P197" s="64">
        <f t="shared" si="36"/>
        <v>244494</v>
      </c>
      <c r="Q197" s="65">
        <f t="shared" si="37"/>
        <v>8149.8</v>
      </c>
      <c r="R197" s="66">
        <f t="shared" si="38"/>
        <v>271398</v>
      </c>
      <c r="S197" s="67">
        <f t="shared" si="39"/>
        <v>9046.6</v>
      </c>
      <c r="T197" s="27">
        <v>17880</v>
      </c>
      <c r="U197" s="12">
        <v>23386</v>
      </c>
      <c r="V197" s="64">
        <f t="shared" si="40"/>
        <v>244494</v>
      </c>
      <c r="W197" s="68">
        <f t="shared" si="41"/>
        <v>271398</v>
      </c>
      <c r="X197" s="27"/>
      <c r="Y197" s="149"/>
      <c r="Z197" s="27"/>
      <c r="AA197" s="149"/>
      <c r="AB197" s="27"/>
      <c r="AC197" s="149"/>
      <c r="AD197" s="27"/>
      <c r="AE197" s="149"/>
      <c r="AF197" s="64">
        <f t="shared" si="42"/>
        <v>0</v>
      </c>
      <c r="AG197" s="65">
        <f t="shared" si="43"/>
        <v>0</v>
      </c>
      <c r="AH197" s="66">
        <f t="shared" si="44"/>
        <v>0</v>
      </c>
      <c r="AI197" s="66">
        <f t="shared" si="45"/>
        <v>0</v>
      </c>
      <c r="AJ197" s="27"/>
      <c r="AK197" s="149"/>
      <c r="AL197" s="64">
        <f t="shared" si="46"/>
        <v>0</v>
      </c>
      <c r="AM197" s="67">
        <f t="shared" si="47"/>
        <v>0</v>
      </c>
      <c r="AN197" s="27">
        <v>6939</v>
      </c>
      <c r="AO197" s="12">
        <v>6373</v>
      </c>
      <c r="AP197" s="27">
        <v>7269</v>
      </c>
      <c r="AQ197" s="12">
        <v>6357</v>
      </c>
      <c r="AR197" s="27">
        <v>4299</v>
      </c>
      <c r="AS197" s="12">
        <v>3969</v>
      </c>
      <c r="AT197" s="27">
        <v>8580</v>
      </c>
      <c r="AU197" s="12">
        <v>7225</v>
      </c>
      <c r="AV197" s="64">
        <f t="shared" si="48"/>
        <v>27087</v>
      </c>
      <c r="AW197" s="70">
        <f t="shared" si="49"/>
        <v>1128.625</v>
      </c>
      <c r="AX197" s="66">
        <f t="shared" si="50"/>
        <v>23924</v>
      </c>
      <c r="AY197" s="71">
        <f t="shared" si="51"/>
        <v>996.83333333333337</v>
      </c>
      <c r="AZ197" s="72">
        <f t="shared" si="52"/>
        <v>9278.4249999999993</v>
      </c>
      <c r="BA197" s="66">
        <f t="shared" si="53"/>
        <v>10043.433333333334</v>
      </c>
    </row>
    <row r="198" spans="1:53" customFormat="1" ht="12" customHeight="1">
      <c r="A198" s="197" t="s">
        <v>547</v>
      </c>
      <c r="B198" s="198" t="s">
        <v>551</v>
      </c>
      <c r="C198" s="199"/>
      <c r="D198" s="200">
        <v>160658</v>
      </c>
      <c r="E198" s="200">
        <v>2</v>
      </c>
      <c r="F198" s="29" t="s">
        <v>75</v>
      </c>
      <c r="G198" s="201"/>
      <c r="H198" s="27"/>
      <c r="I198" s="15"/>
      <c r="J198" s="27">
        <v>187469</v>
      </c>
      <c r="K198" s="15">
        <v>189049</v>
      </c>
      <c r="L198" s="27">
        <v>23366</v>
      </c>
      <c r="M198" s="12">
        <v>21034</v>
      </c>
      <c r="N198" s="27">
        <v>208673</v>
      </c>
      <c r="O198" s="15">
        <v>207052</v>
      </c>
      <c r="P198" s="64">
        <f t="shared" si="36"/>
        <v>419508</v>
      </c>
      <c r="Q198" s="65">
        <f t="shared" si="37"/>
        <v>13983.6</v>
      </c>
      <c r="R198" s="66">
        <f t="shared" si="38"/>
        <v>417135</v>
      </c>
      <c r="S198" s="67">
        <f t="shared" si="39"/>
        <v>13904.5</v>
      </c>
      <c r="T198" s="27">
        <v>4385</v>
      </c>
      <c r="U198" s="12">
        <v>4636</v>
      </c>
      <c r="V198" s="64">
        <f t="shared" si="40"/>
        <v>419508</v>
      </c>
      <c r="W198" s="68">
        <f t="shared" si="41"/>
        <v>417135</v>
      </c>
      <c r="X198" s="27"/>
      <c r="Y198" s="149"/>
      <c r="Z198" s="27"/>
      <c r="AA198" s="149"/>
      <c r="AB198" s="27"/>
      <c r="AC198" s="149"/>
      <c r="AD198" s="27"/>
      <c r="AE198" s="149"/>
      <c r="AF198" s="64">
        <f t="shared" si="42"/>
        <v>0</v>
      </c>
      <c r="AG198" s="65">
        <f t="shared" si="43"/>
        <v>0</v>
      </c>
      <c r="AH198" s="66">
        <f t="shared" si="44"/>
        <v>0</v>
      </c>
      <c r="AI198" s="66">
        <f t="shared" si="45"/>
        <v>0</v>
      </c>
      <c r="AJ198" s="27"/>
      <c r="AK198" s="149"/>
      <c r="AL198" s="64">
        <f t="shared" si="46"/>
        <v>0</v>
      </c>
      <c r="AM198" s="67">
        <f t="shared" si="47"/>
        <v>0</v>
      </c>
      <c r="AN198" s="27"/>
      <c r="AO198" s="15"/>
      <c r="AP198" s="27">
        <v>12458</v>
      </c>
      <c r="AQ198" s="12">
        <v>11381</v>
      </c>
      <c r="AR198" s="27">
        <v>3689</v>
      </c>
      <c r="AS198" s="12">
        <v>3405</v>
      </c>
      <c r="AT198" s="27">
        <v>13465</v>
      </c>
      <c r="AU198" s="12">
        <v>12393</v>
      </c>
      <c r="AV198" s="64">
        <f t="shared" si="48"/>
        <v>29612</v>
      </c>
      <c r="AW198" s="70">
        <f t="shared" si="49"/>
        <v>1233.8333333333333</v>
      </c>
      <c r="AX198" s="66">
        <f t="shared" si="50"/>
        <v>27179</v>
      </c>
      <c r="AY198" s="71">
        <f t="shared" si="51"/>
        <v>1132.4583333333333</v>
      </c>
      <c r="AZ198" s="72">
        <f t="shared" si="52"/>
        <v>15217.433333333334</v>
      </c>
      <c r="BA198" s="66">
        <f t="shared" si="53"/>
        <v>15036.958333333334</v>
      </c>
    </row>
    <row r="199" spans="1:53" customFormat="1" ht="12" customHeight="1">
      <c r="A199" s="197" t="s">
        <v>547</v>
      </c>
      <c r="B199" s="198" t="s">
        <v>552</v>
      </c>
      <c r="C199" s="199"/>
      <c r="D199" s="200">
        <v>159939</v>
      </c>
      <c r="E199" s="200">
        <v>2</v>
      </c>
      <c r="F199" s="29" t="s">
        <v>75</v>
      </c>
      <c r="G199" s="201"/>
      <c r="H199" s="27"/>
      <c r="I199" s="15"/>
      <c r="J199" s="27">
        <v>78935</v>
      </c>
      <c r="K199" s="12">
        <v>71430</v>
      </c>
      <c r="L199" s="27">
        <v>13146</v>
      </c>
      <c r="M199" s="15">
        <v>13197</v>
      </c>
      <c r="N199" s="27">
        <v>82013</v>
      </c>
      <c r="O199" s="15">
        <v>78687</v>
      </c>
      <c r="P199" s="64">
        <f t="shared" si="36"/>
        <v>174094</v>
      </c>
      <c r="Q199" s="65">
        <f t="shared" si="37"/>
        <v>5803.1333333333332</v>
      </c>
      <c r="R199" s="66">
        <f t="shared" si="38"/>
        <v>163314</v>
      </c>
      <c r="S199" s="67">
        <f t="shared" si="39"/>
        <v>5443.8</v>
      </c>
      <c r="T199" s="27">
        <v>1530</v>
      </c>
      <c r="U199" s="12">
        <v>2171</v>
      </c>
      <c r="V199" s="64">
        <f t="shared" si="40"/>
        <v>174094</v>
      </c>
      <c r="W199" s="68">
        <f t="shared" si="41"/>
        <v>163314</v>
      </c>
      <c r="X199" s="27"/>
      <c r="Y199" s="149"/>
      <c r="Z199" s="27"/>
      <c r="AA199" s="149"/>
      <c r="AB199" s="27"/>
      <c r="AC199" s="149"/>
      <c r="AD199" s="27"/>
      <c r="AE199" s="149"/>
      <c r="AF199" s="64">
        <f t="shared" si="42"/>
        <v>0</v>
      </c>
      <c r="AG199" s="65">
        <f t="shared" si="43"/>
        <v>0</v>
      </c>
      <c r="AH199" s="66">
        <f t="shared" si="44"/>
        <v>0</v>
      </c>
      <c r="AI199" s="66">
        <f t="shared" si="45"/>
        <v>0</v>
      </c>
      <c r="AJ199" s="27"/>
      <c r="AK199" s="149"/>
      <c r="AL199" s="64">
        <f t="shared" si="46"/>
        <v>0</v>
      </c>
      <c r="AM199" s="67">
        <f t="shared" si="47"/>
        <v>0</v>
      </c>
      <c r="AN199" s="27"/>
      <c r="AO199" s="15"/>
      <c r="AP199" s="27">
        <v>13474</v>
      </c>
      <c r="AQ199" s="12">
        <v>9632</v>
      </c>
      <c r="AR199" s="27">
        <v>3170</v>
      </c>
      <c r="AS199" s="15">
        <v>3024</v>
      </c>
      <c r="AT199" s="27">
        <v>13296</v>
      </c>
      <c r="AU199" s="12">
        <v>11503</v>
      </c>
      <c r="AV199" s="64">
        <f t="shared" si="48"/>
        <v>29940</v>
      </c>
      <c r="AW199" s="70">
        <f t="shared" si="49"/>
        <v>1247.5</v>
      </c>
      <c r="AX199" s="66">
        <f t="shared" si="50"/>
        <v>24159</v>
      </c>
      <c r="AY199" s="71">
        <f t="shared" si="51"/>
        <v>1006.625</v>
      </c>
      <c r="AZ199" s="72">
        <f t="shared" si="52"/>
        <v>7050.6333333333332</v>
      </c>
      <c r="BA199" s="66">
        <f t="shared" si="53"/>
        <v>6450.4250000000002</v>
      </c>
    </row>
    <row r="200" spans="1:53" customFormat="1" ht="12" customHeight="1">
      <c r="A200" s="197" t="s">
        <v>547</v>
      </c>
      <c r="B200" s="198" t="s">
        <v>553</v>
      </c>
      <c r="C200" s="199"/>
      <c r="D200" s="200">
        <v>160612</v>
      </c>
      <c r="E200" s="200">
        <v>3</v>
      </c>
      <c r="F200" s="29" t="s">
        <v>75</v>
      </c>
      <c r="G200" s="201"/>
      <c r="H200" s="27"/>
      <c r="I200" s="15"/>
      <c r="J200" s="27">
        <v>150275</v>
      </c>
      <c r="K200" s="15">
        <v>145968</v>
      </c>
      <c r="L200" s="27">
        <v>16313</v>
      </c>
      <c r="M200" s="12">
        <v>14933</v>
      </c>
      <c r="N200" s="27">
        <v>157528</v>
      </c>
      <c r="O200" s="15">
        <v>154903</v>
      </c>
      <c r="P200" s="64">
        <f t="shared" si="36"/>
        <v>324116</v>
      </c>
      <c r="Q200" s="65">
        <f t="shared" si="37"/>
        <v>10803.866666666667</v>
      </c>
      <c r="R200" s="66">
        <f t="shared" si="38"/>
        <v>315804</v>
      </c>
      <c r="S200" s="67">
        <f t="shared" si="39"/>
        <v>10526.8</v>
      </c>
      <c r="T200" s="27">
        <v>20626</v>
      </c>
      <c r="U200" s="12">
        <v>23744</v>
      </c>
      <c r="V200" s="64">
        <f t="shared" si="40"/>
        <v>324116</v>
      </c>
      <c r="W200" s="68">
        <f t="shared" si="41"/>
        <v>315804</v>
      </c>
      <c r="X200" s="27"/>
      <c r="Y200" s="149"/>
      <c r="Z200" s="27"/>
      <c r="AA200" s="149"/>
      <c r="AB200" s="27"/>
      <c r="AC200" s="149"/>
      <c r="AD200" s="27"/>
      <c r="AE200" s="149"/>
      <c r="AF200" s="64">
        <f t="shared" si="42"/>
        <v>0</v>
      </c>
      <c r="AG200" s="65">
        <f t="shared" si="43"/>
        <v>0</v>
      </c>
      <c r="AH200" s="66">
        <f t="shared" si="44"/>
        <v>0</v>
      </c>
      <c r="AI200" s="66">
        <f t="shared" si="45"/>
        <v>0</v>
      </c>
      <c r="AJ200" s="27"/>
      <c r="AK200" s="149"/>
      <c r="AL200" s="64">
        <f t="shared" si="46"/>
        <v>0</v>
      </c>
      <c r="AM200" s="67">
        <f t="shared" si="47"/>
        <v>0</v>
      </c>
      <c r="AN200" s="27"/>
      <c r="AO200" s="15"/>
      <c r="AP200" s="27">
        <v>7273</v>
      </c>
      <c r="AQ200" s="12">
        <v>6482</v>
      </c>
      <c r="AR200" s="27">
        <v>3304</v>
      </c>
      <c r="AS200" s="12">
        <v>2902</v>
      </c>
      <c r="AT200" s="27">
        <v>7070</v>
      </c>
      <c r="AU200" s="12">
        <v>6661</v>
      </c>
      <c r="AV200" s="64">
        <f t="shared" si="48"/>
        <v>17647</v>
      </c>
      <c r="AW200" s="70">
        <f t="shared" si="49"/>
        <v>735.29166666666663</v>
      </c>
      <c r="AX200" s="66">
        <f t="shared" si="50"/>
        <v>16045</v>
      </c>
      <c r="AY200" s="71">
        <f t="shared" si="51"/>
        <v>668.54166666666663</v>
      </c>
      <c r="AZ200" s="72">
        <f t="shared" si="52"/>
        <v>11539.158333333333</v>
      </c>
      <c r="BA200" s="66">
        <f t="shared" si="53"/>
        <v>11195.341666666665</v>
      </c>
    </row>
    <row r="201" spans="1:53" customFormat="1" ht="12" customHeight="1">
      <c r="A201" s="197" t="s">
        <v>547</v>
      </c>
      <c r="B201" s="198" t="s">
        <v>554</v>
      </c>
      <c r="C201" s="199"/>
      <c r="D201" s="200">
        <v>160621</v>
      </c>
      <c r="E201" s="200">
        <v>3</v>
      </c>
      <c r="F201" s="29" t="s">
        <v>75</v>
      </c>
      <c r="G201" s="201"/>
      <c r="H201" s="27"/>
      <c r="I201" s="15"/>
      <c r="J201" s="27">
        <v>62751</v>
      </c>
      <c r="K201" s="15">
        <v>64338</v>
      </c>
      <c r="L201" s="27">
        <v>8983</v>
      </c>
      <c r="M201" s="15">
        <v>9075</v>
      </c>
      <c r="N201" s="27">
        <v>73099</v>
      </c>
      <c r="O201" s="15">
        <v>72045</v>
      </c>
      <c r="P201" s="64">
        <f t="shared" si="36"/>
        <v>144833</v>
      </c>
      <c r="Q201" s="65">
        <f t="shared" si="37"/>
        <v>4827.7666666666664</v>
      </c>
      <c r="R201" s="66">
        <f t="shared" si="38"/>
        <v>145458</v>
      </c>
      <c r="S201" s="67">
        <f t="shared" si="39"/>
        <v>4848.6000000000004</v>
      </c>
      <c r="T201" s="27">
        <v>1001</v>
      </c>
      <c r="U201" s="12">
        <v>1274</v>
      </c>
      <c r="V201" s="64">
        <f t="shared" si="40"/>
        <v>144833</v>
      </c>
      <c r="W201" s="68">
        <f t="shared" si="41"/>
        <v>145458</v>
      </c>
      <c r="X201" s="27"/>
      <c r="Y201" s="149"/>
      <c r="Z201" s="27"/>
      <c r="AA201" s="149"/>
      <c r="AB201" s="27"/>
      <c r="AC201" s="149"/>
      <c r="AD201" s="27"/>
      <c r="AE201" s="149"/>
      <c r="AF201" s="64">
        <f t="shared" si="42"/>
        <v>0</v>
      </c>
      <c r="AG201" s="65">
        <f t="shared" si="43"/>
        <v>0</v>
      </c>
      <c r="AH201" s="66">
        <f t="shared" si="44"/>
        <v>0</v>
      </c>
      <c r="AI201" s="66">
        <f t="shared" si="45"/>
        <v>0</v>
      </c>
      <c r="AJ201" s="27"/>
      <c r="AK201" s="149"/>
      <c r="AL201" s="64">
        <f t="shared" si="46"/>
        <v>0</v>
      </c>
      <c r="AM201" s="67">
        <f t="shared" si="47"/>
        <v>0</v>
      </c>
      <c r="AN201" s="27"/>
      <c r="AO201" s="15"/>
      <c r="AP201" s="27">
        <v>15654</v>
      </c>
      <c r="AQ201" s="12">
        <v>14588</v>
      </c>
      <c r="AR201" s="27">
        <v>4052</v>
      </c>
      <c r="AS201" s="12">
        <v>3825</v>
      </c>
      <c r="AT201" s="27">
        <v>16660</v>
      </c>
      <c r="AU201" s="12">
        <v>15402</v>
      </c>
      <c r="AV201" s="64">
        <f t="shared" si="48"/>
        <v>36366</v>
      </c>
      <c r="AW201" s="70">
        <f t="shared" si="49"/>
        <v>1515.25</v>
      </c>
      <c r="AX201" s="66">
        <f t="shared" si="50"/>
        <v>33815</v>
      </c>
      <c r="AY201" s="71">
        <f t="shared" si="51"/>
        <v>1408.9583333333333</v>
      </c>
      <c r="AZ201" s="72">
        <f t="shared" si="52"/>
        <v>6343.0166666666664</v>
      </c>
      <c r="BA201" s="66">
        <f t="shared" si="53"/>
        <v>6257.5583333333334</v>
      </c>
    </row>
    <row r="202" spans="1:53" customFormat="1" ht="12" customHeight="1">
      <c r="A202" s="197" t="s">
        <v>547</v>
      </c>
      <c r="B202" s="198" t="s">
        <v>555</v>
      </c>
      <c r="C202" s="199"/>
      <c r="D202" s="200">
        <v>159993</v>
      </c>
      <c r="E202" s="200">
        <v>3</v>
      </c>
      <c r="F202" s="29" t="s">
        <v>75</v>
      </c>
      <c r="G202" s="201"/>
      <c r="H202" s="162">
        <v>0</v>
      </c>
      <c r="I202" s="15"/>
      <c r="J202" s="204">
        <v>76957</v>
      </c>
      <c r="K202" s="12">
        <v>86242</v>
      </c>
      <c r="L202" s="27">
        <v>13876</v>
      </c>
      <c r="M202" s="12">
        <v>12774</v>
      </c>
      <c r="N202" s="27">
        <v>89293</v>
      </c>
      <c r="O202" s="12">
        <v>94297</v>
      </c>
      <c r="P202" s="64">
        <f t="shared" si="36"/>
        <v>180126</v>
      </c>
      <c r="Q202" s="65">
        <f t="shared" si="37"/>
        <v>6004.2</v>
      </c>
      <c r="R202" s="66">
        <f t="shared" si="38"/>
        <v>193313</v>
      </c>
      <c r="S202" s="67">
        <f t="shared" si="39"/>
        <v>6443.7666666666664</v>
      </c>
      <c r="T202" s="27">
        <v>13845</v>
      </c>
      <c r="U202" s="12">
        <v>14728</v>
      </c>
      <c r="V202" s="64">
        <f t="shared" si="40"/>
        <v>180126</v>
      </c>
      <c r="W202" s="68">
        <f t="shared" si="41"/>
        <v>193313</v>
      </c>
      <c r="X202" s="27"/>
      <c r="Y202" s="149"/>
      <c r="Z202" s="27"/>
      <c r="AA202" s="149"/>
      <c r="AB202" s="27"/>
      <c r="AC202" s="149"/>
      <c r="AD202" s="27"/>
      <c r="AE202" s="149"/>
      <c r="AF202" s="64">
        <f t="shared" si="42"/>
        <v>0</v>
      </c>
      <c r="AG202" s="65">
        <f t="shared" si="43"/>
        <v>0</v>
      </c>
      <c r="AH202" s="66">
        <f t="shared" si="44"/>
        <v>0</v>
      </c>
      <c r="AI202" s="66">
        <f t="shared" si="45"/>
        <v>0</v>
      </c>
      <c r="AJ202" s="27"/>
      <c r="AK202" s="149"/>
      <c r="AL202" s="64">
        <f t="shared" si="46"/>
        <v>0</v>
      </c>
      <c r="AM202" s="67">
        <f t="shared" si="47"/>
        <v>0</v>
      </c>
      <c r="AN202" s="162">
        <v>0</v>
      </c>
      <c r="AO202" s="15"/>
      <c r="AP202" s="204">
        <v>13344</v>
      </c>
      <c r="AQ202" s="15">
        <v>13861</v>
      </c>
      <c r="AR202" s="27">
        <v>5738</v>
      </c>
      <c r="AS202" s="12">
        <v>5326</v>
      </c>
      <c r="AT202" s="27">
        <v>14340</v>
      </c>
      <c r="AU202" s="15">
        <v>14072</v>
      </c>
      <c r="AV202" s="64">
        <f t="shared" si="48"/>
        <v>33422</v>
      </c>
      <c r="AW202" s="70">
        <f t="shared" si="49"/>
        <v>1392.5833333333333</v>
      </c>
      <c r="AX202" s="66">
        <f t="shared" si="50"/>
        <v>33259</v>
      </c>
      <c r="AY202" s="71">
        <f t="shared" si="51"/>
        <v>1385.7916666666667</v>
      </c>
      <c r="AZ202" s="72">
        <f t="shared" si="52"/>
        <v>7396.7833333333328</v>
      </c>
      <c r="BA202" s="66">
        <f t="shared" si="53"/>
        <v>7829.5583333333334</v>
      </c>
    </row>
    <row r="203" spans="1:53" customFormat="1" ht="12" customHeight="1">
      <c r="A203" s="197" t="s">
        <v>547</v>
      </c>
      <c r="B203" s="198" t="s">
        <v>556</v>
      </c>
      <c r="C203" s="199"/>
      <c r="D203" s="200">
        <v>159009</v>
      </c>
      <c r="E203" s="200">
        <v>4</v>
      </c>
      <c r="F203" s="29" t="s">
        <v>75</v>
      </c>
      <c r="G203" s="201"/>
      <c r="H203" s="27"/>
      <c r="I203" s="15"/>
      <c r="J203" s="27">
        <v>44274</v>
      </c>
      <c r="K203" s="12">
        <v>49603</v>
      </c>
      <c r="L203" s="27">
        <v>8326</v>
      </c>
      <c r="M203" s="12">
        <v>9176</v>
      </c>
      <c r="N203" s="27">
        <v>49027</v>
      </c>
      <c r="O203" s="12">
        <v>54313</v>
      </c>
      <c r="P203" s="64">
        <f t="shared" si="36"/>
        <v>101627</v>
      </c>
      <c r="Q203" s="65">
        <f t="shared" si="37"/>
        <v>3387.5666666666666</v>
      </c>
      <c r="R203" s="66">
        <f t="shared" si="38"/>
        <v>113092</v>
      </c>
      <c r="S203" s="67">
        <f t="shared" si="39"/>
        <v>3769.7333333333331</v>
      </c>
      <c r="T203" s="27">
        <v>166</v>
      </c>
      <c r="U203" s="12">
        <v>357</v>
      </c>
      <c r="V203" s="64">
        <f t="shared" si="40"/>
        <v>101627</v>
      </c>
      <c r="W203" s="68">
        <f t="shared" si="41"/>
        <v>113092</v>
      </c>
      <c r="X203" s="27"/>
      <c r="Y203" s="149"/>
      <c r="Z203" s="27"/>
      <c r="AA203" s="149"/>
      <c r="AB203" s="27"/>
      <c r="AC203" s="149"/>
      <c r="AD203" s="27"/>
      <c r="AE203" s="149"/>
      <c r="AF203" s="64">
        <f t="shared" si="42"/>
        <v>0</v>
      </c>
      <c r="AG203" s="65">
        <f t="shared" si="43"/>
        <v>0</v>
      </c>
      <c r="AH203" s="66">
        <f t="shared" si="44"/>
        <v>0</v>
      </c>
      <c r="AI203" s="66">
        <f t="shared" si="45"/>
        <v>0</v>
      </c>
      <c r="AJ203" s="27"/>
      <c r="AK203" s="149"/>
      <c r="AL203" s="64">
        <f t="shared" si="46"/>
        <v>0</v>
      </c>
      <c r="AM203" s="67">
        <f t="shared" si="47"/>
        <v>0</v>
      </c>
      <c r="AN203" s="27"/>
      <c r="AO203" s="15"/>
      <c r="AP203" s="27">
        <v>7382</v>
      </c>
      <c r="AQ203" s="15">
        <v>7564</v>
      </c>
      <c r="AR203" s="27">
        <v>2961</v>
      </c>
      <c r="AS203" s="15">
        <v>3003</v>
      </c>
      <c r="AT203" s="27">
        <v>7253</v>
      </c>
      <c r="AU203" s="15">
        <v>7059</v>
      </c>
      <c r="AV203" s="64">
        <f t="shared" si="48"/>
        <v>17596</v>
      </c>
      <c r="AW203" s="70">
        <f t="shared" si="49"/>
        <v>733.16666666666663</v>
      </c>
      <c r="AX203" s="66">
        <f t="shared" si="50"/>
        <v>17626</v>
      </c>
      <c r="AY203" s="71">
        <f t="shared" si="51"/>
        <v>734.41666666666663</v>
      </c>
      <c r="AZ203" s="72">
        <f t="shared" si="52"/>
        <v>4120.7333333333336</v>
      </c>
      <c r="BA203" s="66">
        <f t="shared" si="53"/>
        <v>4504.1499999999996</v>
      </c>
    </row>
    <row r="204" spans="1:53" customFormat="1" ht="12" customHeight="1">
      <c r="A204" s="197" t="s">
        <v>547</v>
      </c>
      <c r="B204" s="198" t="s">
        <v>557</v>
      </c>
      <c r="C204" s="199"/>
      <c r="D204" s="200">
        <v>159416</v>
      </c>
      <c r="E204" s="200">
        <v>4</v>
      </c>
      <c r="F204" s="29" t="s">
        <v>75</v>
      </c>
      <c r="G204" s="201"/>
      <c r="H204" s="27"/>
      <c r="I204" s="15"/>
      <c r="J204" s="27">
        <v>30950</v>
      </c>
      <c r="K204" s="12">
        <v>25962</v>
      </c>
      <c r="L204" s="27">
        <v>4663</v>
      </c>
      <c r="M204" s="12">
        <v>4403</v>
      </c>
      <c r="N204" s="27">
        <v>30936</v>
      </c>
      <c r="O204" s="12">
        <v>28427</v>
      </c>
      <c r="P204" s="64">
        <f t="shared" si="36"/>
        <v>66549</v>
      </c>
      <c r="Q204" s="65">
        <f t="shared" si="37"/>
        <v>2218.3000000000002</v>
      </c>
      <c r="R204" s="66">
        <f t="shared" si="38"/>
        <v>58792</v>
      </c>
      <c r="S204" s="67">
        <f t="shared" si="39"/>
        <v>1959.7333333333333</v>
      </c>
      <c r="T204" s="27">
        <v>3825</v>
      </c>
      <c r="U204" s="12">
        <v>2927</v>
      </c>
      <c r="V204" s="64">
        <f t="shared" si="40"/>
        <v>66549</v>
      </c>
      <c r="W204" s="68">
        <f t="shared" si="41"/>
        <v>58792</v>
      </c>
      <c r="X204" s="27"/>
      <c r="Y204" s="149"/>
      <c r="Z204" s="27"/>
      <c r="AA204" s="149"/>
      <c r="AB204" s="27"/>
      <c r="AC204" s="149"/>
      <c r="AD204" s="27"/>
      <c r="AE204" s="149"/>
      <c r="AF204" s="64">
        <f t="shared" si="42"/>
        <v>0</v>
      </c>
      <c r="AG204" s="65">
        <f t="shared" si="43"/>
        <v>0</v>
      </c>
      <c r="AH204" s="66">
        <f t="shared" si="44"/>
        <v>0</v>
      </c>
      <c r="AI204" s="66">
        <f t="shared" si="45"/>
        <v>0</v>
      </c>
      <c r="AJ204" s="27"/>
      <c r="AK204" s="149"/>
      <c r="AL204" s="64">
        <f t="shared" si="46"/>
        <v>0</v>
      </c>
      <c r="AM204" s="67">
        <f t="shared" si="47"/>
        <v>0</v>
      </c>
      <c r="AN204" s="27"/>
      <c r="AO204" s="15"/>
      <c r="AP204" s="27">
        <v>7551</v>
      </c>
      <c r="AQ204" s="12">
        <v>13106</v>
      </c>
      <c r="AR204" s="27">
        <v>5967</v>
      </c>
      <c r="AS204" s="12">
        <v>7867</v>
      </c>
      <c r="AT204" s="27">
        <v>9918</v>
      </c>
      <c r="AU204" s="12">
        <v>13519</v>
      </c>
      <c r="AV204" s="64">
        <f t="shared" si="48"/>
        <v>23436</v>
      </c>
      <c r="AW204" s="70">
        <f t="shared" si="49"/>
        <v>976.5</v>
      </c>
      <c r="AX204" s="66">
        <f t="shared" si="50"/>
        <v>34492</v>
      </c>
      <c r="AY204" s="71">
        <f t="shared" si="51"/>
        <v>1437.1666666666667</v>
      </c>
      <c r="AZ204" s="72">
        <f t="shared" si="52"/>
        <v>3194.8</v>
      </c>
      <c r="BA204" s="66">
        <f t="shared" si="53"/>
        <v>3396.9</v>
      </c>
    </row>
    <row r="205" spans="1:53" customFormat="1" ht="12" customHeight="1">
      <c r="A205" s="197" t="s">
        <v>547</v>
      </c>
      <c r="B205" s="198" t="s">
        <v>558</v>
      </c>
      <c r="C205" s="700" t="s">
        <v>981</v>
      </c>
      <c r="D205" s="200">
        <v>159717</v>
      </c>
      <c r="E205" s="200">
        <v>4</v>
      </c>
      <c r="F205" s="29" t="s">
        <v>75</v>
      </c>
      <c r="G205" s="201"/>
      <c r="H205" s="27"/>
      <c r="I205" s="15"/>
      <c r="J205" s="27">
        <v>88847</v>
      </c>
      <c r="K205" s="12">
        <v>81622</v>
      </c>
      <c r="L205" s="27">
        <v>9340</v>
      </c>
      <c r="M205" s="12">
        <v>8833</v>
      </c>
      <c r="N205" s="27">
        <v>96581</v>
      </c>
      <c r="O205" s="12">
        <v>91723</v>
      </c>
      <c r="P205" s="64">
        <f t="shared" si="36"/>
        <v>194768</v>
      </c>
      <c r="Q205" s="65">
        <f t="shared" si="37"/>
        <v>6492.2666666666664</v>
      </c>
      <c r="R205" s="66">
        <f t="shared" si="38"/>
        <v>182178</v>
      </c>
      <c r="S205" s="67">
        <f t="shared" si="39"/>
        <v>6072.6</v>
      </c>
      <c r="T205" s="27">
        <v>7233</v>
      </c>
      <c r="U205" s="15">
        <v>7243</v>
      </c>
      <c r="V205" s="64">
        <f t="shared" si="40"/>
        <v>194768</v>
      </c>
      <c r="W205" s="68">
        <f t="shared" si="41"/>
        <v>182178</v>
      </c>
      <c r="X205" s="27"/>
      <c r="Y205" s="149"/>
      <c r="Z205" s="27"/>
      <c r="AA205" s="149"/>
      <c r="AB205" s="27"/>
      <c r="AC205" s="149"/>
      <c r="AD205" s="27"/>
      <c r="AE205" s="149"/>
      <c r="AF205" s="64">
        <f t="shared" si="42"/>
        <v>0</v>
      </c>
      <c r="AG205" s="65">
        <f t="shared" si="43"/>
        <v>0</v>
      </c>
      <c r="AH205" s="66">
        <f t="shared" si="44"/>
        <v>0</v>
      </c>
      <c r="AI205" s="66">
        <f t="shared" si="45"/>
        <v>0</v>
      </c>
      <c r="AJ205" s="27"/>
      <c r="AK205" s="149"/>
      <c r="AL205" s="64">
        <f t="shared" si="46"/>
        <v>0</v>
      </c>
      <c r="AM205" s="67">
        <f t="shared" si="47"/>
        <v>0</v>
      </c>
      <c r="AN205" s="27"/>
      <c r="AO205" s="15"/>
      <c r="AP205" s="27">
        <v>5185</v>
      </c>
      <c r="AQ205" s="15">
        <v>5003</v>
      </c>
      <c r="AR205" s="27">
        <v>1334</v>
      </c>
      <c r="AS205" s="15">
        <v>1336</v>
      </c>
      <c r="AT205" s="27">
        <v>5223</v>
      </c>
      <c r="AU205" s="15">
        <v>5147</v>
      </c>
      <c r="AV205" s="64">
        <f t="shared" si="48"/>
        <v>11742</v>
      </c>
      <c r="AW205" s="70">
        <f t="shared" si="49"/>
        <v>489.25</v>
      </c>
      <c r="AX205" s="66">
        <f t="shared" si="50"/>
        <v>11486</v>
      </c>
      <c r="AY205" s="71">
        <f t="shared" si="51"/>
        <v>478.58333333333331</v>
      </c>
      <c r="AZ205" s="72">
        <f t="shared" si="52"/>
        <v>6981.5166666666664</v>
      </c>
      <c r="BA205" s="66">
        <f t="shared" si="53"/>
        <v>6551.1833333333334</v>
      </c>
    </row>
    <row r="206" spans="1:53" customFormat="1" ht="12" customHeight="1">
      <c r="A206" s="197" t="s">
        <v>547</v>
      </c>
      <c r="B206" s="198" t="s">
        <v>559</v>
      </c>
      <c r="C206" s="199"/>
      <c r="D206" s="200">
        <v>159966</v>
      </c>
      <c r="E206" s="200">
        <v>4</v>
      </c>
      <c r="F206" s="29" t="s">
        <v>75</v>
      </c>
      <c r="G206" s="201"/>
      <c r="H206" s="27"/>
      <c r="I206" s="15"/>
      <c r="J206" s="27">
        <v>67864</v>
      </c>
      <c r="K206" s="15">
        <v>67053</v>
      </c>
      <c r="L206" s="27">
        <v>9440</v>
      </c>
      <c r="M206" s="12">
        <v>8098</v>
      </c>
      <c r="N206" s="27">
        <v>73298</v>
      </c>
      <c r="O206" s="15">
        <v>74493</v>
      </c>
      <c r="P206" s="64">
        <f t="shared" si="36"/>
        <v>150602</v>
      </c>
      <c r="Q206" s="65">
        <f t="shared" si="37"/>
        <v>5020.0666666666666</v>
      </c>
      <c r="R206" s="66">
        <f t="shared" si="38"/>
        <v>149644</v>
      </c>
      <c r="S206" s="67">
        <f t="shared" si="39"/>
        <v>4988.1333333333332</v>
      </c>
      <c r="T206" s="27">
        <v>1480</v>
      </c>
      <c r="U206" s="12">
        <v>2401</v>
      </c>
      <c r="V206" s="64">
        <f t="shared" si="40"/>
        <v>150602</v>
      </c>
      <c r="W206" s="68">
        <f t="shared" si="41"/>
        <v>149644</v>
      </c>
      <c r="X206" s="27"/>
      <c r="Y206" s="149"/>
      <c r="Z206" s="27"/>
      <c r="AA206" s="149"/>
      <c r="AB206" s="27"/>
      <c r="AC206" s="149"/>
      <c r="AD206" s="27"/>
      <c r="AE206" s="149"/>
      <c r="AF206" s="64">
        <f t="shared" si="42"/>
        <v>0</v>
      </c>
      <c r="AG206" s="65">
        <f t="shared" si="43"/>
        <v>0</v>
      </c>
      <c r="AH206" s="66">
        <f t="shared" si="44"/>
        <v>0</v>
      </c>
      <c r="AI206" s="66">
        <f t="shared" si="45"/>
        <v>0</v>
      </c>
      <c r="AJ206" s="27"/>
      <c r="AK206" s="149"/>
      <c r="AL206" s="64">
        <f t="shared" si="46"/>
        <v>0</v>
      </c>
      <c r="AM206" s="67">
        <f t="shared" si="47"/>
        <v>0</v>
      </c>
      <c r="AN206" s="27"/>
      <c r="AO206" s="15"/>
      <c r="AP206" s="27">
        <v>4228</v>
      </c>
      <c r="AQ206" s="12">
        <v>3910</v>
      </c>
      <c r="AR206" s="27">
        <v>3037</v>
      </c>
      <c r="AS206" s="12">
        <v>2601</v>
      </c>
      <c r="AT206" s="27">
        <v>4496</v>
      </c>
      <c r="AU206" s="12">
        <v>4224</v>
      </c>
      <c r="AV206" s="64">
        <f t="shared" si="48"/>
        <v>11761</v>
      </c>
      <c r="AW206" s="70">
        <f t="shared" si="49"/>
        <v>490.04166666666669</v>
      </c>
      <c r="AX206" s="66">
        <f t="shared" si="50"/>
        <v>10735</v>
      </c>
      <c r="AY206" s="71">
        <f t="shared" si="51"/>
        <v>447.29166666666669</v>
      </c>
      <c r="AZ206" s="72">
        <f t="shared" si="52"/>
        <v>5510.1083333333336</v>
      </c>
      <c r="BA206" s="66">
        <f t="shared" si="53"/>
        <v>5435.4250000000002</v>
      </c>
    </row>
    <row r="207" spans="1:53" customFormat="1" ht="12" customHeight="1">
      <c r="A207" s="197" t="s">
        <v>547</v>
      </c>
      <c r="B207" s="198" t="s">
        <v>560</v>
      </c>
      <c r="C207" s="199"/>
      <c r="D207" s="200">
        <v>160038</v>
      </c>
      <c r="E207" s="200">
        <v>4</v>
      </c>
      <c r="F207" s="29" t="s">
        <v>75</v>
      </c>
      <c r="G207" s="201"/>
      <c r="H207" s="27"/>
      <c r="I207" s="15"/>
      <c r="J207" s="27">
        <v>85837</v>
      </c>
      <c r="K207" s="12">
        <v>96693</v>
      </c>
      <c r="L207" s="27">
        <v>14374</v>
      </c>
      <c r="M207" s="15">
        <v>14656</v>
      </c>
      <c r="N207" s="27">
        <v>98408</v>
      </c>
      <c r="O207" s="12">
        <v>105297</v>
      </c>
      <c r="P207" s="64">
        <f t="shared" si="36"/>
        <v>198619</v>
      </c>
      <c r="Q207" s="65">
        <f t="shared" si="37"/>
        <v>6620.6333333333332</v>
      </c>
      <c r="R207" s="66">
        <f t="shared" si="38"/>
        <v>216646</v>
      </c>
      <c r="S207" s="67">
        <f t="shared" si="39"/>
        <v>7221.5333333333338</v>
      </c>
      <c r="T207" s="27">
        <v>10020</v>
      </c>
      <c r="U207" s="12">
        <v>12208</v>
      </c>
      <c r="V207" s="64">
        <f t="shared" si="40"/>
        <v>198619</v>
      </c>
      <c r="W207" s="68">
        <f t="shared" si="41"/>
        <v>216646</v>
      </c>
      <c r="X207" s="27"/>
      <c r="Y207" s="149"/>
      <c r="Z207" s="27"/>
      <c r="AA207" s="149"/>
      <c r="AB207" s="27"/>
      <c r="AC207" s="149"/>
      <c r="AD207" s="27"/>
      <c r="AE207" s="149"/>
      <c r="AF207" s="64">
        <f t="shared" si="42"/>
        <v>0</v>
      </c>
      <c r="AG207" s="65">
        <f t="shared" si="43"/>
        <v>0</v>
      </c>
      <c r="AH207" s="66">
        <f t="shared" si="44"/>
        <v>0</v>
      </c>
      <c r="AI207" s="66">
        <f t="shared" si="45"/>
        <v>0</v>
      </c>
      <c r="AJ207" s="27"/>
      <c r="AK207" s="149"/>
      <c r="AL207" s="64">
        <f t="shared" si="46"/>
        <v>0</v>
      </c>
      <c r="AM207" s="67">
        <f t="shared" si="47"/>
        <v>0</v>
      </c>
      <c r="AN207" s="27"/>
      <c r="AO207" s="15"/>
      <c r="AP207" s="27">
        <v>6486</v>
      </c>
      <c r="AQ207" s="15">
        <v>6460</v>
      </c>
      <c r="AR207" s="27">
        <v>4177</v>
      </c>
      <c r="AS207" s="15">
        <v>4093</v>
      </c>
      <c r="AT207" s="27">
        <v>6634</v>
      </c>
      <c r="AU207" s="15">
        <v>6858</v>
      </c>
      <c r="AV207" s="64">
        <f t="shared" si="48"/>
        <v>17297</v>
      </c>
      <c r="AW207" s="70">
        <f t="shared" si="49"/>
        <v>720.70833333333337</v>
      </c>
      <c r="AX207" s="66">
        <f t="shared" si="50"/>
        <v>17411</v>
      </c>
      <c r="AY207" s="71">
        <f t="shared" si="51"/>
        <v>725.45833333333337</v>
      </c>
      <c r="AZ207" s="72">
        <f t="shared" si="52"/>
        <v>7341.3416666666662</v>
      </c>
      <c r="BA207" s="66">
        <f t="shared" si="53"/>
        <v>7946.9916666666668</v>
      </c>
    </row>
    <row r="208" spans="1:53" customFormat="1" ht="12" customHeight="1">
      <c r="A208" s="197" t="s">
        <v>547</v>
      </c>
      <c r="B208" s="198" t="s">
        <v>561</v>
      </c>
      <c r="C208" s="205"/>
      <c r="D208" s="200">
        <v>160630</v>
      </c>
      <c r="E208" s="200">
        <v>5</v>
      </c>
      <c r="F208" s="29" t="s">
        <v>75</v>
      </c>
      <c r="G208" s="201"/>
      <c r="H208" s="27"/>
      <c r="I208" s="15"/>
      <c r="J208" s="27">
        <v>27808</v>
      </c>
      <c r="K208" s="12">
        <v>22687</v>
      </c>
      <c r="L208" s="162">
        <v>2721</v>
      </c>
      <c r="M208" s="12">
        <v>1538</v>
      </c>
      <c r="N208" s="162">
        <v>29655</v>
      </c>
      <c r="O208" s="12">
        <v>23063</v>
      </c>
      <c r="P208" s="64">
        <f t="shared" si="36"/>
        <v>60184</v>
      </c>
      <c r="Q208" s="65">
        <f t="shared" si="37"/>
        <v>2006.1333333333334</v>
      </c>
      <c r="R208" s="66">
        <f t="shared" si="38"/>
        <v>47288</v>
      </c>
      <c r="S208" s="67">
        <f t="shared" si="39"/>
        <v>1576.2666666666667</v>
      </c>
      <c r="T208" s="27">
        <v>1404</v>
      </c>
      <c r="U208" s="12">
        <v>1533</v>
      </c>
      <c r="V208" s="64">
        <f t="shared" si="40"/>
        <v>60184</v>
      </c>
      <c r="W208" s="68">
        <f t="shared" si="41"/>
        <v>47288</v>
      </c>
      <c r="X208" s="27"/>
      <c r="Y208" s="149"/>
      <c r="Z208" s="27"/>
      <c r="AA208" s="149"/>
      <c r="AB208" s="27"/>
      <c r="AC208" s="149"/>
      <c r="AD208" s="27"/>
      <c r="AE208" s="149"/>
      <c r="AF208" s="64">
        <f t="shared" si="42"/>
        <v>0</v>
      </c>
      <c r="AG208" s="65">
        <f t="shared" si="43"/>
        <v>0</v>
      </c>
      <c r="AH208" s="66">
        <f t="shared" si="44"/>
        <v>0</v>
      </c>
      <c r="AI208" s="66">
        <f t="shared" si="45"/>
        <v>0</v>
      </c>
      <c r="AJ208" s="27"/>
      <c r="AK208" s="149"/>
      <c r="AL208" s="64">
        <f t="shared" si="46"/>
        <v>0</v>
      </c>
      <c r="AM208" s="67">
        <f t="shared" si="47"/>
        <v>0</v>
      </c>
      <c r="AN208" s="27"/>
      <c r="AO208" s="15"/>
      <c r="AP208" s="27">
        <v>1081</v>
      </c>
      <c r="AQ208" s="12">
        <v>4686</v>
      </c>
      <c r="AR208" s="162">
        <v>871</v>
      </c>
      <c r="AS208" s="12">
        <v>509</v>
      </c>
      <c r="AT208" s="162">
        <v>5519</v>
      </c>
      <c r="AU208" s="12">
        <v>4779</v>
      </c>
      <c r="AV208" s="64">
        <f t="shared" si="48"/>
        <v>7471</v>
      </c>
      <c r="AW208" s="70">
        <f t="shared" si="49"/>
        <v>311.29166666666669</v>
      </c>
      <c r="AX208" s="66">
        <f t="shared" si="50"/>
        <v>9974</v>
      </c>
      <c r="AY208" s="71">
        <f t="shared" si="51"/>
        <v>415.58333333333331</v>
      </c>
      <c r="AZ208" s="72">
        <f t="shared" si="52"/>
        <v>2317.4250000000002</v>
      </c>
      <c r="BA208" s="66">
        <f t="shared" si="53"/>
        <v>1991.85</v>
      </c>
    </row>
    <row r="209" spans="1:53" customFormat="1" ht="12" customHeight="1">
      <c r="A209" s="197" t="s">
        <v>547</v>
      </c>
      <c r="B209" s="198" t="s">
        <v>562</v>
      </c>
      <c r="C209" s="205"/>
      <c r="D209" s="200">
        <v>159382</v>
      </c>
      <c r="E209" s="200">
        <v>6</v>
      </c>
      <c r="F209" s="29" t="s">
        <v>75</v>
      </c>
      <c r="G209" s="201"/>
      <c r="H209" s="27"/>
      <c r="I209" s="15"/>
      <c r="J209" s="27">
        <v>26034</v>
      </c>
      <c r="K209" s="12">
        <v>28865</v>
      </c>
      <c r="L209" s="27">
        <v>4195</v>
      </c>
      <c r="M209" s="12">
        <v>5121</v>
      </c>
      <c r="N209" s="27">
        <v>30569</v>
      </c>
      <c r="O209" s="12">
        <v>35117</v>
      </c>
      <c r="P209" s="64">
        <f t="shared" si="36"/>
        <v>60798</v>
      </c>
      <c r="Q209" s="65">
        <f t="shared" si="37"/>
        <v>2026.6</v>
      </c>
      <c r="R209" s="66">
        <f t="shared" si="38"/>
        <v>69103</v>
      </c>
      <c r="S209" s="67">
        <f t="shared" si="39"/>
        <v>2303.4333333333334</v>
      </c>
      <c r="T209" s="27">
        <v>5555</v>
      </c>
      <c r="U209" s="12">
        <v>6630</v>
      </c>
      <c r="V209" s="64">
        <f t="shared" si="40"/>
        <v>60798</v>
      </c>
      <c r="W209" s="68">
        <f t="shared" si="41"/>
        <v>69103</v>
      </c>
      <c r="X209" s="27"/>
      <c r="Y209" s="149"/>
      <c r="Z209" s="27"/>
      <c r="AA209" s="149"/>
      <c r="AB209" s="27"/>
      <c r="AC209" s="149"/>
      <c r="AD209" s="27"/>
      <c r="AE209" s="149"/>
      <c r="AF209" s="64">
        <f t="shared" si="42"/>
        <v>0</v>
      </c>
      <c r="AG209" s="65">
        <f t="shared" si="43"/>
        <v>0</v>
      </c>
      <c r="AH209" s="66">
        <f t="shared" si="44"/>
        <v>0</v>
      </c>
      <c r="AI209" s="66">
        <f t="shared" si="45"/>
        <v>0</v>
      </c>
      <c r="AJ209" s="27"/>
      <c r="AK209" s="149"/>
      <c r="AL209" s="64">
        <f t="shared" si="46"/>
        <v>0</v>
      </c>
      <c r="AM209" s="67">
        <f t="shared" si="47"/>
        <v>0</v>
      </c>
      <c r="AN209" s="27"/>
      <c r="AO209" s="15"/>
      <c r="AP209" s="27"/>
      <c r="AQ209" s="15">
        <v>0</v>
      </c>
      <c r="AR209" s="27"/>
      <c r="AS209" s="15">
        <v>0</v>
      </c>
      <c r="AT209" s="27"/>
      <c r="AU209" s="15">
        <v>0</v>
      </c>
      <c r="AV209" s="64">
        <f t="shared" si="48"/>
        <v>0</v>
      </c>
      <c r="AW209" s="70">
        <f t="shared" si="49"/>
        <v>0</v>
      </c>
      <c r="AX209" s="66">
        <f t="shared" si="50"/>
        <v>0</v>
      </c>
      <c r="AY209" s="71">
        <f t="shared" si="51"/>
        <v>0</v>
      </c>
      <c r="AZ209" s="72">
        <f t="shared" si="52"/>
        <v>2026.6</v>
      </c>
      <c r="BA209" s="66">
        <f t="shared" si="53"/>
        <v>2303.4333333333334</v>
      </c>
    </row>
    <row r="210" spans="1:53" customFormat="1" ht="12" customHeight="1">
      <c r="A210" s="197" t="s">
        <v>547</v>
      </c>
      <c r="B210" s="206" t="s">
        <v>563</v>
      </c>
      <c r="C210" s="207"/>
      <c r="D210" s="200">
        <v>437103</v>
      </c>
      <c r="E210" s="208">
        <v>8</v>
      </c>
      <c r="F210" s="29" t="s">
        <v>75</v>
      </c>
      <c r="G210" s="201"/>
      <c r="H210" s="27"/>
      <c r="I210" s="15"/>
      <c r="J210" s="27">
        <v>94476.5</v>
      </c>
      <c r="K210" s="12">
        <v>68053</v>
      </c>
      <c r="L210" s="27">
        <v>16249</v>
      </c>
      <c r="M210" s="12">
        <v>14327</v>
      </c>
      <c r="N210" s="27">
        <v>92329.5</v>
      </c>
      <c r="O210" s="12">
        <v>83465</v>
      </c>
      <c r="P210" s="64">
        <f t="shared" si="36"/>
        <v>203055</v>
      </c>
      <c r="Q210" s="65">
        <f t="shared" si="37"/>
        <v>6768.5</v>
      </c>
      <c r="R210" s="66">
        <f t="shared" si="38"/>
        <v>165845</v>
      </c>
      <c r="S210" s="67">
        <f t="shared" si="39"/>
        <v>5528.166666666667</v>
      </c>
      <c r="T210" s="27">
        <v>4650</v>
      </c>
      <c r="U210" s="12">
        <v>4268</v>
      </c>
      <c r="V210" s="64">
        <f t="shared" si="40"/>
        <v>203055</v>
      </c>
      <c r="W210" s="68">
        <f t="shared" si="41"/>
        <v>165845</v>
      </c>
      <c r="X210" s="27"/>
      <c r="Y210" s="149"/>
      <c r="Z210" s="27"/>
      <c r="AA210" s="149"/>
      <c r="AB210" s="27"/>
      <c r="AC210" s="149"/>
      <c r="AD210" s="27"/>
      <c r="AE210" s="149"/>
      <c r="AF210" s="64">
        <f t="shared" si="42"/>
        <v>0</v>
      </c>
      <c r="AG210" s="65">
        <f t="shared" si="43"/>
        <v>0</v>
      </c>
      <c r="AH210" s="66">
        <f t="shared" si="44"/>
        <v>0</v>
      </c>
      <c r="AI210" s="66">
        <f t="shared" si="45"/>
        <v>0</v>
      </c>
      <c r="AJ210" s="27"/>
      <c r="AK210" s="149"/>
      <c r="AL210" s="64">
        <f t="shared" si="46"/>
        <v>0</v>
      </c>
      <c r="AM210" s="67">
        <f t="shared" si="47"/>
        <v>0</v>
      </c>
      <c r="AN210" s="27"/>
      <c r="AO210" s="15"/>
      <c r="AP210" s="27"/>
      <c r="AQ210" s="15">
        <v>0</v>
      </c>
      <c r="AR210" s="27"/>
      <c r="AS210" s="15">
        <v>0</v>
      </c>
      <c r="AT210" s="27"/>
      <c r="AU210" s="15">
        <v>0</v>
      </c>
      <c r="AV210" s="64">
        <f t="shared" si="48"/>
        <v>0</v>
      </c>
      <c r="AW210" s="70">
        <f t="shared" si="49"/>
        <v>0</v>
      </c>
      <c r="AX210" s="66">
        <f t="shared" si="50"/>
        <v>0</v>
      </c>
      <c r="AY210" s="71">
        <f t="shared" si="51"/>
        <v>0</v>
      </c>
      <c r="AZ210" s="72">
        <f t="shared" si="52"/>
        <v>6768.5</v>
      </c>
      <c r="BA210" s="66">
        <f t="shared" si="53"/>
        <v>5528.166666666667</v>
      </c>
    </row>
    <row r="211" spans="1:53" customFormat="1" ht="12" customHeight="1">
      <c r="A211" s="197" t="s">
        <v>547</v>
      </c>
      <c r="B211" s="198" t="s">
        <v>564</v>
      </c>
      <c r="C211" s="205"/>
      <c r="D211" s="200">
        <v>158431</v>
      </c>
      <c r="E211" s="200">
        <v>8</v>
      </c>
      <c r="F211" s="29" t="s">
        <v>75</v>
      </c>
      <c r="G211" s="201"/>
      <c r="H211" s="27"/>
      <c r="I211" s="15"/>
      <c r="J211" s="27">
        <v>79734</v>
      </c>
      <c r="K211" s="12">
        <v>60372</v>
      </c>
      <c r="L211" s="27">
        <v>10443</v>
      </c>
      <c r="M211" s="15">
        <v>9971</v>
      </c>
      <c r="N211" s="27">
        <v>61503</v>
      </c>
      <c r="O211" s="15">
        <v>64346</v>
      </c>
      <c r="P211" s="64">
        <f t="shared" si="36"/>
        <v>151680</v>
      </c>
      <c r="Q211" s="65">
        <f t="shared" si="37"/>
        <v>5056</v>
      </c>
      <c r="R211" s="66">
        <f t="shared" si="38"/>
        <v>134689</v>
      </c>
      <c r="S211" s="67">
        <f t="shared" si="39"/>
        <v>4489.6333333333332</v>
      </c>
      <c r="T211" s="27">
        <v>5454</v>
      </c>
      <c r="U211" s="12">
        <v>5000</v>
      </c>
      <c r="V211" s="64">
        <f t="shared" si="40"/>
        <v>151680</v>
      </c>
      <c r="W211" s="68">
        <f t="shared" si="41"/>
        <v>134689</v>
      </c>
      <c r="X211" s="27"/>
      <c r="Y211" s="149"/>
      <c r="Z211" s="27"/>
      <c r="AA211" s="149"/>
      <c r="AB211" s="27"/>
      <c r="AC211" s="149"/>
      <c r="AD211" s="27"/>
      <c r="AE211" s="149"/>
      <c r="AF211" s="64">
        <f t="shared" si="42"/>
        <v>0</v>
      </c>
      <c r="AG211" s="65">
        <f t="shared" si="43"/>
        <v>0</v>
      </c>
      <c r="AH211" s="66">
        <f t="shared" si="44"/>
        <v>0</v>
      </c>
      <c r="AI211" s="66">
        <f t="shared" si="45"/>
        <v>0</v>
      </c>
      <c r="AJ211" s="27"/>
      <c r="AK211" s="149"/>
      <c r="AL211" s="64">
        <f t="shared" si="46"/>
        <v>0</v>
      </c>
      <c r="AM211" s="67">
        <f t="shared" si="47"/>
        <v>0</v>
      </c>
      <c r="AN211" s="27"/>
      <c r="AO211" s="15">
        <v>0</v>
      </c>
      <c r="AP211" s="27"/>
      <c r="AQ211" s="15">
        <v>0</v>
      </c>
      <c r="AR211" s="27"/>
      <c r="AS211" s="15">
        <v>0</v>
      </c>
      <c r="AT211" s="27"/>
      <c r="AU211" s="15">
        <v>0</v>
      </c>
      <c r="AV211" s="64">
        <f t="shared" si="48"/>
        <v>0</v>
      </c>
      <c r="AW211" s="70">
        <f t="shared" si="49"/>
        <v>0</v>
      </c>
      <c r="AX211" s="66">
        <f t="shared" si="50"/>
        <v>0</v>
      </c>
      <c r="AY211" s="71">
        <f t="shared" si="51"/>
        <v>0</v>
      </c>
      <c r="AZ211" s="72">
        <f t="shared" si="52"/>
        <v>5056</v>
      </c>
      <c r="BA211" s="66">
        <f t="shared" si="53"/>
        <v>4489.6333333333332</v>
      </c>
    </row>
    <row r="212" spans="1:53" customFormat="1" ht="12" customHeight="1">
      <c r="A212" s="197" t="s">
        <v>547</v>
      </c>
      <c r="B212" s="198" t="s">
        <v>565</v>
      </c>
      <c r="C212" s="207"/>
      <c r="D212" s="200">
        <v>158662</v>
      </c>
      <c r="E212" s="209">
        <v>8</v>
      </c>
      <c r="F212" s="29" t="s">
        <v>75</v>
      </c>
      <c r="G212" s="201"/>
      <c r="H212" s="27"/>
      <c r="I212" s="15"/>
      <c r="J212" s="27">
        <v>156464</v>
      </c>
      <c r="K212" s="12">
        <v>125595</v>
      </c>
      <c r="L212" s="27">
        <v>27599</v>
      </c>
      <c r="M212" s="12">
        <v>23943</v>
      </c>
      <c r="N212" s="27">
        <v>149920</v>
      </c>
      <c r="O212" s="12">
        <v>138783</v>
      </c>
      <c r="P212" s="64">
        <f t="shared" si="36"/>
        <v>333983</v>
      </c>
      <c r="Q212" s="65">
        <f t="shared" si="37"/>
        <v>11132.766666666666</v>
      </c>
      <c r="R212" s="66">
        <f t="shared" si="38"/>
        <v>288321</v>
      </c>
      <c r="S212" s="67">
        <f t="shared" si="39"/>
        <v>9610.7000000000007</v>
      </c>
      <c r="T212" s="27">
        <v>3243</v>
      </c>
      <c r="U212" s="12">
        <v>4711</v>
      </c>
      <c r="V212" s="64">
        <f t="shared" si="40"/>
        <v>333983</v>
      </c>
      <c r="W212" s="68">
        <f t="shared" si="41"/>
        <v>288321</v>
      </c>
      <c r="X212" s="27"/>
      <c r="Y212" s="149"/>
      <c r="Z212" s="27"/>
      <c r="AA212" s="149"/>
      <c r="AB212" s="27"/>
      <c r="AC212" s="149"/>
      <c r="AD212" s="27"/>
      <c r="AE212" s="149"/>
      <c r="AF212" s="64">
        <f t="shared" si="42"/>
        <v>0</v>
      </c>
      <c r="AG212" s="65">
        <f t="shared" si="43"/>
        <v>0</v>
      </c>
      <c r="AH212" s="66">
        <f t="shared" si="44"/>
        <v>0</v>
      </c>
      <c r="AI212" s="66">
        <f t="shared" si="45"/>
        <v>0</v>
      </c>
      <c r="AJ212" s="27"/>
      <c r="AK212" s="149"/>
      <c r="AL212" s="64">
        <f t="shared" si="46"/>
        <v>0</v>
      </c>
      <c r="AM212" s="67">
        <f t="shared" si="47"/>
        <v>0</v>
      </c>
      <c r="AN212" s="27"/>
      <c r="AO212" s="15"/>
      <c r="AP212" s="27"/>
      <c r="AQ212" s="15">
        <v>0</v>
      </c>
      <c r="AR212" s="27"/>
      <c r="AS212" s="15">
        <v>0</v>
      </c>
      <c r="AT212" s="27"/>
      <c r="AU212" s="15">
        <v>0</v>
      </c>
      <c r="AV212" s="64">
        <f t="shared" si="48"/>
        <v>0</v>
      </c>
      <c r="AW212" s="70">
        <f t="shared" si="49"/>
        <v>0</v>
      </c>
      <c r="AX212" s="66">
        <f t="shared" si="50"/>
        <v>0</v>
      </c>
      <c r="AY212" s="71">
        <f t="shared" si="51"/>
        <v>0</v>
      </c>
      <c r="AZ212" s="72">
        <f t="shared" si="52"/>
        <v>11132.766666666666</v>
      </c>
      <c r="BA212" s="66">
        <f t="shared" si="53"/>
        <v>9610.7000000000007</v>
      </c>
    </row>
    <row r="213" spans="1:53" customFormat="1" ht="12" customHeight="1">
      <c r="A213" s="197" t="s">
        <v>547</v>
      </c>
      <c r="B213" s="198" t="s">
        <v>566</v>
      </c>
      <c r="C213" s="205"/>
      <c r="D213" s="200">
        <v>440624</v>
      </c>
      <c r="E213" s="200">
        <v>9</v>
      </c>
      <c r="F213" s="29" t="s">
        <v>75</v>
      </c>
      <c r="G213" s="201"/>
      <c r="H213" s="27"/>
      <c r="I213" s="15"/>
      <c r="J213" s="27">
        <v>33535.5</v>
      </c>
      <c r="K213" s="12">
        <v>29051</v>
      </c>
      <c r="L213" s="27">
        <v>7023.5</v>
      </c>
      <c r="M213" s="12">
        <v>5903</v>
      </c>
      <c r="N213" s="27">
        <v>31012</v>
      </c>
      <c r="O213" s="12">
        <v>34216</v>
      </c>
      <c r="P213" s="64">
        <f t="shared" si="36"/>
        <v>71571</v>
      </c>
      <c r="Q213" s="65">
        <f t="shared" si="37"/>
        <v>2385.6999999999998</v>
      </c>
      <c r="R213" s="66">
        <f t="shared" si="38"/>
        <v>69170</v>
      </c>
      <c r="S213" s="67">
        <f t="shared" si="39"/>
        <v>2305.6666666666665</v>
      </c>
      <c r="T213" s="27">
        <v>6374</v>
      </c>
      <c r="U213" s="12">
        <v>5888</v>
      </c>
      <c r="V213" s="64">
        <f t="shared" si="40"/>
        <v>71571</v>
      </c>
      <c r="W213" s="68">
        <f t="shared" si="41"/>
        <v>69170</v>
      </c>
      <c r="X213" s="27"/>
      <c r="Y213" s="149"/>
      <c r="Z213" s="27"/>
      <c r="AA213" s="149"/>
      <c r="AB213" s="27"/>
      <c r="AC213" s="150">
        <v>0</v>
      </c>
      <c r="AD213" s="27"/>
      <c r="AE213" s="150">
        <v>0</v>
      </c>
      <c r="AF213" s="64">
        <f t="shared" si="42"/>
        <v>0</v>
      </c>
      <c r="AG213" s="65">
        <f t="shared" si="43"/>
        <v>0</v>
      </c>
      <c r="AH213" s="66">
        <f t="shared" si="44"/>
        <v>0</v>
      </c>
      <c r="AI213" s="66">
        <f t="shared" si="45"/>
        <v>0</v>
      </c>
      <c r="AJ213" s="27"/>
      <c r="AK213" s="149"/>
      <c r="AL213" s="64">
        <f t="shared" si="46"/>
        <v>0</v>
      </c>
      <c r="AM213" s="67">
        <f t="shared" si="47"/>
        <v>0</v>
      </c>
      <c r="AN213" s="27"/>
      <c r="AO213" s="15"/>
      <c r="AP213" s="27"/>
      <c r="AQ213" s="15">
        <v>0</v>
      </c>
      <c r="AR213" s="27"/>
      <c r="AS213" s="15">
        <v>0</v>
      </c>
      <c r="AT213" s="27"/>
      <c r="AU213" s="15">
        <v>0</v>
      </c>
      <c r="AV213" s="64">
        <f t="shared" si="48"/>
        <v>0</v>
      </c>
      <c r="AW213" s="70">
        <f t="shared" si="49"/>
        <v>0</v>
      </c>
      <c r="AX213" s="66">
        <f t="shared" si="50"/>
        <v>0</v>
      </c>
      <c r="AY213" s="71">
        <f t="shared" si="51"/>
        <v>0</v>
      </c>
      <c r="AZ213" s="72">
        <f t="shared" si="52"/>
        <v>2385.6999999999998</v>
      </c>
      <c r="BA213" s="66">
        <f t="shared" si="53"/>
        <v>2305.6666666666665</v>
      </c>
    </row>
    <row r="214" spans="1:53" customFormat="1" ht="12" customHeight="1">
      <c r="A214" s="197" t="s">
        <v>547</v>
      </c>
      <c r="B214" s="198" t="s">
        <v>567</v>
      </c>
      <c r="C214" s="207"/>
      <c r="D214" s="200">
        <v>434061</v>
      </c>
      <c r="E214" s="208">
        <v>9</v>
      </c>
      <c r="F214" s="29" t="s">
        <v>75</v>
      </c>
      <c r="G214" s="201"/>
      <c r="H214" s="27"/>
      <c r="I214" s="15"/>
      <c r="J214" s="27">
        <v>57951.5</v>
      </c>
      <c r="K214" s="15">
        <v>55999.5</v>
      </c>
      <c r="L214" s="27">
        <v>12489</v>
      </c>
      <c r="M214" s="12">
        <v>13634</v>
      </c>
      <c r="N214" s="27">
        <v>69175.5</v>
      </c>
      <c r="O214" s="12">
        <v>65231.5</v>
      </c>
      <c r="P214" s="64">
        <f t="shared" si="36"/>
        <v>139616</v>
      </c>
      <c r="Q214" s="65">
        <f t="shared" si="37"/>
        <v>4653.8666666666668</v>
      </c>
      <c r="R214" s="66">
        <f t="shared" si="38"/>
        <v>134865</v>
      </c>
      <c r="S214" s="67">
        <f t="shared" si="39"/>
        <v>4495.5</v>
      </c>
      <c r="T214" s="27">
        <v>11684</v>
      </c>
      <c r="U214" s="12">
        <v>9608</v>
      </c>
      <c r="V214" s="64">
        <f t="shared" si="40"/>
        <v>139616</v>
      </c>
      <c r="W214" s="68">
        <f t="shared" si="41"/>
        <v>134865</v>
      </c>
      <c r="X214" s="27"/>
      <c r="Y214" s="149"/>
      <c r="Z214" s="27"/>
      <c r="AA214" s="149"/>
      <c r="AB214" s="27"/>
      <c r="AC214" s="149"/>
      <c r="AD214" s="27"/>
      <c r="AE214" s="149"/>
      <c r="AF214" s="64">
        <f t="shared" si="42"/>
        <v>0</v>
      </c>
      <c r="AG214" s="65">
        <f t="shared" si="43"/>
        <v>0</v>
      </c>
      <c r="AH214" s="66">
        <f t="shared" si="44"/>
        <v>0</v>
      </c>
      <c r="AI214" s="66">
        <f t="shared" si="45"/>
        <v>0</v>
      </c>
      <c r="AJ214" s="27"/>
      <c r="AK214" s="149"/>
      <c r="AL214" s="64">
        <f t="shared" si="46"/>
        <v>0</v>
      </c>
      <c r="AM214" s="67">
        <f t="shared" si="47"/>
        <v>0</v>
      </c>
      <c r="AN214" s="27"/>
      <c r="AO214" s="15">
        <v>0</v>
      </c>
      <c r="AP214" s="27"/>
      <c r="AQ214" s="15">
        <v>0</v>
      </c>
      <c r="AR214" s="27"/>
      <c r="AS214" s="15">
        <v>0</v>
      </c>
      <c r="AT214" s="27"/>
      <c r="AU214" s="15">
        <v>0</v>
      </c>
      <c r="AV214" s="64">
        <f t="shared" si="48"/>
        <v>0</v>
      </c>
      <c r="AW214" s="70">
        <f t="shared" si="49"/>
        <v>0</v>
      </c>
      <c r="AX214" s="66">
        <f t="shared" si="50"/>
        <v>0</v>
      </c>
      <c r="AY214" s="71">
        <f t="shared" si="51"/>
        <v>0</v>
      </c>
      <c r="AZ214" s="72">
        <f t="shared" si="52"/>
        <v>4653.8666666666668</v>
      </c>
      <c r="BA214" s="66">
        <f t="shared" si="53"/>
        <v>4495.5</v>
      </c>
    </row>
    <row r="215" spans="1:53" customFormat="1" ht="12" customHeight="1">
      <c r="A215" s="197" t="s">
        <v>547</v>
      </c>
      <c r="B215" s="198" t="s">
        <v>568</v>
      </c>
      <c r="C215" s="205"/>
      <c r="D215" s="200">
        <v>160649</v>
      </c>
      <c r="E215" s="200">
        <v>9</v>
      </c>
      <c r="F215" s="29" t="s">
        <v>75</v>
      </c>
      <c r="G215" s="201"/>
      <c r="H215" s="27"/>
      <c r="I215" s="15"/>
      <c r="J215" s="27">
        <v>27962</v>
      </c>
      <c r="K215" s="15">
        <v>27269</v>
      </c>
      <c r="L215" s="27">
        <v>5732</v>
      </c>
      <c r="M215" s="12">
        <v>8226</v>
      </c>
      <c r="N215" s="27">
        <v>32011</v>
      </c>
      <c r="O215" s="15">
        <v>30735</v>
      </c>
      <c r="P215" s="64">
        <f t="shared" si="36"/>
        <v>65705</v>
      </c>
      <c r="Q215" s="65">
        <f t="shared" si="37"/>
        <v>2190.1666666666665</v>
      </c>
      <c r="R215" s="66">
        <f t="shared" si="38"/>
        <v>66230</v>
      </c>
      <c r="S215" s="67">
        <f t="shared" si="39"/>
        <v>2207.6666666666665</v>
      </c>
      <c r="T215" s="27">
        <v>4033</v>
      </c>
      <c r="U215" s="12">
        <v>6145</v>
      </c>
      <c r="V215" s="64">
        <f t="shared" si="40"/>
        <v>65705</v>
      </c>
      <c r="W215" s="68">
        <f t="shared" si="41"/>
        <v>66230</v>
      </c>
      <c r="X215" s="27"/>
      <c r="Y215" s="149"/>
      <c r="Z215" s="27"/>
      <c r="AA215" s="149"/>
      <c r="AB215" s="27"/>
      <c r="AC215" s="149"/>
      <c r="AD215" s="27"/>
      <c r="AE215" s="149"/>
      <c r="AF215" s="64">
        <f t="shared" si="42"/>
        <v>0</v>
      </c>
      <c r="AG215" s="65">
        <f t="shared" si="43"/>
        <v>0</v>
      </c>
      <c r="AH215" s="66">
        <f t="shared" si="44"/>
        <v>0</v>
      </c>
      <c r="AI215" s="66">
        <f t="shared" si="45"/>
        <v>0</v>
      </c>
      <c r="AJ215" s="27"/>
      <c r="AK215" s="149"/>
      <c r="AL215" s="64">
        <f t="shared" si="46"/>
        <v>0</v>
      </c>
      <c r="AM215" s="67">
        <f t="shared" si="47"/>
        <v>0</v>
      </c>
      <c r="AN215" s="27"/>
      <c r="AO215" s="15"/>
      <c r="AP215" s="27"/>
      <c r="AQ215" s="15">
        <v>0</v>
      </c>
      <c r="AR215" s="27"/>
      <c r="AS215" s="15">
        <v>0</v>
      </c>
      <c r="AT215" s="27"/>
      <c r="AU215" s="15">
        <v>0</v>
      </c>
      <c r="AV215" s="64">
        <f t="shared" si="48"/>
        <v>0</v>
      </c>
      <c r="AW215" s="70">
        <f t="shared" si="49"/>
        <v>0</v>
      </c>
      <c r="AX215" s="66">
        <f t="shared" si="50"/>
        <v>0</v>
      </c>
      <c r="AY215" s="71">
        <f t="shared" si="51"/>
        <v>0</v>
      </c>
      <c r="AZ215" s="72">
        <f t="shared" si="52"/>
        <v>2190.1666666666665</v>
      </c>
      <c r="BA215" s="66">
        <f t="shared" si="53"/>
        <v>2207.6666666666665</v>
      </c>
    </row>
    <row r="216" spans="1:53" customFormat="1" ht="12" customHeight="1">
      <c r="A216" s="197" t="s">
        <v>547</v>
      </c>
      <c r="B216" s="198" t="s">
        <v>569</v>
      </c>
      <c r="C216" s="205"/>
      <c r="D216" s="200">
        <v>159407</v>
      </c>
      <c r="E216" s="210">
        <v>10</v>
      </c>
      <c r="F216" s="29" t="s">
        <v>75</v>
      </c>
      <c r="G216" s="201"/>
      <c r="H216" s="27"/>
      <c r="I216" s="15"/>
      <c r="J216" s="27">
        <v>23261</v>
      </c>
      <c r="K216" s="12">
        <v>26488</v>
      </c>
      <c r="L216" s="27">
        <v>3885</v>
      </c>
      <c r="M216" s="15">
        <v>3854</v>
      </c>
      <c r="N216" s="27">
        <v>24735</v>
      </c>
      <c r="O216" s="12">
        <v>27687</v>
      </c>
      <c r="P216" s="64">
        <f t="shared" si="36"/>
        <v>51881</v>
      </c>
      <c r="Q216" s="65">
        <f t="shared" si="37"/>
        <v>1729.3666666666666</v>
      </c>
      <c r="R216" s="66">
        <f t="shared" si="38"/>
        <v>58029</v>
      </c>
      <c r="S216" s="67">
        <f t="shared" si="39"/>
        <v>1934.3</v>
      </c>
      <c r="T216" s="27">
        <v>2304</v>
      </c>
      <c r="U216" s="12">
        <v>3601</v>
      </c>
      <c r="V216" s="64">
        <f t="shared" si="40"/>
        <v>51881</v>
      </c>
      <c r="W216" s="68">
        <f t="shared" si="41"/>
        <v>58029</v>
      </c>
      <c r="X216" s="27"/>
      <c r="Y216" s="149"/>
      <c r="Z216" s="27"/>
      <c r="AA216" s="149"/>
      <c r="AB216" s="27"/>
      <c r="AC216" s="149"/>
      <c r="AD216" s="27"/>
      <c r="AE216" s="149"/>
      <c r="AF216" s="64">
        <f t="shared" si="42"/>
        <v>0</v>
      </c>
      <c r="AG216" s="65">
        <f t="shared" si="43"/>
        <v>0</v>
      </c>
      <c r="AH216" s="66">
        <f t="shared" si="44"/>
        <v>0</v>
      </c>
      <c r="AI216" s="66">
        <f t="shared" si="45"/>
        <v>0</v>
      </c>
      <c r="AJ216" s="27"/>
      <c r="AK216" s="149"/>
      <c r="AL216" s="64">
        <f t="shared" si="46"/>
        <v>0</v>
      </c>
      <c r="AM216" s="67">
        <f t="shared" si="47"/>
        <v>0</v>
      </c>
      <c r="AN216" s="27"/>
      <c r="AO216" s="15"/>
      <c r="AP216" s="27"/>
      <c r="AQ216" s="15">
        <v>0</v>
      </c>
      <c r="AR216" s="27"/>
      <c r="AS216" s="15">
        <v>0</v>
      </c>
      <c r="AT216" s="27"/>
      <c r="AU216" s="15">
        <v>0</v>
      </c>
      <c r="AV216" s="64">
        <f t="shared" si="48"/>
        <v>0</v>
      </c>
      <c r="AW216" s="70">
        <f t="shared" si="49"/>
        <v>0</v>
      </c>
      <c r="AX216" s="66">
        <f t="shared" si="50"/>
        <v>0</v>
      </c>
      <c r="AY216" s="71">
        <f t="shared" si="51"/>
        <v>0</v>
      </c>
      <c r="AZ216" s="72">
        <f t="shared" si="52"/>
        <v>1729.3666666666666</v>
      </c>
      <c r="BA216" s="66">
        <f t="shared" si="53"/>
        <v>1934.3</v>
      </c>
    </row>
    <row r="217" spans="1:53" customFormat="1" ht="12" customHeight="1">
      <c r="A217" s="197" t="s">
        <v>547</v>
      </c>
      <c r="B217" s="198" t="s">
        <v>570</v>
      </c>
      <c r="C217" s="199"/>
      <c r="D217" s="200">
        <v>158884</v>
      </c>
      <c r="E217" s="200">
        <v>10</v>
      </c>
      <c r="F217" s="29" t="s">
        <v>75</v>
      </c>
      <c r="G217" s="201"/>
      <c r="H217" s="27"/>
      <c r="I217" s="15"/>
      <c r="J217" s="27">
        <v>20769</v>
      </c>
      <c r="K217" s="12">
        <v>19428</v>
      </c>
      <c r="L217" s="27">
        <v>3191</v>
      </c>
      <c r="M217" s="15">
        <v>3164</v>
      </c>
      <c r="N217" s="27">
        <v>21466</v>
      </c>
      <c r="O217" s="12">
        <v>18530</v>
      </c>
      <c r="P217" s="64">
        <f t="shared" si="36"/>
        <v>45426</v>
      </c>
      <c r="Q217" s="65">
        <f t="shared" si="37"/>
        <v>1514.2</v>
      </c>
      <c r="R217" s="66">
        <f t="shared" si="38"/>
        <v>41122</v>
      </c>
      <c r="S217" s="67">
        <f t="shared" si="39"/>
        <v>1370.7333333333333</v>
      </c>
      <c r="T217" s="27">
        <v>9155</v>
      </c>
      <c r="U217" s="12">
        <v>9866</v>
      </c>
      <c r="V217" s="64">
        <f t="shared" si="40"/>
        <v>45426</v>
      </c>
      <c r="W217" s="68">
        <f t="shared" si="41"/>
        <v>41122</v>
      </c>
      <c r="X217" s="27"/>
      <c r="Y217" s="149"/>
      <c r="Z217" s="27"/>
      <c r="AA217" s="149"/>
      <c r="AB217" s="27"/>
      <c r="AC217" s="149"/>
      <c r="AD217" s="27"/>
      <c r="AE217" s="149"/>
      <c r="AF217" s="64">
        <f t="shared" si="42"/>
        <v>0</v>
      </c>
      <c r="AG217" s="65">
        <f t="shared" si="43"/>
        <v>0</v>
      </c>
      <c r="AH217" s="66">
        <f t="shared" si="44"/>
        <v>0</v>
      </c>
      <c r="AI217" s="66">
        <f t="shared" si="45"/>
        <v>0</v>
      </c>
      <c r="AJ217" s="27"/>
      <c r="AK217" s="149"/>
      <c r="AL217" s="64">
        <f t="shared" si="46"/>
        <v>0</v>
      </c>
      <c r="AM217" s="67">
        <f t="shared" si="47"/>
        <v>0</v>
      </c>
      <c r="AN217" s="27"/>
      <c r="AO217" s="15"/>
      <c r="AP217" s="27"/>
      <c r="AQ217" s="15">
        <v>0</v>
      </c>
      <c r="AR217" s="27"/>
      <c r="AS217" s="15">
        <v>0</v>
      </c>
      <c r="AT217" s="27"/>
      <c r="AU217" s="15">
        <v>0</v>
      </c>
      <c r="AV217" s="64">
        <f t="shared" si="48"/>
        <v>0</v>
      </c>
      <c r="AW217" s="70">
        <f t="shared" si="49"/>
        <v>0</v>
      </c>
      <c r="AX217" s="66">
        <f t="shared" si="50"/>
        <v>0</v>
      </c>
      <c r="AY217" s="71">
        <f t="shared" si="51"/>
        <v>0</v>
      </c>
      <c r="AZ217" s="72">
        <f t="shared" si="52"/>
        <v>1514.2</v>
      </c>
      <c r="BA217" s="66">
        <f t="shared" si="53"/>
        <v>1370.7333333333333</v>
      </c>
    </row>
    <row r="218" spans="1:53" customFormat="1" ht="12" customHeight="1">
      <c r="A218" s="197" t="s">
        <v>547</v>
      </c>
      <c r="B218" s="198" t="s">
        <v>571</v>
      </c>
      <c r="C218" s="207"/>
      <c r="D218" s="200">
        <v>436304</v>
      </c>
      <c r="E218" s="200">
        <v>10</v>
      </c>
      <c r="F218" s="29" t="s">
        <v>75</v>
      </c>
      <c r="G218" s="201"/>
      <c r="H218" s="27"/>
      <c r="I218" s="15"/>
      <c r="J218" s="27">
        <v>16081</v>
      </c>
      <c r="K218" s="15">
        <v>16122</v>
      </c>
      <c r="L218" s="27">
        <v>3216</v>
      </c>
      <c r="M218" s="15">
        <v>3223</v>
      </c>
      <c r="N218" s="27">
        <v>17552</v>
      </c>
      <c r="O218" s="15">
        <v>17271.5</v>
      </c>
      <c r="P218" s="64">
        <f t="shared" si="36"/>
        <v>36849</v>
      </c>
      <c r="Q218" s="65">
        <f t="shared" si="37"/>
        <v>1228.3</v>
      </c>
      <c r="R218" s="66">
        <f t="shared" si="38"/>
        <v>36616.5</v>
      </c>
      <c r="S218" s="67">
        <f t="shared" si="39"/>
        <v>1220.55</v>
      </c>
      <c r="T218" s="27">
        <v>3802</v>
      </c>
      <c r="U218" s="12">
        <v>5079</v>
      </c>
      <c r="V218" s="64">
        <f t="shared" si="40"/>
        <v>36849</v>
      </c>
      <c r="W218" s="68">
        <f t="shared" si="41"/>
        <v>36616.5</v>
      </c>
      <c r="X218" s="27"/>
      <c r="Y218" s="149"/>
      <c r="Z218" s="27"/>
      <c r="AA218" s="149"/>
      <c r="AB218" s="27"/>
      <c r="AC218" s="149"/>
      <c r="AD218" s="27"/>
      <c r="AE218" s="149"/>
      <c r="AF218" s="64">
        <f t="shared" si="42"/>
        <v>0</v>
      </c>
      <c r="AG218" s="65">
        <f t="shared" si="43"/>
        <v>0</v>
      </c>
      <c r="AH218" s="66">
        <f t="shared" si="44"/>
        <v>0</v>
      </c>
      <c r="AI218" s="66">
        <f t="shared" si="45"/>
        <v>0</v>
      </c>
      <c r="AJ218" s="27"/>
      <c r="AK218" s="149"/>
      <c r="AL218" s="64">
        <f t="shared" si="46"/>
        <v>0</v>
      </c>
      <c r="AM218" s="67">
        <f t="shared" si="47"/>
        <v>0</v>
      </c>
      <c r="AN218" s="27"/>
      <c r="AO218" s="15"/>
      <c r="AP218" s="27"/>
      <c r="AQ218" s="15">
        <v>0</v>
      </c>
      <c r="AR218" s="27"/>
      <c r="AS218" s="15">
        <v>0</v>
      </c>
      <c r="AT218" s="27"/>
      <c r="AU218" s="15">
        <v>0</v>
      </c>
      <c r="AV218" s="64">
        <f t="shared" si="48"/>
        <v>0</v>
      </c>
      <c r="AW218" s="70">
        <f t="shared" si="49"/>
        <v>0</v>
      </c>
      <c r="AX218" s="66">
        <f t="shared" si="50"/>
        <v>0</v>
      </c>
      <c r="AY218" s="71">
        <f t="shared" si="51"/>
        <v>0</v>
      </c>
      <c r="AZ218" s="72">
        <f t="shared" si="52"/>
        <v>1228.3</v>
      </c>
      <c r="BA218" s="66">
        <f t="shared" si="53"/>
        <v>1220.55</v>
      </c>
    </row>
    <row r="219" spans="1:53" customFormat="1" ht="12" customHeight="1">
      <c r="A219" s="211" t="s">
        <v>547</v>
      </c>
      <c r="B219" s="212" t="s">
        <v>572</v>
      </c>
      <c r="C219" s="213"/>
      <c r="D219" s="200">
        <v>158088</v>
      </c>
      <c r="E219" s="200">
        <v>12</v>
      </c>
      <c r="F219" s="29" t="s">
        <v>75</v>
      </c>
      <c r="G219" s="201"/>
      <c r="H219" s="27"/>
      <c r="I219" s="15"/>
      <c r="J219" s="27">
        <v>16427</v>
      </c>
      <c r="K219" s="12">
        <v>17959</v>
      </c>
      <c r="L219" s="27">
        <v>3607</v>
      </c>
      <c r="M219" s="12">
        <v>2491</v>
      </c>
      <c r="N219" s="27">
        <v>20806</v>
      </c>
      <c r="O219" s="12">
        <v>16199</v>
      </c>
      <c r="P219" s="64">
        <f t="shared" si="36"/>
        <v>40840</v>
      </c>
      <c r="Q219" s="65">
        <f t="shared" si="37"/>
        <v>1361.3333333333333</v>
      </c>
      <c r="R219" s="66">
        <f t="shared" si="38"/>
        <v>36649</v>
      </c>
      <c r="S219" s="67">
        <f t="shared" si="39"/>
        <v>1221.6333333333334</v>
      </c>
      <c r="T219" s="27">
        <v>5411</v>
      </c>
      <c r="U219" s="12">
        <v>6257</v>
      </c>
      <c r="V219" s="64">
        <f t="shared" si="40"/>
        <v>40840</v>
      </c>
      <c r="W219" s="68">
        <f t="shared" si="41"/>
        <v>36649</v>
      </c>
      <c r="X219" s="27"/>
      <c r="Y219" s="149"/>
      <c r="Z219" s="27"/>
      <c r="AA219" s="149"/>
      <c r="AB219" s="27"/>
      <c r="AC219" s="149"/>
      <c r="AD219" s="27"/>
      <c r="AE219" s="149"/>
      <c r="AF219" s="64">
        <f t="shared" si="42"/>
        <v>0</v>
      </c>
      <c r="AG219" s="65">
        <f t="shared" si="43"/>
        <v>0</v>
      </c>
      <c r="AH219" s="66">
        <f t="shared" si="44"/>
        <v>0</v>
      </c>
      <c r="AI219" s="66">
        <f t="shared" si="45"/>
        <v>0</v>
      </c>
      <c r="AJ219" s="27"/>
      <c r="AK219" s="149"/>
      <c r="AL219" s="64">
        <f t="shared" si="46"/>
        <v>0</v>
      </c>
      <c r="AM219" s="67">
        <f t="shared" si="47"/>
        <v>0</v>
      </c>
      <c r="AN219" s="27"/>
      <c r="AO219" s="15"/>
      <c r="AP219" s="27"/>
      <c r="AQ219" s="15">
        <v>0</v>
      </c>
      <c r="AR219" s="27"/>
      <c r="AS219" s="15">
        <v>0</v>
      </c>
      <c r="AT219" s="27"/>
      <c r="AU219" s="15">
        <v>0</v>
      </c>
      <c r="AV219" s="64">
        <f t="shared" si="48"/>
        <v>0</v>
      </c>
      <c r="AW219" s="70">
        <f t="shared" si="49"/>
        <v>0</v>
      </c>
      <c r="AX219" s="66">
        <f t="shared" si="50"/>
        <v>0</v>
      </c>
      <c r="AY219" s="71">
        <f t="shared" si="51"/>
        <v>0</v>
      </c>
      <c r="AZ219" s="72">
        <f t="shared" si="52"/>
        <v>1361.3333333333333</v>
      </c>
      <c r="BA219" s="66">
        <f t="shared" si="53"/>
        <v>1221.6333333333334</v>
      </c>
    </row>
    <row r="220" spans="1:53" s="233" customFormat="1" ht="12" customHeight="1">
      <c r="A220" s="214" t="s">
        <v>547</v>
      </c>
      <c r="B220" s="215" t="s">
        <v>573</v>
      </c>
      <c r="C220" s="216"/>
      <c r="D220" s="217">
        <v>160481</v>
      </c>
      <c r="E220" s="217">
        <v>12</v>
      </c>
      <c r="F220" s="218" t="s">
        <v>75</v>
      </c>
      <c r="G220" s="219"/>
      <c r="H220" s="220"/>
      <c r="I220" s="221"/>
      <c r="J220" s="220">
        <v>17417</v>
      </c>
      <c r="K220" s="222">
        <v>16263</v>
      </c>
      <c r="L220" s="220">
        <v>2724</v>
      </c>
      <c r="M220" s="222">
        <v>4145</v>
      </c>
      <c r="N220" s="220">
        <v>19419.5</v>
      </c>
      <c r="O220" s="221">
        <v>19832</v>
      </c>
      <c r="P220" s="223">
        <f t="shared" si="36"/>
        <v>39560.5</v>
      </c>
      <c r="Q220" s="224">
        <f t="shared" si="37"/>
        <v>1318.6833333333334</v>
      </c>
      <c r="R220" s="225">
        <f t="shared" si="38"/>
        <v>40240</v>
      </c>
      <c r="S220" s="226">
        <f t="shared" si="39"/>
        <v>1341.3333333333333</v>
      </c>
      <c r="T220" s="220">
        <v>1327</v>
      </c>
      <c r="U220" s="222">
        <v>1539</v>
      </c>
      <c r="V220" s="223">
        <f t="shared" si="40"/>
        <v>39560.5</v>
      </c>
      <c r="W220" s="227">
        <f t="shared" si="41"/>
        <v>40240</v>
      </c>
      <c r="X220" s="220"/>
      <c r="Y220" s="228"/>
      <c r="Z220" s="220">
        <v>17059</v>
      </c>
      <c r="AA220" s="229">
        <v>10326</v>
      </c>
      <c r="AB220" s="220">
        <v>4068</v>
      </c>
      <c r="AC220" s="229">
        <v>0</v>
      </c>
      <c r="AD220" s="220">
        <v>16103</v>
      </c>
      <c r="AE220" s="229">
        <v>0</v>
      </c>
      <c r="AF220" s="223">
        <f t="shared" si="42"/>
        <v>37230</v>
      </c>
      <c r="AG220" s="224">
        <f t="shared" si="43"/>
        <v>41.366666666666667</v>
      </c>
      <c r="AH220" s="225">
        <f t="shared" si="44"/>
        <v>10326</v>
      </c>
      <c r="AI220" s="225">
        <f t="shared" si="45"/>
        <v>11.473333333333333</v>
      </c>
      <c r="AJ220" s="220"/>
      <c r="AK220" s="228"/>
      <c r="AL220" s="223">
        <f t="shared" si="46"/>
        <v>0</v>
      </c>
      <c r="AM220" s="226">
        <f t="shared" si="47"/>
        <v>0</v>
      </c>
      <c r="AN220" s="220"/>
      <c r="AO220" s="221"/>
      <c r="AP220" s="220"/>
      <c r="AQ220" s="221">
        <v>0</v>
      </c>
      <c r="AR220" s="220"/>
      <c r="AS220" s="221">
        <v>0</v>
      </c>
      <c r="AT220" s="220"/>
      <c r="AU220" s="221">
        <v>0</v>
      </c>
      <c r="AV220" s="223">
        <f t="shared" si="48"/>
        <v>0</v>
      </c>
      <c r="AW220" s="230">
        <f t="shared" si="49"/>
        <v>0</v>
      </c>
      <c r="AX220" s="225">
        <f t="shared" si="50"/>
        <v>0</v>
      </c>
      <c r="AY220" s="231">
        <f t="shared" si="51"/>
        <v>0</v>
      </c>
      <c r="AZ220" s="232">
        <f t="shared" si="52"/>
        <v>1360.05</v>
      </c>
      <c r="BA220" s="225">
        <f t="shared" si="53"/>
        <v>1352.8066666666666</v>
      </c>
    </row>
    <row r="221" spans="1:53" customFormat="1" ht="12" customHeight="1">
      <c r="A221" s="211" t="s">
        <v>547</v>
      </c>
      <c r="B221" s="212" t="s">
        <v>574</v>
      </c>
      <c r="C221" s="213"/>
      <c r="D221" s="200">
        <v>160667</v>
      </c>
      <c r="E221" s="200">
        <v>12</v>
      </c>
      <c r="F221" s="29" t="s">
        <v>75</v>
      </c>
      <c r="G221" s="201"/>
      <c r="H221" s="27"/>
      <c r="I221" s="15"/>
      <c r="J221" s="27">
        <v>22203</v>
      </c>
      <c r="K221" s="12">
        <v>27368</v>
      </c>
      <c r="L221" s="27">
        <v>3067</v>
      </c>
      <c r="M221" s="12">
        <v>3613</v>
      </c>
      <c r="N221" s="27">
        <v>23683</v>
      </c>
      <c r="O221" s="12">
        <v>27179</v>
      </c>
      <c r="P221" s="64">
        <f t="shared" si="36"/>
        <v>48953</v>
      </c>
      <c r="Q221" s="65">
        <f t="shared" si="37"/>
        <v>1631.7666666666667</v>
      </c>
      <c r="R221" s="66">
        <f t="shared" si="38"/>
        <v>58160</v>
      </c>
      <c r="S221" s="67">
        <f t="shared" si="39"/>
        <v>1938.6666666666667</v>
      </c>
      <c r="T221" s="27">
        <v>8963</v>
      </c>
      <c r="U221" s="15">
        <v>8592</v>
      </c>
      <c r="V221" s="64">
        <f t="shared" si="40"/>
        <v>48953</v>
      </c>
      <c r="W221" s="68">
        <f t="shared" si="41"/>
        <v>58160</v>
      </c>
      <c r="X221" s="27"/>
      <c r="Y221" s="149"/>
      <c r="Z221" s="27"/>
      <c r="AA221" s="149"/>
      <c r="AB221" s="27"/>
      <c r="AC221" s="149"/>
      <c r="AD221" s="27"/>
      <c r="AE221" s="149"/>
      <c r="AF221" s="64">
        <f t="shared" si="42"/>
        <v>0</v>
      </c>
      <c r="AG221" s="65">
        <f t="shared" si="43"/>
        <v>0</v>
      </c>
      <c r="AH221" s="66">
        <f t="shared" si="44"/>
        <v>0</v>
      </c>
      <c r="AI221" s="66">
        <f t="shared" si="45"/>
        <v>0</v>
      </c>
      <c r="AJ221" s="27"/>
      <c r="AK221" s="149"/>
      <c r="AL221" s="64">
        <f t="shared" si="46"/>
        <v>0</v>
      </c>
      <c r="AM221" s="67">
        <f t="shared" si="47"/>
        <v>0</v>
      </c>
      <c r="AN221" s="27"/>
      <c r="AO221" s="15"/>
      <c r="AP221" s="27"/>
      <c r="AQ221" s="15">
        <v>0</v>
      </c>
      <c r="AR221" s="27"/>
      <c r="AS221" s="15">
        <v>0</v>
      </c>
      <c r="AT221" s="27"/>
      <c r="AU221" s="15">
        <v>0</v>
      </c>
      <c r="AV221" s="64">
        <f t="shared" si="48"/>
        <v>0</v>
      </c>
      <c r="AW221" s="70">
        <f t="shared" si="49"/>
        <v>0</v>
      </c>
      <c r="AX221" s="66">
        <f t="shared" si="50"/>
        <v>0</v>
      </c>
      <c r="AY221" s="71">
        <f t="shared" si="51"/>
        <v>0</v>
      </c>
      <c r="AZ221" s="72">
        <f t="shared" si="52"/>
        <v>1631.7666666666667</v>
      </c>
      <c r="BA221" s="66">
        <f t="shared" si="53"/>
        <v>1938.6666666666667</v>
      </c>
    </row>
    <row r="222" spans="1:53" customFormat="1" ht="12" customHeight="1">
      <c r="A222" s="211" t="s">
        <v>547</v>
      </c>
      <c r="B222" s="212" t="s">
        <v>575</v>
      </c>
      <c r="C222" s="213"/>
      <c r="D222" s="200">
        <v>160010</v>
      </c>
      <c r="E222" s="200">
        <v>12</v>
      </c>
      <c r="F222" s="29" t="s">
        <v>75</v>
      </c>
      <c r="G222" s="201"/>
      <c r="H222" s="27"/>
      <c r="I222" s="15"/>
      <c r="J222" s="27">
        <v>25400</v>
      </c>
      <c r="K222" s="12">
        <v>16067</v>
      </c>
      <c r="L222" s="27">
        <v>6126</v>
      </c>
      <c r="M222" s="12">
        <v>5064</v>
      </c>
      <c r="N222" s="27">
        <v>21495</v>
      </c>
      <c r="O222" s="12">
        <v>14963</v>
      </c>
      <c r="P222" s="64">
        <f t="shared" si="36"/>
        <v>53021</v>
      </c>
      <c r="Q222" s="65">
        <f t="shared" si="37"/>
        <v>1767.3666666666666</v>
      </c>
      <c r="R222" s="66">
        <f t="shared" si="38"/>
        <v>36094</v>
      </c>
      <c r="S222" s="67">
        <f t="shared" si="39"/>
        <v>1203.1333333333334</v>
      </c>
      <c r="T222" s="27">
        <v>13474</v>
      </c>
      <c r="U222" s="12">
        <v>8886</v>
      </c>
      <c r="V222" s="64">
        <f t="shared" si="40"/>
        <v>53021</v>
      </c>
      <c r="W222" s="68">
        <f t="shared" si="41"/>
        <v>36094</v>
      </c>
      <c r="X222" s="27"/>
      <c r="Y222" s="149"/>
      <c r="Z222" s="27"/>
      <c r="AA222" s="149"/>
      <c r="AB222" s="27"/>
      <c r="AC222" s="149"/>
      <c r="AD222" s="27"/>
      <c r="AE222" s="149"/>
      <c r="AF222" s="64">
        <f t="shared" si="42"/>
        <v>0</v>
      </c>
      <c r="AG222" s="65">
        <f t="shared" si="43"/>
        <v>0</v>
      </c>
      <c r="AH222" s="66">
        <f t="shared" si="44"/>
        <v>0</v>
      </c>
      <c r="AI222" s="66">
        <f t="shared" si="45"/>
        <v>0</v>
      </c>
      <c r="AJ222" s="27"/>
      <c r="AK222" s="149"/>
      <c r="AL222" s="64">
        <f t="shared" si="46"/>
        <v>0</v>
      </c>
      <c r="AM222" s="67">
        <f t="shared" si="47"/>
        <v>0</v>
      </c>
      <c r="AN222" s="27"/>
      <c r="AO222" s="15"/>
      <c r="AP222" s="27"/>
      <c r="AQ222" s="15">
        <v>0</v>
      </c>
      <c r="AR222" s="27"/>
      <c r="AS222" s="15">
        <v>0</v>
      </c>
      <c r="AT222" s="27"/>
      <c r="AU222" s="15">
        <v>0</v>
      </c>
      <c r="AV222" s="64">
        <f t="shared" si="48"/>
        <v>0</v>
      </c>
      <c r="AW222" s="70">
        <f t="shared" si="49"/>
        <v>0</v>
      </c>
      <c r="AX222" s="66">
        <f t="shared" si="50"/>
        <v>0</v>
      </c>
      <c r="AY222" s="71">
        <f t="shared" si="51"/>
        <v>0</v>
      </c>
      <c r="AZ222" s="72">
        <f t="shared" si="52"/>
        <v>1767.3666666666666</v>
      </c>
      <c r="BA222" s="66">
        <f t="shared" si="53"/>
        <v>1203.1333333333334</v>
      </c>
    </row>
    <row r="223" spans="1:53" customFormat="1" ht="12" customHeight="1">
      <c r="A223" s="211" t="s">
        <v>547</v>
      </c>
      <c r="B223" s="212" t="s">
        <v>576</v>
      </c>
      <c r="C223" s="213"/>
      <c r="D223" s="200">
        <v>160913</v>
      </c>
      <c r="E223" s="200">
        <v>12</v>
      </c>
      <c r="F223" s="29" t="s">
        <v>75</v>
      </c>
      <c r="G223" s="201"/>
      <c r="H223" s="27"/>
      <c r="I223" s="15"/>
      <c r="J223" s="27">
        <v>16969</v>
      </c>
      <c r="K223" s="12">
        <v>13495</v>
      </c>
      <c r="L223" s="27">
        <v>3356</v>
      </c>
      <c r="M223" s="12">
        <v>2234</v>
      </c>
      <c r="N223" s="27">
        <v>18834</v>
      </c>
      <c r="O223" s="12">
        <v>15839</v>
      </c>
      <c r="P223" s="64">
        <f t="shared" si="36"/>
        <v>39159</v>
      </c>
      <c r="Q223" s="65">
        <f t="shared" si="37"/>
        <v>1305.3</v>
      </c>
      <c r="R223" s="66">
        <f t="shared" si="38"/>
        <v>31568</v>
      </c>
      <c r="S223" s="67">
        <f t="shared" si="39"/>
        <v>1052.2666666666667</v>
      </c>
      <c r="T223" s="27">
        <v>9046.9</v>
      </c>
      <c r="U223" s="12">
        <v>4521.2</v>
      </c>
      <c r="V223" s="64">
        <f t="shared" si="40"/>
        <v>39159</v>
      </c>
      <c r="W223" s="68">
        <f t="shared" si="41"/>
        <v>31568</v>
      </c>
      <c r="X223" s="27"/>
      <c r="Y223" s="149"/>
      <c r="Z223" s="27">
        <v>16798</v>
      </c>
      <c r="AA223" s="150">
        <v>6623</v>
      </c>
      <c r="AB223" s="27">
        <v>3064</v>
      </c>
      <c r="AC223" s="150">
        <v>3719</v>
      </c>
      <c r="AD223" s="27">
        <v>2381</v>
      </c>
      <c r="AE223" s="150">
        <v>7866</v>
      </c>
      <c r="AF223" s="64">
        <f t="shared" si="42"/>
        <v>22243</v>
      </c>
      <c r="AG223" s="65">
        <f t="shared" si="43"/>
        <v>24.714444444444446</v>
      </c>
      <c r="AH223" s="66">
        <f t="shared" si="44"/>
        <v>18208</v>
      </c>
      <c r="AI223" s="66">
        <f t="shared" si="45"/>
        <v>20.231111111111112</v>
      </c>
      <c r="AJ223" s="27"/>
      <c r="AK223" s="149"/>
      <c r="AL223" s="64">
        <f t="shared" si="46"/>
        <v>0</v>
      </c>
      <c r="AM223" s="67">
        <f t="shared" si="47"/>
        <v>0</v>
      </c>
      <c r="AN223" s="27"/>
      <c r="AO223" s="15"/>
      <c r="AP223" s="27"/>
      <c r="AQ223" s="15">
        <v>0</v>
      </c>
      <c r="AR223" s="27"/>
      <c r="AS223" s="15">
        <v>0</v>
      </c>
      <c r="AT223" s="27"/>
      <c r="AU223" s="15">
        <v>0</v>
      </c>
      <c r="AV223" s="64">
        <f t="shared" si="48"/>
        <v>0</v>
      </c>
      <c r="AW223" s="70">
        <f t="shared" si="49"/>
        <v>0</v>
      </c>
      <c r="AX223" s="66">
        <f t="shared" si="50"/>
        <v>0</v>
      </c>
      <c r="AY223" s="71">
        <f t="shared" si="51"/>
        <v>0</v>
      </c>
      <c r="AZ223" s="72">
        <f t="shared" si="52"/>
        <v>1330.0144444444445</v>
      </c>
      <c r="BA223" s="66">
        <f t="shared" si="53"/>
        <v>1072.4977777777779</v>
      </c>
    </row>
    <row r="224" spans="1:53" customFormat="1" ht="12" customHeight="1">
      <c r="A224" s="197" t="s">
        <v>547</v>
      </c>
      <c r="B224" s="198" t="s">
        <v>577</v>
      </c>
      <c r="C224" s="199"/>
      <c r="D224" s="200">
        <v>160579</v>
      </c>
      <c r="E224" s="200">
        <v>12</v>
      </c>
      <c r="F224" s="29" t="s">
        <v>75</v>
      </c>
      <c r="G224" s="201"/>
      <c r="H224" s="27"/>
      <c r="I224" s="15"/>
      <c r="J224" s="27">
        <v>32157</v>
      </c>
      <c r="K224" s="12">
        <v>29656.5</v>
      </c>
      <c r="L224" s="27">
        <v>4257</v>
      </c>
      <c r="M224" s="12">
        <v>3941</v>
      </c>
      <c r="N224" s="27">
        <v>34792.5</v>
      </c>
      <c r="O224" s="15">
        <v>33785.5</v>
      </c>
      <c r="P224" s="64">
        <f t="shared" si="36"/>
        <v>71206.5</v>
      </c>
      <c r="Q224" s="65">
        <f t="shared" si="37"/>
        <v>2373.5500000000002</v>
      </c>
      <c r="R224" s="66">
        <f t="shared" si="38"/>
        <v>67383</v>
      </c>
      <c r="S224" s="67">
        <f t="shared" si="39"/>
        <v>2246.1</v>
      </c>
      <c r="T224" s="27">
        <v>6408</v>
      </c>
      <c r="U224" s="12">
        <v>7012</v>
      </c>
      <c r="V224" s="64">
        <f t="shared" si="40"/>
        <v>71206.5</v>
      </c>
      <c r="W224" s="68">
        <f t="shared" si="41"/>
        <v>67383</v>
      </c>
      <c r="X224" s="27"/>
      <c r="Y224" s="149"/>
      <c r="Z224" s="27"/>
      <c r="AA224" s="149"/>
      <c r="AB224" s="27"/>
      <c r="AC224" s="149"/>
      <c r="AD224" s="27"/>
      <c r="AE224" s="149"/>
      <c r="AF224" s="64">
        <f t="shared" si="42"/>
        <v>0</v>
      </c>
      <c r="AG224" s="65">
        <f t="shared" si="43"/>
        <v>0</v>
      </c>
      <c r="AH224" s="66">
        <f t="shared" si="44"/>
        <v>0</v>
      </c>
      <c r="AI224" s="66">
        <f t="shared" si="45"/>
        <v>0</v>
      </c>
      <c r="AJ224" s="27"/>
      <c r="AK224" s="149"/>
      <c r="AL224" s="64">
        <f t="shared" si="46"/>
        <v>0</v>
      </c>
      <c r="AM224" s="67">
        <f t="shared" si="47"/>
        <v>0</v>
      </c>
      <c r="AN224" s="27"/>
      <c r="AO224" s="15">
        <v>0</v>
      </c>
      <c r="AP224" s="27"/>
      <c r="AQ224" s="15">
        <v>0</v>
      </c>
      <c r="AR224" s="27"/>
      <c r="AS224" s="15">
        <v>0</v>
      </c>
      <c r="AT224" s="27"/>
      <c r="AU224" s="15">
        <v>0</v>
      </c>
      <c r="AV224" s="64">
        <f t="shared" si="48"/>
        <v>0</v>
      </c>
      <c r="AW224" s="70">
        <f t="shared" si="49"/>
        <v>0</v>
      </c>
      <c r="AX224" s="66">
        <f t="shared" si="50"/>
        <v>0</v>
      </c>
      <c r="AY224" s="71">
        <f t="shared" si="51"/>
        <v>0</v>
      </c>
      <c r="AZ224" s="72">
        <f t="shared" si="52"/>
        <v>2373.5500000000002</v>
      </c>
      <c r="BA224" s="66">
        <f t="shared" si="53"/>
        <v>2246.1</v>
      </c>
    </row>
    <row r="225" spans="1:53" s="54" customFormat="1" ht="13.9" customHeight="1">
      <c r="A225" s="178" t="s">
        <v>578</v>
      </c>
      <c r="B225" s="179" t="s">
        <v>579</v>
      </c>
      <c r="C225" s="692"/>
      <c r="D225" s="181">
        <v>163286</v>
      </c>
      <c r="E225" s="181">
        <v>1</v>
      </c>
      <c r="F225" s="29" t="s">
        <v>75</v>
      </c>
      <c r="G225" s="16" t="s">
        <v>75</v>
      </c>
      <c r="H225" s="27">
        <v>11706</v>
      </c>
      <c r="I225" s="26">
        <v>12187</v>
      </c>
      <c r="J225" s="27">
        <v>377263</v>
      </c>
      <c r="K225" s="26">
        <v>381230</v>
      </c>
      <c r="L225" s="27">
        <v>35388</v>
      </c>
      <c r="M225" s="234">
        <v>32902</v>
      </c>
      <c r="N225" s="27">
        <v>390187</v>
      </c>
      <c r="O225" s="235">
        <v>403958</v>
      </c>
      <c r="P225" s="64">
        <f t="shared" si="36"/>
        <v>814544</v>
      </c>
      <c r="Q225" s="65">
        <f t="shared" si="37"/>
        <v>27151.466666666667</v>
      </c>
      <c r="R225" s="66">
        <f t="shared" si="38"/>
        <v>830277</v>
      </c>
      <c r="S225" s="67">
        <f t="shared" si="39"/>
        <v>27675.9</v>
      </c>
      <c r="T225" s="27"/>
      <c r="U225" s="235"/>
      <c r="V225" s="64">
        <f t="shared" si="40"/>
        <v>0</v>
      </c>
      <c r="W225" s="68">
        <f t="shared" si="41"/>
        <v>0</v>
      </c>
      <c r="X225" s="27"/>
      <c r="Y225" s="235"/>
      <c r="Z225" s="27"/>
      <c r="AA225" s="235"/>
      <c r="AB225" s="27"/>
      <c r="AC225" s="235"/>
      <c r="AD225" s="27"/>
      <c r="AE225" s="235"/>
      <c r="AF225" s="64">
        <f t="shared" si="42"/>
        <v>0</v>
      </c>
      <c r="AG225" s="65">
        <f t="shared" si="43"/>
        <v>0</v>
      </c>
      <c r="AH225" s="66">
        <f t="shared" si="44"/>
        <v>0</v>
      </c>
      <c r="AI225" s="66">
        <f t="shared" si="45"/>
        <v>0</v>
      </c>
      <c r="AJ225" s="27"/>
      <c r="AK225" s="235"/>
      <c r="AL225" s="64">
        <f t="shared" si="46"/>
        <v>0</v>
      </c>
      <c r="AM225" s="67">
        <f t="shared" si="47"/>
        <v>0</v>
      </c>
      <c r="AN225" s="27">
        <v>3736.67</v>
      </c>
      <c r="AO225" s="234">
        <v>4562</v>
      </c>
      <c r="AP225" s="27">
        <v>65895</v>
      </c>
      <c r="AQ225" s="235">
        <v>64817</v>
      </c>
      <c r="AR225" s="27">
        <v>11980</v>
      </c>
      <c r="AS225" s="235">
        <v>12337</v>
      </c>
      <c r="AT225" s="27">
        <v>75860.5</v>
      </c>
      <c r="AU225" s="235">
        <v>75841</v>
      </c>
      <c r="AV225" s="64">
        <f t="shared" si="48"/>
        <v>157472.16999999998</v>
      </c>
      <c r="AW225" s="70">
        <f t="shared" si="49"/>
        <v>6561.340416666666</v>
      </c>
      <c r="AX225" s="66">
        <f t="shared" si="50"/>
        <v>157557</v>
      </c>
      <c r="AY225" s="71">
        <f t="shared" si="51"/>
        <v>6564.875</v>
      </c>
      <c r="AZ225" s="72">
        <f t="shared" si="52"/>
        <v>33712.807083333333</v>
      </c>
      <c r="BA225" s="66">
        <f t="shared" si="53"/>
        <v>34240.775000000001</v>
      </c>
    </row>
    <row r="226" spans="1:53" ht="15">
      <c r="A226" s="178" t="s">
        <v>578</v>
      </c>
      <c r="B226" s="179" t="s">
        <v>580</v>
      </c>
      <c r="C226" s="692"/>
      <c r="D226" s="181">
        <v>163453</v>
      </c>
      <c r="E226" s="181">
        <v>2</v>
      </c>
      <c r="F226" s="29" t="s">
        <v>75</v>
      </c>
      <c r="G226" s="16" t="s">
        <v>75</v>
      </c>
      <c r="H226" s="27">
        <v>2075</v>
      </c>
      <c r="I226" s="26">
        <v>2134</v>
      </c>
      <c r="J226" s="27">
        <v>83801</v>
      </c>
      <c r="K226" s="26">
        <v>84047</v>
      </c>
      <c r="L226" s="27">
        <v>7649</v>
      </c>
      <c r="M226" s="234">
        <v>8407</v>
      </c>
      <c r="N226" s="27">
        <v>89874</v>
      </c>
      <c r="O226" s="235">
        <v>89712</v>
      </c>
      <c r="P226" s="64">
        <f t="shared" si="36"/>
        <v>183399</v>
      </c>
      <c r="Q226" s="65">
        <f t="shared" si="37"/>
        <v>6113.3</v>
      </c>
      <c r="R226" s="66">
        <f t="shared" si="38"/>
        <v>184300</v>
      </c>
      <c r="S226" s="67">
        <f t="shared" si="39"/>
        <v>6143.333333333333</v>
      </c>
      <c r="T226" s="27"/>
      <c r="U226" s="235"/>
      <c r="V226" s="64">
        <f t="shared" si="40"/>
        <v>0</v>
      </c>
      <c r="W226" s="68">
        <f t="shared" si="41"/>
        <v>0</v>
      </c>
      <c r="X226" s="27"/>
      <c r="Y226" s="235"/>
      <c r="Z226" s="27"/>
      <c r="AA226" s="235"/>
      <c r="AB226" s="27"/>
      <c r="AC226" s="235"/>
      <c r="AD226" s="27"/>
      <c r="AE226" s="235"/>
      <c r="AF226" s="64">
        <f t="shared" si="42"/>
        <v>0</v>
      </c>
      <c r="AG226" s="65">
        <f t="shared" si="43"/>
        <v>0</v>
      </c>
      <c r="AH226" s="66">
        <f t="shared" si="44"/>
        <v>0</v>
      </c>
      <c r="AI226" s="66">
        <f t="shared" si="45"/>
        <v>0</v>
      </c>
      <c r="AJ226" s="27"/>
      <c r="AK226" s="235"/>
      <c r="AL226" s="64">
        <f t="shared" si="46"/>
        <v>0</v>
      </c>
      <c r="AM226" s="67">
        <f t="shared" si="47"/>
        <v>0</v>
      </c>
      <c r="AN226" s="27">
        <v>78</v>
      </c>
      <c r="AO226" s="234">
        <v>45</v>
      </c>
      <c r="AP226" s="27">
        <v>11704</v>
      </c>
      <c r="AQ226" s="234">
        <v>12410</v>
      </c>
      <c r="AR226" s="27">
        <v>872</v>
      </c>
      <c r="AS226" s="234">
        <v>719</v>
      </c>
      <c r="AT226" s="27">
        <v>12919</v>
      </c>
      <c r="AU226" s="234">
        <v>12235</v>
      </c>
      <c r="AV226" s="64">
        <f t="shared" si="48"/>
        <v>25573</v>
      </c>
      <c r="AW226" s="70">
        <f t="shared" si="49"/>
        <v>1065.5416666666667</v>
      </c>
      <c r="AX226" s="66">
        <f t="shared" si="50"/>
        <v>25409</v>
      </c>
      <c r="AY226" s="71">
        <f t="shared" si="51"/>
        <v>1058.7083333333333</v>
      </c>
      <c r="AZ226" s="72">
        <f t="shared" si="52"/>
        <v>7178.8416666666672</v>
      </c>
      <c r="BA226" s="66">
        <f t="shared" si="53"/>
        <v>7202.0416666666661</v>
      </c>
    </row>
    <row r="227" spans="1:53" ht="15">
      <c r="A227" s="178" t="s">
        <v>578</v>
      </c>
      <c r="B227" s="179" t="s">
        <v>581</v>
      </c>
      <c r="C227" s="692"/>
      <c r="D227" s="181">
        <v>163268</v>
      </c>
      <c r="E227" s="181">
        <v>2</v>
      </c>
      <c r="F227" s="29" t="s">
        <v>75</v>
      </c>
      <c r="G227" s="16" t="s">
        <v>75</v>
      </c>
      <c r="H227" s="27">
        <v>6027.5</v>
      </c>
      <c r="I227" s="26">
        <v>5969</v>
      </c>
      <c r="J227" s="27">
        <v>143985</v>
      </c>
      <c r="K227" s="26">
        <v>143143</v>
      </c>
      <c r="L227" s="27">
        <v>18062</v>
      </c>
      <c r="M227" s="235">
        <v>18311</v>
      </c>
      <c r="N227" s="27">
        <v>151874</v>
      </c>
      <c r="O227" s="235">
        <v>150444</v>
      </c>
      <c r="P227" s="64">
        <f t="shared" si="36"/>
        <v>319948.5</v>
      </c>
      <c r="Q227" s="65">
        <f t="shared" si="37"/>
        <v>10664.95</v>
      </c>
      <c r="R227" s="66">
        <f t="shared" si="38"/>
        <v>317867</v>
      </c>
      <c r="S227" s="67">
        <f t="shared" si="39"/>
        <v>10595.566666666668</v>
      </c>
      <c r="T227" s="27"/>
      <c r="U227" s="235"/>
      <c r="V227" s="64">
        <f t="shared" si="40"/>
        <v>0</v>
      </c>
      <c r="W227" s="68">
        <f t="shared" si="41"/>
        <v>0</v>
      </c>
      <c r="X227" s="27"/>
      <c r="Y227" s="235"/>
      <c r="Z227" s="27"/>
      <c r="AA227" s="235"/>
      <c r="AB227" s="27"/>
      <c r="AC227" s="235"/>
      <c r="AD227" s="27"/>
      <c r="AE227" s="235"/>
      <c r="AF227" s="64">
        <f t="shared" si="42"/>
        <v>0</v>
      </c>
      <c r="AG227" s="65">
        <f t="shared" si="43"/>
        <v>0</v>
      </c>
      <c r="AH227" s="66">
        <f t="shared" si="44"/>
        <v>0</v>
      </c>
      <c r="AI227" s="66">
        <f t="shared" si="45"/>
        <v>0</v>
      </c>
      <c r="AJ227" s="27"/>
      <c r="AK227" s="235"/>
      <c r="AL227" s="64">
        <f t="shared" si="46"/>
        <v>0</v>
      </c>
      <c r="AM227" s="67">
        <f t="shared" si="47"/>
        <v>0</v>
      </c>
      <c r="AN227" s="27">
        <v>103</v>
      </c>
      <c r="AO227" s="234">
        <v>119</v>
      </c>
      <c r="AP227" s="27">
        <v>16145</v>
      </c>
      <c r="AQ227" s="235">
        <v>15674</v>
      </c>
      <c r="AR227" s="27">
        <v>2723</v>
      </c>
      <c r="AS227" s="234">
        <v>2862</v>
      </c>
      <c r="AT227" s="27">
        <v>16145</v>
      </c>
      <c r="AU227" s="235">
        <v>15807</v>
      </c>
      <c r="AV227" s="64">
        <f t="shared" si="48"/>
        <v>35116</v>
      </c>
      <c r="AW227" s="70">
        <f t="shared" si="49"/>
        <v>1463.1666666666667</v>
      </c>
      <c r="AX227" s="66">
        <f t="shared" si="50"/>
        <v>34462</v>
      </c>
      <c r="AY227" s="71">
        <f t="shared" si="51"/>
        <v>1435.9166666666667</v>
      </c>
      <c r="AZ227" s="72">
        <f t="shared" si="52"/>
        <v>12128.116666666667</v>
      </c>
      <c r="BA227" s="66">
        <f t="shared" si="53"/>
        <v>12031.483333333334</v>
      </c>
    </row>
    <row r="228" spans="1:53" ht="15">
      <c r="A228" s="178" t="s">
        <v>578</v>
      </c>
      <c r="B228" s="179" t="s">
        <v>582</v>
      </c>
      <c r="C228" s="692"/>
      <c r="D228" s="181">
        <v>164076</v>
      </c>
      <c r="E228" s="181">
        <v>3</v>
      </c>
      <c r="F228" s="29" t="s">
        <v>75</v>
      </c>
      <c r="G228" s="16" t="s">
        <v>75</v>
      </c>
      <c r="H228" s="27">
        <v>7494</v>
      </c>
      <c r="I228" s="109">
        <v>6911</v>
      </c>
      <c r="J228" s="27">
        <v>245823.5</v>
      </c>
      <c r="K228" s="26">
        <v>248345</v>
      </c>
      <c r="L228" s="27">
        <v>27673</v>
      </c>
      <c r="M228" s="234">
        <v>25225</v>
      </c>
      <c r="N228" s="27">
        <v>260805</v>
      </c>
      <c r="O228" s="235">
        <v>261437</v>
      </c>
      <c r="P228" s="64">
        <f t="shared" si="36"/>
        <v>541795.5</v>
      </c>
      <c r="Q228" s="65">
        <f t="shared" si="37"/>
        <v>18059.849999999999</v>
      </c>
      <c r="R228" s="66">
        <f t="shared" si="38"/>
        <v>541918</v>
      </c>
      <c r="S228" s="67">
        <f t="shared" si="39"/>
        <v>18063.933333333334</v>
      </c>
      <c r="T228" s="27"/>
      <c r="U228" s="235"/>
      <c r="V228" s="64">
        <f t="shared" si="40"/>
        <v>0</v>
      </c>
      <c r="W228" s="68">
        <f t="shared" si="41"/>
        <v>0</v>
      </c>
      <c r="X228" s="27"/>
      <c r="Y228" s="235"/>
      <c r="Z228" s="27"/>
      <c r="AA228" s="235"/>
      <c r="AB228" s="27"/>
      <c r="AC228" s="235"/>
      <c r="AD228" s="27"/>
      <c r="AE228" s="235"/>
      <c r="AF228" s="64">
        <f t="shared" si="42"/>
        <v>0</v>
      </c>
      <c r="AG228" s="65">
        <f t="shared" si="43"/>
        <v>0</v>
      </c>
      <c r="AH228" s="66">
        <f t="shared" si="44"/>
        <v>0</v>
      </c>
      <c r="AI228" s="66">
        <f t="shared" si="45"/>
        <v>0</v>
      </c>
      <c r="AJ228" s="27"/>
      <c r="AK228" s="235"/>
      <c r="AL228" s="64">
        <f t="shared" si="46"/>
        <v>0</v>
      </c>
      <c r="AM228" s="67">
        <f t="shared" si="47"/>
        <v>0</v>
      </c>
      <c r="AN228" s="27">
        <v>1043.5</v>
      </c>
      <c r="AO228" s="234">
        <v>950</v>
      </c>
      <c r="AP228" s="27">
        <v>18722.5</v>
      </c>
      <c r="AQ228" s="235">
        <v>18564</v>
      </c>
      <c r="AR228" s="27">
        <v>6894.5</v>
      </c>
      <c r="AS228" s="235">
        <v>6580</v>
      </c>
      <c r="AT228" s="27">
        <v>19442</v>
      </c>
      <c r="AU228" s="235">
        <v>19326</v>
      </c>
      <c r="AV228" s="64">
        <f t="shared" si="48"/>
        <v>46102.5</v>
      </c>
      <c r="AW228" s="70">
        <f t="shared" si="49"/>
        <v>1920.9375</v>
      </c>
      <c r="AX228" s="66">
        <f t="shared" si="50"/>
        <v>45420</v>
      </c>
      <c r="AY228" s="71">
        <f t="shared" si="51"/>
        <v>1892.5</v>
      </c>
      <c r="AZ228" s="72">
        <f t="shared" si="52"/>
        <v>19980.787499999999</v>
      </c>
      <c r="BA228" s="66">
        <f t="shared" si="53"/>
        <v>19956.433333333334</v>
      </c>
    </row>
    <row r="229" spans="1:53" ht="15">
      <c r="A229" s="178" t="s">
        <v>578</v>
      </c>
      <c r="B229" s="179" t="s">
        <v>583</v>
      </c>
      <c r="C229" s="692"/>
      <c r="D229" s="181">
        <v>162007</v>
      </c>
      <c r="E229" s="181">
        <v>4</v>
      </c>
      <c r="F229" s="29" t="s">
        <v>75</v>
      </c>
      <c r="G229" s="16" t="s">
        <v>75</v>
      </c>
      <c r="H229" s="27">
        <v>1404</v>
      </c>
      <c r="I229" s="26">
        <v>1416</v>
      </c>
      <c r="J229" s="27">
        <v>55084</v>
      </c>
      <c r="K229" s="26">
        <v>52766</v>
      </c>
      <c r="L229" s="27">
        <v>5201</v>
      </c>
      <c r="M229" s="234">
        <v>7469</v>
      </c>
      <c r="N229" s="27">
        <v>57786</v>
      </c>
      <c r="O229" s="234">
        <v>63786</v>
      </c>
      <c r="P229" s="64">
        <f t="shared" si="36"/>
        <v>119475</v>
      </c>
      <c r="Q229" s="65">
        <f t="shared" si="37"/>
        <v>3982.5</v>
      </c>
      <c r="R229" s="66">
        <f t="shared" si="38"/>
        <v>125437</v>
      </c>
      <c r="S229" s="67">
        <f t="shared" si="39"/>
        <v>4181.2333333333336</v>
      </c>
      <c r="T229" s="27"/>
      <c r="U229" s="235"/>
      <c r="V229" s="64">
        <f t="shared" si="40"/>
        <v>0</v>
      </c>
      <c r="W229" s="68">
        <f t="shared" si="41"/>
        <v>0</v>
      </c>
      <c r="X229" s="27"/>
      <c r="Y229" s="235"/>
      <c r="Z229" s="27"/>
      <c r="AA229" s="235"/>
      <c r="AB229" s="27"/>
      <c r="AC229" s="235"/>
      <c r="AD229" s="27"/>
      <c r="AE229" s="235"/>
      <c r="AF229" s="64">
        <f t="shared" si="42"/>
        <v>0</v>
      </c>
      <c r="AG229" s="65">
        <f t="shared" si="43"/>
        <v>0</v>
      </c>
      <c r="AH229" s="66">
        <f t="shared" si="44"/>
        <v>0</v>
      </c>
      <c r="AI229" s="66">
        <f t="shared" si="45"/>
        <v>0</v>
      </c>
      <c r="AJ229" s="27"/>
      <c r="AK229" s="235"/>
      <c r="AL229" s="64">
        <f t="shared" si="46"/>
        <v>0</v>
      </c>
      <c r="AM229" s="67">
        <f t="shared" si="47"/>
        <v>0</v>
      </c>
      <c r="AN229" s="27">
        <v>222</v>
      </c>
      <c r="AO229" s="234">
        <v>123</v>
      </c>
      <c r="AP229" s="27">
        <v>8306</v>
      </c>
      <c r="AQ229" s="234">
        <v>7048</v>
      </c>
      <c r="AR229" s="27">
        <v>1220</v>
      </c>
      <c r="AS229" s="234">
        <v>1073</v>
      </c>
      <c r="AT229" s="27">
        <v>7814</v>
      </c>
      <c r="AU229" s="234">
        <v>6525</v>
      </c>
      <c r="AV229" s="64">
        <f t="shared" si="48"/>
        <v>17562</v>
      </c>
      <c r="AW229" s="70">
        <f t="shared" si="49"/>
        <v>731.75</v>
      </c>
      <c r="AX229" s="66">
        <f t="shared" si="50"/>
        <v>14769</v>
      </c>
      <c r="AY229" s="71">
        <f t="shared" si="51"/>
        <v>615.375</v>
      </c>
      <c r="AZ229" s="72">
        <f t="shared" si="52"/>
        <v>4714.25</v>
      </c>
      <c r="BA229" s="66">
        <f t="shared" si="53"/>
        <v>4796.6083333333336</v>
      </c>
    </row>
    <row r="230" spans="1:53" ht="15">
      <c r="A230" s="178" t="s">
        <v>578</v>
      </c>
      <c r="B230" s="179" t="s">
        <v>584</v>
      </c>
      <c r="C230" s="692"/>
      <c r="D230" s="181">
        <v>162584</v>
      </c>
      <c r="E230" s="181">
        <v>4</v>
      </c>
      <c r="F230" s="29" t="s">
        <v>75</v>
      </c>
      <c r="G230" s="16" t="s">
        <v>75</v>
      </c>
      <c r="H230" s="27">
        <v>2262</v>
      </c>
      <c r="I230" s="109">
        <v>2384</v>
      </c>
      <c r="J230" s="27">
        <v>60977</v>
      </c>
      <c r="K230" s="26">
        <v>61265</v>
      </c>
      <c r="L230" s="27">
        <v>6296</v>
      </c>
      <c r="M230" s="234">
        <v>5929</v>
      </c>
      <c r="N230" s="27">
        <v>66510</v>
      </c>
      <c r="O230" s="235">
        <v>65798</v>
      </c>
      <c r="P230" s="64">
        <f t="shared" si="36"/>
        <v>136045</v>
      </c>
      <c r="Q230" s="65">
        <f t="shared" si="37"/>
        <v>4534.833333333333</v>
      </c>
      <c r="R230" s="66">
        <f t="shared" si="38"/>
        <v>135376</v>
      </c>
      <c r="S230" s="67">
        <f t="shared" si="39"/>
        <v>4512.5333333333338</v>
      </c>
      <c r="T230" s="27"/>
      <c r="U230" s="235"/>
      <c r="V230" s="64">
        <f t="shared" si="40"/>
        <v>0</v>
      </c>
      <c r="W230" s="68">
        <f t="shared" si="41"/>
        <v>0</v>
      </c>
      <c r="X230" s="27"/>
      <c r="Y230" s="235"/>
      <c r="Z230" s="27"/>
      <c r="AA230" s="235"/>
      <c r="AB230" s="27"/>
      <c r="AC230" s="235"/>
      <c r="AD230" s="27"/>
      <c r="AE230" s="235"/>
      <c r="AF230" s="64">
        <f t="shared" si="42"/>
        <v>0</v>
      </c>
      <c r="AG230" s="65">
        <f t="shared" si="43"/>
        <v>0</v>
      </c>
      <c r="AH230" s="66">
        <f t="shared" si="44"/>
        <v>0</v>
      </c>
      <c r="AI230" s="66">
        <f t="shared" si="45"/>
        <v>0</v>
      </c>
      <c r="AJ230" s="27"/>
      <c r="AK230" s="235"/>
      <c r="AL230" s="64">
        <f t="shared" si="46"/>
        <v>0</v>
      </c>
      <c r="AM230" s="67">
        <f t="shared" si="47"/>
        <v>0</v>
      </c>
      <c r="AN230" s="27">
        <v>357</v>
      </c>
      <c r="AO230" s="234">
        <v>384</v>
      </c>
      <c r="AP230" s="27">
        <v>4214</v>
      </c>
      <c r="AQ230" s="234">
        <v>4773</v>
      </c>
      <c r="AR230" s="27">
        <v>2657</v>
      </c>
      <c r="AS230" s="235">
        <v>2591</v>
      </c>
      <c r="AT230" s="27">
        <v>4925</v>
      </c>
      <c r="AU230" s="235">
        <v>4845</v>
      </c>
      <c r="AV230" s="64">
        <f t="shared" si="48"/>
        <v>12153</v>
      </c>
      <c r="AW230" s="70">
        <f t="shared" si="49"/>
        <v>506.375</v>
      </c>
      <c r="AX230" s="66">
        <f t="shared" si="50"/>
        <v>12593</v>
      </c>
      <c r="AY230" s="71">
        <f t="shared" si="51"/>
        <v>524.70833333333337</v>
      </c>
      <c r="AZ230" s="72">
        <f t="shared" si="52"/>
        <v>5041.208333333333</v>
      </c>
      <c r="BA230" s="66">
        <f t="shared" si="53"/>
        <v>5037.2416666666668</v>
      </c>
    </row>
    <row r="231" spans="1:53" ht="15">
      <c r="A231" s="178" t="s">
        <v>578</v>
      </c>
      <c r="B231" s="179" t="s">
        <v>585</v>
      </c>
      <c r="C231" s="692"/>
      <c r="D231" s="181">
        <v>163851</v>
      </c>
      <c r="E231" s="181">
        <v>4</v>
      </c>
      <c r="F231" s="29" t="s">
        <v>75</v>
      </c>
      <c r="G231" s="16" t="s">
        <v>75</v>
      </c>
      <c r="H231" s="27">
        <v>6146</v>
      </c>
      <c r="I231" s="109">
        <v>5696</v>
      </c>
      <c r="J231" s="27">
        <v>107618</v>
      </c>
      <c r="K231" s="26">
        <v>107136</v>
      </c>
      <c r="L231" s="27">
        <v>6727</v>
      </c>
      <c r="M231" s="235">
        <v>6878</v>
      </c>
      <c r="N231" s="27">
        <v>111842</v>
      </c>
      <c r="O231" s="235">
        <v>112826</v>
      </c>
      <c r="P231" s="64">
        <f t="shared" si="36"/>
        <v>232333</v>
      </c>
      <c r="Q231" s="65">
        <f t="shared" si="37"/>
        <v>7744.4333333333334</v>
      </c>
      <c r="R231" s="66">
        <f t="shared" si="38"/>
        <v>232536</v>
      </c>
      <c r="S231" s="67">
        <f t="shared" si="39"/>
        <v>7751.2</v>
      </c>
      <c r="T231" s="27"/>
      <c r="U231" s="235"/>
      <c r="V231" s="64">
        <f t="shared" si="40"/>
        <v>0</v>
      </c>
      <c r="W231" s="68">
        <f t="shared" si="41"/>
        <v>0</v>
      </c>
      <c r="X231" s="27"/>
      <c r="Y231" s="235"/>
      <c r="Z231" s="27"/>
      <c r="AA231" s="235"/>
      <c r="AB231" s="27"/>
      <c r="AC231" s="235"/>
      <c r="AD231" s="27"/>
      <c r="AE231" s="235"/>
      <c r="AF231" s="64">
        <f t="shared" si="42"/>
        <v>0</v>
      </c>
      <c r="AG231" s="65">
        <f t="shared" si="43"/>
        <v>0</v>
      </c>
      <c r="AH231" s="66">
        <f t="shared" si="44"/>
        <v>0</v>
      </c>
      <c r="AI231" s="66">
        <f t="shared" si="45"/>
        <v>0</v>
      </c>
      <c r="AJ231" s="27"/>
      <c r="AK231" s="235"/>
      <c r="AL231" s="64">
        <f t="shared" si="46"/>
        <v>0</v>
      </c>
      <c r="AM231" s="67">
        <f t="shared" si="47"/>
        <v>0</v>
      </c>
      <c r="AN231" s="27">
        <v>398</v>
      </c>
      <c r="AO231" s="234">
        <v>286</v>
      </c>
      <c r="AP231" s="27">
        <v>5306</v>
      </c>
      <c r="AQ231" s="234">
        <v>5775</v>
      </c>
      <c r="AR231" s="27">
        <v>1569</v>
      </c>
      <c r="AS231" s="234">
        <v>1788</v>
      </c>
      <c r="AT231" s="27">
        <v>6261</v>
      </c>
      <c r="AU231" s="234">
        <v>6650</v>
      </c>
      <c r="AV231" s="64">
        <f t="shared" si="48"/>
        <v>13534</v>
      </c>
      <c r="AW231" s="70">
        <f t="shared" si="49"/>
        <v>563.91666666666663</v>
      </c>
      <c r="AX231" s="66">
        <f t="shared" si="50"/>
        <v>14499</v>
      </c>
      <c r="AY231" s="71">
        <f t="shared" si="51"/>
        <v>604.125</v>
      </c>
      <c r="AZ231" s="72">
        <f t="shared" si="52"/>
        <v>8308.35</v>
      </c>
      <c r="BA231" s="66">
        <f t="shared" si="53"/>
        <v>8355.3250000000007</v>
      </c>
    </row>
    <row r="232" spans="1:53" ht="15">
      <c r="A232" s="178" t="s">
        <v>578</v>
      </c>
      <c r="B232" s="179" t="s">
        <v>586</v>
      </c>
      <c r="C232" s="701" t="s">
        <v>963</v>
      </c>
      <c r="D232" s="181">
        <v>161873</v>
      </c>
      <c r="E232" s="183">
        <v>3</v>
      </c>
      <c r="F232" s="29" t="s">
        <v>75</v>
      </c>
      <c r="G232" s="16" t="s">
        <v>75</v>
      </c>
      <c r="H232" s="27">
        <v>195</v>
      </c>
      <c r="I232" s="109">
        <v>354</v>
      </c>
      <c r="J232" s="27">
        <v>34155</v>
      </c>
      <c r="K232" s="26">
        <v>33843</v>
      </c>
      <c r="L232" s="27">
        <v>4533</v>
      </c>
      <c r="M232" s="234">
        <v>4285</v>
      </c>
      <c r="N232" s="27">
        <v>36138</v>
      </c>
      <c r="O232" s="235">
        <v>35100</v>
      </c>
      <c r="P232" s="64">
        <f t="shared" si="36"/>
        <v>75021</v>
      </c>
      <c r="Q232" s="65">
        <f t="shared" si="37"/>
        <v>2500.6999999999998</v>
      </c>
      <c r="R232" s="66">
        <f t="shared" si="38"/>
        <v>73582</v>
      </c>
      <c r="S232" s="67">
        <f t="shared" si="39"/>
        <v>2452.7333333333331</v>
      </c>
      <c r="T232" s="27"/>
      <c r="U232" s="235"/>
      <c r="V232" s="64">
        <f t="shared" si="40"/>
        <v>0</v>
      </c>
      <c r="W232" s="68">
        <f t="shared" si="41"/>
        <v>0</v>
      </c>
      <c r="X232" s="27"/>
      <c r="Y232" s="235"/>
      <c r="Z232" s="27"/>
      <c r="AA232" s="235"/>
      <c r="AB232" s="27"/>
      <c r="AC232" s="235"/>
      <c r="AD232" s="27"/>
      <c r="AE232" s="235"/>
      <c r="AF232" s="64">
        <f t="shared" si="42"/>
        <v>0</v>
      </c>
      <c r="AG232" s="65">
        <f t="shared" si="43"/>
        <v>0</v>
      </c>
      <c r="AH232" s="66">
        <f t="shared" si="44"/>
        <v>0</v>
      </c>
      <c r="AI232" s="66">
        <f t="shared" si="45"/>
        <v>0</v>
      </c>
      <c r="AJ232" s="27"/>
      <c r="AK232" s="235"/>
      <c r="AL232" s="64">
        <f t="shared" si="46"/>
        <v>0</v>
      </c>
      <c r="AM232" s="67">
        <f t="shared" si="47"/>
        <v>0</v>
      </c>
      <c r="AN232" s="27">
        <v>143.5</v>
      </c>
      <c r="AO232" s="234">
        <v>279</v>
      </c>
      <c r="AP232" s="27">
        <v>23219</v>
      </c>
      <c r="AQ232" s="234">
        <v>21486</v>
      </c>
      <c r="AR232" s="27">
        <v>3686</v>
      </c>
      <c r="AS232" s="234">
        <v>3349</v>
      </c>
      <c r="AT232" s="27">
        <v>22496</v>
      </c>
      <c r="AU232" s="235">
        <v>21861</v>
      </c>
      <c r="AV232" s="64">
        <f t="shared" si="48"/>
        <v>49544.5</v>
      </c>
      <c r="AW232" s="70">
        <f t="shared" si="49"/>
        <v>2064.3541666666665</v>
      </c>
      <c r="AX232" s="66">
        <f t="shared" si="50"/>
        <v>46975</v>
      </c>
      <c r="AY232" s="71">
        <f t="shared" si="51"/>
        <v>1957.2916666666667</v>
      </c>
      <c r="AZ232" s="72">
        <f t="shared" si="52"/>
        <v>4565.0541666666668</v>
      </c>
      <c r="BA232" s="66">
        <f t="shared" si="53"/>
        <v>4410.0249999999996</v>
      </c>
    </row>
    <row r="233" spans="1:53" ht="15">
      <c r="A233" s="178" t="s">
        <v>578</v>
      </c>
      <c r="B233" s="179" t="s">
        <v>587</v>
      </c>
      <c r="C233" s="692"/>
      <c r="D233" s="181">
        <v>163338</v>
      </c>
      <c r="E233" s="181">
        <v>4</v>
      </c>
      <c r="F233" s="29" t="s">
        <v>75</v>
      </c>
      <c r="G233" s="16" t="s">
        <v>75</v>
      </c>
      <c r="H233" s="27">
        <v>1469</v>
      </c>
      <c r="I233" s="109">
        <v>1101</v>
      </c>
      <c r="J233" s="27">
        <v>46095.5</v>
      </c>
      <c r="K233" s="26">
        <v>46378</v>
      </c>
      <c r="L233" s="27">
        <v>3472</v>
      </c>
      <c r="M233" s="234">
        <v>2981</v>
      </c>
      <c r="N233" s="27">
        <v>53515</v>
      </c>
      <c r="O233" s="234">
        <v>46793</v>
      </c>
      <c r="P233" s="64">
        <f t="shared" si="36"/>
        <v>104551.5</v>
      </c>
      <c r="Q233" s="65">
        <f t="shared" si="37"/>
        <v>3485.05</v>
      </c>
      <c r="R233" s="66">
        <f t="shared" si="38"/>
        <v>97253</v>
      </c>
      <c r="S233" s="67">
        <f t="shared" si="39"/>
        <v>3241.7666666666669</v>
      </c>
      <c r="T233" s="27"/>
      <c r="U233" s="235"/>
      <c r="V233" s="64">
        <f t="shared" si="40"/>
        <v>0</v>
      </c>
      <c r="W233" s="68">
        <f t="shared" si="41"/>
        <v>0</v>
      </c>
      <c r="X233" s="27"/>
      <c r="Y233" s="235"/>
      <c r="Z233" s="27"/>
      <c r="AA233" s="235"/>
      <c r="AB233" s="27"/>
      <c r="AC233" s="235"/>
      <c r="AD233" s="27"/>
      <c r="AE233" s="235"/>
      <c r="AF233" s="64">
        <f t="shared" si="42"/>
        <v>0</v>
      </c>
      <c r="AG233" s="65">
        <f t="shared" si="43"/>
        <v>0</v>
      </c>
      <c r="AH233" s="66">
        <f t="shared" si="44"/>
        <v>0</v>
      </c>
      <c r="AI233" s="66">
        <f t="shared" si="45"/>
        <v>0</v>
      </c>
      <c r="AJ233" s="27"/>
      <c r="AK233" s="235"/>
      <c r="AL233" s="64">
        <f t="shared" si="46"/>
        <v>0</v>
      </c>
      <c r="AM233" s="67">
        <f t="shared" si="47"/>
        <v>0</v>
      </c>
      <c r="AN233" s="27">
        <v>451</v>
      </c>
      <c r="AO233" s="234">
        <v>276</v>
      </c>
      <c r="AP233" s="27">
        <v>8683.5</v>
      </c>
      <c r="AQ233" s="234">
        <v>8004</v>
      </c>
      <c r="AR233" s="27">
        <v>2380</v>
      </c>
      <c r="AS233" s="234">
        <v>1251</v>
      </c>
      <c r="AT233" s="27">
        <v>10308.5</v>
      </c>
      <c r="AU233" s="234">
        <v>8485</v>
      </c>
      <c r="AV233" s="64">
        <f t="shared" si="48"/>
        <v>21823</v>
      </c>
      <c r="AW233" s="70">
        <f t="shared" si="49"/>
        <v>909.29166666666663</v>
      </c>
      <c r="AX233" s="66">
        <f t="shared" si="50"/>
        <v>18016</v>
      </c>
      <c r="AY233" s="71">
        <f t="shared" si="51"/>
        <v>750.66666666666663</v>
      </c>
      <c r="AZ233" s="72">
        <f t="shared" si="52"/>
        <v>4394.3416666666672</v>
      </c>
      <c r="BA233" s="66">
        <f t="shared" si="53"/>
        <v>3992.4333333333334</v>
      </c>
    </row>
    <row r="234" spans="1:53" ht="15">
      <c r="A234" s="178" t="s">
        <v>578</v>
      </c>
      <c r="B234" s="179" t="s">
        <v>588</v>
      </c>
      <c r="C234" s="692"/>
      <c r="D234" s="181">
        <v>162283</v>
      </c>
      <c r="E234" s="181">
        <v>5</v>
      </c>
      <c r="F234" s="29" t="s">
        <v>75</v>
      </c>
      <c r="G234" s="16" t="s">
        <v>75</v>
      </c>
      <c r="H234" s="27">
        <v>378</v>
      </c>
      <c r="I234" s="109">
        <v>345</v>
      </c>
      <c r="J234" s="27">
        <v>33126</v>
      </c>
      <c r="K234" s="109">
        <v>30929</v>
      </c>
      <c r="L234" s="27">
        <v>2533</v>
      </c>
      <c r="M234" s="234">
        <v>2778</v>
      </c>
      <c r="N234" s="27">
        <v>34063</v>
      </c>
      <c r="O234" s="235">
        <v>32558</v>
      </c>
      <c r="P234" s="64">
        <f t="shared" si="36"/>
        <v>70100</v>
      </c>
      <c r="Q234" s="65">
        <f t="shared" si="37"/>
        <v>2336.6666666666665</v>
      </c>
      <c r="R234" s="66">
        <f t="shared" si="38"/>
        <v>66610</v>
      </c>
      <c r="S234" s="67">
        <f t="shared" si="39"/>
        <v>2220.3333333333335</v>
      </c>
      <c r="T234" s="27"/>
      <c r="U234" s="235"/>
      <c r="V234" s="64">
        <f t="shared" si="40"/>
        <v>0</v>
      </c>
      <c r="W234" s="68">
        <f t="shared" si="41"/>
        <v>0</v>
      </c>
      <c r="X234" s="27"/>
      <c r="Y234" s="235"/>
      <c r="Z234" s="27"/>
      <c r="AA234" s="235"/>
      <c r="AB234" s="27"/>
      <c r="AC234" s="235"/>
      <c r="AD234" s="27"/>
      <c r="AE234" s="235"/>
      <c r="AF234" s="64">
        <f t="shared" si="42"/>
        <v>0</v>
      </c>
      <c r="AG234" s="65">
        <f t="shared" si="43"/>
        <v>0</v>
      </c>
      <c r="AH234" s="66">
        <f t="shared" si="44"/>
        <v>0</v>
      </c>
      <c r="AI234" s="66">
        <f t="shared" si="45"/>
        <v>0</v>
      </c>
      <c r="AJ234" s="27"/>
      <c r="AK234" s="235"/>
      <c r="AL234" s="64">
        <f t="shared" si="46"/>
        <v>0</v>
      </c>
      <c r="AM234" s="67">
        <f t="shared" si="47"/>
        <v>0</v>
      </c>
      <c r="AN234" s="27">
        <v>125</v>
      </c>
      <c r="AO234" s="234">
        <v>55</v>
      </c>
      <c r="AP234" s="27">
        <v>2936</v>
      </c>
      <c r="AQ234" s="235">
        <v>2936</v>
      </c>
      <c r="AR234" s="27">
        <v>361</v>
      </c>
      <c r="AS234" s="235">
        <v>361</v>
      </c>
      <c r="AT234" s="27">
        <v>2530</v>
      </c>
      <c r="AU234" s="235">
        <v>2530</v>
      </c>
      <c r="AV234" s="64">
        <f t="shared" si="48"/>
        <v>5952</v>
      </c>
      <c r="AW234" s="70">
        <f t="shared" si="49"/>
        <v>248</v>
      </c>
      <c r="AX234" s="66">
        <f t="shared" si="50"/>
        <v>5882</v>
      </c>
      <c r="AY234" s="71">
        <f t="shared" si="51"/>
        <v>245.08333333333334</v>
      </c>
      <c r="AZ234" s="72">
        <f t="shared" si="52"/>
        <v>2584.6666666666665</v>
      </c>
      <c r="BA234" s="66">
        <f t="shared" si="53"/>
        <v>2465.416666666667</v>
      </c>
    </row>
    <row r="235" spans="1:53" ht="15">
      <c r="A235" s="178" t="s">
        <v>578</v>
      </c>
      <c r="B235" s="179" t="s">
        <v>589</v>
      </c>
      <c r="C235" s="692"/>
      <c r="D235" s="181">
        <v>163912</v>
      </c>
      <c r="E235" s="181">
        <v>6</v>
      </c>
      <c r="F235" s="29" t="s">
        <v>75</v>
      </c>
      <c r="G235" s="16" t="s">
        <v>75</v>
      </c>
      <c r="H235" s="27">
        <v>0</v>
      </c>
      <c r="I235" s="26">
        <v>0</v>
      </c>
      <c r="J235" s="27">
        <v>25617</v>
      </c>
      <c r="K235" s="26">
        <v>24903</v>
      </c>
      <c r="L235" s="27">
        <v>1243</v>
      </c>
      <c r="M235" s="234">
        <v>1346</v>
      </c>
      <c r="N235" s="27">
        <v>26724.5</v>
      </c>
      <c r="O235" s="234">
        <v>24994</v>
      </c>
      <c r="P235" s="64">
        <f t="shared" si="36"/>
        <v>53584.5</v>
      </c>
      <c r="Q235" s="65">
        <f t="shared" si="37"/>
        <v>1786.15</v>
      </c>
      <c r="R235" s="66">
        <f t="shared" si="38"/>
        <v>51243</v>
      </c>
      <c r="S235" s="67">
        <f t="shared" si="39"/>
        <v>1708.1</v>
      </c>
      <c r="T235" s="27"/>
      <c r="U235" s="235"/>
      <c r="V235" s="64">
        <f t="shared" si="40"/>
        <v>0</v>
      </c>
      <c r="W235" s="68">
        <f t="shared" si="41"/>
        <v>0</v>
      </c>
      <c r="X235" s="27"/>
      <c r="Y235" s="235"/>
      <c r="Z235" s="27"/>
      <c r="AA235" s="235"/>
      <c r="AB235" s="27"/>
      <c r="AC235" s="235"/>
      <c r="AD235" s="27"/>
      <c r="AE235" s="235"/>
      <c r="AF235" s="64">
        <f t="shared" si="42"/>
        <v>0</v>
      </c>
      <c r="AG235" s="65">
        <f t="shared" si="43"/>
        <v>0</v>
      </c>
      <c r="AH235" s="66">
        <f t="shared" si="44"/>
        <v>0</v>
      </c>
      <c r="AI235" s="66">
        <f t="shared" si="45"/>
        <v>0</v>
      </c>
      <c r="AJ235" s="27"/>
      <c r="AK235" s="235"/>
      <c r="AL235" s="64">
        <f t="shared" si="46"/>
        <v>0</v>
      </c>
      <c r="AM235" s="67">
        <f t="shared" si="47"/>
        <v>0</v>
      </c>
      <c r="AN235" s="27">
        <v>0</v>
      </c>
      <c r="AO235" s="235">
        <v>0</v>
      </c>
      <c r="AP235" s="27">
        <v>544</v>
      </c>
      <c r="AQ235" s="234">
        <v>465</v>
      </c>
      <c r="AR235" s="27">
        <v>436</v>
      </c>
      <c r="AS235" s="234">
        <v>474</v>
      </c>
      <c r="AT235" s="27">
        <v>360</v>
      </c>
      <c r="AU235" s="234">
        <v>417</v>
      </c>
      <c r="AV235" s="64">
        <f t="shared" si="48"/>
        <v>1340</v>
      </c>
      <c r="AW235" s="70">
        <f t="shared" si="49"/>
        <v>55.833333333333336</v>
      </c>
      <c r="AX235" s="66">
        <f t="shared" si="50"/>
        <v>1356</v>
      </c>
      <c r="AY235" s="71">
        <f t="shared" si="51"/>
        <v>56.5</v>
      </c>
      <c r="AZ235" s="72">
        <f t="shared" si="52"/>
        <v>1841.9833333333333</v>
      </c>
      <c r="BA235" s="66">
        <f t="shared" si="53"/>
        <v>1764.6</v>
      </c>
    </row>
    <row r="236" spans="1:53" ht="15">
      <c r="A236" s="178" t="s">
        <v>578</v>
      </c>
      <c r="B236" s="179" t="s">
        <v>590</v>
      </c>
      <c r="C236" s="692"/>
      <c r="D236" s="181">
        <v>161767</v>
      </c>
      <c r="E236" s="181">
        <v>8</v>
      </c>
      <c r="F236" s="29" t="s">
        <v>75</v>
      </c>
      <c r="G236" s="16" t="s">
        <v>75</v>
      </c>
      <c r="H236" s="27">
        <v>4126</v>
      </c>
      <c r="I236" s="109">
        <v>3465</v>
      </c>
      <c r="J236" s="27">
        <v>114128</v>
      </c>
      <c r="K236" s="109">
        <v>105823</v>
      </c>
      <c r="L236" s="27">
        <v>26327</v>
      </c>
      <c r="M236" s="235">
        <v>25845</v>
      </c>
      <c r="N236" s="27">
        <v>123028</v>
      </c>
      <c r="O236" s="234">
        <v>115025</v>
      </c>
      <c r="P236" s="64">
        <f t="shared" si="36"/>
        <v>267609</v>
      </c>
      <c r="Q236" s="65">
        <f t="shared" si="37"/>
        <v>8920.2999999999993</v>
      </c>
      <c r="R236" s="66">
        <f t="shared" si="38"/>
        <v>250158</v>
      </c>
      <c r="S236" s="67">
        <f t="shared" si="39"/>
        <v>8338.6</v>
      </c>
      <c r="T236" s="27"/>
      <c r="U236" s="235"/>
      <c r="V236" s="64">
        <f t="shared" si="40"/>
        <v>0</v>
      </c>
      <c r="W236" s="68">
        <f t="shared" si="41"/>
        <v>0</v>
      </c>
      <c r="X236" s="27"/>
      <c r="Y236" s="235"/>
      <c r="Z236" s="27"/>
      <c r="AA236" s="235"/>
      <c r="AB236" s="27"/>
      <c r="AC236" s="235"/>
      <c r="AD236" s="27"/>
      <c r="AE236" s="235"/>
      <c r="AF236" s="64">
        <f t="shared" si="42"/>
        <v>0</v>
      </c>
      <c r="AG236" s="65">
        <f t="shared" si="43"/>
        <v>0</v>
      </c>
      <c r="AH236" s="66">
        <f t="shared" si="44"/>
        <v>0</v>
      </c>
      <c r="AI236" s="66">
        <f t="shared" si="45"/>
        <v>0</v>
      </c>
      <c r="AJ236" s="27"/>
      <c r="AK236" s="235"/>
      <c r="AL236" s="64">
        <f t="shared" si="46"/>
        <v>0</v>
      </c>
      <c r="AM236" s="67">
        <f t="shared" si="47"/>
        <v>0</v>
      </c>
      <c r="AN236" s="27">
        <v>0</v>
      </c>
      <c r="AO236" s="235"/>
      <c r="AP236" s="27">
        <v>0</v>
      </c>
      <c r="AQ236" s="235"/>
      <c r="AR236" s="27">
        <v>0</v>
      </c>
      <c r="AS236" s="235"/>
      <c r="AT236" s="27">
        <v>0</v>
      </c>
      <c r="AU236" s="235"/>
      <c r="AV236" s="64">
        <f t="shared" si="48"/>
        <v>0</v>
      </c>
      <c r="AW236" s="70">
        <f t="shared" si="49"/>
        <v>0</v>
      </c>
      <c r="AX236" s="66">
        <f t="shared" si="50"/>
        <v>0</v>
      </c>
      <c r="AY236" s="71">
        <f t="shared" si="51"/>
        <v>0</v>
      </c>
      <c r="AZ236" s="72">
        <f t="shared" si="52"/>
        <v>8920.2999999999993</v>
      </c>
      <c r="BA236" s="66">
        <f t="shared" si="53"/>
        <v>8338.6</v>
      </c>
    </row>
    <row r="237" spans="1:53" ht="15">
      <c r="A237" s="178" t="s">
        <v>578</v>
      </c>
      <c r="B237" s="179" t="s">
        <v>591</v>
      </c>
      <c r="C237" s="692"/>
      <c r="D237" s="181">
        <v>162122</v>
      </c>
      <c r="E237" s="181">
        <v>8</v>
      </c>
      <c r="F237" s="29" t="s">
        <v>75</v>
      </c>
      <c r="G237" s="16" t="s">
        <v>75</v>
      </c>
      <c r="H237" s="27">
        <v>756</v>
      </c>
      <c r="I237" s="109">
        <v>0</v>
      </c>
      <c r="J237" s="27">
        <v>66488</v>
      </c>
      <c r="K237" s="26">
        <v>66348</v>
      </c>
      <c r="L237" s="27">
        <v>16164</v>
      </c>
      <c r="M237" s="234">
        <v>14597</v>
      </c>
      <c r="N237" s="27">
        <v>72018</v>
      </c>
      <c r="O237" s="235">
        <v>69339</v>
      </c>
      <c r="P237" s="64">
        <f t="shared" si="36"/>
        <v>155426</v>
      </c>
      <c r="Q237" s="65">
        <f t="shared" si="37"/>
        <v>5180.8666666666668</v>
      </c>
      <c r="R237" s="66">
        <f t="shared" si="38"/>
        <v>150284</v>
      </c>
      <c r="S237" s="67">
        <f t="shared" si="39"/>
        <v>5009.4666666666662</v>
      </c>
      <c r="T237" s="27"/>
      <c r="U237" s="235"/>
      <c r="V237" s="64">
        <f t="shared" si="40"/>
        <v>0</v>
      </c>
      <c r="W237" s="68">
        <f t="shared" si="41"/>
        <v>0</v>
      </c>
      <c r="X237" s="27"/>
      <c r="Y237" s="235"/>
      <c r="Z237" s="27"/>
      <c r="AA237" s="235"/>
      <c r="AB237" s="27"/>
      <c r="AC237" s="235"/>
      <c r="AD237" s="27"/>
      <c r="AE237" s="235"/>
      <c r="AF237" s="64">
        <f t="shared" si="42"/>
        <v>0</v>
      </c>
      <c r="AG237" s="65">
        <f t="shared" si="43"/>
        <v>0</v>
      </c>
      <c r="AH237" s="66">
        <f t="shared" si="44"/>
        <v>0</v>
      </c>
      <c r="AI237" s="66">
        <f t="shared" si="45"/>
        <v>0</v>
      </c>
      <c r="AJ237" s="27"/>
      <c r="AK237" s="235"/>
      <c r="AL237" s="64">
        <f t="shared" si="46"/>
        <v>0</v>
      </c>
      <c r="AM237" s="67">
        <f t="shared" si="47"/>
        <v>0</v>
      </c>
      <c r="AN237" s="27">
        <v>0</v>
      </c>
      <c r="AO237" s="235"/>
      <c r="AP237" s="27">
        <v>0</v>
      </c>
      <c r="AQ237" s="235"/>
      <c r="AR237" s="27">
        <v>0</v>
      </c>
      <c r="AS237" s="235"/>
      <c r="AT237" s="27">
        <v>0</v>
      </c>
      <c r="AU237" s="235"/>
      <c r="AV237" s="64">
        <f t="shared" si="48"/>
        <v>0</v>
      </c>
      <c r="AW237" s="70">
        <f t="shared" si="49"/>
        <v>0</v>
      </c>
      <c r="AX237" s="66">
        <f t="shared" si="50"/>
        <v>0</v>
      </c>
      <c r="AY237" s="71">
        <f t="shared" si="51"/>
        <v>0</v>
      </c>
      <c r="AZ237" s="72">
        <f t="shared" si="52"/>
        <v>5180.8666666666668</v>
      </c>
      <c r="BA237" s="66">
        <f t="shared" si="53"/>
        <v>5009.4666666666662</v>
      </c>
    </row>
    <row r="238" spans="1:53" ht="15">
      <c r="A238" s="178" t="s">
        <v>578</v>
      </c>
      <c r="B238" s="179" t="s">
        <v>592</v>
      </c>
      <c r="C238" s="692"/>
      <c r="D238" s="181">
        <v>434672</v>
      </c>
      <c r="E238" s="181">
        <v>8</v>
      </c>
      <c r="F238" s="29" t="s">
        <v>75</v>
      </c>
      <c r="G238" s="16" t="s">
        <v>75</v>
      </c>
      <c r="H238" s="27">
        <v>10186</v>
      </c>
      <c r="I238" s="26">
        <v>10568</v>
      </c>
      <c r="J238" s="27">
        <v>172054</v>
      </c>
      <c r="K238" s="109">
        <v>157773</v>
      </c>
      <c r="L238" s="27">
        <v>35074</v>
      </c>
      <c r="M238" s="235">
        <v>33780</v>
      </c>
      <c r="N238" s="27">
        <v>186083</v>
      </c>
      <c r="O238" s="235">
        <v>177591</v>
      </c>
      <c r="P238" s="64">
        <f t="shared" si="36"/>
        <v>403397</v>
      </c>
      <c r="Q238" s="65">
        <f t="shared" si="37"/>
        <v>13446.566666666668</v>
      </c>
      <c r="R238" s="66">
        <f t="shared" si="38"/>
        <v>379712</v>
      </c>
      <c r="S238" s="67">
        <f t="shared" si="39"/>
        <v>12657.066666666668</v>
      </c>
      <c r="T238" s="27"/>
      <c r="U238" s="235"/>
      <c r="V238" s="64">
        <f t="shared" si="40"/>
        <v>0</v>
      </c>
      <c r="W238" s="68">
        <f t="shared" si="41"/>
        <v>0</v>
      </c>
      <c r="X238" s="27"/>
      <c r="Y238" s="235"/>
      <c r="Z238" s="27"/>
      <c r="AA238" s="235"/>
      <c r="AB238" s="27"/>
      <c r="AC238" s="235"/>
      <c r="AD238" s="27"/>
      <c r="AE238" s="235"/>
      <c r="AF238" s="64">
        <f t="shared" si="42"/>
        <v>0</v>
      </c>
      <c r="AG238" s="65">
        <f t="shared" si="43"/>
        <v>0</v>
      </c>
      <c r="AH238" s="66">
        <f t="shared" si="44"/>
        <v>0</v>
      </c>
      <c r="AI238" s="66">
        <f t="shared" si="45"/>
        <v>0</v>
      </c>
      <c r="AJ238" s="27"/>
      <c r="AK238" s="235"/>
      <c r="AL238" s="64">
        <f t="shared" si="46"/>
        <v>0</v>
      </c>
      <c r="AM238" s="67">
        <f t="shared" si="47"/>
        <v>0</v>
      </c>
      <c r="AN238" s="27">
        <v>0</v>
      </c>
      <c r="AO238" s="235"/>
      <c r="AP238" s="27">
        <v>0</v>
      </c>
      <c r="AQ238" s="235"/>
      <c r="AR238" s="27">
        <v>0</v>
      </c>
      <c r="AS238" s="235"/>
      <c r="AT238" s="27">
        <v>0</v>
      </c>
      <c r="AU238" s="235"/>
      <c r="AV238" s="64">
        <f t="shared" si="48"/>
        <v>0</v>
      </c>
      <c r="AW238" s="70">
        <f t="shared" si="49"/>
        <v>0</v>
      </c>
      <c r="AX238" s="66">
        <f t="shared" si="50"/>
        <v>0</v>
      </c>
      <c r="AY238" s="71">
        <f t="shared" si="51"/>
        <v>0</v>
      </c>
      <c r="AZ238" s="72">
        <f t="shared" si="52"/>
        <v>13446.566666666668</v>
      </c>
      <c r="BA238" s="66">
        <f t="shared" si="53"/>
        <v>12657.066666666668</v>
      </c>
    </row>
    <row r="239" spans="1:53" ht="15">
      <c r="A239" s="178" t="s">
        <v>578</v>
      </c>
      <c r="B239" s="179" t="s">
        <v>593</v>
      </c>
      <c r="C239" s="692"/>
      <c r="D239" s="181">
        <v>162779</v>
      </c>
      <c r="E239" s="181">
        <v>8</v>
      </c>
      <c r="F239" s="29" t="s">
        <v>75</v>
      </c>
      <c r="G239" s="16" t="s">
        <v>75</v>
      </c>
      <c r="H239" s="27">
        <v>5774</v>
      </c>
      <c r="I239" s="109">
        <v>6133</v>
      </c>
      <c r="J239" s="27">
        <v>80487</v>
      </c>
      <c r="K239" s="26">
        <v>77796</v>
      </c>
      <c r="L239" s="27">
        <v>19593</v>
      </c>
      <c r="M239" s="235">
        <v>18814</v>
      </c>
      <c r="N239" s="27">
        <v>87944</v>
      </c>
      <c r="O239" s="235">
        <v>86417</v>
      </c>
      <c r="P239" s="64">
        <f t="shared" si="36"/>
        <v>193798</v>
      </c>
      <c r="Q239" s="65">
        <f t="shared" si="37"/>
        <v>6459.9333333333334</v>
      </c>
      <c r="R239" s="66">
        <f t="shared" si="38"/>
        <v>189160</v>
      </c>
      <c r="S239" s="67">
        <f t="shared" si="39"/>
        <v>6305.333333333333</v>
      </c>
      <c r="T239" s="27"/>
      <c r="U239" s="235"/>
      <c r="V239" s="64">
        <f t="shared" si="40"/>
        <v>0</v>
      </c>
      <c r="W239" s="68">
        <f t="shared" si="41"/>
        <v>0</v>
      </c>
      <c r="X239" s="27"/>
      <c r="Y239" s="235"/>
      <c r="Z239" s="27"/>
      <c r="AA239" s="235"/>
      <c r="AB239" s="27"/>
      <c r="AC239" s="235"/>
      <c r="AD239" s="27"/>
      <c r="AE239" s="235"/>
      <c r="AF239" s="64">
        <f t="shared" si="42"/>
        <v>0</v>
      </c>
      <c r="AG239" s="65">
        <f t="shared" si="43"/>
        <v>0</v>
      </c>
      <c r="AH239" s="66">
        <f t="shared" si="44"/>
        <v>0</v>
      </c>
      <c r="AI239" s="66">
        <f t="shared" si="45"/>
        <v>0</v>
      </c>
      <c r="AJ239" s="27"/>
      <c r="AK239" s="235"/>
      <c r="AL239" s="64">
        <f t="shared" si="46"/>
        <v>0</v>
      </c>
      <c r="AM239" s="67">
        <f t="shared" si="47"/>
        <v>0</v>
      </c>
      <c r="AN239" s="27">
        <v>0</v>
      </c>
      <c r="AO239" s="235"/>
      <c r="AP239" s="27">
        <v>0</v>
      </c>
      <c r="AQ239" s="235"/>
      <c r="AR239" s="27">
        <v>0</v>
      </c>
      <c r="AS239" s="235"/>
      <c r="AT239" s="27">
        <v>0</v>
      </c>
      <c r="AU239" s="235"/>
      <c r="AV239" s="64">
        <f t="shared" si="48"/>
        <v>0</v>
      </c>
      <c r="AW239" s="70">
        <f t="shared" si="49"/>
        <v>0</v>
      </c>
      <c r="AX239" s="66">
        <f t="shared" si="50"/>
        <v>0</v>
      </c>
      <c r="AY239" s="71">
        <f t="shared" si="51"/>
        <v>0</v>
      </c>
      <c r="AZ239" s="72">
        <f t="shared" si="52"/>
        <v>6459.9333333333334</v>
      </c>
      <c r="BA239" s="66">
        <f t="shared" si="53"/>
        <v>6305.333333333333</v>
      </c>
    </row>
    <row r="240" spans="1:53" ht="15">
      <c r="A240" s="178" t="s">
        <v>578</v>
      </c>
      <c r="B240" s="179" t="s">
        <v>594</v>
      </c>
      <c r="C240" s="692"/>
      <c r="D240" s="181">
        <v>163426</v>
      </c>
      <c r="E240" s="181">
        <v>8</v>
      </c>
      <c r="F240" s="29" t="s">
        <v>75</v>
      </c>
      <c r="G240" s="16" t="s">
        <v>75</v>
      </c>
      <c r="H240" s="27">
        <v>4395</v>
      </c>
      <c r="I240" s="26">
        <v>4344</v>
      </c>
      <c r="J240" s="27">
        <v>273244</v>
      </c>
      <c r="K240" s="26">
        <v>262757</v>
      </c>
      <c r="L240" s="27">
        <v>147032</v>
      </c>
      <c r="M240" s="234">
        <v>162290</v>
      </c>
      <c r="N240" s="27">
        <v>272828</v>
      </c>
      <c r="O240" s="235">
        <v>262525</v>
      </c>
      <c r="P240" s="64">
        <f t="shared" si="36"/>
        <v>697499</v>
      </c>
      <c r="Q240" s="65">
        <f t="shared" si="37"/>
        <v>23249.966666666667</v>
      </c>
      <c r="R240" s="66">
        <f t="shared" si="38"/>
        <v>691916</v>
      </c>
      <c r="S240" s="67">
        <f t="shared" si="39"/>
        <v>23063.866666666665</v>
      </c>
      <c r="T240" s="27"/>
      <c r="U240" s="235"/>
      <c r="V240" s="64">
        <f t="shared" si="40"/>
        <v>0</v>
      </c>
      <c r="W240" s="68">
        <f t="shared" si="41"/>
        <v>0</v>
      </c>
      <c r="X240" s="27"/>
      <c r="Y240" s="235"/>
      <c r="Z240" s="27"/>
      <c r="AA240" s="235"/>
      <c r="AB240" s="27"/>
      <c r="AC240" s="235"/>
      <c r="AD240" s="27"/>
      <c r="AE240" s="235"/>
      <c r="AF240" s="64">
        <f t="shared" si="42"/>
        <v>0</v>
      </c>
      <c r="AG240" s="65">
        <f t="shared" si="43"/>
        <v>0</v>
      </c>
      <c r="AH240" s="66">
        <f t="shared" si="44"/>
        <v>0</v>
      </c>
      <c r="AI240" s="66">
        <f t="shared" si="45"/>
        <v>0</v>
      </c>
      <c r="AJ240" s="27"/>
      <c r="AK240" s="235"/>
      <c r="AL240" s="64">
        <f t="shared" si="46"/>
        <v>0</v>
      </c>
      <c r="AM240" s="67">
        <f t="shared" si="47"/>
        <v>0</v>
      </c>
      <c r="AN240" s="27">
        <v>0</v>
      </c>
      <c r="AO240" s="235"/>
      <c r="AP240" s="27">
        <v>0</v>
      </c>
      <c r="AQ240" s="235"/>
      <c r="AR240" s="27">
        <v>0</v>
      </c>
      <c r="AS240" s="235"/>
      <c r="AT240" s="27">
        <v>0</v>
      </c>
      <c r="AU240" s="235"/>
      <c r="AV240" s="64">
        <f t="shared" si="48"/>
        <v>0</v>
      </c>
      <c r="AW240" s="70">
        <f t="shared" si="49"/>
        <v>0</v>
      </c>
      <c r="AX240" s="66">
        <f t="shared" si="50"/>
        <v>0</v>
      </c>
      <c r="AY240" s="71">
        <f t="shared" si="51"/>
        <v>0</v>
      </c>
      <c r="AZ240" s="72">
        <f t="shared" si="52"/>
        <v>23249.966666666667</v>
      </c>
      <c r="BA240" s="66">
        <f t="shared" si="53"/>
        <v>23063.866666666665</v>
      </c>
    </row>
    <row r="241" spans="1:53" ht="15">
      <c r="A241" s="178" t="s">
        <v>578</v>
      </c>
      <c r="B241" s="179" t="s">
        <v>595</v>
      </c>
      <c r="C241" s="692"/>
      <c r="D241" s="181">
        <v>163657</v>
      </c>
      <c r="E241" s="181">
        <v>8</v>
      </c>
      <c r="F241" s="29" t="s">
        <v>75</v>
      </c>
      <c r="G241" s="16" t="s">
        <v>75</v>
      </c>
      <c r="H241" s="27">
        <v>0</v>
      </c>
      <c r="I241" s="26">
        <v>0</v>
      </c>
      <c r="J241" s="27">
        <v>139262</v>
      </c>
      <c r="K241" s="109">
        <v>168960</v>
      </c>
      <c r="L241" s="27">
        <v>46865</v>
      </c>
      <c r="M241" s="234">
        <v>22237</v>
      </c>
      <c r="N241" s="27">
        <v>109520</v>
      </c>
      <c r="O241" s="234">
        <v>93208</v>
      </c>
      <c r="P241" s="64">
        <f t="shared" si="36"/>
        <v>295647</v>
      </c>
      <c r="Q241" s="65">
        <f t="shared" si="37"/>
        <v>9854.9</v>
      </c>
      <c r="R241" s="66">
        <f t="shared" si="38"/>
        <v>284405</v>
      </c>
      <c r="S241" s="67">
        <f t="shared" si="39"/>
        <v>9480.1666666666661</v>
      </c>
      <c r="T241" s="27"/>
      <c r="U241" s="235"/>
      <c r="V241" s="64">
        <f t="shared" si="40"/>
        <v>0</v>
      </c>
      <c r="W241" s="68">
        <f t="shared" si="41"/>
        <v>0</v>
      </c>
      <c r="X241" s="27"/>
      <c r="Y241" s="235"/>
      <c r="Z241" s="27"/>
      <c r="AA241" s="235"/>
      <c r="AB241" s="27"/>
      <c r="AC241" s="235"/>
      <c r="AD241" s="27"/>
      <c r="AE241" s="235"/>
      <c r="AF241" s="64">
        <f t="shared" si="42"/>
        <v>0</v>
      </c>
      <c r="AG241" s="65">
        <f t="shared" si="43"/>
        <v>0</v>
      </c>
      <c r="AH241" s="66">
        <f t="shared" si="44"/>
        <v>0</v>
      </c>
      <c r="AI241" s="66">
        <f t="shared" si="45"/>
        <v>0</v>
      </c>
      <c r="AJ241" s="27"/>
      <c r="AK241" s="235"/>
      <c r="AL241" s="64">
        <f t="shared" si="46"/>
        <v>0</v>
      </c>
      <c r="AM241" s="67">
        <f t="shared" si="47"/>
        <v>0</v>
      </c>
      <c r="AN241" s="27">
        <v>0</v>
      </c>
      <c r="AO241" s="235"/>
      <c r="AP241" s="27">
        <v>0</v>
      </c>
      <c r="AQ241" s="235"/>
      <c r="AR241" s="27">
        <v>0</v>
      </c>
      <c r="AS241" s="235"/>
      <c r="AT241" s="27">
        <v>0</v>
      </c>
      <c r="AU241" s="235"/>
      <c r="AV241" s="64">
        <f t="shared" si="48"/>
        <v>0</v>
      </c>
      <c r="AW241" s="70">
        <f t="shared" si="49"/>
        <v>0</v>
      </c>
      <c r="AX241" s="66">
        <f t="shared" si="50"/>
        <v>0</v>
      </c>
      <c r="AY241" s="71">
        <f t="shared" si="51"/>
        <v>0</v>
      </c>
      <c r="AZ241" s="72">
        <f t="shared" si="52"/>
        <v>9854.9</v>
      </c>
      <c r="BA241" s="66">
        <f t="shared" si="53"/>
        <v>9480.1666666666661</v>
      </c>
    </row>
    <row r="242" spans="1:53" ht="15">
      <c r="A242" s="178" t="s">
        <v>578</v>
      </c>
      <c r="B242" s="179" t="s">
        <v>596</v>
      </c>
      <c r="C242" s="692" t="s">
        <v>982</v>
      </c>
      <c r="D242" s="181">
        <v>161688</v>
      </c>
      <c r="E242" s="236">
        <v>9</v>
      </c>
      <c r="F242" s="29" t="s">
        <v>75</v>
      </c>
      <c r="G242" s="16" t="s">
        <v>75</v>
      </c>
      <c r="H242" s="27">
        <v>0</v>
      </c>
      <c r="I242" s="26">
        <v>0</v>
      </c>
      <c r="J242" s="27">
        <v>29419</v>
      </c>
      <c r="K242" s="109">
        <v>26824</v>
      </c>
      <c r="L242" s="27">
        <v>4152</v>
      </c>
      <c r="M242" s="234">
        <v>3918</v>
      </c>
      <c r="N242" s="27">
        <v>30775</v>
      </c>
      <c r="O242" s="234">
        <v>28084</v>
      </c>
      <c r="P242" s="64">
        <f t="shared" si="36"/>
        <v>64346</v>
      </c>
      <c r="Q242" s="65">
        <f t="shared" si="37"/>
        <v>2144.8666666666668</v>
      </c>
      <c r="R242" s="66">
        <f t="shared" si="38"/>
        <v>58826</v>
      </c>
      <c r="S242" s="67">
        <f t="shared" si="39"/>
        <v>1960.8666666666666</v>
      </c>
      <c r="T242" s="27"/>
      <c r="U242" s="235"/>
      <c r="V242" s="64">
        <f t="shared" si="40"/>
        <v>0</v>
      </c>
      <c r="W242" s="68">
        <f t="shared" si="41"/>
        <v>0</v>
      </c>
      <c r="X242" s="27"/>
      <c r="Y242" s="235"/>
      <c r="Z242" s="27"/>
      <c r="AA242" s="235"/>
      <c r="AB242" s="27"/>
      <c r="AC242" s="235"/>
      <c r="AD242" s="27"/>
      <c r="AE242" s="235"/>
      <c r="AF242" s="64">
        <f t="shared" si="42"/>
        <v>0</v>
      </c>
      <c r="AG242" s="65">
        <f t="shared" si="43"/>
        <v>0</v>
      </c>
      <c r="AH242" s="66">
        <f t="shared" si="44"/>
        <v>0</v>
      </c>
      <c r="AI242" s="66">
        <f t="shared" si="45"/>
        <v>0</v>
      </c>
      <c r="AJ242" s="27"/>
      <c r="AK242" s="235"/>
      <c r="AL242" s="64">
        <f t="shared" si="46"/>
        <v>0</v>
      </c>
      <c r="AM242" s="67">
        <f t="shared" si="47"/>
        <v>0</v>
      </c>
      <c r="AN242" s="27">
        <v>0</v>
      </c>
      <c r="AO242" s="235"/>
      <c r="AP242" s="27">
        <v>0</v>
      </c>
      <c r="AQ242" s="235"/>
      <c r="AR242" s="27">
        <v>0</v>
      </c>
      <c r="AS242" s="235"/>
      <c r="AT242" s="27">
        <v>0</v>
      </c>
      <c r="AU242" s="235"/>
      <c r="AV242" s="64">
        <f t="shared" si="48"/>
        <v>0</v>
      </c>
      <c r="AW242" s="70">
        <f t="shared" si="49"/>
        <v>0</v>
      </c>
      <c r="AX242" s="66">
        <f t="shared" si="50"/>
        <v>0</v>
      </c>
      <c r="AY242" s="71">
        <f t="shared" si="51"/>
        <v>0</v>
      </c>
      <c r="AZ242" s="72">
        <f t="shared" si="52"/>
        <v>2144.8666666666668</v>
      </c>
      <c r="BA242" s="66">
        <f t="shared" si="53"/>
        <v>1960.8666666666666</v>
      </c>
    </row>
    <row r="243" spans="1:53" ht="15">
      <c r="A243" s="178" t="s">
        <v>578</v>
      </c>
      <c r="B243" s="179" t="s">
        <v>597</v>
      </c>
      <c r="C243" s="692"/>
      <c r="D243" s="181">
        <v>161864</v>
      </c>
      <c r="E243" s="181">
        <v>9</v>
      </c>
      <c r="F243" s="29" t="s">
        <v>75</v>
      </c>
      <c r="G243" s="16" t="s">
        <v>75</v>
      </c>
      <c r="H243" s="27">
        <v>1355</v>
      </c>
      <c r="I243" s="109">
        <v>1095</v>
      </c>
      <c r="J243" s="27">
        <v>1989</v>
      </c>
      <c r="K243" s="109">
        <v>37813</v>
      </c>
      <c r="L243" s="27">
        <v>6946</v>
      </c>
      <c r="M243" s="234">
        <v>5807</v>
      </c>
      <c r="N243" s="27">
        <v>37261</v>
      </c>
      <c r="O243" s="235">
        <v>35711</v>
      </c>
      <c r="P243" s="64">
        <f t="shared" si="36"/>
        <v>47551</v>
      </c>
      <c r="Q243" s="65">
        <f t="shared" si="37"/>
        <v>1585.0333333333333</v>
      </c>
      <c r="R243" s="66">
        <f t="shared" si="38"/>
        <v>80426</v>
      </c>
      <c r="S243" s="67">
        <f t="shared" si="39"/>
        <v>2680.8666666666668</v>
      </c>
      <c r="T243" s="27"/>
      <c r="U243" s="235"/>
      <c r="V243" s="64">
        <f t="shared" si="40"/>
        <v>0</v>
      </c>
      <c r="W243" s="68">
        <f t="shared" si="41"/>
        <v>0</v>
      </c>
      <c r="X243" s="27"/>
      <c r="Y243" s="235"/>
      <c r="Z243" s="27"/>
      <c r="AA243" s="235"/>
      <c r="AB243" s="27"/>
      <c r="AC243" s="235"/>
      <c r="AD243" s="27"/>
      <c r="AE243" s="235"/>
      <c r="AF243" s="64">
        <f t="shared" si="42"/>
        <v>0</v>
      </c>
      <c r="AG243" s="65">
        <f t="shared" si="43"/>
        <v>0</v>
      </c>
      <c r="AH243" s="66">
        <f t="shared" si="44"/>
        <v>0</v>
      </c>
      <c r="AI243" s="66">
        <f t="shared" si="45"/>
        <v>0</v>
      </c>
      <c r="AJ243" s="27"/>
      <c r="AK243" s="235"/>
      <c r="AL243" s="64">
        <f t="shared" si="46"/>
        <v>0</v>
      </c>
      <c r="AM243" s="67">
        <f t="shared" si="47"/>
        <v>0</v>
      </c>
      <c r="AN243" s="27">
        <v>0</v>
      </c>
      <c r="AO243" s="235"/>
      <c r="AP243" s="27">
        <v>0</v>
      </c>
      <c r="AQ243" s="235"/>
      <c r="AR243" s="27">
        <v>0</v>
      </c>
      <c r="AS243" s="235"/>
      <c r="AT243" s="27">
        <v>0</v>
      </c>
      <c r="AU243" s="235"/>
      <c r="AV243" s="64">
        <f t="shared" si="48"/>
        <v>0</v>
      </c>
      <c r="AW243" s="70">
        <f t="shared" si="49"/>
        <v>0</v>
      </c>
      <c r="AX243" s="66">
        <f t="shared" si="50"/>
        <v>0</v>
      </c>
      <c r="AY243" s="71">
        <f t="shared" si="51"/>
        <v>0</v>
      </c>
      <c r="AZ243" s="72">
        <f t="shared" si="52"/>
        <v>1585.0333333333333</v>
      </c>
      <c r="BA243" s="66">
        <f t="shared" si="53"/>
        <v>2680.8666666666668</v>
      </c>
    </row>
    <row r="244" spans="1:53" ht="15">
      <c r="A244" s="178" t="s">
        <v>578</v>
      </c>
      <c r="B244" s="237" t="s">
        <v>598</v>
      </c>
      <c r="C244" s="692"/>
      <c r="D244" s="181">
        <v>405872</v>
      </c>
      <c r="E244" s="181">
        <v>9</v>
      </c>
      <c r="F244" s="29" t="s">
        <v>75</v>
      </c>
      <c r="G244" s="16" t="s">
        <v>75</v>
      </c>
      <c r="H244" s="27">
        <v>2102</v>
      </c>
      <c r="I244" s="26">
        <v>2178</v>
      </c>
      <c r="J244" s="27">
        <v>28476</v>
      </c>
      <c r="K244" s="26">
        <v>27449</v>
      </c>
      <c r="L244" s="27">
        <v>5781</v>
      </c>
      <c r="M244" s="235">
        <v>5621</v>
      </c>
      <c r="N244" s="27">
        <v>32628</v>
      </c>
      <c r="O244" s="234">
        <v>30510</v>
      </c>
      <c r="P244" s="64">
        <f t="shared" si="36"/>
        <v>68987</v>
      </c>
      <c r="Q244" s="65">
        <f t="shared" si="37"/>
        <v>2299.5666666666666</v>
      </c>
      <c r="R244" s="66">
        <f t="shared" si="38"/>
        <v>65758</v>
      </c>
      <c r="S244" s="67">
        <f t="shared" si="39"/>
        <v>2191.9333333333334</v>
      </c>
      <c r="T244" s="27"/>
      <c r="U244" s="235"/>
      <c r="V244" s="64">
        <f t="shared" si="40"/>
        <v>0</v>
      </c>
      <c r="W244" s="68">
        <f t="shared" si="41"/>
        <v>0</v>
      </c>
      <c r="X244" s="27"/>
      <c r="Y244" s="235"/>
      <c r="Z244" s="27"/>
      <c r="AA244" s="235"/>
      <c r="AB244" s="27"/>
      <c r="AC244" s="235"/>
      <c r="AD244" s="27"/>
      <c r="AE244" s="235"/>
      <c r="AF244" s="64">
        <f t="shared" si="42"/>
        <v>0</v>
      </c>
      <c r="AG244" s="65">
        <f t="shared" si="43"/>
        <v>0</v>
      </c>
      <c r="AH244" s="66">
        <f t="shared" si="44"/>
        <v>0</v>
      </c>
      <c r="AI244" s="66">
        <f t="shared" si="45"/>
        <v>0</v>
      </c>
      <c r="AJ244" s="27"/>
      <c r="AK244" s="235"/>
      <c r="AL244" s="64">
        <f t="shared" si="46"/>
        <v>0</v>
      </c>
      <c r="AM244" s="67">
        <f t="shared" si="47"/>
        <v>0</v>
      </c>
      <c r="AN244" s="27">
        <v>0</v>
      </c>
      <c r="AO244" s="235"/>
      <c r="AP244" s="27">
        <v>0</v>
      </c>
      <c r="AQ244" s="235"/>
      <c r="AR244" s="27">
        <v>0</v>
      </c>
      <c r="AS244" s="235"/>
      <c r="AT244" s="27">
        <v>0</v>
      </c>
      <c r="AU244" s="235"/>
      <c r="AV244" s="64">
        <f t="shared" si="48"/>
        <v>0</v>
      </c>
      <c r="AW244" s="70">
        <f t="shared" si="49"/>
        <v>0</v>
      </c>
      <c r="AX244" s="66">
        <f t="shared" si="50"/>
        <v>0</v>
      </c>
      <c r="AY244" s="71">
        <f t="shared" si="51"/>
        <v>0</v>
      </c>
      <c r="AZ244" s="72">
        <f t="shared" si="52"/>
        <v>2299.5666666666666</v>
      </c>
      <c r="BA244" s="66">
        <f t="shared" si="53"/>
        <v>2191.9333333333334</v>
      </c>
    </row>
    <row r="245" spans="1:53" ht="15">
      <c r="A245" s="178" t="s">
        <v>578</v>
      </c>
      <c r="B245" s="179" t="s">
        <v>599</v>
      </c>
      <c r="C245" s="692"/>
      <c r="D245" s="181">
        <v>162557</v>
      </c>
      <c r="E245" s="181">
        <v>9</v>
      </c>
      <c r="F245" s="29" t="s">
        <v>75</v>
      </c>
      <c r="G245" s="16" t="s">
        <v>75</v>
      </c>
      <c r="H245" s="27">
        <v>1960</v>
      </c>
      <c r="I245" s="109">
        <v>1385</v>
      </c>
      <c r="J245" s="27">
        <v>48502</v>
      </c>
      <c r="K245" s="26">
        <v>48938</v>
      </c>
      <c r="L245" s="27">
        <v>9911</v>
      </c>
      <c r="M245" s="235">
        <v>9943</v>
      </c>
      <c r="N245" s="27">
        <v>52299</v>
      </c>
      <c r="O245" s="235">
        <v>51989</v>
      </c>
      <c r="P245" s="64">
        <f t="shared" si="36"/>
        <v>112672</v>
      </c>
      <c r="Q245" s="65">
        <f t="shared" si="37"/>
        <v>3755.7333333333331</v>
      </c>
      <c r="R245" s="66">
        <f t="shared" si="38"/>
        <v>112255</v>
      </c>
      <c r="S245" s="67">
        <f t="shared" si="39"/>
        <v>3741.8333333333335</v>
      </c>
      <c r="T245" s="27"/>
      <c r="U245" s="235"/>
      <c r="V245" s="64">
        <f t="shared" si="40"/>
        <v>0</v>
      </c>
      <c r="W245" s="68">
        <f t="shared" si="41"/>
        <v>0</v>
      </c>
      <c r="X245" s="27"/>
      <c r="Y245" s="235"/>
      <c r="Z245" s="27"/>
      <c r="AA245" s="235"/>
      <c r="AB245" s="27"/>
      <c r="AC245" s="235"/>
      <c r="AD245" s="27"/>
      <c r="AE245" s="235"/>
      <c r="AF245" s="64">
        <f t="shared" si="42"/>
        <v>0</v>
      </c>
      <c r="AG245" s="65">
        <f t="shared" si="43"/>
        <v>0</v>
      </c>
      <c r="AH245" s="66">
        <f t="shared" si="44"/>
        <v>0</v>
      </c>
      <c r="AI245" s="66">
        <f t="shared" si="45"/>
        <v>0</v>
      </c>
      <c r="AJ245" s="27"/>
      <c r="AK245" s="235"/>
      <c r="AL245" s="64">
        <f t="shared" si="46"/>
        <v>0</v>
      </c>
      <c r="AM245" s="67">
        <f t="shared" si="47"/>
        <v>0</v>
      </c>
      <c r="AN245" s="27">
        <v>0</v>
      </c>
      <c r="AO245" s="235"/>
      <c r="AP245" s="27">
        <v>0</v>
      </c>
      <c r="AQ245" s="235"/>
      <c r="AR245" s="27">
        <v>0</v>
      </c>
      <c r="AS245" s="235"/>
      <c r="AT245" s="27">
        <v>0</v>
      </c>
      <c r="AU245" s="235"/>
      <c r="AV245" s="64">
        <f t="shared" si="48"/>
        <v>0</v>
      </c>
      <c r="AW245" s="70">
        <f t="shared" si="49"/>
        <v>0</v>
      </c>
      <c r="AX245" s="66">
        <f t="shared" si="50"/>
        <v>0</v>
      </c>
      <c r="AY245" s="71">
        <f t="shared" si="51"/>
        <v>0</v>
      </c>
      <c r="AZ245" s="72">
        <f t="shared" si="52"/>
        <v>3755.7333333333331</v>
      </c>
      <c r="BA245" s="66">
        <f t="shared" si="53"/>
        <v>3741.8333333333335</v>
      </c>
    </row>
    <row r="246" spans="1:53" ht="15">
      <c r="A246" s="178" t="s">
        <v>578</v>
      </c>
      <c r="B246" s="179" t="s">
        <v>600</v>
      </c>
      <c r="C246" s="692"/>
      <c r="D246" s="181">
        <v>162690</v>
      </c>
      <c r="E246" s="181">
        <v>9</v>
      </c>
      <c r="F246" s="29" t="s">
        <v>75</v>
      </c>
      <c r="G246" s="16" t="s">
        <v>75</v>
      </c>
      <c r="H246" s="27">
        <v>0</v>
      </c>
      <c r="I246" s="26">
        <v>0</v>
      </c>
      <c r="J246" s="27">
        <v>36565</v>
      </c>
      <c r="K246" s="109">
        <v>33752</v>
      </c>
      <c r="L246" s="27">
        <v>10858</v>
      </c>
      <c r="M246" s="234">
        <v>9623</v>
      </c>
      <c r="N246" s="27">
        <v>38221</v>
      </c>
      <c r="O246" s="235">
        <v>36674</v>
      </c>
      <c r="P246" s="64">
        <f t="shared" si="36"/>
        <v>85644</v>
      </c>
      <c r="Q246" s="65">
        <f t="shared" si="37"/>
        <v>2854.8</v>
      </c>
      <c r="R246" s="66">
        <f t="shared" si="38"/>
        <v>80049</v>
      </c>
      <c r="S246" s="67">
        <f t="shared" si="39"/>
        <v>2668.3</v>
      </c>
      <c r="T246" s="27"/>
      <c r="U246" s="235"/>
      <c r="V246" s="64">
        <f t="shared" si="40"/>
        <v>0</v>
      </c>
      <c r="W246" s="68">
        <f t="shared" si="41"/>
        <v>0</v>
      </c>
      <c r="X246" s="27"/>
      <c r="Y246" s="235"/>
      <c r="Z246" s="27"/>
      <c r="AA246" s="235"/>
      <c r="AB246" s="27"/>
      <c r="AC246" s="235"/>
      <c r="AD246" s="27"/>
      <c r="AE246" s="235"/>
      <c r="AF246" s="64">
        <f t="shared" si="42"/>
        <v>0</v>
      </c>
      <c r="AG246" s="65">
        <f t="shared" si="43"/>
        <v>0</v>
      </c>
      <c r="AH246" s="66">
        <f t="shared" si="44"/>
        <v>0</v>
      </c>
      <c r="AI246" s="66">
        <f t="shared" si="45"/>
        <v>0</v>
      </c>
      <c r="AJ246" s="27"/>
      <c r="AK246" s="235"/>
      <c r="AL246" s="64">
        <f t="shared" si="46"/>
        <v>0</v>
      </c>
      <c r="AM246" s="67">
        <f t="shared" si="47"/>
        <v>0</v>
      </c>
      <c r="AN246" s="27">
        <v>0</v>
      </c>
      <c r="AO246" s="235"/>
      <c r="AP246" s="27">
        <v>0</v>
      </c>
      <c r="AQ246" s="235"/>
      <c r="AR246" s="27">
        <v>0</v>
      </c>
      <c r="AS246" s="235"/>
      <c r="AT246" s="27">
        <v>0</v>
      </c>
      <c r="AU246" s="235"/>
      <c r="AV246" s="64">
        <f t="shared" si="48"/>
        <v>0</v>
      </c>
      <c r="AW246" s="70">
        <f t="shared" si="49"/>
        <v>0</v>
      </c>
      <c r="AX246" s="66">
        <f t="shared" si="50"/>
        <v>0</v>
      </c>
      <c r="AY246" s="71">
        <f t="shared" si="51"/>
        <v>0</v>
      </c>
      <c r="AZ246" s="72">
        <f t="shared" si="52"/>
        <v>2854.8</v>
      </c>
      <c r="BA246" s="66">
        <f t="shared" si="53"/>
        <v>2668.3</v>
      </c>
    </row>
    <row r="247" spans="1:53" ht="15">
      <c r="A247" s="178" t="s">
        <v>578</v>
      </c>
      <c r="B247" s="179" t="s">
        <v>601</v>
      </c>
      <c r="C247" s="692"/>
      <c r="D247" s="181">
        <v>162706</v>
      </c>
      <c r="E247" s="181">
        <v>9</v>
      </c>
      <c r="F247" s="29" t="s">
        <v>75</v>
      </c>
      <c r="G247" s="16" t="s">
        <v>75</v>
      </c>
      <c r="H247" s="27">
        <v>2572</v>
      </c>
      <c r="I247" s="109">
        <v>2721</v>
      </c>
      <c r="J247" s="27">
        <v>51761</v>
      </c>
      <c r="K247" s="109">
        <v>48875</v>
      </c>
      <c r="L247" s="27">
        <v>11043</v>
      </c>
      <c r="M247" s="234">
        <v>10332</v>
      </c>
      <c r="N247" s="27">
        <v>56953</v>
      </c>
      <c r="O247" s="234">
        <v>52277</v>
      </c>
      <c r="P247" s="64">
        <f t="shared" si="36"/>
        <v>122329</v>
      </c>
      <c r="Q247" s="65">
        <f t="shared" si="37"/>
        <v>4077.6333333333332</v>
      </c>
      <c r="R247" s="66">
        <f t="shared" si="38"/>
        <v>114205</v>
      </c>
      <c r="S247" s="67">
        <f t="shared" si="39"/>
        <v>3806.8333333333335</v>
      </c>
      <c r="T247" s="27"/>
      <c r="U247" s="235"/>
      <c r="V247" s="64">
        <f t="shared" si="40"/>
        <v>0</v>
      </c>
      <c r="W247" s="68">
        <f t="shared" si="41"/>
        <v>0</v>
      </c>
      <c r="X247" s="27"/>
      <c r="Y247" s="235"/>
      <c r="Z247" s="27"/>
      <c r="AA247" s="235"/>
      <c r="AB247" s="27"/>
      <c r="AC247" s="235"/>
      <c r="AD247" s="27"/>
      <c r="AE247" s="235"/>
      <c r="AF247" s="64">
        <f t="shared" si="42"/>
        <v>0</v>
      </c>
      <c r="AG247" s="65">
        <f t="shared" si="43"/>
        <v>0</v>
      </c>
      <c r="AH247" s="66">
        <f t="shared" si="44"/>
        <v>0</v>
      </c>
      <c r="AI247" s="66">
        <f t="shared" si="45"/>
        <v>0</v>
      </c>
      <c r="AJ247" s="27"/>
      <c r="AK247" s="235"/>
      <c r="AL247" s="64">
        <f t="shared" si="46"/>
        <v>0</v>
      </c>
      <c r="AM247" s="67">
        <f t="shared" si="47"/>
        <v>0</v>
      </c>
      <c r="AN247" s="27">
        <v>0</v>
      </c>
      <c r="AO247" s="235"/>
      <c r="AP247" s="27">
        <v>0</v>
      </c>
      <c r="AQ247" s="235"/>
      <c r="AR247" s="27">
        <v>0</v>
      </c>
      <c r="AS247" s="235"/>
      <c r="AT247" s="27">
        <v>0</v>
      </c>
      <c r="AU247" s="235"/>
      <c r="AV247" s="64">
        <f t="shared" si="48"/>
        <v>0</v>
      </c>
      <c r="AW247" s="70">
        <f t="shared" si="49"/>
        <v>0</v>
      </c>
      <c r="AX247" s="66">
        <f t="shared" si="50"/>
        <v>0</v>
      </c>
      <c r="AY247" s="71">
        <f t="shared" si="51"/>
        <v>0</v>
      </c>
      <c r="AZ247" s="72">
        <f t="shared" si="52"/>
        <v>4077.6333333333332</v>
      </c>
      <c r="BA247" s="66">
        <f t="shared" si="53"/>
        <v>3806.8333333333335</v>
      </c>
    </row>
    <row r="248" spans="1:53" ht="15">
      <c r="A248" s="178" t="s">
        <v>578</v>
      </c>
      <c r="B248" s="237" t="s">
        <v>602</v>
      </c>
      <c r="C248" s="701" t="s">
        <v>980</v>
      </c>
      <c r="D248" s="181">
        <v>164313</v>
      </c>
      <c r="E248" s="183">
        <v>10</v>
      </c>
      <c r="F248" s="29" t="s">
        <v>75</v>
      </c>
      <c r="G248" s="16" t="s">
        <v>75</v>
      </c>
      <c r="H248" s="27">
        <v>0</v>
      </c>
      <c r="I248" s="26">
        <v>0</v>
      </c>
      <c r="J248" s="27">
        <v>25222</v>
      </c>
      <c r="K248" s="109">
        <v>23368</v>
      </c>
      <c r="L248" s="27">
        <v>5400.5</v>
      </c>
      <c r="M248" s="235">
        <v>5224</v>
      </c>
      <c r="N248" s="27">
        <v>26871.5</v>
      </c>
      <c r="O248" s="235">
        <v>26096</v>
      </c>
      <c r="P248" s="64">
        <f t="shared" si="36"/>
        <v>57494</v>
      </c>
      <c r="Q248" s="65">
        <f t="shared" si="37"/>
        <v>1916.4666666666667</v>
      </c>
      <c r="R248" s="66">
        <f t="shared" si="38"/>
        <v>54688</v>
      </c>
      <c r="S248" s="67">
        <f t="shared" si="39"/>
        <v>1822.9333333333334</v>
      </c>
      <c r="T248" s="27"/>
      <c r="U248" s="235"/>
      <c r="V248" s="64">
        <f t="shared" si="40"/>
        <v>0</v>
      </c>
      <c r="W248" s="68">
        <f t="shared" si="41"/>
        <v>0</v>
      </c>
      <c r="X248" s="27"/>
      <c r="Y248" s="235"/>
      <c r="Z248" s="27"/>
      <c r="AA248" s="235"/>
      <c r="AB248" s="27"/>
      <c r="AC248" s="235"/>
      <c r="AD248" s="27"/>
      <c r="AE248" s="235"/>
      <c r="AF248" s="64">
        <f t="shared" si="42"/>
        <v>0</v>
      </c>
      <c r="AG248" s="65">
        <f t="shared" si="43"/>
        <v>0</v>
      </c>
      <c r="AH248" s="66">
        <f t="shared" si="44"/>
        <v>0</v>
      </c>
      <c r="AI248" s="66">
        <f t="shared" si="45"/>
        <v>0</v>
      </c>
      <c r="AJ248" s="27"/>
      <c r="AK248" s="235"/>
      <c r="AL248" s="64">
        <f t="shared" si="46"/>
        <v>0</v>
      </c>
      <c r="AM248" s="67">
        <f t="shared" si="47"/>
        <v>0</v>
      </c>
      <c r="AN248" s="27">
        <v>0</v>
      </c>
      <c r="AO248" s="235"/>
      <c r="AP248" s="27">
        <v>0</v>
      </c>
      <c r="AQ248" s="235"/>
      <c r="AR248" s="27">
        <v>0</v>
      </c>
      <c r="AS248" s="235"/>
      <c r="AT248" s="27">
        <v>0</v>
      </c>
      <c r="AU248" s="235"/>
      <c r="AV248" s="64">
        <f t="shared" si="48"/>
        <v>0</v>
      </c>
      <c r="AW248" s="70">
        <f t="shared" si="49"/>
        <v>0</v>
      </c>
      <c r="AX248" s="66">
        <f t="shared" si="50"/>
        <v>0</v>
      </c>
      <c r="AY248" s="71">
        <f t="shared" si="51"/>
        <v>0</v>
      </c>
      <c r="AZ248" s="72">
        <f t="shared" si="52"/>
        <v>1916.4666666666667</v>
      </c>
      <c r="BA248" s="66">
        <f t="shared" si="53"/>
        <v>1822.9333333333334</v>
      </c>
    </row>
    <row r="249" spans="1:53" ht="15">
      <c r="A249" s="178" t="s">
        <v>578</v>
      </c>
      <c r="B249" s="179" t="s">
        <v>603</v>
      </c>
      <c r="C249" s="692"/>
      <c r="D249" s="181">
        <v>162104</v>
      </c>
      <c r="E249" s="181">
        <v>10</v>
      </c>
      <c r="F249" s="29" t="s">
        <v>75</v>
      </c>
      <c r="G249" s="16" t="s">
        <v>75</v>
      </c>
      <c r="H249" s="27">
        <v>0</v>
      </c>
      <c r="I249" s="26">
        <v>0</v>
      </c>
      <c r="J249" s="27">
        <v>20787</v>
      </c>
      <c r="K249" s="26">
        <v>21018</v>
      </c>
      <c r="L249" s="27">
        <v>3363</v>
      </c>
      <c r="M249" s="235">
        <v>3358</v>
      </c>
      <c r="N249" s="27">
        <v>23498</v>
      </c>
      <c r="O249" s="235">
        <v>23337</v>
      </c>
      <c r="P249" s="64">
        <f t="shared" si="36"/>
        <v>47648</v>
      </c>
      <c r="Q249" s="65">
        <f t="shared" si="37"/>
        <v>1588.2666666666667</v>
      </c>
      <c r="R249" s="66">
        <f t="shared" si="38"/>
        <v>47713</v>
      </c>
      <c r="S249" s="67">
        <f t="shared" si="39"/>
        <v>1590.4333333333334</v>
      </c>
      <c r="T249" s="27"/>
      <c r="U249" s="235"/>
      <c r="V249" s="64">
        <f t="shared" si="40"/>
        <v>0</v>
      </c>
      <c r="W249" s="68">
        <f t="shared" si="41"/>
        <v>0</v>
      </c>
      <c r="X249" s="27"/>
      <c r="Y249" s="235"/>
      <c r="Z249" s="27"/>
      <c r="AA249" s="235"/>
      <c r="AB249" s="27"/>
      <c r="AC249" s="235"/>
      <c r="AD249" s="27"/>
      <c r="AE249" s="235"/>
      <c r="AF249" s="64">
        <f t="shared" si="42"/>
        <v>0</v>
      </c>
      <c r="AG249" s="65">
        <f t="shared" si="43"/>
        <v>0</v>
      </c>
      <c r="AH249" s="66">
        <f t="shared" si="44"/>
        <v>0</v>
      </c>
      <c r="AI249" s="66">
        <f t="shared" si="45"/>
        <v>0</v>
      </c>
      <c r="AJ249" s="27"/>
      <c r="AK249" s="235"/>
      <c r="AL249" s="64">
        <f t="shared" si="46"/>
        <v>0</v>
      </c>
      <c r="AM249" s="67">
        <f t="shared" si="47"/>
        <v>0</v>
      </c>
      <c r="AN249" s="27">
        <v>0</v>
      </c>
      <c r="AO249" s="235"/>
      <c r="AP249" s="27">
        <v>0</v>
      </c>
      <c r="AQ249" s="235"/>
      <c r="AR249" s="27">
        <v>0</v>
      </c>
      <c r="AS249" s="235"/>
      <c r="AT249" s="27">
        <v>0</v>
      </c>
      <c r="AU249" s="235"/>
      <c r="AV249" s="64">
        <f t="shared" si="48"/>
        <v>0</v>
      </c>
      <c r="AW249" s="70">
        <f t="shared" si="49"/>
        <v>0</v>
      </c>
      <c r="AX249" s="66">
        <f t="shared" si="50"/>
        <v>0</v>
      </c>
      <c r="AY249" s="71">
        <f t="shared" si="51"/>
        <v>0</v>
      </c>
      <c r="AZ249" s="72">
        <f t="shared" si="52"/>
        <v>1588.2666666666667</v>
      </c>
      <c r="BA249" s="66">
        <f t="shared" si="53"/>
        <v>1590.4333333333334</v>
      </c>
    </row>
    <row r="250" spans="1:53" ht="15">
      <c r="A250" s="178" t="s">
        <v>578</v>
      </c>
      <c r="B250" s="179" t="s">
        <v>604</v>
      </c>
      <c r="C250" s="692"/>
      <c r="D250" s="181">
        <v>162168</v>
      </c>
      <c r="E250" s="181">
        <v>10</v>
      </c>
      <c r="F250" s="29" t="s">
        <v>75</v>
      </c>
      <c r="G250" s="16" t="s">
        <v>75</v>
      </c>
      <c r="H250" s="27">
        <v>26</v>
      </c>
      <c r="I250" s="109">
        <v>454</v>
      </c>
      <c r="J250" s="27">
        <v>18105</v>
      </c>
      <c r="K250" s="109">
        <v>16892</v>
      </c>
      <c r="L250" s="27">
        <v>2159</v>
      </c>
      <c r="M250" s="235">
        <v>2110</v>
      </c>
      <c r="N250" s="27">
        <v>19479</v>
      </c>
      <c r="O250" s="234">
        <v>18256</v>
      </c>
      <c r="P250" s="64">
        <f t="shared" si="36"/>
        <v>39769</v>
      </c>
      <c r="Q250" s="65">
        <f t="shared" si="37"/>
        <v>1325.6333333333334</v>
      </c>
      <c r="R250" s="66">
        <f t="shared" si="38"/>
        <v>37712</v>
      </c>
      <c r="S250" s="67">
        <f t="shared" si="39"/>
        <v>1257.0666666666666</v>
      </c>
      <c r="T250" s="27"/>
      <c r="U250" s="235"/>
      <c r="V250" s="64">
        <f t="shared" si="40"/>
        <v>0</v>
      </c>
      <c r="W250" s="68">
        <f t="shared" si="41"/>
        <v>0</v>
      </c>
      <c r="X250" s="27"/>
      <c r="Y250" s="235"/>
      <c r="Z250" s="27"/>
      <c r="AA250" s="235"/>
      <c r="AB250" s="27"/>
      <c r="AC250" s="235"/>
      <c r="AD250" s="27"/>
      <c r="AE250" s="235"/>
      <c r="AF250" s="64">
        <f t="shared" si="42"/>
        <v>0</v>
      </c>
      <c r="AG250" s="65">
        <f t="shared" si="43"/>
        <v>0</v>
      </c>
      <c r="AH250" s="66">
        <f t="shared" si="44"/>
        <v>0</v>
      </c>
      <c r="AI250" s="66">
        <f t="shared" si="45"/>
        <v>0</v>
      </c>
      <c r="AJ250" s="27"/>
      <c r="AK250" s="235"/>
      <c r="AL250" s="64">
        <f t="shared" si="46"/>
        <v>0</v>
      </c>
      <c r="AM250" s="67">
        <f t="shared" si="47"/>
        <v>0</v>
      </c>
      <c r="AN250" s="27">
        <v>0</v>
      </c>
      <c r="AO250" s="235"/>
      <c r="AP250" s="27">
        <v>0</v>
      </c>
      <c r="AQ250" s="235"/>
      <c r="AR250" s="27">
        <v>0</v>
      </c>
      <c r="AS250" s="235"/>
      <c r="AT250" s="27">
        <v>0</v>
      </c>
      <c r="AU250" s="235"/>
      <c r="AV250" s="64">
        <f t="shared" si="48"/>
        <v>0</v>
      </c>
      <c r="AW250" s="70">
        <f t="shared" si="49"/>
        <v>0</v>
      </c>
      <c r="AX250" s="66">
        <f t="shared" si="50"/>
        <v>0</v>
      </c>
      <c r="AY250" s="71">
        <f t="shared" si="51"/>
        <v>0</v>
      </c>
      <c r="AZ250" s="72">
        <f t="shared" si="52"/>
        <v>1325.6333333333334</v>
      </c>
      <c r="BA250" s="66">
        <f t="shared" si="53"/>
        <v>1257.0666666666666</v>
      </c>
    </row>
    <row r="251" spans="1:53" ht="15">
      <c r="A251" s="178" t="s">
        <v>578</v>
      </c>
      <c r="B251" s="179" t="s">
        <v>605</v>
      </c>
      <c r="C251" s="692"/>
      <c r="D251" s="181">
        <v>162609</v>
      </c>
      <c r="E251" s="181">
        <v>10</v>
      </c>
      <c r="F251" s="29" t="s">
        <v>75</v>
      </c>
      <c r="G251" s="16" t="s">
        <v>75</v>
      </c>
      <c r="H251" s="27">
        <v>269</v>
      </c>
      <c r="I251" s="109">
        <v>292</v>
      </c>
      <c r="J251" s="27">
        <v>7814.5</v>
      </c>
      <c r="K251" s="26">
        <v>8124</v>
      </c>
      <c r="L251" s="27">
        <v>522</v>
      </c>
      <c r="M251" s="234">
        <v>437</v>
      </c>
      <c r="N251" s="27">
        <v>8948.25</v>
      </c>
      <c r="O251" s="235">
        <v>8612</v>
      </c>
      <c r="P251" s="64">
        <f t="shared" si="36"/>
        <v>17553.75</v>
      </c>
      <c r="Q251" s="65">
        <f t="shared" si="37"/>
        <v>585.125</v>
      </c>
      <c r="R251" s="66">
        <f t="shared" si="38"/>
        <v>17465</v>
      </c>
      <c r="S251" s="67">
        <f t="shared" si="39"/>
        <v>582.16666666666663</v>
      </c>
      <c r="T251" s="27"/>
      <c r="U251" s="235"/>
      <c r="V251" s="64">
        <f t="shared" si="40"/>
        <v>0</v>
      </c>
      <c r="W251" s="68">
        <f t="shared" si="41"/>
        <v>0</v>
      </c>
      <c r="X251" s="27"/>
      <c r="Y251" s="235"/>
      <c r="Z251" s="27"/>
      <c r="AA251" s="235"/>
      <c r="AB251" s="27"/>
      <c r="AC251" s="235"/>
      <c r="AD251" s="27"/>
      <c r="AE251" s="235"/>
      <c r="AF251" s="64">
        <f t="shared" si="42"/>
        <v>0</v>
      </c>
      <c r="AG251" s="65">
        <f t="shared" si="43"/>
        <v>0</v>
      </c>
      <c r="AH251" s="66">
        <f t="shared" si="44"/>
        <v>0</v>
      </c>
      <c r="AI251" s="66">
        <f t="shared" si="45"/>
        <v>0</v>
      </c>
      <c r="AJ251" s="27"/>
      <c r="AK251" s="235"/>
      <c r="AL251" s="64">
        <f t="shared" si="46"/>
        <v>0</v>
      </c>
      <c r="AM251" s="67">
        <f t="shared" si="47"/>
        <v>0</v>
      </c>
      <c r="AN251" s="27">
        <v>0</v>
      </c>
      <c r="AO251" s="235"/>
      <c r="AP251" s="27">
        <v>0</v>
      </c>
      <c r="AQ251" s="235"/>
      <c r="AR251" s="27">
        <v>0</v>
      </c>
      <c r="AS251" s="235"/>
      <c r="AT251" s="27">
        <v>0</v>
      </c>
      <c r="AU251" s="235"/>
      <c r="AV251" s="64">
        <f t="shared" si="48"/>
        <v>0</v>
      </c>
      <c r="AW251" s="70">
        <f t="shared" si="49"/>
        <v>0</v>
      </c>
      <c r="AX251" s="66">
        <f t="shared" si="50"/>
        <v>0</v>
      </c>
      <c r="AY251" s="71">
        <f t="shared" si="51"/>
        <v>0</v>
      </c>
      <c r="AZ251" s="72">
        <f t="shared" si="52"/>
        <v>585.125</v>
      </c>
      <c r="BA251" s="66">
        <f t="shared" si="53"/>
        <v>582.16666666666663</v>
      </c>
    </row>
    <row r="252" spans="1:53" s="115" customFormat="1" ht="13.5" customHeight="1">
      <c r="A252" s="155" t="s">
        <v>293</v>
      </c>
      <c r="B252" s="19" t="s">
        <v>294</v>
      </c>
      <c r="C252" s="19"/>
      <c r="D252" s="156">
        <v>176080</v>
      </c>
      <c r="E252" s="156">
        <v>1</v>
      </c>
      <c r="F252" s="29" t="s">
        <v>75</v>
      </c>
      <c r="G252" s="16"/>
      <c r="H252" s="27"/>
      <c r="I252" s="26"/>
      <c r="J252" s="27">
        <v>202872</v>
      </c>
      <c r="K252" s="26">
        <v>212336</v>
      </c>
      <c r="L252" s="27">
        <v>33293</v>
      </c>
      <c r="M252" s="26">
        <v>32759</v>
      </c>
      <c r="N252" s="27">
        <v>232457</v>
      </c>
      <c r="O252" s="109">
        <v>251904</v>
      </c>
      <c r="P252" s="64">
        <f t="shared" si="36"/>
        <v>468622</v>
      </c>
      <c r="Q252" s="65">
        <f t="shared" si="37"/>
        <v>15620.733333333334</v>
      </c>
      <c r="R252" s="66">
        <f t="shared" si="38"/>
        <v>496999</v>
      </c>
      <c r="S252" s="67">
        <f t="shared" si="39"/>
        <v>16566.633333333335</v>
      </c>
      <c r="T252" s="27"/>
      <c r="U252" s="26"/>
      <c r="V252" s="64">
        <f t="shared" si="40"/>
        <v>0</v>
      </c>
      <c r="W252" s="68">
        <f t="shared" si="41"/>
        <v>0</v>
      </c>
      <c r="X252" s="27"/>
      <c r="Y252" s="26"/>
      <c r="Z252" s="27"/>
      <c r="AA252" s="26"/>
      <c r="AB252" s="27"/>
      <c r="AC252" s="26"/>
      <c r="AD252" s="27"/>
      <c r="AE252" s="26"/>
      <c r="AF252" s="64">
        <f t="shared" si="42"/>
        <v>0</v>
      </c>
      <c r="AG252" s="65">
        <f t="shared" si="43"/>
        <v>0</v>
      </c>
      <c r="AH252" s="66">
        <f t="shared" si="44"/>
        <v>0</v>
      </c>
      <c r="AI252" s="66">
        <f t="shared" si="45"/>
        <v>0</v>
      </c>
      <c r="AJ252" s="27"/>
      <c r="AK252" s="26"/>
      <c r="AL252" s="64">
        <f t="shared" si="46"/>
        <v>0</v>
      </c>
      <c r="AM252" s="67">
        <f t="shared" si="47"/>
        <v>0</v>
      </c>
      <c r="AN252" s="27"/>
      <c r="AO252" s="26"/>
      <c r="AP252" s="27">
        <v>21512</v>
      </c>
      <c r="AQ252" s="26">
        <v>21485</v>
      </c>
      <c r="AR252" s="27">
        <v>10197</v>
      </c>
      <c r="AS252" s="109">
        <v>11124</v>
      </c>
      <c r="AT252" s="27">
        <v>22031</v>
      </c>
      <c r="AU252" s="26">
        <v>22509</v>
      </c>
      <c r="AV252" s="64">
        <f t="shared" si="48"/>
        <v>53740</v>
      </c>
      <c r="AW252" s="70">
        <f t="shared" si="49"/>
        <v>2239.1666666666665</v>
      </c>
      <c r="AX252" s="66">
        <f t="shared" si="50"/>
        <v>55118</v>
      </c>
      <c r="AY252" s="71">
        <f t="shared" si="51"/>
        <v>2296.5833333333335</v>
      </c>
      <c r="AZ252" s="72">
        <f t="shared" si="52"/>
        <v>17859.900000000001</v>
      </c>
      <c r="BA252" s="66">
        <f t="shared" si="53"/>
        <v>18863.216666666667</v>
      </c>
    </row>
    <row r="253" spans="1:53">
      <c r="A253" s="155" t="s">
        <v>293</v>
      </c>
      <c r="B253" s="19" t="s">
        <v>295</v>
      </c>
      <c r="C253" s="11"/>
      <c r="D253" s="156">
        <v>176372</v>
      </c>
      <c r="E253" s="156">
        <v>1</v>
      </c>
      <c r="F253" s="29" t="s">
        <v>75</v>
      </c>
      <c r="G253" s="16"/>
      <c r="H253" s="27"/>
      <c r="I253" s="26"/>
      <c r="J253" s="27">
        <v>142610</v>
      </c>
      <c r="K253" s="26">
        <v>139032</v>
      </c>
      <c r="L253" s="27">
        <v>28387</v>
      </c>
      <c r="M253" s="109">
        <v>26771</v>
      </c>
      <c r="N253" s="27">
        <v>154765</v>
      </c>
      <c r="O253" s="26">
        <v>157208</v>
      </c>
      <c r="P253" s="64">
        <f t="shared" si="36"/>
        <v>325762</v>
      </c>
      <c r="Q253" s="65">
        <f t="shared" si="37"/>
        <v>10858.733333333334</v>
      </c>
      <c r="R253" s="66">
        <f t="shared" si="38"/>
        <v>323011</v>
      </c>
      <c r="S253" s="67">
        <f t="shared" si="39"/>
        <v>10767.033333333333</v>
      </c>
      <c r="T253" s="27"/>
      <c r="U253" s="26"/>
      <c r="V253" s="64">
        <f t="shared" si="40"/>
        <v>0</v>
      </c>
      <c r="W253" s="68">
        <f t="shared" si="41"/>
        <v>0</v>
      </c>
      <c r="X253" s="27"/>
      <c r="Y253" s="26"/>
      <c r="Z253" s="27"/>
      <c r="AA253" s="26"/>
      <c r="AB253" s="27"/>
      <c r="AC253" s="26"/>
      <c r="AD253" s="27"/>
      <c r="AE253" s="26"/>
      <c r="AF253" s="64">
        <f t="shared" si="42"/>
        <v>0</v>
      </c>
      <c r="AG253" s="65">
        <f t="shared" si="43"/>
        <v>0</v>
      </c>
      <c r="AH253" s="66">
        <f t="shared" si="44"/>
        <v>0</v>
      </c>
      <c r="AI253" s="66">
        <f t="shared" si="45"/>
        <v>0</v>
      </c>
      <c r="AJ253" s="27"/>
      <c r="AK253" s="26"/>
      <c r="AL253" s="64">
        <f t="shared" si="46"/>
        <v>0</v>
      </c>
      <c r="AM253" s="67">
        <f t="shared" si="47"/>
        <v>0</v>
      </c>
      <c r="AN253" s="27"/>
      <c r="AO253" s="26"/>
      <c r="AP253" s="27">
        <v>19964</v>
      </c>
      <c r="AQ253" s="26">
        <v>20580</v>
      </c>
      <c r="AR253" s="27">
        <v>10283</v>
      </c>
      <c r="AS253" s="26">
        <v>10592</v>
      </c>
      <c r="AT253" s="27">
        <v>21356</v>
      </c>
      <c r="AU253" s="26">
        <v>21817</v>
      </c>
      <c r="AV253" s="64">
        <f t="shared" si="48"/>
        <v>51603</v>
      </c>
      <c r="AW253" s="70">
        <f t="shared" si="49"/>
        <v>2150.125</v>
      </c>
      <c r="AX253" s="66">
        <f t="shared" si="50"/>
        <v>52989</v>
      </c>
      <c r="AY253" s="71">
        <f t="shared" si="51"/>
        <v>2207.875</v>
      </c>
      <c r="AZ253" s="72">
        <f t="shared" si="52"/>
        <v>13008.858333333334</v>
      </c>
      <c r="BA253" s="66">
        <f t="shared" si="53"/>
        <v>12974.908333333333</v>
      </c>
    </row>
    <row r="254" spans="1:53">
      <c r="A254" s="155" t="s">
        <v>293</v>
      </c>
      <c r="B254" s="19" t="s">
        <v>296</v>
      </c>
      <c r="C254" s="19"/>
      <c r="D254" s="156">
        <v>175856</v>
      </c>
      <c r="E254" s="156">
        <v>2</v>
      </c>
      <c r="F254" s="29" t="s">
        <v>75</v>
      </c>
      <c r="G254" s="16"/>
      <c r="H254" s="27"/>
      <c r="I254" s="26"/>
      <c r="J254" s="27">
        <v>73061</v>
      </c>
      <c r="K254" s="26">
        <v>76148</v>
      </c>
      <c r="L254" s="27">
        <v>10441</v>
      </c>
      <c r="M254" s="109">
        <v>11041</v>
      </c>
      <c r="N254" s="27">
        <v>82199</v>
      </c>
      <c r="O254" s="26">
        <v>82855</v>
      </c>
      <c r="P254" s="64">
        <f t="shared" si="36"/>
        <v>165701</v>
      </c>
      <c r="Q254" s="65">
        <f t="shared" si="37"/>
        <v>5523.3666666666668</v>
      </c>
      <c r="R254" s="66">
        <f t="shared" si="38"/>
        <v>170044</v>
      </c>
      <c r="S254" s="67">
        <f t="shared" si="39"/>
        <v>5668.1333333333332</v>
      </c>
      <c r="T254" s="27"/>
      <c r="U254" s="26"/>
      <c r="V254" s="64">
        <f t="shared" si="40"/>
        <v>0</v>
      </c>
      <c r="W254" s="68">
        <f t="shared" si="41"/>
        <v>0</v>
      </c>
      <c r="X254" s="27"/>
      <c r="Y254" s="26"/>
      <c r="Z254" s="27"/>
      <c r="AA254" s="26"/>
      <c r="AB254" s="27"/>
      <c r="AC254" s="26"/>
      <c r="AD254" s="27"/>
      <c r="AE254" s="26"/>
      <c r="AF254" s="64">
        <f t="shared" si="42"/>
        <v>0</v>
      </c>
      <c r="AG254" s="65">
        <f t="shared" si="43"/>
        <v>0</v>
      </c>
      <c r="AH254" s="66">
        <f t="shared" si="44"/>
        <v>0</v>
      </c>
      <c r="AI254" s="66">
        <f t="shared" si="45"/>
        <v>0</v>
      </c>
      <c r="AJ254" s="27"/>
      <c r="AK254" s="26"/>
      <c r="AL254" s="64">
        <f t="shared" si="46"/>
        <v>0</v>
      </c>
      <c r="AM254" s="67">
        <f t="shared" si="47"/>
        <v>0</v>
      </c>
      <c r="AN254" s="27"/>
      <c r="AO254" s="26"/>
      <c r="AP254" s="27">
        <v>14119.5</v>
      </c>
      <c r="AQ254" s="26">
        <v>14089</v>
      </c>
      <c r="AR254" s="27">
        <v>5180</v>
      </c>
      <c r="AS254" s="26">
        <v>5150</v>
      </c>
      <c r="AT254" s="27">
        <v>14768</v>
      </c>
      <c r="AU254" s="26">
        <v>14838</v>
      </c>
      <c r="AV254" s="64">
        <f t="shared" si="48"/>
        <v>34067.5</v>
      </c>
      <c r="AW254" s="70">
        <f t="shared" si="49"/>
        <v>1419.4791666666667</v>
      </c>
      <c r="AX254" s="66">
        <f t="shared" si="50"/>
        <v>34077</v>
      </c>
      <c r="AY254" s="71">
        <f t="shared" si="51"/>
        <v>1419.875</v>
      </c>
      <c r="AZ254" s="72">
        <f t="shared" si="52"/>
        <v>6942.8458333333338</v>
      </c>
      <c r="BA254" s="66">
        <f t="shared" si="53"/>
        <v>7088.0083333333332</v>
      </c>
    </row>
    <row r="255" spans="1:53" ht="15">
      <c r="A255" s="155" t="s">
        <v>293</v>
      </c>
      <c r="B255" s="19" t="s">
        <v>297</v>
      </c>
      <c r="C255" s="695" t="s">
        <v>983</v>
      </c>
      <c r="D255" s="156">
        <v>176017</v>
      </c>
      <c r="E255" s="156">
        <v>2</v>
      </c>
      <c r="F255" s="29" t="s">
        <v>75</v>
      </c>
      <c r="G255" s="16"/>
      <c r="H255" s="27"/>
      <c r="I255" s="26"/>
      <c r="J255" s="27">
        <v>235083</v>
      </c>
      <c r="K255" s="26">
        <v>245804</v>
      </c>
      <c r="L255" s="27">
        <v>48274</v>
      </c>
      <c r="M255" s="26">
        <v>47716</v>
      </c>
      <c r="N255" s="27">
        <v>251542</v>
      </c>
      <c r="O255" s="109">
        <v>265539</v>
      </c>
      <c r="P255" s="64">
        <f t="shared" si="36"/>
        <v>534899</v>
      </c>
      <c r="Q255" s="65">
        <f t="shared" si="37"/>
        <v>17829.966666666667</v>
      </c>
      <c r="R255" s="66">
        <f t="shared" si="38"/>
        <v>559059</v>
      </c>
      <c r="S255" s="67">
        <f t="shared" si="39"/>
        <v>18635.3</v>
      </c>
      <c r="T255" s="27"/>
      <c r="U255" s="26"/>
      <c r="V255" s="64">
        <f t="shared" si="40"/>
        <v>0</v>
      </c>
      <c r="W255" s="68">
        <f t="shared" si="41"/>
        <v>0</v>
      </c>
      <c r="X255" s="27"/>
      <c r="Y255" s="26"/>
      <c r="Z255" s="27"/>
      <c r="AA255" s="26"/>
      <c r="AB255" s="27"/>
      <c r="AC255" s="26"/>
      <c r="AD255" s="27"/>
      <c r="AE255" s="26"/>
      <c r="AF255" s="64">
        <f t="shared" si="42"/>
        <v>0</v>
      </c>
      <c r="AG255" s="65">
        <f t="shared" si="43"/>
        <v>0</v>
      </c>
      <c r="AH255" s="66">
        <f t="shared" si="44"/>
        <v>0</v>
      </c>
      <c r="AI255" s="66">
        <f t="shared" si="45"/>
        <v>0</v>
      </c>
      <c r="AJ255" s="27"/>
      <c r="AK255" s="26"/>
      <c r="AL255" s="64">
        <f t="shared" si="46"/>
        <v>0</v>
      </c>
      <c r="AM255" s="67">
        <f t="shared" si="47"/>
        <v>0</v>
      </c>
      <c r="AN255" s="27"/>
      <c r="AO255" s="26"/>
      <c r="AP255" s="27">
        <v>27885</v>
      </c>
      <c r="AQ255" s="26">
        <v>27459</v>
      </c>
      <c r="AR255" s="27">
        <v>10125</v>
      </c>
      <c r="AS255" s="26">
        <v>10423</v>
      </c>
      <c r="AT255" s="27">
        <v>27545</v>
      </c>
      <c r="AU255" s="26">
        <v>27787</v>
      </c>
      <c r="AV255" s="64">
        <f t="shared" si="48"/>
        <v>65555</v>
      </c>
      <c r="AW255" s="70">
        <f t="shared" si="49"/>
        <v>2731.4583333333335</v>
      </c>
      <c r="AX255" s="66">
        <f t="shared" si="50"/>
        <v>65669</v>
      </c>
      <c r="AY255" s="71">
        <f t="shared" si="51"/>
        <v>2736.2083333333335</v>
      </c>
      <c r="AZ255" s="72">
        <f t="shared" si="52"/>
        <v>20561.424999999999</v>
      </c>
      <c r="BA255" s="66">
        <f t="shared" si="53"/>
        <v>21371.508333333331</v>
      </c>
    </row>
    <row r="256" spans="1:53">
      <c r="A256" s="155" t="s">
        <v>293</v>
      </c>
      <c r="B256" s="19" t="s">
        <v>298</v>
      </c>
      <c r="C256" s="19"/>
      <c r="D256" s="156">
        <v>175342</v>
      </c>
      <c r="E256" s="156">
        <v>4</v>
      </c>
      <c r="F256" s="29" t="s">
        <v>75</v>
      </c>
      <c r="G256" s="16"/>
      <c r="H256" s="27"/>
      <c r="I256" s="26"/>
      <c r="J256" s="27">
        <v>36382</v>
      </c>
      <c r="K256" s="26">
        <v>35367</v>
      </c>
      <c r="L256" s="27">
        <v>6082</v>
      </c>
      <c r="M256" s="109">
        <v>5030</v>
      </c>
      <c r="N256" s="27">
        <v>38473</v>
      </c>
      <c r="O256" s="109">
        <v>40453</v>
      </c>
      <c r="P256" s="64">
        <f t="shared" si="36"/>
        <v>80937</v>
      </c>
      <c r="Q256" s="65">
        <f t="shared" si="37"/>
        <v>2697.9</v>
      </c>
      <c r="R256" s="66">
        <f t="shared" si="38"/>
        <v>80850</v>
      </c>
      <c r="S256" s="67">
        <f t="shared" si="39"/>
        <v>2695</v>
      </c>
      <c r="T256" s="27"/>
      <c r="U256" s="26"/>
      <c r="V256" s="64">
        <f t="shared" si="40"/>
        <v>0</v>
      </c>
      <c r="W256" s="68">
        <f t="shared" si="41"/>
        <v>0</v>
      </c>
      <c r="X256" s="27"/>
      <c r="Y256" s="26"/>
      <c r="Z256" s="27"/>
      <c r="AA256" s="26"/>
      <c r="AB256" s="27"/>
      <c r="AC256" s="26"/>
      <c r="AD256" s="27"/>
      <c r="AE256" s="26"/>
      <c r="AF256" s="64">
        <f t="shared" si="42"/>
        <v>0</v>
      </c>
      <c r="AG256" s="65">
        <f t="shared" si="43"/>
        <v>0</v>
      </c>
      <c r="AH256" s="66">
        <f t="shared" si="44"/>
        <v>0</v>
      </c>
      <c r="AI256" s="66">
        <f t="shared" si="45"/>
        <v>0</v>
      </c>
      <c r="AJ256" s="27"/>
      <c r="AK256" s="26"/>
      <c r="AL256" s="64">
        <f t="shared" si="46"/>
        <v>0</v>
      </c>
      <c r="AM256" s="67">
        <f t="shared" si="47"/>
        <v>0</v>
      </c>
      <c r="AN256" s="27"/>
      <c r="AO256" s="26"/>
      <c r="AP256" s="27">
        <v>3885</v>
      </c>
      <c r="AQ256" s="109">
        <v>4218</v>
      </c>
      <c r="AR256" s="27">
        <v>1684</v>
      </c>
      <c r="AS256" s="26">
        <v>1741</v>
      </c>
      <c r="AT256" s="27">
        <v>4110</v>
      </c>
      <c r="AU256" s="26">
        <v>4292</v>
      </c>
      <c r="AV256" s="64">
        <f t="shared" si="48"/>
        <v>9679</v>
      </c>
      <c r="AW256" s="70">
        <f t="shared" si="49"/>
        <v>403.29166666666669</v>
      </c>
      <c r="AX256" s="66">
        <f t="shared" si="50"/>
        <v>10251</v>
      </c>
      <c r="AY256" s="71">
        <f t="shared" si="51"/>
        <v>427.125</v>
      </c>
      <c r="AZ256" s="72">
        <f t="shared" si="52"/>
        <v>3101.1916666666666</v>
      </c>
      <c r="BA256" s="66">
        <f t="shared" si="53"/>
        <v>3122.125</v>
      </c>
    </row>
    <row r="257" spans="1:53">
      <c r="A257" s="155" t="s">
        <v>293</v>
      </c>
      <c r="B257" s="19" t="s">
        <v>299</v>
      </c>
      <c r="C257" s="11"/>
      <c r="D257" s="156">
        <v>175616</v>
      </c>
      <c r="E257" s="156">
        <v>4</v>
      </c>
      <c r="F257" s="29" t="s">
        <v>75</v>
      </c>
      <c r="G257" s="16"/>
      <c r="H257" s="27"/>
      <c r="I257" s="26"/>
      <c r="J257" s="27">
        <v>32222</v>
      </c>
      <c r="K257" s="26">
        <v>32375</v>
      </c>
      <c r="L257" s="27">
        <v>4278</v>
      </c>
      <c r="M257" s="26">
        <v>4108</v>
      </c>
      <c r="N257" s="27">
        <v>35015</v>
      </c>
      <c r="O257" s="26">
        <v>36690</v>
      </c>
      <c r="P257" s="64">
        <f t="shared" si="36"/>
        <v>71515</v>
      </c>
      <c r="Q257" s="65">
        <f t="shared" si="37"/>
        <v>2383.8333333333335</v>
      </c>
      <c r="R257" s="66">
        <f t="shared" si="38"/>
        <v>73173</v>
      </c>
      <c r="S257" s="67">
        <f t="shared" si="39"/>
        <v>2439.1</v>
      </c>
      <c r="T257" s="27"/>
      <c r="U257" s="26"/>
      <c r="V257" s="64">
        <f t="shared" si="40"/>
        <v>0</v>
      </c>
      <c r="W257" s="68">
        <f t="shared" si="41"/>
        <v>0</v>
      </c>
      <c r="X257" s="27"/>
      <c r="Y257" s="26"/>
      <c r="Z257" s="27"/>
      <c r="AA257" s="26"/>
      <c r="AB257" s="27"/>
      <c r="AC257" s="26"/>
      <c r="AD257" s="27"/>
      <c r="AE257" s="26"/>
      <c r="AF257" s="64">
        <f t="shared" si="42"/>
        <v>0</v>
      </c>
      <c r="AG257" s="65">
        <f t="shared" si="43"/>
        <v>0</v>
      </c>
      <c r="AH257" s="66">
        <f t="shared" si="44"/>
        <v>0</v>
      </c>
      <c r="AI257" s="66">
        <f t="shared" si="45"/>
        <v>0</v>
      </c>
      <c r="AJ257" s="27"/>
      <c r="AK257" s="26"/>
      <c r="AL257" s="64">
        <f t="shared" si="46"/>
        <v>0</v>
      </c>
      <c r="AM257" s="67">
        <f t="shared" si="47"/>
        <v>0</v>
      </c>
      <c r="AN257" s="27"/>
      <c r="AO257" s="26"/>
      <c r="AP257" s="27">
        <v>5274</v>
      </c>
      <c r="AQ257" s="26">
        <v>5071</v>
      </c>
      <c r="AR257" s="27">
        <v>14428</v>
      </c>
      <c r="AS257" s="26">
        <v>14184</v>
      </c>
      <c r="AT257" s="27">
        <v>5326</v>
      </c>
      <c r="AU257" s="26">
        <v>5499</v>
      </c>
      <c r="AV257" s="64">
        <f t="shared" si="48"/>
        <v>25028</v>
      </c>
      <c r="AW257" s="70">
        <f t="shared" si="49"/>
        <v>1042.8333333333333</v>
      </c>
      <c r="AX257" s="66">
        <f t="shared" si="50"/>
        <v>24754</v>
      </c>
      <c r="AY257" s="71">
        <f t="shared" si="51"/>
        <v>1031.4166666666667</v>
      </c>
      <c r="AZ257" s="72">
        <f t="shared" si="52"/>
        <v>3426.666666666667</v>
      </c>
      <c r="BA257" s="66">
        <f t="shared" si="53"/>
        <v>3470.5166666666664</v>
      </c>
    </row>
    <row r="258" spans="1:53">
      <c r="A258" s="155" t="s">
        <v>293</v>
      </c>
      <c r="B258" s="19" t="s">
        <v>300</v>
      </c>
      <c r="C258" s="19"/>
      <c r="D258" s="156">
        <v>176044</v>
      </c>
      <c r="E258" s="156">
        <v>4</v>
      </c>
      <c r="F258" s="29" t="s">
        <v>75</v>
      </c>
      <c r="G258" s="16"/>
      <c r="H258" s="27"/>
      <c r="I258" s="26"/>
      <c r="J258" s="27">
        <v>23514</v>
      </c>
      <c r="K258" s="26">
        <v>23427</v>
      </c>
      <c r="L258" s="27">
        <v>3541</v>
      </c>
      <c r="M258" s="109">
        <v>4387</v>
      </c>
      <c r="N258" s="27">
        <v>24795</v>
      </c>
      <c r="O258" s="26">
        <v>25971</v>
      </c>
      <c r="P258" s="64">
        <f t="shared" ref="P258:P321" si="54">SUM(H258,J258,L258,N258)</f>
        <v>51850</v>
      </c>
      <c r="Q258" s="65">
        <f t="shared" ref="Q258:Q321" si="55">+P258/30</f>
        <v>1728.3333333333333</v>
      </c>
      <c r="R258" s="66">
        <f t="shared" ref="R258:R321" si="56">SUM(I258,K258,M258,O258)</f>
        <v>53785</v>
      </c>
      <c r="S258" s="67">
        <f t="shared" ref="S258:S321" si="57">+R258/30</f>
        <v>1792.8333333333333</v>
      </c>
      <c r="T258" s="27"/>
      <c r="U258" s="26"/>
      <c r="V258" s="64">
        <f t="shared" ref="V258:V321" si="58">IF(ISBLANK(T258),0,P258)</f>
        <v>0</v>
      </c>
      <c r="W258" s="68">
        <f t="shared" ref="W258:W321" si="59">IF(ISBLANK(U258),0,R258)</f>
        <v>0</v>
      </c>
      <c r="X258" s="27"/>
      <c r="Y258" s="26"/>
      <c r="Z258" s="27"/>
      <c r="AA258" s="26"/>
      <c r="AB258" s="27"/>
      <c r="AC258" s="26"/>
      <c r="AD258" s="27"/>
      <c r="AE258" s="26"/>
      <c r="AF258" s="64">
        <f t="shared" ref="AF258:AF321" si="60">SUM(X258,Z258,AB258,AD258)</f>
        <v>0</v>
      </c>
      <c r="AG258" s="65">
        <f t="shared" ref="AG258:AG321" si="61">+AF258/900</f>
        <v>0</v>
      </c>
      <c r="AH258" s="66">
        <f t="shared" ref="AH258:AH321" si="62">SUM(Y258,AA258,AC258,AE258)</f>
        <v>0</v>
      </c>
      <c r="AI258" s="66">
        <f t="shared" ref="AI258:AI321" si="63">+AH258/900</f>
        <v>0</v>
      </c>
      <c r="AJ258" s="27"/>
      <c r="AK258" s="26"/>
      <c r="AL258" s="64">
        <f t="shared" ref="AL258:AL321" si="64">IF(ISBLANK(AJ258),0,AF258)</f>
        <v>0</v>
      </c>
      <c r="AM258" s="67">
        <f t="shared" ref="AM258:AM321" si="65">IF(ISBLANK(AK258),0,AH258)</f>
        <v>0</v>
      </c>
      <c r="AN258" s="27"/>
      <c r="AO258" s="26"/>
      <c r="AP258" s="27">
        <v>2514</v>
      </c>
      <c r="AQ258" s="26">
        <v>2505</v>
      </c>
      <c r="AR258" s="27">
        <v>723</v>
      </c>
      <c r="AS258" s="109">
        <v>411</v>
      </c>
      <c r="AT258" s="27">
        <v>2564</v>
      </c>
      <c r="AU258" s="109">
        <v>2898</v>
      </c>
      <c r="AV258" s="64">
        <f t="shared" ref="AV258:AV321" si="66">SUM(AN258,AP258,AR258,AT258)</f>
        <v>5801</v>
      </c>
      <c r="AW258" s="70">
        <f t="shared" ref="AW258:AW321" si="67">+AV258/24</f>
        <v>241.70833333333334</v>
      </c>
      <c r="AX258" s="66">
        <f t="shared" ref="AX258:AX321" si="68">SUM(AO258,AQ258,AS258,AU258)</f>
        <v>5814</v>
      </c>
      <c r="AY258" s="71">
        <f t="shared" ref="AY258:AY321" si="69">+AX258/24</f>
        <v>242.25</v>
      </c>
      <c r="AZ258" s="72">
        <f t="shared" ref="AZ258:AZ321" si="70">SUM(Q258,AG258,AW258)</f>
        <v>1970.0416666666665</v>
      </c>
      <c r="BA258" s="66">
        <f t="shared" ref="BA258:BA321" si="71">SUM(S258,AI258,AY258)</f>
        <v>2035.0833333333333</v>
      </c>
    </row>
    <row r="259" spans="1:53">
      <c r="A259" s="155" t="s">
        <v>293</v>
      </c>
      <c r="B259" s="19" t="s">
        <v>301</v>
      </c>
      <c r="C259" s="19"/>
      <c r="D259" s="156">
        <v>176035</v>
      </c>
      <c r="E259" s="156">
        <v>5</v>
      </c>
      <c r="F259" s="29" t="s">
        <v>75</v>
      </c>
      <c r="G259" s="16"/>
      <c r="H259" s="27"/>
      <c r="I259" s="26"/>
      <c r="J259" s="27">
        <v>29219</v>
      </c>
      <c r="K259" s="26">
        <v>28992</v>
      </c>
      <c r="L259" s="27">
        <v>10214</v>
      </c>
      <c r="M259" s="109">
        <v>9009</v>
      </c>
      <c r="N259" s="27">
        <v>30232</v>
      </c>
      <c r="O259" s="109">
        <v>33261</v>
      </c>
      <c r="P259" s="64">
        <f t="shared" si="54"/>
        <v>69665</v>
      </c>
      <c r="Q259" s="65">
        <f t="shared" si="55"/>
        <v>2322.1666666666665</v>
      </c>
      <c r="R259" s="66">
        <f t="shared" si="56"/>
        <v>71262</v>
      </c>
      <c r="S259" s="67">
        <f t="shared" si="57"/>
        <v>2375.4</v>
      </c>
      <c r="T259" s="27"/>
      <c r="U259" s="26"/>
      <c r="V259" s="64">
        <f t="shared" si="58"/>
        <v>0</v>
      </c>
      <c r="W259" s="68">
        <f t="shared" si="59"/>
        <v>0</v>
      </c>
      <c r="X259" s="27"/>
      <c r="Y259" s="26"/>
      <c r="Z259" s="27"/>
      <c r="AA259" s="26"/>
      <c r="AB259" s="27"/>
      <c r="AC259" s="26"/>
      <c r="AD259" s="27"/>
      <c r="AE259" s="26"/>
      <c r="AF259" s="64">
        <f t="shared" si="60"/>
        <v>0</v>
      </c>
      <c r="AG259" s="65">
        <f t="shared" si="61"/>
        <v>0</v>
      </c>
      <c r="AH259" s="66">
        <f t="shared" si="62"/>
        <v>0</v>
      </c>
      <c r="AI259" s="66">
        <f t="shared" si="63"/>
        <v>0</v>
      </c>
      <c r="AJ259" s="27"/>
      <c r="AK259" s="26"/>
      <c r="AL259" s="64">
        <f t="shared" si="64"/>
        <v>0</v>
      </c>
      <c r="AM259" s="67">
        <f t="shared" si="65"/>
        <v>0</v>
      </c>
      <c r="AN259" s="27"/>
      <c r="AO259" s="26"/>
      <c r="AP259" s="27">
        <v>1409</v>
      </c>
      <c r="AQ259" s="109">
        <v>1671</v>
      </c>
      <c r="AR259" s="27">
        <v>1075</v>
      </c>
      <c r="AS259" s="109">
        <v>1337</v>
      </c>
      <c r="AT259" s="27">
        <v>1670</v>
      </c>
      <c r="AU259" s="109">
        <v>1831</v>
      </c>
      <c r="AV259" s="64">
        <f t="shared" si="66"/>
        <v>4154</v>
      </c>
      <c r="AW259" s="70">
        <f t="shared" si="67"/>
        <v>173.08333333333334</v>
      </c>
      <c r="AX259" s="66">
        <f t="shared" si="68"/>
        <v>4839</v>
      </c>
      <c r="AY259" s="71">
        <f t="shared" si="69"/>
        <v>201.625</v>
      </c>
      <c r="AZ259" s="72">
        <f t="shared" si="70"/>
        <v>2495.25</v>
      </c>
      <c r="BA259" s="66">
        <f t="shared" si="71"/>
        <v>2577.0250000000001</v>
      </c>
    </row>
    <row r="260" spans="1:53" s="54" customFormat="1" ht="13.5" customHeight="1">
      <c r="A260" s="157" t="s">
        <v>293</v>
      </c>
      <c r="B260" s="158" t="s">
        <v>302</v>
      </c>
      <c r="C260" s="7"/>
      <c r="D260" s="6">
        <v>175786</v>
      </c>
      <c r="E260" s="159">
        <v>8</v>
      </c>
      <c r="F260" s="29" t="s">
        <v>75</v>
      </c>
      <c r="G260" s="16"/>
      <c r="H260" s="27"/>
      <c r="I260" s="26"/>
      <c r="J260" s="27">
        <v>129529</v>
      </c>
      <c r="K260" s="26">
        <v>127990</v>
      </c>
      <c r="L260" s="27">
        <v>25321</v>
      </c>
      <c r="M260" s="26">
        <v>24610</v>
      </c>
      <c r="N260" s="27">
        <v>146452</v>
      </c>
      <c r="O260" s="26">
        <v>142916</v>
      </c>
      <c r="P260" s="64">
        <f t="shared" si="54"/>
        <v>301302</v>
      </c>
      <c r="Q260" s="65">
        <f t="shared" si="55"/>
        <v>10043.4</v>
      </c>
      <c r="R260" s="66">
        <f t="shared" si="56"/>
        <v>295516</v>
      </c>
      <c r="S260" s="67">
        <f t="shared" si="57"/>
        <v>9850.5333333333328</v>
      </c>
      <c r="T260" s="27">
        <v>13050</v>
      </c>
      <c r="U260" s="26">
        <v>13377</v>
      </c>
      <c r="V260" s="64">
        <f t="shared" si="58"/>
        <v>301302</v>
      </c>
      <c r="W260" s="68">
        <f t="shared" si="59"/>
        <v>295516</v>
      </c>
      <c r="X260" s="27"/>
      <c r="Y260" s="26"/>
      <c r="Z260" s="27"/>
      <c r="AA260" s="26"/>
      <c r="AB260" s="27"/>
      <c r="AC260" s="26"/>
      <c r="AD260" s="27"/>
      <c r="AE260" s="26"/>
      <c r="AF260" s="64">
        <f t="shared" si="60"/>
        <v>0</v>
      </c>
      <c r="AG260" s="65">
        <f t="shared" si="61"/>
        <v>0</v>
      </c>
      <c r="AH260" s="66">
        <f t="shared" si="62"/>
        <v>0</v>
      </c>
      <c r="AI260" s="66">
        <f t="shared" si="63"/>
        <v>0</v>
      </c>
      <c r="AJ260" s="27"/>
      <c r="AK260" s="26"/>
      <c r="AL260" s="64">
        <f t="shared" si="64"/>
        <v>0</v>
      </c>
      <c r="AM260" s="67">
        <f t="shared" si="65"/>
        <v>0</v>
      </c>
      <c r="AN260" s="27"/>
      <c r="AO260" s="26"/>
      <c r="AP260" s="27"/>
      <c r="AQ260" s="26"/>
      <c r="AR260" s="27"/>
      <c r="AS260" s="26"/>
      <c r="AT260" s="27"/>
      <c r="AU260" s="26"/>
      <c r="AV260" s="64">
        <f t="shared" si="66"/>
        <v>0</v>
      </c>
      <c r="AW260" s="70">
        <f t="shared" si="67"/>
        <v>0</v>
      </c>
      <c r="AX260" s="66">
        <f t="shared" si="68"/>
        <v>0</v>
      </c>
      <c r="AY260" s="71">
        <f t="shared" si="69"/>
        <v>0</v>
      </c>
      <c r="AZ260" s="72">
        <f t="shared" si="70"/>
        <v>10043.4</v>
      </c>
      <c r="BA260" s="66">
        <f t="shared" si="71"/>
        <v>9850.5333333333328</v>
      </c>
    </row>
    <row r="261" spans="1:53">
      <c r="A261" s="157" t="s">
        <v>293</v>
      </c>
      <c r="B261" s="8" t="s">
        <v>303</v>
      </c>
      <c r="C261" s="7"/>
      <c r="D261" s="6">
        <v>175829</v>
      </c>
      <c r="E261" s="160">
        <v>8</v>
      </c>
      <c r="F261" s="29" t="s">
        <v>75</v>
      </c>
      <c r="G261" s="16"/>
      <c r="H261" s="27"/>
      <c r="I261" s="26"/>
      <c r="J261" s="27">
        <v>68242</v>
      </c>
      <c r="K261" s="26">
        <v>67525</v>
      </c>
      <c r="L261" s="27">
        <v>8025</v>
      </c>
      <c r="M261" s="26">
        <v>8158</v>
      </c>
      <c r="N261" s="27">
        <v>76222</v>
      </c>
      <c r="O261" s="26">
        <v>75493</v>
      </c>
      <c r="P261" s="64">
        <f t="shared" si="54"/>
        <v>152489</v>
      </c>
      <c r="Q261" s="65">
        <f t="shared" si="55"/>
        <v>5082.9666666666662</v>
      </c>
      <c r="R261" s="66">
        <f t="shared" si="56"/>
        <v>151176</v>
      </c>
      <c r="S261" s="67">
        <f t="shared" si="57"/>
        <v>5039.2</v>
      </c>
      <c r="T261" s="27">
        <v>5533</v>
      </c>
      <c r="U261" s="109">
        <v>6151</v>
      </c>
      <c r="V261" s="64">
        <f t="shared" si="58"/>
        <v>152489</v>
      </c>
      <c r="W261" s="68">
        <f t="shared" si="59"/>
        <v>151176</v>
      </c>
      <c r="X261" s="27"/>
      <c r="Y261" s="26"/>
      <c r="Z261" s="27"/>
      <c r="AA261" s="26"/>
      <c r="AB261" s="27"/>
      <c r="AC261" s="26"/>
      <c r="AD261" s="27"/>
      <c r="AE261" s="26"/>
      <c r="AF261" s="64">
        <f t="shared" si="60"/>
        <v>0</v>
      </c>
      <c r="AG261" s="65">
        <f t="shared" si="61"/>
        <v>0</v>
      </c>
      <c r="AH261" s="66">
        <f t="shared" si="62"/>
        <v>0</v>
      </c>
      <c r="AI261" s="66">
        <f t="shared" si="63"/>
        <v>0</v>
      </c>
      <c r="AJ261" s="27"/>
      <c r="AK261" s="26"/>
      <c r="AL261" s="64">
        <f t="shared" si="64"/>
        <v>0</v>
      </c>
      <c r="AM261" s="67">
        <f t="shared" si="65"/>
        <v>0</v>
      </c>
      <c r="AN261" s="27"/>
      <c r="AO261" s="26"/>
      <c r="AP261" s="27"/>
      <c r="AQ261" s="26"/>
      <c r="AR261" s="27"/>
      <c r="AS261" s="26"/>
      <c r="AT261" s="27"/>
      <c r="AU261" s="26"/>
      <c r="AV261" s="64">
        <f t="shared" si="66"/>
        <v>0</v>
      </c>
      <c r="AW261" s="70">
        <f t="shared" si="67"/>
        <v>0</v>
      </c>
      <c r="AX261" s="66">
        <f t="shared" si="68"/>
        <v>0</v>
      </c>
      <c r="AY261" s="71">
        <f t="shared" si="69"/>
        <v>0</v>
      </c>
      <c r="AZ261" s="72">
        <f t="shared" si="70"/>
        <v>5082.9666666666662</v>
      </c>
      <c r="BA261" s="66">
        <f t="shared" si="71"/>
        <v>5039.2</v>
      </c>
    </row>
    <row r="262" spans="1:53">
      <c r="A262" s="157" t="s">
        <v>293</v>
      </c>
      <c r="B262" s="8" t="s">
        <v>304</v>
      </c>
      <c r="C262" s="7"/>
      <c r="D262" s="6">
        <v>176071</v>
      </c>
      <c r="E262" s="159">
        <v>8</v>
      </c>
      <c r="F262" s="29" t="s">
        <v>75</v>
      </c>
      <c r="G262" s="16"/>
      <c r="H262" s="161"/>
      <c r="I262" s="26"/>
      <c r="J262" s="27">
        <v>106370</v>
      </c>
      <c r="K262" s="109">
        <v>100919</v>
      </c>
      <c r="L262" s="27">
        <v>20474</v>
      </c>
      <c r="M262" s="26">
        <v>20920</v>
      </c>
      <c r="N262" s="27">
        <v>117641</v>
      </c>
      <c r="O262" s="26">
        <v>111825</v>
      </c>
      <c r="P262" s="64">
        <f t="shared" si="54"/>
        <v>244485</v>
      </c>
      <c r="Q262" s="65">
        <f t="shared" si="55"/>
        <v>8149.5</v>
      </c>
      <c r="R262" s="66">
        <f t="shared" si="56"/>
        <v>233664</v>
      </c>
      <c r="S262" s="67">
        <f t="shared" si="57"/>
        <v>7788.8</v>
      </c>
      <c r="T262" s="27">
        <v>5134</v>
      </c>
      <c r="U262" s="109">
        <v>4130</v>
      </c>
      <c r="V262" s="64">
        <f t="shared" si="58"/>
        <v>244485</v>
      </c>
      <c r="W262" s="68">
        <f t="shared" si="59"/>
        <v>233664</v>
      </c>
      <c r="X262" s="161"/>
      <c r="Y262" s="26"/>
      <c r="Z262" s="161"/>
      <c r="AA262" s="26"/>
      <c r="AB262" s="161"/>
      <c r="AC262" s="26"/>
      <c r="AD262" s="161"/>
      <c r="AE262" s="26"/>
      <c r="AF262" s="64">
        <f t="shared" si="60"/>
        <v>0</v>
      </c>
      <c r="AG262" s="65">
        <f t="shared" si="61"/>
        <v>0</v>
      </c>
      <c r="AH262" s="66">
        <f t="shared" si="62"/>
        <v>0</v>
      </c>
      <c r="AI262" s="66">
        <f t="shared" si="63"/>
        <v>0</v>
      </c>
      <c r="AJ262" s="161"/>
      <c r="AK262" s="26"/>
      <c r="AL262" s="64">
        <f t="shared" si="64"/>
        <v>0</v>
      </c>
      <c r="AM262" s="67">
        <f t="shared" si="65"/>
        <v>0</v>
      </c>
      <c r="AN262" s="161"/>
      <c r="AO262" s="26"/>
      <c r="AP262" s="161"/>
      <c r="AQ262" s="26"/>
      <c r="AR262" s="161"/>
      <c r="AS262" s="26"/>
      <c r="AT262" s="161"/>
      <c r="AU262" s="26"/>
      <c r="AV262" s="64">
        <f t="shared" si="66"/>
        <v>0</v>
      </c>
      <c r="AW262" s="70">
        <f t="shared" si="67"/>
        <v>0</v>
      </c>
      <c r="AX262" s="66">
        <f t="shared" si="68"/>
        <v>0</v>
      </c>
      <c r="AY262" s="71">
        <f t="shared" si="69"/>
        <v>0</v>
      </c>
      <c r="AZ262" s="72">
        <f t="shared" si="70"/>
        <v>8149.5</v>
      </c>
      <c r="BA262" s="66">
        <f t="shared" si="71"/>
        <v>7788.8</v>
      </c>
    </row>
    <row r="263" spans="1:53">
      <c r="A263" s="157" t="s">
        <v>293</v>
      </c>
      <c r="B263" s="8" t="s">
        <v>305</v>
      </c>
      <c r="C263" s="7"/>
      <c r="D263" s="6">
        <v>176178</v>
      </c>
      <c r="E263" s="159">
        <v>8</v>
      </c>
      <c r="F263" s="29" t="s">
        <v>75</v>
      </c>
      <c r="G263" s="16"/>
      <c r="H263" s="27"/>
      <c r="I263" s="26"/>
      <c r="J263" s="27">
        <v>89829</v>
      </c>
      <c r="K263" s="26">
        <v>85881</v>
      </c>
      <c r="L263" s="27">
        <v>15228</v>
      </c>
      <c r="M263" s="26">
        <v>15698</v>
      </c>
      <c r="N263" s="27">
        <v>96395</v>
      </c>
      <c r="O263" s="26">
        <v>96718</v>
      </c>
      <c r="P263" s="64">
        <f t="shared" si="54"/>
        <v>201452</v>
      </c>
      <c r="Q263" s="65">
        <f t="shared" si="55"/>
        <v>6715.0666666666666</v>
      </c>
      <c r="R263" s="66">
        <f t="shared" si="56"/>
        <v>198297</v>
      </c>
      <c r="S263" s="67">
        <f t="shared" si="57"/>
        <v>6609.9</v>
      </c>
      <c r="T263" s="27">
        <v>4210</v>
      </c>
      <c r="U263" s="109">
        <v>5533</v>
      </c>
      <c r="V263" s="64">
        <f t="shared" si="58"/>
        <v>201452</v>
      </c>
      <c r="W263" s="68">
        <f t="shared" si="59"/>
        <v>198297</v>
      </c>
      <c r="X263" s="27"/>
      <c r="Y263" s="26"/>
      <c r="Z263" s="27"/>
      <c r="AA263" s="26"/>
      <c r="AB263" s="27"/>
      <c r="AC263" s="26"/>
      <c r="AD263" s="27"/>
      <c r="AE263" s="26"/>
      <c r="AF263" s="64">
        <f t="shared" si="60"/>
        <v>0</v>
      </c>
      <c r="AG263" s="65">
        <f t="shared" si="61"/>
        <v>0</v>
      </c>
      <c r="AH263" s="66">
        <f t="shared" si="62"/>
        <v>0</v>
      </c>
      <c r="AI263" s="66">
        <f t="shared" si="63"/>
        <v>0</v>
      </c>
      <c r="AJ263" s="27"/>
      <c r="AK263" s="26"/>
      <c r="AL263" s="64">
        <f t="shared" si="64"/>
        <v>0</v>
      </c>
      <c r="AM263" s="67">
        <f t="shared" si="65"/>
        <v>0</v>
      </c>
      <c r="AN263" s="27"/>
      <c r="AO263" s="26"/>
      <c r="AP263" s="27"/>
      <c r="AQ263" s="26"/>
      <c r="AR263" s="27"/>
      <c r="AS263" s="26"/>
      <c r="AT263" s="27"/>
      <c r="AU263" s="26"/>
      <c r="AV263" s="64">
        <f t="shared" si="66"/>
        <v>0</v>
      </c>
      <c r="AW263" s="70">
        <f t="shared" si="67"/>
        <v>0</v>
      </c>
      <c r="AX263" s="66">
        <f t="shared" si="68"/>
        <v>0</v>
      </c>
      <c r="AY263" s="71">
        <f t="shared" si="69"/>
        <v>0</v>
      </c>
      <c r="AZ263" s="72">
        <f t="shared" si="70"/>
        <v>6715.0666666666666</v>
      </c>
      <c r="BA263" s="66">
        <f t="shared" si="71"/>
        <v>6609.9</v>
      </c>
    </row>
    <row r="264" spans="1:53">
      <c r="A264" s="157" t="s">
        <v>293</v>
      </c>
      <c r="B264" s="8" t="s">
        <v>306</v>
      </c>
      <c r="C264" s="7"/>
      <c r="D264" s="6">
        <v>175573</v>
      </c>
      <c r="E264" s="159">
        <v>9</v>
      </c>
      <c r="F264" s="29" t="s">
        <v>75</v>
      </c>
      <c r="G264" s="16"/>
      <c r="H264" s="27"/>
      <c r="I264" s="26"/>
      <c r="J264" s="27">
        <v>34581</v>
      </c>
      <c r="K264" s="26">
        <v>35715</v>
      </c>
      <c r="L264" s="27">
        <v>6928</v>
      </c>
      <c r="M264" s="109">
        <v>6544</v>
      </c>
      <c r="N264" s="27">
        <v>40145</v>
      </c>
      <c r="O264" s="26">
        <v>39539</v>
      </c>
      <c r="P264" s="64">
        <f t="shared" si="54"/>
        <v>81654</v>
      </c>
      <c r="Q264" s="65">
        <f t="shared" si="55"/>
        <v>2721.8</v>
      </c>
      <c r="R264" s="66">
        <f t="shared" si="56"/>
        <v>81798</v>
      </c>
      <c r="S264" s="67">
        <f t="shared" si="57"/>
        <v>2726.6</v>
      </c>
      <c r="T264" s="27">
        <v>4022</v>
      </c>
      <c r="U264" s="109">
        <v>4897</v>
      </c>
      <c r="V264" s="64">
        <f t="shared" si="58"/>
        <v>81654</v>
      </c>
      <c r="W264" s="68">
        <f t="shared" si="59"/>
        <v>81798</v>
      </c>
      <c r="X264" s="27"/>
      <c r="Y264" s="26"/>
      <c r="Z264" s="27"/>
      <c r="AA264" s="26"/>
      <c r="AB264" s="27"/>
      <c r="AC264" s="26"/>
      <c r="AD264" s="27"/>
      <c r="AE264" s="26"/>
      <c r="AF264" s="64">
        <f t="shared" si="60"/>
        <v>0</v>
      </c>
      <c r="AG264" s="65">
        <f t="shared" si="61"/>
        <v>0</v>
      </c>
      <c r="AH264" s="66">
        <f t="shared" si="62"/>
        <v>0</v>
      </c>
      <c r="AI264" s="66">
        <f t="shared" si="63"/>
        <v>0</v>
      </c>
      <c r="AJ264" s="27"/>
      <c r="AK264" s="26"/>
      <c r="AL264" s="64">
        <f t="shared" si="64"/>
        <v>0</v>
      </c>
      <c r="AM264" s="67">
        <f t="shared" si="65"/>
        <v>0</v>
      </c>
      <c r="AN264" s="27"/>
      <c r="AO264" s="26"/>
      <c r="AP264" s="27"/>
      <c r="AQ264" s="26"/>
      <c r="AR264" s="27"/>
      <c r="AS264" s="26"/>
      <c r="AT264" s="27"/>
      <c r="AU264" s="26"/>
      <c r="AV264" s="64">
        <f t="shared" si="66"/>
        <v>0</v>
      </c>
      <c r="AW264" s="70">
        <f t="shared" si="67"/>
        <v>0</v>
      </c>
      <c r="AX264" s="66">
        <f t="shared" si="68"/>
        <v>0</v>
      </c>
      <c r="AY264" s="71">
        <f t="shared" si="69"/>
        <v>0</v>
      </c>
      <c r="AZ264" s="72">
        <f t="shared" si="70"/>
        <v>2721.8</v>
      </c>
      <c r="BA264" s="66">
        <f t="shared" si="71"/>
        <v>2726.6</v>
      </c>
    </row>
    <row r="265" spans="1:53">
      <c r="A265" s="157" t="s">
        <v>293</v>
      </c>
      <c r="B265" s="8" t="s">
        <v>307</v>
      </c>
      <c r="C265" s="7"/>
      <c r="D265" s="6">
        <v>175643</v>
      </c>
      <c r="E265" s="159">
        <v>9</v>
      </c>
      <c r="F265" s="29" t="s">
        <v>75</v>
      </c>
      <c r="G265" s="16"/>
      <c r="H265" s="27"/>
      <c r="I265" s="26"/>
      <c r="J265" s="27">
        <v>31883</v>
      </c>
      <c r="K265" s="26">
        <v>31231</v>
      </c>
      <c r="L265" s="27">
        <v>4628</v>
      </c>
      <c r="M265" s="109">
        <v>4093</v>
      </c>
      <c r="N265" s="27">
        <v>36602</v>
      </c>
      <c r="O265" s="109">
        <v>33869</v>
      </c>
      <c r="P265" s="64">
        <f t="shared" si="54"/>
        <v>73113</v>
      </c>
      <c r="Q265" s="65">
        <f t="shared" si="55"/>
        <v>2437.1</v>
      </c>
      <c r="R265" s="66">
        <f t="shared" si="56"/>
        <v>69193</v>
      </c>
      <c r="S265" s="67">
        <f t="shared" si="57"/>
        <v>2306.4333333333334</v>
      </c>
      <c r="T265" s="27">
        <v>3104</v>
      </c>
      <c r="U265" s="109">
        <v>3622</v>
      </c>
      <c r="V265" s="64">
        <f t="shared" si="58"/>
        <v>73113</v>
      </c>
      <c r="W265" s="68">
        <f t="shared" si="59"/>
        <v>69193</v>
      </c>
      <c r="X265" s="27"/>
      <c r="Y265" s="26"/>
      <c r="Z265" s="27"/>
      <c r="AA265" s="26"/>
      <c r="AB265" s="27"/>
      <c r="AC265" s="26"/>
      <c r="AD265" s="27"/>
      <c r="AE265" s="26"/>
      <c r="AF265" s="64">
        <f t="shared" si="60"/>
        <v>0</v>
      </c>
      <c r="AG265" s="65">
        <f t="shared" si="61"/>
        <v>0</v>
      </c>
      <c r="AH265" s="66">
        <f t="shared" si="62"/>
        <v>0</v>
      </c>
      <c r="AI265" s="66">
        <f t="shared" si="63"/>
        <v>0</v>
      </c>
      <c r="AJ265" s="27"/>
      <c r="AK265" s="26"/>
      <c r="AL265" s="64">
        <f t="shared" si="64"/>
        <v>0</v>
      </c>
      <c r="AM265" s="67">
        <f t="shared" si="65"/>
        <v>0</v>
      </c>
      <c r="AN265" s="27"/>
      <c r="AO265" s="26"/>
      <c r="AP265" s="27"/>
      <c r="AQ265" s="26"/>
      <c r="AR265" s="27"/>
      <c r="AS265" s="26"/>
      <c r="AT265" s="27"/>
      <c r="AU265" s="26"/>
      <c r="AV265" s="64">
        <f t="shared" si="66"/>
        <v>0</v>
      </c>
      <c r="AW265" s="70">
        <f t="shared" si="67"/>
        <v>0</v>
      </c>
      <c r="AX265" s="66">
        <f t="shared" si="68"/>
        <v>0</v>
      </c>
      <c r="AY265" s="71">
        <f t="shared" si="69"/>
        <v>0</v>
      </c>
      <c r="AZ265" s="72">
        <f t="shared" si="70"/>
        <v>2437.1</v>
      </c>
      <c r="BA265" s="66">
        <f t="shared" si="71"/>
        <v>2306.4333333333334</v>
      </c>
    </row>
    <row r="266" spans="1:53">
      <c r="A266" s="157" t="s">
        <v>293</v>
      </c>
      <c r="B266" s="8" t="s">
        <v>308</v>
      </c>
      <c r="C266" s="7"/>
      <c r="D266" s="6">
        <v>175652</v>
      </c>
      <c r="E266" s="159">
        <v>9</v>
      </c>
      <c r="F266" s="29" t="s">
        <v>75</v>
      </c>
      <c r="G266" s="16"/>
      <c r="H266" s="27"/>
      <c r="I266" s="26"/>
      <c r="J266" s="27">
        <v>50517</v>
      </c>
      <c r="K266" s="26">
        <v>48983</v>
      </c>
      <c r="L266" s="27">
        <v>10869</v>
      </c>
      <c r="M266" s="109">
        <v>10292</v>
      </c>
      <c r="N266" s="27">
        <v>56645</v>
      </c>
      <c r="O266" s="26">
        <v>54853</v>
      </c>
      <c r="P266" s="64">
        <f t="shared" si="54"/>
        <v>118031</v>
      </c>
      <c r="Q266" s="65">
        <f t="shared" si="55"/>
        <v>3934.3666666666668</v>
      </c>
      <c r="R266" s="66">
        <f t="shared" si="56"/>
        <v>114128</v>
      </c>
      <c r="S266" s="67">
        <f t="shared" si="57"/>
        <v>3804.2666666666669</v>
      </c>
      <c r="T266" s="27">
        <v>3379</v>
      </c>
      <c r="U266" s="109">
        <v>3969</v>
      </c>
      <c r="V266" s="64">
        <f t="shared" si="58"/>
        <v>118031</v>
      </c>
      <c r="W266" s="68">
        <f t="shared" si="59"/>
        <v>114128</v>
      </c>
      <c r="X266" s="27"/>
      <c r="Y266" s="26"/>
      <c r="Z266" s="27"/>
      <c r="AA266" s="26"/>
      <c r="AB266" s="27"/>
      <c r="AC266" s="26"/>
      <c r="AD266" s="27"/>
      <c r="AE266" s="26"/>
      <c r="AF266" s="64">
        <f t="shared" si="60"/>
        <v>0</v>
      </c>
      <c r="AG266" s="65">
        <f t="shared" si="61"/>
        <v>0</v>
      </c>
      <c r="AH266" s="66">
        <f t="shared" si="62"/>
        <v>0</v>
      </c>
      <c r="AI266" s="66">
        <f t="shared" si="63"/>
        <v>0</v>
      </c>
      <c r="AJ266" s="27"/>
      <c r="AK266" s="26"/>
      <c r="AL266" s="64">
        <f t="shared" si="64"/>
        <v>0</v>
      </c>
      <c r="AM266" s="67">
        <f t="shared" si="65"/>
        <v>0</v>
      </c>
      <c r="AN266" s="27"/>
      <c r="AO266" s="26"/>
      <c r="AP266" s="27"/>
      <c r="AQ266" s="26"/>
      <c r="AR266" s="27"/>
      <c r="AS266" s="26"/>
      <c r="AT266" s="27"/>
      <c r="AU266" s="26"/>
      <c r="AV266" s="64">
        <f t="shared" si="66"/>
        <v>0</v>
      </c>
      <c r="AW266" s="70">
        <f t="shared" si="67"/>
        <v>0</v>
      </c>
      <c r="AX266" s="66">
        <f t="shared" si="68"/>
        <v>0</v>
      </c>
      <c r="AY266" s="71">
        <f t="shared" si="69"/>
        <v>0</v>
      </c>
      <c r="AZ266" s="72">
        <f t="shared" si="70"/>
        <v>3934.3666666666668</v>
      </c>
      <c r="BA266" s="66">
        <f t="shared" si="71"/>
        <v>3804.2666666666669</v>
      </c>
    </row>
    <row r="267" spans="1:53" ht="15">
      <c r="A267" s="157" t="s">
        <v>293</v>
      </c>
      <c r="B267" s="8" t="s">
        <v>309</v>
      </c>
      <c r="C267" s="693" t="s">
        <v>984</v>
      </c>
      <c r="D267" s="6">
        <v>175810</v>
      </c>
      <c r="E267" s="159">
        <v>9</v>
      </c>
      <c r="F267" s="29" t="s">
        <v>75</v>
      </c>
      <c r="G267" s="16"/>
      <c r="H267" s="27"/>
      <c r="I267" s="26"/>
      <c r="J267" s="27">
        <v>67348</v>
      </c>
      <c r="K267" s="26">
        <v>64718</v>
      </c>
      <c r="L267" s="27">
        <v>17508</v>
      </c>
      <c r="M267" s="109">
        <v>16201</v>
      </c>
      <c r="N267" s="27">
        <v>75253</v>
      </c>
      <c r="O267" s="26">
        <v>78920</v>
      </c>
      <c r="P267" s="64">
        <f t="shared" si="54"/>
        <v>160109</v>
      </c>
      <c r="Q267" s="65">
        <f t="shared" si="55"/>
        <v>5336.9666666666662</v>
      </c>
      <c r="R267" s="66">
        <f t="shared" si="56"/>
        <v>159839</v>
      </c>
      <c r="S267" s="67">
        <f t="shared" si="57"/>
        <v>5327.9666666666662</v>
      </c>
      <c r="T267" s="27">
        <v>4623</v>
      </c>
      <c r="U267" s="109">
        <v>6412</v>
      </c>
      <c r="V267" s="64">
        <f t="shared" si="58"/>
        <v>160109</v>
      </c>
      <c r="W267" s="68">
        <f t="shared" si="59"/>
        <v>159839</v>
      </c>
      <c r="X267" s="27"/>
      <c r="Y267" s="26"/>
      <c r="Z267" s="27"/>
      <c r="AA267" s="26"/>
      <c r="AB267" s="27"/>
      <c r="AC267" s="26"/>
      <c r="AD267" s="27"/>
      <c r="AE267" s="26"/>
      <c r="AF267" s="64">
        <f t="shared" si="60"/>
        <v>0</v>
      </c>
      <c r="AG267" s="65">
        <f t="shared" si="61"/>
        <v>0</v>
      </c>
      <c r="AH267" s="66">
        <f t="shared" si="62"/>
        <v>0</v>
      </c>
      <c r="AI267" s="66">
        <f t="shared" si="63"/>
        <v>0</v>
      </c>
      <c r="AJ267" s="27"/>
      <c r="AK267" s="26"/>
      <c r="AL267" s="64">
        <f t="shared" si="64"/>
        <v>0</v>
      </c>
      <c r="AM267" s="67">
        <f t="shared" si="65"/>
        <v>0</v>
      </c>
      <c r="AN267" s="27"/>
      <c r="AO267" s="26"/>
      <c r="AP267" s="27"/>
      <c r="AQ267" s="26"/>
      <c r="AR267" s="27"/>
      <c r="AS267" s="26"/>
      <c r="AT267" s="27"/>
      <c r="AU267" s="26"/>
      <c r="AV267" s="64">
        <f t="shared" si="66"/>
        <v>0</v>
      </c>
      <c r="AW267" s="70">
        <f t="shared" si="67"/>
        <v>0</v>
      </c>
      <c r="AX267" s="66">
        <f t="shared" si="68"/>
        <v>0</v>
      </c>
      <c r="AY267" s="71">
        <f t="shared" si="69"/>
        <v>0</v>
      </c>
      <c r="AZ267" s="72">
        <f t="shared" si="70"/>
        <v>5336.9666666666662</v>
      </c>
      <c r="BA267" s="66">
        <f t="shared" si="71"/>
        <v>5327.9666666666662</v>
      </c>
    </row>
    <row r="268" spans="1:53">
      <c r="A268" s="157" t="s">
        <v>293</v>
      </c>
      <c r="B268" s="8" t="s">
        <v>310</v>
      </c>
      <c r="C268" s="7"/>
      <c r="D268" s="6">
        <v>175883</v>
      </c>
      <c r="E268" s="159">
        <v>9</v>
      </c>
      <c r="F268" s="29" t="s">
        <v>75</v>
      </c>
      <c r="G268" s="16"/>
      <c r="H268" s="27"/>
      <c r="I268" s="26"/>
      <c r="J268" s="27">
        <v>55664</v>
      </c>
      <c r="K268" s="26">
        <v>57438</v>
      </c>
      <c r="L268" s="27">
        <v>13632</v>
      </c>
      <c r="M268" s="26">
        <v>13733</v>
      </c>
      <c r="N268" s="27">
        <v>66627</v>
      </c>
      <c r="O268" s="26">
        <v>67057</v>
      </c>
      <c r="P268" s="64">
        <f t="shared" si="54"/>
        <v>135923</v>
      </c>
      <c r="Q268" s="65">
        <f t="shared" si="55"/>
        <v>4530.7666666666664</v>
      </c>
      <c r="R268" s="66">
        <f t="shared" si="56"/>
        <v>138228</v>
      </c>
      <c r="S268" s="67">
        <f t="shared" si="57"/>
        <v>4607.6000000000004</v>
      </c>
      <c r="T268" s="27">
        <v>3729</v>
      </c>
      <c r="U268" s="109">
        <v>3368</v>
      </c>
      <c r="V268" s="64">
        <f t="shared" si="58"/>
        <v>135923</v>
      </c>
      <c r="W268" s="68">
        <f t="shared" si="59"/>
        <v>138228</v>
      </c>
      <c r="X268" s="27"/>
      <c r="Y268" s="26"/>
      <c r="Z268" s="27"/>
      <c r="AA268" s="26"/>
      <c r="AB268" s="27"/>
      <c r="AC268" s="26"/>
      <c r="AD268" s="27"/>
      <c r="AE268" s="26"/>
      <c r="AF268" s="64">
        <f t="shared" si="60"/>
        <v>0</v>
      </c>
      <c r="AG268" s="65">
        <f t="shared" si="61"/>
        <v>0</v>
      </c>
      <c r="AH268" s="66">
        <f t="shared" si="62"/>
        <v>0</v>
      </c>
      <c r="AI268" s="66">
        <f t="shared" si="63"/>
        <v>0</v>
      </c>
      <c r="AJ268" s="27"/>
      <c r="AK268" s="26"/>
      <c r="AL268" s="64">
        <f t="shared" si="64"/>
        <v>0</v>
      </c>
      <c r="AM268" s="67">
        <f t="shared" si="65"/>
        <v>0</v>
      </c>
      <c r="AN268" s="27"/>
      <c r="AO268" s="26"/>
      <c r="AP268" s="27"/>
      <c r="AQ268" s="26"/>
      <c r="AR268" s="27"/>
      <c r="AS268" s="26"/>
      <c r="AT268" s="27"/>
      <c r="AU268" s="26"/>
      <c r="AV268" s="64">
        <f t="shared" si="66"/>
        <v>0</v>
      </c>
      <c r="AW268" s="70">
        <f t="shared" si="67"/>
        <v>0</v>
      </c>
      <c r="AX268" s="66">
        <f t="shared" si="68"/>
        <v>0</v>
      </c>
      <c r="AY268" s="71">
        <f t="shared" si="69"/>
        <v>0</v>
      </c>
      <c r="AZ268" s="72">
        <f t="shared" si="70"/>
        <v>4530.7666666666664</v>
      </c>
      <c r="BA268" s="66">
        <f t="shared" si="71"/>
        <v>4607.6000000000004</v>
      </c>
    </row>
    <row r="269" spans="1:53">
      <c r="A269" s="157" t="s">
        <v>293</v>
      </c>
      <c r="B269" s="8" t="s">
        <v>311</v>
      </c>
      <c r="C269" s="7"/>
      <c r="D269" s="6">
        <v>175935</v>
      </c>
      <c r="E269" s="159">
        <v>9</v>
      </c>
      <c r="F269" s="29" t="s">
        <v>75</v>
      </c>
      <c r="G269" s="16"/>
      <c r="H269" s="27"/>
      <c r="I269" s="26"/>
      <c r="J269" s="27">
        <v>38670</v>
      </c>
      <c r="K269" s="26">
        <v>38890.5</v>
      </c>
      <c r="L269" s="27">
        <v>6909</v>
      </c>
      <c r="M269" s="109">
        <v>7702</v>
      </c>
      <c r="N269" s="27">
        <v>44669</v>
      </c>
      <c r="O269" s="26">
        <v>45297</v>
      </c>
      <c r="P269" s="64">
        <f t="shared" si="54"/>
        <v>90248</v>
      </c>
      <c r="Q269" s="65">
        <f t="shared" si="55"/>
        <v>3008.2666666666669</v>
      </c>
      <c r="R269" s="66">
        <f t="shared" si="56"/>
        <v>91889.5</v>
      </c>
      <c r="S269" s="67">
        <f t="shared" si="57"/>
        <v>3062.9833333333331</v>
      </c>
      <c r="T269" s="27">
        <v>1589</v>
      </c>
      <c r="U269" s="109">
        <v>2439</v>
      </c>
      <c r="V269" s="64">
        <f t="shared" si="58"/>
        <v>90248</v>
      </c>
      <c r="W269" s="68">
        <f t="shared" si="59"/>
        <v>91889.5</v>
      </c>
      <c r="X269" s="27"/>
      <c r="Y269" s="26"/>
      <c r="Z269" s="27"/>
      <c r="AA269" s="26"/>
      <c r="AB269" s="27"/>
      <c r="AC269" s="26"/>
      <c r="AD269" s="27"/>
      <c r="AE269" s="26"/>
      <c r="AF269" s="64">
        <f t="shared" si="60"/>
        <v>0</v>
      </c>
      <c r="AG269" s="65">
        <f t="shared" si="61"/>
        <v>0</v>
      </c>
      <c r="AH269" s="66">
        <f t="shared" si="62"/>
        <v>0</v>
      </c>
      <c r="AI269" s="66">
        <f t="shared" si="63"/>
        <v>0</v>
      </c>
      <c r="AJ269" s="27"/>
      <c r="AK269" s="26"/>
      <c r="AL269" s="64">
        <f t="shared" si="64"/>
        <v>0</v>
      </c>
      <c r="AM269" s="67">
        <f t="shared" si="65"/>
        <v>0</v>
      </c>
      <c r="AN269" s="27"/>
      <c r="AO269" s="26"/>
      <c r="AP269" s="27"/>
      <c r="AQ269" s="26"/>
      <c r="AR269" s="27"/>
      <c r="AS269" s="26"/>
      <c r="AT269" s="27"/>
      <c r="AU269" s="26"/>
      <c r="AV269" s="64">
        <f t="shared" si="66"/>
        <v>0</v>
      </c>
      <c r="AW269" s="70">
        <f t="shared" si="67"/>
        <v>0</v>
      </c>
      <c r="AX269" s="66">
        <f t="shared" si="68"/>
        <v>0</v>
      </c>
      <c r="AY269" s="71">
        <f t="shared" si="69"/>
        <v>0</v>
      </c>
      <c r="AZ269" s="72">
        <f t="shared" si="70"/>
        <v>3008.2666666666669</v>
      </c>
      <c r="BA269" s="66">
        <f t="shared" si="71"/>
        <v>3062.9833333333331</v>
      </c>
    </row>
    <row r="270" spans="1:53">
      <c r="A270" s="157" t="s">
        <v>293</v>
      </c>
      <c r="B270" s="8" t="s">
        <v>312</v>
      </c>
      <c r="C270" s="7"/>
      <c r="D270" s="6">
        <v>176008</v>
      </c>
      <c r="E270" s="159">
        <v>9</v>
      </c>
      <c r="F270" s="29" t="s">
        <v>75</v>
      </c>
      <c r="G270" s="16"/>
      <c r="H270" s="27"/>
      <c r="I270" s="26"/>
      <c r="J270" s="27">
        <v>31627</v>
      </c>
      <c r="K270" s="109">
        <v>28389</v>
      </c>
      <c r="L270" s="27">
        <v>4319</v>
      </c>
      <c r="M270" s="26">
        <v>4287</v>
      </c>
      <c r="N270" s="27">
        <v>31446</v>
      </c>
      <c r="O270" s="26">
        <v>31738</v>
      </c>
      <c r="P270" s="64">
        <f t="shared" si="54"/>
        <v>67392</v>
      </c>
      <c r="Q270" s="65">
        <f t="shared" si="55"/>
        <v>2246.4</v>
      </c>
      <c r="R270" s="66">
        <f t="shared" si="56"/>
        <v>64414</v>
      </c>
      <c r="S270" s="67">
        <f t="shared" si="57"/>
        <v>2147.1333333333332</v>
      </c>
      <c r="T270" s="27">
        <v>1327</v>
      </c>
      <c r="U270" s="109">
        <v>1449</v>
      </c>
      <c r="V270" s="64">
        <f t="shared" si="58"/>
        <v>67392</v>
      </c>
      <c r="W270" s="68">
        <f t="shared" si="59"/>
        <v>64414</v>
      </c>
      <c r="X270" s="27"/>
      <c r="Y270" s="26"/>
      <c r="Z270" s="27"/>
      <c r="AA270" s="26"/>
      <c r="AB270" s="27"/>
      <c r="AC270" s="26"/>
      <c r="AD270" s="27"/>
      <c r="AE270" s="26"/>
      <c r="AF270" s="64">
        <f t="shared" si="60"/>
        <v>0</v>
      </c>
      <c r="AG270" s="65">
        <f t="shared" si="61"/>
        <v>0</v>
      </c>
      <c r="AH270" s="66">
        <f t="shared" si="62"/>
        <v>0</v>
      </c>
      <c r="AI270" s="66">
        <f t="shared" si="63"/>
        <v>0</v>
      </c>
      <c r="AJ270" s="27"/>
      <c r="AK270" s="26"/>
      <c r="AL270" s="64">
        <f t="shared" si="64"/>
        <v>0</v>
      </c>
      <c r="AM270" s="67">
        <f t="shared" si="65"/>
        <v>0</v>
      </c>
      <c r="AN270" s="27"/>
      <c r="AO270" s="26"/>
      <c r="AP270" s="27"/>
      <c r="AQ270" s="26"/>
      <c r="AR270" s="27"/>
      <c r="AS270" s="26"/>
      <c r="AT270" s="27"/>
      <c r="AU270" s="26"/>
      <c r="AV270" s="64">
        <f t="shared" si="66"/>
        <v>0</v>
      </c>
      <c r="AW270" s="70">
        <f t="shared" si="67"/>
        <v>0</v>
      </c>
      <c r="AX270" s="66">
        <f t="shared" si="68"/>
        <v>0</v>
      </c>
      <c r="AY270" s="71">
        <f t="shared" si="69"/>
        <v>0</v>
      </c>
      <c r="AZ270" s="72">
        <f t="shared" si="70"/>
        <v>2246.4</v>
      </c>
      <c r="BA270" s="66">
        <f t="shared" si="71"/>
        <v>2147.1333333333332</v>
      </c>
    </row>
    <row r="271" spans="1:53">
      <c r="A271" s="157" t="s">
        <v>293</v>
      </c>
      <c r="B271" s="8" t="s">
        <v>313</v>
      </c>
      <c r="C271" s="7"/>
      <c r="D271" s="6">
        <v>176169</v>
      </c>
      <c r="E271" s="159">
        <v>9</v>
      </c>
      <c r="F271" s="29" t="s">
        <v>75</v>
      </c>
      <c r="G271" s="16"/>
      <c r="H271" s="27"/>
      <c r="I271" s="26"/>
      <c r="J271" s="27">
        <v>43904</v>
      </c>
      <c r="K271" s="26">
        <v>42497</v>
      </c>
      <c r="L271" s="27">
        <v>3345</v>
      </c>
      <c r="M271" s="109">
        <v>2363</v>
      </c>
      <c r="N271" s="27">
        <v>47701</v>
      </c>
      <c r="O271" s="26">
        <v>47361</v>
      </c>
      <c r="P271" s="64">
        <f t="shared" si="54"/>
        <v>94950</v>
      </c>
      <c r="Q271" s="65">
        <f t="shared" si="55"/>
        <v>3165</v>
      </c>
      <c r="R271" s="66">
        <f t="shared" si="56"/>
        <v>92221</v>
      </c>
      <c r="S271" s="67">
        <f t="shared" si="57"/>
        <v>3074.0333333333333</v>
      </c>
      <c r="T271" s="27">
        <v>3820</v>
      </c>
      <c r="U271" s="109">
        <v>4479</v>
      </c>
      <c r="V271" s="64">
        <f t="shared" si="58"/>
        <v>94950</v>
      </c>
      <c r="W271" s="68">
        <f t="shared" si="59"/>
        <v>92221</v>
      </c>
      <c r="X271" s="27"/>
      <c r="Y271" s="26"/>
      <c r="Z271" s="27"/>
      <c r="AA271" s="26"/>
      <c r="AB271" s="27"/>
      <c r="AC271" s="26"/>
      <c r="AD271" s="27"/>
      <c r="AE271" s="26"/>
      <c r="AF271" s="64">
        <f t="shared" si="60"/>
        <v>0</v>
      </c>
      <c r="AG271" s="65">
        <f t="shared" si="61"/>
        <v>0</v>
      </c>
      <c r="AH271" s="66">
        <f t="shared" si="62"/>
        <v>0</v>
      </c>
      <c r="AI271" s="66">
        <f t="shared" si="63"/>
        <v>0</v>
      </c>
      <c r="AJ271" s="27"/>
      <c r="AK271" s="26"/>
      <c r="AL271" s="64">
        <f t="shared" si="64"/>
        <v>0</v>
      </c>
      <c r="AM271" s="67">
        <f t="shared" si="65"/>
        <v>0</v>
      </c>
      <c r="AN271" s="27"/>
      <c r="AO271" s="26"/>
      <c r="AP271" s="27"/>
      <c r="AQ271" s="26"/>
      <c r="AR271" s="27"/>
      <c r="AS271" s="26"/>
      <c r="AT271" s="27"/>
      <c r="AU271" s="26"/>
      <c r="AV271" s="64">
        <f t="shared" si="66"/>
        <v>0</v>
      </c>
      <c r="AW271" s="70">
        <f t="shared" si="67"/>
        <v>0</v>
      </c>
      <c r="AX271" s="66">
        <f t="shared" si="68"/>
        <v>0</v>
      </c>
      <c r="AY271" s="71">
        <f t="shared" si="69"/>
        <v>0</v>
      </c>
      <c r="AZ271" s="72">
        <f t="shared" si="70"/>
        <v>3165</v>
      </c>
      <c r="BA271" s="66">
        <f t="shared" si="71"/>
        <v>3074.0333333333333</v>
      </c>
    </row>
    <row r="272" spans="1:53">
      <c r="A272" s="157" t="s">
        <v>293</v>
      </c>
      <c r="B272" s="8" t="s">
        <v>314</v>
      </c>
      <c r="C272" s="7"/>
      <c r="D272" s="6">
        <v>176239</v>
      </c>
      <c r="E272" s="159">
        <v>9</v>
      </c>
      <c r="F272" s="29" t="s">
        <v>75</v>
      </c>
      <c r="G272" s="16"/>
      <c r="H272" s="27"/>
      <c r="I272" s="26"/>
      <c r="J272" s="27">
        <v>50640</v>
      </c>
      <c r="K272" s="26">
        <v>49010</v>
      </c>
      <c r="L272" s="27">
        <v>8768</v>
      </c>
      <c r="M272" s="109">
        <v>7485</v>
      </c>
      <c r="N272" s="27">
        <v>56131</v>
      </c>
      <c r="O272" s="26">
        <v>58358</v>
      </c>
      <c r="P272" s="64">
        <f t="shared" si="54"/>
        <v>115539</v>
      </c>
      <c r="Q272" s="65">
        <f t="shared" si="55"/>
        <v>3851.3</v>
      </c>
      <c r="R272" s="66">
        <f t="shared" si="56"/>
        <v>114853</v>
      </c>
      <c r="S272" s="67">
        <f t="shared" si="57"/>
        <v>3828.4333333333334</v>
      </c>
      <c r="T272" s="27">
        <v>3224</v>
      </c>
      <c r="U272" s="109">
        <v>3398</v>
      </c>
      <c r="V272" s="64">
        <f t="shared" si="58"/>
        <v>115539</v>
      </c>
      <c r="W272" s="68">
        <f t="shared" si="59"/>
        <v>114853</v>
      </c>
      <c r="X272" s="27"/>
      <c r="Y272" s="26"/>
      <c r="Z272" s="27"/>
      <c r="AA272" s="26"/>
      <c r="AB272" s="27"/>
      <c r="AC272" s="26"/>
      <c r="AD272" s="27"/>
      <c r="AE272" s="26"/>
      <c r="AF272" s="64">
        <f t="shared" si="60"/>
        <v>0</v>
      </c>
      <c r="AG272" s="65">
        <f t="shared" si="61"/>
        <v>0</v>
      </c>
      <c r="AH272" s="66">
        <f t="shared" si="62"/>
        <v>0</v>
      </c>
      <c r="AI272" s="66">
        <f t="shared" si="63"/>
        <v>0</v>
      </c>
      <c r="AJ272" s="27"/>
      <c r="AK272" s="26"/>
      <c r="AL272" s="64">
        <f t="shared" si="64"/>
        <v>0</v>
      </c>
      <c r="AM272" s="67">
        <f t="shared" si="65"/>
        <v>0</v>
      </c>
      <c r="AN272" s="27"/>
      <c r="AO272" s="26"/>
      <c r="AP272" s="27"/>
      <c r="AQ272" s="26"/>
      <c r="AR272" s="27"/>
      <c r="AS272" s="26"/>
      <c r="AT272" s="27"/>
      <c r="AU272" s="26"/>
      <c r="AV272" s="64">
        <f t="shared" si="66"/>
        <v>0</v>
      </c>
      <c r="AW272" s="70">
        <f t="shared" si="67"/>
        <v>0</v>
      </c>
      <c r="AX272" s="66">
        <f t="shared" si="68"/>
        <v>0</v>
      </c>
      <c r="AY272" s="71">
        <f t="shared" si="69"/>
        <v>0</v>
      </c>
      <c r="AZ272" s="72">
        <f t="shared" si="70"/>
        <v>3851.3</v>
      </c>
      <c r="BA272" s="66">
        <f t="shared" si="71"/>
        <v>3828.4333333333334</v>
      </c>
    </row>
    <row r="273" spans="1:53">
      <c r="A273" s="157" t="s">
        <v>293</v>
      </c>
      <c r="B273" s="8" t="s">
        <v>315</v>
      </c>
      <c r="C273" s="7"/>
      <c r="D273" s="6">
        <v>175519</v>
      </c>
      <c r="E273" s="159">
        <v>10</v>
      </c>
      <c r="F273" s="29" t="s">
        <v>75</v>
      </c>
      <c r="G273" s="16"/>
      <c r="H273" s="27"/>
      <c r="I273" s="26"/>
      <c r="J273" s="27">
        <v>23939</v>
      </c>
      <c r="K273" s="109">
        <v>19882</v>
      </c>
      <c r="L273" s="27">
        <v>3201</v>
      </c>
      <c r="M273" s="109">
        <v>3598</v>
      </c>
      <c r="N273" s="27">
        <v>26297</v>
      </c>
      <c r="O273" s="26">
        <v>26682</v>
      </c>
      <c r="P273" s="64">
        <f t="shared" si="54"/>
        <v>53437</v>
      </c>
      <c r="Q273" s="65">
        <f t="shared" si="55"/>
        <v>1781.2333333333333</v>
      </c>
      <c r="R273" s="66">
        <f t="shared" si="56"/>
        <v>50162</v>
      </c>
      <c r="S273" s="67">
        <f t="shared" si="57"/>
        <v>1672.0666666666666</v>
      </c>
      <c r="T273" s="27">
        <v>1878</v>
      </c>
      <c r="U273" s="26">
        <v>1808</v>
      </c>
      <c r="V273" s="64">
        <f t="shared" si="58"/>
        <v>53437</v>
      </c>
      <c r="W273" s="68">
        <f t="shared" si="59"/>
        <v>50162</v>
      </c>
      <c r="X273" s="27"/>
      <c r="Y273" s="26"/>
      <c r="Z273" s="27"/>
      <c r="AA273" s="26"/>
      <c r="AB273" s="27"/>
      <c r="AC273" s="26"/>
      <c r="AD273" s="27"/>
      <c r="AE273" s="26"/>
      <c r="AF273" s="64">
        <f t="shared" si="60"/>
        <v>0</v>
      </c>
      <c r="AG273" s="65">
        <f t="shared" si="61"/>
        <v>0</v>
      </c>
      <c r="AH273" s="66">
        <f t="shared" si="62"/>
        <v>0</v>
      </c>
      <c r="AI273" s="66">
        <f t="shared" si="63"/>
        <v>0</v>
      </c>
      <c r="AJ273" s="27"/>
      <c r="AK273" s="26"/>
      <c r="AL273" s="64">
        <f t="shared" si="64"/>
        <v>0</v>
      </c>
      <c r="AM273" s="67">
        <f t="shared" si="65"/>
        <v>0</v>
      </c>
      <c r="AN273" s="27"/>
      <c r="AO273" s="26"/>
      <c r="AP273" s="27"/>
      <c r="AQ273" s="26"/>
      <c r="AR273" s="27"/>
      <c r="AS273" s="26"/>
      <c r="AT273" s="27"/>
      <c r="AU273" s="26"/>
      <c r="AV273" s="64">
        <f t="shared" si="66"/>
        <v>0</v>
      </c>
      <c r="AW273" s="70">
        <f t="shared" si="67"/>
        <v>0</v>
      </c>
      <c r="AX273" s="66">
        <f t="shared" si="68"/>
        <v>0</v>
      </c>
      <c r="AY273" s="71">
        <f t="shared" si="69"/>
        <v>0</v>
      </c>
      <c r="AZ273" s="72">
        <f t="shared" si="70"/>
        <v>1781.2333333333333</v>
      </c>
      <c r="BA273" s="66">
        <f t="shared" si="71"/>
        <v>1672.0666666666666</v>
      </c>
    </row>
    <row r="274" spans="1:53">
      <c r="A274" s="157" t="s">
        <v>293</v>
      </c>
      <c r="B274" s="8" t="s">
        <v>316</v>
      </c>
      <c r="C274" s="7"/>
      <c r="D274" s="6">
        <v>176354</v>
      </c>
      <c r="E274" s="159">
        <v>10</v>
      </c>
      <c r="F274" s="29" t="s">
        <v>75</v>
      </c>
      <c r="G274" s="16"/>
      <c r="H274" s="27"/>
      <c r="I274" s="26"/>
      <c r="J274" s="27">
        <v>24233</v>
      </c>
      <c r="K274" s="26">
        <v>23675</v>
      </c>
      <c r="L274" s="27">
        <v>2524</v>
      </c>
      <c r="M274" s="26">
        <v>2506</v>
      </c>
      <c r="N274" s="27">
        <v>27556</v>
      </c>
      <c r="O274" s="26">
        <v>27663</v>
      </c>
      <c r="P274" s="64">
        <f t="shared" si="54"/>
        <v>54313</v>
      </c>
      <c r="Q274" s="65">
        <f t="shared" si="55"/>
        <v>1810.4333333333334</v>
      </c>
      <c r="R274" s="66">
        <f t="shared" si="56"/>
        <v>53844</v>
      </c>
      <c r="S274" s="67">
        <f t="shared" si="57"/>
        <v>1794.8</v>
      </c>
      <c r="T274" s="27">
        <v>1494</v>
      </c>
      <c r="U274" s="109">
        <v>1957</v>
      </c>
      <c r="V274" s="64">
        <f t="shared" si="58"/>
        <v>54313</v>
      </c>
      <c r="W274" s="68">
        <f t="shared" si="59"/>
        <v>53844</v>
      </c>
      <c r="X274" s="27"/>
      <c r="Y274" s="26"/>
      <c r="Z274" s="27"/>
      <c r="AA274" s="26"/>
      <c r="AB274" s="27"/>
      <c r="AC274" s="26"/>
      <c r="AD274" s="27"/>
      <c r="AE274" s="26"/>
      <c r="AF274" s="64">
        <f t="shared" si="60"/>
        <v>0</v>
      </c>
      <c r="AG274" s="65">
        <f t="shared" si="61"/>
        <v>0</v>
      </c>
      <c r="AH274" s="66">
        <f t="shared" si="62"/>
        <v>0</v>
      </c>
      <c r="AI274" s="66">
        <f t="shared" si="63"/>
        <v>0</v>
      </c>
      <c r="AJ274" s="27"/>
      <c r="AK274" s="26"/>
      <c r="AL274" s="64">
        <f t="shared" si="64"/>
        <v>0</v>
      </c>
      <c r="AM274" s="67">
        <f t="shared" si="65"/>
        <v>0</v>
      </c>
      <c r="AN274" s="27"/>
      <c r="AO274" s="26"/>
      <c r="AP274" s="27"/>
      <c r="AQ274" s="26"/>
      <c r="AR274" s="27"/>
      <c r="AS274" s="26"/>
      <c r="AT274" s="27"/>
      <c r="AU274" s="26"/>
      <c r="AV274" s="64">
        <f t="shared" si="66"/>
        <v>0</v>
      </c>
      <c r="AW274" s="70">
        <f t="shared" si="67"/>
        <v>0</v>
      </c>
      <c r="AX274" s="66">
        <f t="shared" si="68"/>
        <v>0</v>
      </c>
      <c r="AY274" s="71">
        <f t="shared" si="69"/>
        <v>0</v>
      </c>
      <c r="AZ274" s="72">
        <f t="shared" si="70"/>
        <v>1810.4333333333334</v>
      </c>
      <c r="BA274" s="66">
        <f t="shared" si="71"/>
        <v>1794.8</v>
      </c>
    </row>
    <row r="275" spans="1:53" s="54" customFormat="1" ht="13.5" customHeight="1">
      <c r="A275" s="123" t="s">
        <v>317</v>
      </c>
      <c r="B275" s="132" t="s">
        <v>318</v>
      </c>
      <c r="C275" s="125"/>
      <c r="D275" s="127">
        <v>197887</v>
      </c>
      <c r="E275" s="127">
        <v>8</v>
      </c>
      <c r="F275" s="29" t="s">
        <v>75</v>
      </c>
      <c r="G275" s="16" t="s">
        <v>75</v>
      </c>
      <c r="H275" s="27"/>
      <c r="I275" s="26"/>
      <c r="J275" s="162">
        <v>62358</v>
      </c>
      <c r="K275" s="163">
        <v>62340</v>
      </c>
      <c r="L275" s="162">
        <v>12997</v>
      </c>
      <c r="M275" s="26">
        <v>12903</v>
      </c>
      <c r="N275" s="162">
        <v>64702</v>
      </c>
      <c r="O275" s="26">
        <v>64806</v>
      </c>
      <c r="P275" s="64">
        <f t="shared" si="54"/>
        <v>140057</v>
      </c>
      <c r="Q275" s="65">
        <f t="shared" si="55"/>
        <v>4668.5666666666666</v>
      </c>
      <c r="R275" s="66">
        <f t="shared" si="56"/>
        <v>140049</v>
      </c>
      <c r="S275" s="67">
        <f t="shared" si="57"/>
        <v>4668.3</v>
      </c>
      <c r="T275" s="162">
        <v>13261</v>
      </c>
      <c r="U275" s="109">
        <v>16125</v>
      </c>
      <c r="V275" s="64">
        <f t="shared" si="58"/>
        <v>140057</v>
      </c>
      <c r="W275" s="68">
        <f t="shared" si="59"/>
        <v>140049</v>
      </c>
      <c r="X275" s="27"/>
      <c r="Y275" s="26"/>
      <c r="Z275" s="27">
        <v>276445</v>
      </c>
      <c r="AA275" s="26">
        <v>277935</v>
      </c>
      <c r="AB275" s="27">
        <v>201298</v>
      </c>
      <c r="AC275" s="109">
        <v>183153</v>
      </c>
      <c r="AD275" s="27">
        <v>269836</v>
      </c>
      <c r="AE275" s="26">
        <v>264705</v>
      </c>
      <c r="AF275" s="64">
        <f t="shared" si="60"/>
        <v>747579</v>
      </c>
      <c r="AG275" s="65">
        <f t="shared" si="61"/>
        <v>830.64333333333332</v>
      </c>
      <c r="AH275" s="66">
        <f t="shared" si="62"/>
        <v>725793</v>
      </c>
      <c r="AI275" s="66">
        <f t="shared" si="63"/>
        <v>806.43666666666661</v>
      </c>
      <c r="AJ275" s="27"/>
      <c r="AK275" s="26"/>
      <c r="AL275" s="64">
        <f t="shared" si="64"/>
        <v>0</v>
      </c>
      <c r="AM275" s="67">
        <f t="shared" si="65"/>
        <v>0</v>
      </c>
      <c r="AN275" s="27"/>
      <c r="AO275" s="26"/>
      <c r="AP275" s="27"/>
      <c r="AQ275" s="26"/>
      <c r="AR275" s="27"/>
      <c r="AS275" s="26"/>
      <c r="AT275" s="27"/>
      <c r="AU275" s="26"/>
      <c r="AV275" s="64">
        <f t="shared" si="66"/>
        <v>0</v>
      </c>
      <c r="AW275" s="70">
        <f t="shared" si="67"/>
        <v>0</v>
      </c>
      <c r="AX275" s="66">
        <f t="shared" si="68"/>
        <v>0</v>
      </c>
      <c r="AY275" s="71">
        <f t="shared" si="69"/>
        <v>0</v>
      </c>
      <c r="AZ275" s="72">
        <f t="shared" si="70"/>
        <v>5499.21</v>
      </c>
      <c r="BA275" s="66">
        <f t="shared" si="71"/>
        <v>5474.7366666666667</v>
      </c>
    </row>
    <row r="276" spans="1:53">
      <c r="A276" s="123" t="s">
        <v>317</v>
      </c>
      <c r="B276" s="132" t="s">
        <v>319</v>
      </c>
      <c r="C276" s="125"/>
      <c r="D276" s="127">
        <v>198154</v>
      </c>
      <c r="E276" s="127">
        <v>8</v>
      </c>
      <c r="F276" s="29" t="s">
        <v>75</v>
      </c>
      <c r="G276" s="16" t="s">
        <v>75</v>
      </c>
      <c r="H276" s="27"/>
      <c r="I276" s="26"/>
      <c r="J276" s="162">
        <v>87375</v>
      </c>
      <c r="K276" s="163">
        <v>84013</v>
      </c>
      <c r="L276" s="162">
        <v>21629</v>
      </c>
      <c r="M276" s="26">
        <v>20999</v>
      </c>
      <c r="N276" s="162">
        <v>91481</v>
      </c>
      <c r="O276" s="26">
        <v>89916</v>
      </c>
      <c r="P276" s="64">
        <f t="shared" si="54"/>
        <v>200485</v>
      </c>
      <c r="Q276" s="65">
        <f t="shared" si="55"/>
        <v>6682.833333333333</v>
      </c>
      <c r="R276" s="66">
        <f t="shared" si="56"/>
        <v>194928</v>
      </c>
      <c r="S276" s="67">
        <f t="shared" si="57"/>
        <v>6497.6</v>
      </c>
      <c r="T276" s="162">
        <v>7043</v>
      </c>
      <c r="U276" s="109">
        <v>10001</v>
      </c>
      <c r="V276" s="64">
        <f t="shared" si="58"/>
        <v>200485</v>
      </c>
      <c r="W276" s="68">
        <f t="shared" si="59"/>
        <v>194928</v>
      </c>
      <c r="X276" s="27"/>
      <c r="Y276" s="26"/>
      <c r="Z276" s="27">
        <v>285772</v>
      </c>
      <c r="AA276" s="109">
        <v>264458</v>
      </c>
      <c r="AB276" s="27">
        <v>133434</v>
      </c>
      <c r="AC276" s="109">
        <v>144492</v>
      </c>
      <c r="AD276" s="27">
        <v>295048</v>
      </c>
      <c r="AE276" s="109">
        <v>267283</v>
      </c>
      <c r="AF276" s="64">
        <f t="shared" si="60"/>
        <v>714254</v>
      </c>
      <c r="AG276" s="65">
        <f t="shared" si="61"/>
        <v>793.6155555555556</v>
      </c>
      <c r="AH276" s="66">
        <f t="shared" si="62"/>
        <v>676233</v>
      </c>
      <c r="AI276" s="66">
        <f t="shared" si="63"/>
        <v>751.37</v>
      </c>
      <c r="AJ276" s="27"/>
      <c r="AK276" s="26"/>
      <c r="AL276" s="64">
        <f t="shared" si="64"/>
        <v>0</v>
      </c>
      <c r="AM276" s="67">
        <f t="shared" si="65"/>
        <v>0</v>
      </c>
      <c r="AN276" s="27"/>
      <c r="AO276" s="26"/>
      <c r="AP276" s="27"/>
      <c r="AQ276" s="26"/>
      <c r="AR276" s="27"/>
      <c r="AS276" s="26"/>
      <c r="AT276" s="27"/>
      <c r="AU276" s="26"/>
      <c r="AV276" s="64">
        <f t="shared" si="66"/>
        <v>0</v>
      </c>
      <c r="AW276" s="70">
        <f t="shared" si="67"/>
        <v>0</v>
      </c>
      <c r="AX276" s="66">
        <f t="shared" si="68"/>
        <v>0</v>
      </c>
      <c r="AY276" s="71">
        <f t="shared" si="69"/>
        <v>0</v>
      </c>
      <c r="AZ276" s="72">
        <f t="shared" si="70"/>
        <v>7476.4488888888882</v>
      </c>
      <c r="BA276" s="66">
        <f t="shared" si="71"/>
        <v>7248.97</v>
      </c>
    </row>
    <row r="277" spans="1:53">
      <c r="A277" s="123" t="s">
        <v>317</v>
      </c>
      <c r="B277" s="132" t="s">
        <v>320</v>
      </c>
      <c r="C277" s="125"/>
      <c r="D277" s="127">
        <v>198260</v>
      </c>
      <c r="E277" s="127">
        <v>8</v>
      </c>
      <c r="F277" s="29" t="s">
        <v>75</v>
      </c>
      <c r="G277" s="16" t="s">
        <v>75</v>
      </c>
      <c r="H277" s="27"/>
      <c r="I277" s="26"/>
      <c r="J277" s="162">
        <v>172051</v>
      </c>
      <c r="K277" s="163">
        <v>167577.5</v>
      </c>
      <c r="L277" s="162">
        <v>40553</v>
      </c>
      <c r="M277" s="109">
        <v>42974.5</v>
      </c>
      <c r="N277" s="162">
        <v>174791</v>
      </c>
      <c r="O277" s="26">
        <v>183115.5</v>
      </c>
      <c r="P277" s="64">
        <f t="shared" si="54"/>
        <v>387395</v>
      </c>
      <c r="Q277" s="65">
        <f t="shared" si="55"/>
        <v>12913.166666666666</v>
      </c>
      <c r="R277" s="66">
        <f t="shared" si="56"/>
        <v>393667.5</v>
      </c>
      <c r="S277" s="67">
        <f t="shared" si="57"/>
        <v>13122.25</v>
      </c>
      <c r="T277" s="162">
        <v>8558</v>
      </c>
      <c r="U277" s="109">
        <v>21055</v>
      </c>
      <c r="V277" s="64">
        <f t="shared" si="58"/>
        <v>387395</v>
      </c>
      <c r="W277" s="68">
        <f t="shared" si="59"/>
        <v>393667.5</v>
      </c>
      <c r="X277" s="27"/>
      <c r="Y277" s="26"/>
      <c r="Z277" s="27">
        <v>588452</v>
      </c>
      <c r="AA277" s="26">
        <v>581175</v>
      </c>
      <c r="AB277" s="27">
        <v>277137</v>
      </c>
      <c r="AC277" s="26">
        <v>280063</v>
      </c>
      <c r="AD277" s="27">
        <v>563496</v>
      </c>
      <c r="AE277" s="26">
        <v>547751</v>
      </c>
      <c r="AF277" s="64">
        <f t="shared" si="60"/>
        <v>1429085</v>
      </c>
      <c r="AG277" s="65">
        <f t="shared" si="61"/>
        <v>1587.8722222222223</v>
      </c>
      <c r="AH277" s="66">
        <f t="shared" si="62"/>
        <v>1408989</v>
      </c>
      <c r="AI277" s="66">
        <f t="shared" si="63"/>
        <v>1565.5433333333333</v>
      </c>
      <c r="AJ277" s="27"/>
      <c r="AK277" s="26"/>
      <c r="AL277" s="64">
        <f t="shared" si="64"/>
        <v>0</v>
      </c>
      <c r="AM277" s="67">
        <f t="shared" si="65"/>
        <v>0</v>
      </c>
      <c r="AN277" s="27"/>
      <c r="AO277" s="26"/>
      <c r="AP277" s="27"/>
      <c r="AQ277" s="26"/>
      <c r="AR277" s="27"/>
      <c r="AS277" s="26"/>
      <c r="AT277" s="27"/>
      <c r="AU277" s="26"/>
      <c r="AV277" s="64">
        <f t="shared" si="66"/>
        <v>0</v>
      </c>
      <c r="AW277" s="70">
        <f t="shared" si="67"/>
        <v>0</v>
      </c>
      <c r="AX277" s="66">
        <f t="shared" si="68"/>
        <v>0</v>
      </c>
      <c r="AY277" s="71">
        <f t="shared" si="69"/>
        <v>0</v>
      </c>
      <c r="AZ277" s="72">
        <f t="shared" si="70"/>
        <v>14501.038888888888</v>
      </c>
      <c r="BA277" s="66">
        <f t="shared" si="71"/>
        <v>14687.793333333333</v>
      </c>
    </row>
    <row r="278" spans="1:53">
      <c r="A278" s="123" t="s">
        <v>317</v>
      </c>
      <c r="B278" s="132" t="s">
        <v>321</v>
      </c>
      <c r="C278" s="125"/>
      <c r="D278" s="127">
        <v>198534</v>
      </c>
      <c r="E278" s="127">
        <v>8</v>
      </c>
      <c r="F278" s="29" t="s">
        <v>75</v>
      </c>
      <c r="G278" s="16" t="s">
        <v>75</v>
      </c>
      <c r="H278" s="27"/>
      <c r="I278" s="26"/>
      <c r="J278" s="162">
        <v>114810</v>
      </c>
      <c r="K278" s="163">
        <v>109397</v>
      </c>
      <c r="L278" s="162">
        <v>30218</v>
      </c>
      <c r="M278" s="109">
        <v>28326</v>
      </c>
      <c r="N278" s="162">
        <v>109203</v>
      </c>
      <c r="O278" s="26">
        <v>109390</v>
      </c>
      <c r="P278" s="64">
        <f t="shared" si="54"/>
        <v>254231</v>
      </c>
      <c r="Q278" s="65">
        <f t="shared" si="55"/>
        <v>8474.3666666666668</v>
      </c>
      <c r="R278" s="66">
        <f t="shared" si="56"/>
        <v>247113</v>
      </c>
      <c r="S278" s="67">
        <f t="shared" si="57"/>
        <v>8237.1</v>
      </c>
      <c r="T278" s="162">
        <v>7578</v>
      </c>
      <c r="U278" s="109">
        <v>11142</v>
      </c>
      <c r="V278" s="64">
        <f t="shared" si="58"/>
        <v>254231</v>
      </c>
      <c r="W278" s="68">
        <f t="shared" si="59"/>
        <v>247113</v>
      </c>
      <c r="X278" s="27"/>
      <c r="Y278" s="26"/>
      <c r="Z278" s="27">
        <v>647590</v>
      </c>
      <c r="AA278" s="26">
        <v>655508</v>
      </c>
      <c r="AB278" s="27">
        <v>484962</v>
      </c>
      <c r="AC278" s="26">
        <v>492030</v>
      </c>
      <c r="AD278" s="27">
        <v>849830</v>
      </c>
      <c r="AE278" s="26">
        <v>871638</v>
      </c>
      <c r="AF278" s="64">
        <f t="shared" si="60"/>
        <v>1982382</v>
      </c>
      <c r="AG278" s="65">
        <f t="shared" si="61"/>
        <v>2202.6466666666665</v>
      </c>
      <c r="AH278" s="66">
        <f t="shared" si="62"/>
        <v>2019176</v>
      </c>
      <c r="AI278" s="66">
        <f t="shared" si="63"/>
        <v>2243.528888888889</v>
      </c>
      <c r="AJ278" s="27"/>
      <c r="AK278" s="26"/>
      <c r="AL278" s="64">
        <f t="shared" si="64"/>
        <v>0</v>
      </c>
      <c r="AM278" s="67">
        <f t="shared" si="65"/>
        <v>0</v>
      </c>
      <c r="AN278" s="27"/>
      <c r="AO278" s="26"/>
      <c r="AP278" s="27"/>
      <c r="AQ278" s="26"/>
      <c r="AR278" s="27"/>
      <c r="AS278" s="26"/>
      <c r="AT278" s="27"/>
      <c r="AU278" s="26"/>
      <c r="AV278" s="64">
        <f t="shared" si="66"/>
        <v>0</v>
      </c>
      <c r="AW278" s="70">
        <f t="shared" si="67"/>
        <v>0</v>
      </c>
      <c r="AX278" s="66">
        <f t="shared" si="68"/>
        <v>0</v>
      </c>
      <c r="AY278" s="71">
        <f t="shared" si="69"/>
        <v>0</v>
      </c>
      <c r="AZ278" s="72">
        <f t="shared" si="70"/>
        <v>10677.013333333332</v>
      </c>
      <c r="BA278" s="66">
        <f t="shared" si="71"/>
        <v>10480.628888888888</v>
      </c>
    </row>
    <row r="279" spans="1:53">
      <c r="A279" s="123" t="s">
        <v>317</v>
      </c>
      <c r="B279" s="132" t="s">
        <v>322</v>
      </c>
      <c r="C279" s="125"/>
      <c r="D279" s="127">
        <v>198552</v>
      </c>
      <c r="E279" s="127">
        <v>8</v>
      </c>
      <c r="F279" s="29" t="s">
        <v>75</v>
      </c>
      <c r="G279" s="16" t="s">
        <v>75</v>
      </c>
      <c r="H279" s="27"/>
      <c r="I279" s="26"/>
      <c r="J279" s="162">
        <v>78958</v>
      </c>
      <c r="K279" s="164">
        <v>70574</v>
      </c>
      <c r="L279" s="162">
        <v>21960</v>
      </c>
      <c r="M279" s="26">
        <v>21917</v>
      </c>
      <c r="N279" s="162">
        <v>78481</v>
      </c>
      <c r="O279" s="109">
        <v>74145</v>
      </c>
      <c r="P279" s="64">
        <f t="shared" si="54"/>
        <v>179399</v>
      </c>
      <c r="Q279" s="65">
        <f t="shared" si="55"/>
        <v>5979.9666666666662</v>
      </c>
      <c r="R279" s="66">
        <f t="shared" si="56"/>
        <v>166636</v>
      </c>
      <c r="S279" s="67">
        <f t="shared" si="57"/>
        <v>5554.5333333333338</v>
      </c>
      <c r="T279" s="162">
        <v>8014</v>
      </c>
      <c r="U279" s="109">
        <v>9831</v>
      </c>
      <c r="V279" s="64">
        <f t="shared" si="58"/>
        <v>179399</v>
      </c>
      <c r="W279" s="68">
        <f t="shared" si="59"/>
        <v>166636</v>
      </c>
      <c r="X279" s="27"/>
      <c r="Y279" s="26"/>
      <c r="Z279" s="27">
        <v>337513</v>
      </c>
      <c r="AA279" s="26">
        <v>330640</v>
      </c>
      <c r="AB279" s="27">
        <v>220476</v>
      </c>
      <c r="AC279" s="26">
        <v>222740</v>
      </c>
      <c r="AD279" s="27">
        <v>330993</v>
      </c>
      <c r="AE279" s="26">
        <v>315496</v>
      </c>
      <c r="AF279" s="64">
        <f t="shared" si="60"/>
        <v>888982</v>
      </c>
      <c r="AG279" s="65">
        <f t="shared" si="61"/>
        <v>987.75777777777773</v>
      </c>
      <c r="AH279" s="66">
        <f t="shared" si="62"/>
        <v>868876</v>
      </c>
      <c r="AI279" s="66">
        <f t="shared" si="63"/>
        <v>965.41777777777781</v>
      </c>
      <c r="AJ279" s="27"/>
      <c r="AK279" s="26"/>
      <c r="AL279" s="64">
        <f t="shared" si="64"/>
        <v>0</v>
      </c>
      <c r="AM279" s="67">
        <f t="shared" si="65"/>
        <v>0</v>
      </c>
      <c r="AN279" s="27"/>
      <c r="AO279" s="26"/>
      <c r="AP279" s="27"/>
      <c r="AQ279" s="26"/>
      <c r="AR279" s="27"/>
      <c r="AS279" s="26"/>
      <c r="AT279" s="27"/>
      <c r="AU279" s="26"/>
      <c r="AV279" s="64">
        <f t="shared" si="66"/>
        <v>0</v>
      </c>
      <c r="AW279" s="70">
        <f t="shared" si="67"/>
        <v>0</v>
      </c>
      <c r="AX279" s="66">
        <f t="shared" si="68"/>
        <v>0</v>
      </c>
      <c r="AY279" s="71">
        <f t="shared" si="69"/>
        <v>0</v>
      </c>
      <c r="AZ279" s="72">
        <f t="shared" si="70"/>
        <v>6967.7244444444441</v>
      </c>
      <c r="BA279" s="66">
        <f t="shared" si="71"/>
        <v>6519.9511111111115</v>
      </c>
    </row>
    <row r="280" spans="1:53">
      <c r="A280" s="123" t="s">
        <v>317</v>
      </c>
      <c r="B280" s="132" t="s">
        <v>323</v>
      </c>
      <c r="C280" s="125"/>
      <c r="D280" s="127">
        <v>198622</v>
      </c>
      <c r="E280" s="127">
        <v>8</v>
      </c>
      <c r="F280" s="29" t="s">
        <v>75</v>
      </c>
      <c r="G280" s="16" t="s">
        <v>75</v>
      </c>
      <c r="H280" s="27"/>
      <c r="I280" s="26"/>
      <c r="J280" s="162">
        <v>112779</v>
      </c>
      <c r="K280" s="163">
        <v>107207</v>
      </c>
      <c r="L280" s="162">
        <v>27803</v>
      </c>
      <c r="M280" s="26">
        <v>26756</v>
      </c>
      <c r="N280" s="162">
        <v>112385</v>
      </c>
      <c r="O280" s="26">
        <v>109401</v>
      </c>
      <c r="P280" s="64">
        <f t="shared" si="54"/>
        <v>252967</v>
      </c>
      <c r="Q280" s="65">
        <f t="shared" si="55"/>
        <v>8432.2333333333336</v>
      </c>
      <c r="R280" s="66">
        <f t="shared" si="56"/>
        <v>243364</v>
      </c>
      <c r="S280" s="67">
        <f t="shared" si="57"/>
        <v>8112.1333333333332</v>
      </c>
      <c r="T280" s="162">
        <v>5368</v>
      </c>
      <c r="U280" s="109">
        <v>8815</v>
      </c>
      <c r="V280" s="64">
        <f t="shared" si="58"/>
        <v>252967</v>
      </c>
      <c r="W280" s="68">
        <f t="shared" si="59"/>
        <v>243364</v>
      </c>
      <c r="X280" s="27"/>
      <c r="Y280" s="26"/>
      <c r="Z280" s="27">
        <v>459389</v>
      </c>
      <c r="AA280" s="26">
        <v>454974</v>
      </c>
      <c r="AB280" s="27">
        <v>259577</v>
      </c>
      <c r="AC280" s="109">
        <v>274192</v>
      </c>
      <c r="AD280" s="27">
        <v>493734</v>
      </c>
      <c r="AE280" s="109">
        <v>466875</v>
      </c>
      <c r="AF280" s="64">
        <f t="shared" si="60"/>
        <v>1212700</v>
      </c>
      <c r="AG280" s="65">
        <f t="shared" si="61"/>
        <v>1347.4444444444443</v>
      </c>
      <c r="AH280" s="66">
        <f t="shared" si="62"/>
        <v>1196041</v>
      </c>
      <c r="AI280" s="66">
        <f t="shared" si="63"/>
        <v>1328.9344444444444</v>
      </c>
      <c r="AJ280" s="27"/>
      <c r="AK280" s="26"/>
      <c r="AL280" s="64">
        <f t="shared" si="64"/>
        <v>0</v>
      </c>
      <c r="AM280" s="67">
        <f t="shared" si="65"/>
        <v>0</v>
      </c>
      <c r="AN280" s="27"/>
      <c r="AO280" s="26"/>
      <c r="AP280" s="27"/>
      <c r="AQ280" s="26"/>
      <c r="AR280" s="27"/>
      <c r="AS280" s="26"/>
      <c r="AT280" s="27"/>
      <c r="AU280" s="26"/>
      <c r="AV280" s="64">
        <f t="shared" si="66"/>
        <v>0</v>
      </c>
      <c r="AW280" s="70">
        <f t="shared" si="67"/>
        <v>0</v>
      </c>
      <c r="AX280" s="66">
        <f t="shared" si="68"/>
        <v>0</v>
      </c>
      <c r="AY280" s="71">
        <f t="shared" si="69"/>
        <v>0</v>
      </c>
      <c r="AZ280" s="72">
        <f t="shared" si="70"/>
        <v>9779.6777777777788</v>
      </c>
      <c r="BA280" s="66">
        <f t="shared" si="71"/>
        <v>9441.0677777777782</v>
      </c>
    </row>
    <row r="281" spans="1:53">
      <c r="A281" s="123" t="s">
        <v>317</v>
      </c>
      <c r="B281" s="132" t="s">
        <v>324</v>
      </c>
      <c r="C281" s="125"/>
      <c r="D281" s="127">
        <v>199333</v>
      </c>
      <c r="E281" s="127">
        <v>8</v>
      </c>
      <c r="F281" s="29" t="s">
        <v>75</v>
      </c>
      <c r="G281" s="16" t="s">
        <v>75</v>
      </c>
      <c r="H281" s="27"/>
      <c r="I281" s="26"/>
      <c r="J281" s="162">
        <v>86160.6</v>
      </c>
      <c r="K281" s="164">
        <v>81055</v>
      </c>
      <c r="L281" s="162">
        <v>21226.5</v>
      </c>
      <c r="M281" s="26">
        <v>20649</v>
      </c>
      <c r="N281" s="162">
        <v>86917</v>
      </c>
      <c r="O281" s="26">
        <v>84156</v>
      </c>
      <c r="P281" s="64">
        <f t="shared" si="54"/>
        <v>194304.1</v>
      </c>
      <c r="Q281" s="65">
        <f t="shared" si="55"/>
        <v>6476.8033333333333</v>
      </c>
      <c r="R281" s="66">
        <f t="shared" si="56"/>
        <v>185860</v>
      </c>
      <c r="S281" s="67">
        <f t="shared" si="57"/>
        <v>6195.333333333333</v>
      </c>
      <c r="T281" s="162">
        <v>5015.1000000000004</v>
      </c>
      <c r="U281" s="109">
        <v>6601</v>
      </c>
      <c r="V281" s="64">
        <f t="shared" si="58"/>
        <v>194304.1</v>
      </c>
      <c r="W281" s="68">
        <f t="shared" si="59"/>
        <v>185860</v>
      </c>
      <c r="X281" s="27"/>
      <c r="Y281" s="26"/>
      <c r="Z281" s="27">
        <v>260335</v>
      </c>
      <c r="AA281" s="109">
        <v>190024</v>
      </c>
      <c r="AB281" s="27">
        <v>130394</v>
      </c>
      <c r="AC281" s="109">
        <v>161925</v>
      </c>
      <c r="AD281" s="27">
        <v>274413</v>
      </c>
      <c r="AE281" s="109">
        <v>249201</v>
      </c>
      <c r="AF281" s="64">
        <f t="shared" si="60"/>
        <v>665142</v>
      </c>
      <c r="AG281" s="65">
        <f t="shared" si="61"/>
        <v>739.04666666666662</v>
      </c>
      <c r="AH281" s="66">
        <f t="shared" si="62"/>
        <v>601150</v>
      </c>
      <c r="AI281" s="66">
        <f t="shared" si="63"/>
        <v>667.94444444444446</v>
      </c>
      <c r="AJ281" s="27"/>
      <c r="AK281" s="26"/>
      <c r="AL281" s="64">
        <f t="shared" si="64"/>
        <v>0</v>
      </c>
      <c r="AM281" s="67">
        <f t="shared" si="65"/>
        <v>0</v>
      </c>
      <c r="AN281" s="27"/>
      <c r="AO281" s="26"/>
      <c r="AP281" s="27"/>
      <c r="AQ281" s="26"/>
      <c r="AR281" s="27"/>
      <c r="AS281" s="26"/>
      <c r="AT281" s="27"/>
      <c r="AU281" s="26"/>
      <c r="AV281" s="64">
        <f t="shared" si="66"/>
        <v>0</v>
      </c>
      <c r="AW281" s="70">
        <f t="shared" si="67"/>
        <v>0</v>
      </c>
      <c r="AX281" s="66">
        <f t="shared" si="68"/>
        <v>0</v>
      </c>
      <c r="AY281" s="71">
        <f t="shared" si="69"/>
        <v>0</v>
      </c>
      <c r="AZ281" s="72">
        <f t="shared" si="70"/>
        <v>7215.85</v>
      </c>
      <c r="BA281" s="66">
        <f t="shared" si="71"/>
        <v>6863.2777777777774</v>
      </c>
    </row>
    <row r="282" spans="1:53" ht="15">
      <c r="A282" s="123" t="s">
        <v>317</v>
      </c>
      <c r="B282" s="132" t="s">
        <v>325</v>
      </c>
      <c r="C282" s="696" t="s">
        <v>985</v>
      </c>
      <c r="D282" s="127">
        <v>199494</v>
      </c>
      <c r="E282" s="147">
        <v>8</v>
      </c>
      <c r="F282" s="29" t="s">
        <v>75</v>
      </c>
      <c r="G282" s="16" t="s">
        <v>75</v>
      </c>
      <c r="H282" s="27"/>
      <c r="I282" s="26"/>
      <c r="J282" s="162">
        <v>61550</v>
      </c>
      <c r="K282" s="164">
        <v>49885</v>
      </c>
      <c r="L282" s="162">
        <v>11682</v>
      </c>
      <c r="M282" s="26">
        <v>11534.5</v>
      </c>
      <c r="N282" s="162">
        <v>55629</v>
      </c>
      <c r="O282" s="26">
        <v>54667</v>
      </c>
      <c r="P282" s="64">
        <f t="shared" si="54"/>
        <v>128861</v>
      </c>
      <c r="Q282" s="65">
        <f t="shared" si="55"/>
        <v>4295.3666666666668</v>
      </c>
      <c r="R282" s="66">
        <f t="shared" si="56"/>
        <v>116086.5</v>
      </c>
      <c r="S282" s="67">
        <f t="shared" si="57"/>
        <v>3869.55</v>
      </c>
      <c r="T282" s="162">
        <v>12786</v>
      </c>
      <c r="U282" s="109">
        <v>14638</v>
      </c>
      <c r="V282" s="64">
        <f t="shared" si="58"/>
        <v>128861</v>
      </c>
      <c r="W282" s="68">
        <f t="shared" si="59"/>
        <v>116086.5</v>
      </c>
      <c r="X282" s="27"/>
      <c r="Y282" s="26"/>
      <c r="Z282" s="27">
        <v>280904</v>
      </c>
      <c r="AA282" s="26">
        <v>277263</v>
      </c>
      <c r="AB282" s="27">
        <v>172879</v>
      </c>
      <c r="AC282" s="26">
        <v>171564</v>
      </c>
      <c r="AD282" s="27">
        <v>295515</v>
      </c>
      <c r="AE282" s="109">
        <v>339702</v>
      </c>
      <c r="AF282" s="64">
        <f t="shared" si="60"/>
        <v>749298</v>
      </c>
      <c r="AG282" s="65">
        <f t="shared" si="61"/>
        <v>832.55333333333328</v>
      </c>
      <c r="AH282" s="66">
        <f t="shared" si="62"/>
        <v>788529</v>
      </c>
      <c r="AI282" s="66">
        <f t="shared" si="63"/>
        <v>876.14333333333332</v>
      </c>
      <c r="AJ282" s="27"/>
      <c r="AK282" s="26"/>
      <c r="AL282" s="64">
        <f t="shared" si="64"/>
        <v>0</v>
      </c>
      <c r="AM282" s="67">
        <f t="shared" si="65"/>
        <v>0</v>
      </c>
      <c r="AN282" s="27"/>
      <c r="AO282" s="26"/>
      <c r="AP282" s="27"/>
      <c r="AQ282" s="26"/>
      <c r="AR282" s="27"/>
      <c r="AS282" s="26"/>
      <c r="AT282" s="27"/>
      <c r="AU282" s="26"/>
      <c r="AV282" s="64">
        <f t="shared" si="66"/>
        <v>0</v>
      </c>
      <c r="AW282" s="70">
        <f t="shared" si="67"/>
        <v>0</v>
      </c>
      <c r="AX282" s="66">
        <f t="shared" si="68"/>
        <v>0</v>
      </c>
      <c r="AY282" s="71">
        <f t="shared" si="69"/>
        <v>0</v>
      </c>
      <c r="AZ282" s="72">
        <f t="shared" si="70"/>
        <v>5127.92</v>
      </c>
      <c r="BA282" s="66">
        <f t="shared" si="71"/>
        <v>4745.6933333333336</v>
      </c>
    </row>
    <row r="283" spans="1:53">
      <c r="A283" s="123" t="s">
        <v>317</v>
      </c>
      <c r="B283" s="132" t="s">
        <v>326</v>
      </c>
      <c r="C283" s="125"/>
      <c r="D283" s="127">
        <v>199856</v>
      </c>
      <c r="E283" s="127">
        <v>8</v>
      </c>
      <c r="F283" s="29" t="s">
        <v>75</v>
      </c>
      <c r="G283" s="16" t="s">
        <v>75</v>
      </c>
      <c r="H283" s="27"/>
      <c r="I283" s="26"/>
      <c r="J283" s="162">
        <v>196627</v>
      </c>
      <c r="K283" s="163">
        <v>195926</v>
      </c>
      <c r="L283" s="162">
        <v>44107</v>
      </c>
      <c r="M283" s="109">
        <v>47890</v>
      </c>
      <c r="N283" s="162">
        <v>203939</v>
      </c>
      <c r="O283" s="26">
        <v>211494</v>
      </c>
      <c r="P283" s="64">
        <f t="shared" si="54"/>
        <v>444673</v>
      </c>
      <c r="Q283" s="65">
        <f t="shared" si="55"/>
        <v>14822.433333333332</v>
      </c>
      <c r="R283" s="66">
        <f t="shared" si="56"/>
        <v>455310</v>
      </c>
      <c r="S283" s="67">
        <f t="shared" si="57"/>
        <v>15177</v>
      </c>
      <c r="T283" s="162">
        <v>7135</v>
      </c>
      <c r="U283" s="109">
        <v>10366</v>
      </c>
      <c r="V283" s="64">
        <f t="shared" si="58"/>
        <v>444673</v>
      </c>
      <c r="W283" s="68">
        <f t="shared" si="59"/>
        <v>455310</v>
      </c>
      <c r="X283" s="27"/>
      <c r="Y283" s="26"/>
      <c r="Z283" s="27">
        <v>705650</v>
      </c>
      <c r="AA283" s="109">
        <v>762298</v>
      </c>
      <c r="AB283" s="27">
        <v>625764</v>
      </c>
      <c r="AC283" s="109">
        <v>678780</v>
      </c>
      <c r="AD283" s="27">
        <v>965130</v>
      </c>
      <c r="AE283" s="109">
        <v>1070938</v>
      </c>
      <c r="AF283" s="64">
        <f t="shared" si="60"/>
        <v>2296544</v>
      </c>
      <c r="AG283" s="65">
        <f t="shared" si="61"/>
        <v>2551.7155555555555</v>
      </c>
      <c r="AH283" s="66">
        <f t="shared" si="62"/>
        <v>2512016</v>
      </c>
      <c r="AI283" s="66">
        <f t="shared" si="63"/>
        <v>2791.1288888888889</v>
      </c>
      <c r="AJ283" s="27"/>
      <c r="AK283" s="26"/>
      <c r="AL283" s="64">
        <f t="shared" si="64"/>
        <v>0</v>
      </c>
      <c r="AM283" s="67">
        <f t="shared" si="65"/>
        <v>0</v>
      </c>
      <c r="AN283" s="27"/>
      <c r="AO283" s="26"/>
      <c r="AP283" s="27"/>
      <c r="AQ283" s="26"/>
      <c r="AR283" s="27"/>
      <c r="AS283" s="26"/>
      <c r="AT283" s="27"/>
      <c r="AU283" s="26"/>
      <c r="AV283" s="64">
        <f t="shared" si="66"/>
        <v>0</v>
      </c>
      <c r="AW283" s="70">
        <f t="shared" si="67"/>
        <v>0</v>
      </c>
      <c r="AX283" s="66">
        <f t="shared" si="68"/>
        <v>0</v>
      </c>
      <c r="AY283" s="71">
        <f t="shared" si="69"/>
        <v>0</v>
      </c>
      <c r="AZ283" s="72">
        <f t="shared" si="70"/>
        <v>17374.148888888889</v>
      </c>
      <c r="BA283" s="66">
        <f t="shared" si="71"/>
        <v>17968.128888888888</v>
      </c>
    </row>
    <row r="284" spans="1:53">
      <c r="A284" s="123" t="s">
        <v>317</v>
      </c>
      <c r="B284" s="132" t="s">
        <v>327</v>
      </c>
      <c r="C284" s="125"/>
      <c r="D284" s="127">
        <v>199786</v>
      </c>
      <c r="E284" s="127">
        <v>9</v>
      </c>
      <c r="F284" s="29" t="s">
        <v>75</v>
      </c>
      <c r="G284" s="16" t="s">
        <v>75</v>
      </c>
      <c r="H284" s="27"/>
      <c r="I284" s="26"/>
      <c r="J284" s="162">
        <v>41850</v>
      </c>
      <c r="K284" s="163">
        <v>40390</v>
      </c>
      <c r="L284" s="162">
        <v>9523</v>
      </c>
      <c r="M284" s="109">
        <v>10092</v>
      </c>
      <c r="N284" s="162">
        <v>44296.5</v>
      </c>
      <c r="O284" s="109">
        <v>41420.5</v>
      </c>
      <c r="P284" s="64">
        <f t="shared" si="54"/>
        <v>95669.5</v>
      </c>
      <c r="Q284" s="65">
        <f t="shared" si="55"/>
        <v>3188.9833333333331</v>
      </c>
      <c r="R284" s="66">
        <f t="shared" si="56"/>
        <v>91902.5</v>
      </c>
      <c r="S284" s="67">
        <f t="shared" si="57"/>
        <v>3063.4166666666665</v>
      </c>
      <c r="T284" s="162">
        <v>8007</v>
      </c>
      <c r="U284" s="109">
        <v>9399</v>
      </c>
      <c r="V284" s="64">
        <f t="shared" si="58"/>
        <v>95669.5</v>
      </c>
      <c r="W284" s="68">
        <f t="shared" si="59"/>
        <v>91902.5</v>
      </c>
      <c r="X284" s="27"/>
      <c r="Y284" s="26"/>
      <c r="Z284" s="27">
        <v>172213</v>
      </c>
      <c r="AA284" s="109">
        <v>183404</v>
      </c>
      <c r="AB284" s="27">
        <v>137119</v>
      </c>
      <c r="AC284" s="109">
        <v>124785</v>
      </c>
      <c r="AD284" s="27">
        <v>198659</v>
      </c>
      <c r="AE284" s="109">
        <v>187141</v>
      </c>
      <c r="AF284" s="64">
        <f t="shared" si="60"/>
        <v>507991</v>
      </c>
      <c r="AG284" s="65">
        <f t="shared" si="61"/>
        <v>564.43444444444447</v>
      </c>
      <c r="AH284" s="66">
        <f t="shared" si="62"/>
        <v>495330</v>
      </c>
      <c r="AI284" s="66">
        <f t="shared" si="63"/>
        <v>550.36666666666667</v>
      </c>
      <c r="AJ284" s="27"/>
      <c r="AK284" s="26"/>
      <c r="AL284" s="64">
        <f t="shared" si="64"/>
        <v>0</v>
      </c>
      <c r="AM284" s="67">
        <f t="shared" si="65"/>
        <v>0</v>
      </c>
      <c r="AN284" s="27"/>
      <c r="AO284" s="26"/>
      <c r="AP284" s="27"/>
      <c r="AQ284" s="26"/>
      <c r="AR284" s="27"/>
      <c r="AS284" s="26"/>
      <c r="AT284" s="27"/>
      <c r="AU284" s="26"/>
      <c r="AV284" s="64">
        <f t="shared" si="66"/>
        <v>0</v>
      </c>
      <c r="AW284" s="70">
        <f t="shared" si="67"/>
        <v>0</v>
      </c>
      <c r="AX284" s="66">
        <f t="shared" si="68"/>
        <v>0</v>
      </c>
      <c r="AY284" s="71">
        <f t="shared" si="69"/>
        <v>0</v>
      </c>
      <c r="AZ284" s="72">
        <f t="shared" si="70"/>
        <v>3753.4177777777777</v>
      </c>
      <c r="BA284" s="66">
        <f t="shared" si="71"/>
        <v>3613.7833333333333</v>
      </c>
    </row>
    <row r="285" spans="1:53">
      <c r="A285" s="123" t="s">
        <v>317</v>
      </c>
      <c r="B285" s="132" t="s">
        <v>328</v>
      </c>
      <c r="C285" s="125"/>
      <c r="D285" s="127">
        <v>198118</v>
      </c>
      <c r="E285" s="127">
        <v>9</v>
      </c>
      <c r="F285" s="29" t="s">
        <v>75</v>
      </c>
      <c r="G285" s="16" t="s">
        <v>75</v>
      </c>
      <c r="H285" s="27"/>
      <c r="I285" s="26"/>
      <c r="J285" s="162">
        <v>33209</v>
      </c>
      <c r="K285" s="163">
        <v>32628.5</v>
      </c>
      <c r="L285" s="162">
        <v>7188</v>
      </c>
      <c r="M285" s="109">
        <v>6679</v>
      </c>
      <c r="N285" s="162">
        <v>35585</v>
      </c>
      <c r="O285" s="26">
        <v>34238</v>
      </c>
      <c r="P285" s="64">
        <f t="shared" si="54"/>
        <v>75982</v>
      </c>
      <c r="Q285" s="65">
        <f t="shared" si="55"/>
        <v>2532.7333333333331</v>
      </c>
      <c r="R285" s="66">
        <f t="shared" si="56"/>
        <v>73545.5</v>
      </c>
      <c r="S285" s="67">
        <f t="shared" si="57"/>
        <v>2451.5166666666669</v>
      </c>
      <c r="T285" s="162">
        <v>11281</v>
      </c>
      <c r="U285" s="109">
        <v>13984.5</v>
      </c>
      <c r="V285" s="64">
        <f t="shared" si="58"/>
        <v>75982</v>
      </c>
      <c r="W285" s="68">
        <f t="shared" si="59"/>
        <v>73545.5</v>
      </c>
      <c r="X285" s="27"/>
      <c r="Y285" s="26"/>
      <c r="Z285" s="27">
        <v>194474</v>
      </c>
      <c r="AA285" s="26">
        <v>187635</v>
      </c>
      <c r="AB285" s="27">
        <v>128868</v>
      </c>
      <c r="AC285" s="109">
        <v>136633</v>
      </c>
      <c r="AD285" s="27">
        <v>230827</v>
      </c>
      <c r="AE285" s="26">
        <v>228266</v>
      </c>
      <c r="AF285" s="64">
        <f t="shared" si="60"/>
        <v>554169</v>
      </c>
      <c r="AG285" s="65">
        <f t="shared" si="61"/>
        <v>615.74333333333334</v>
      </c>
      <c r="AH285" s="66">
        <f t="shared" si="62"/>
        <v>552534</v>
      </c>
      <c r="AI285" s="66">
        <f t="shared" si="63"/>
        <v>613.92666666666662</v>
      </c>
      <c r="AJ285" s="27"/>
      <c r="AK285" s="26"/>
      <c r="AL285" s="64">
        <f t="shared" si="64"/>
        <v>0</v>
      </c>
      <c r="AM285" s="67">
        <f t="shared" si="65"/>
        <v>0</v>
      </c>
      <c r="AN285" s="27"/>
      <c r="AO285" s="26"/>
      <c r="AP285" s="27"/>
      <c r="AQ285" s="26"/>
      <c r="AR285" s="27"/>
      <c r="AS285" s="26"/>
      <c r="AT285" s="27"/>
      <c r="AU285" s="26"/>
      <c r="AV285" s="64">
        <f t="shared" si="66"/>
        <v>0</v>
      </c>
      <c r="AW285" s="70">
        <f t="shared" si="67"/>
        <v>0</v>
      </c>
      <c r="AX285" s="66">
        <f t="shared" si="68"/>
        <v>0</v>
      </c>
      <c r="AY285" s="71">
        <f t="shared" si="69"/>
        <v>0</v>
      </c>
      <c r="AZ285" s="72">
        <f t="shared" si="70"/>
        <v>3148.4766666666665</v>
      </c>
      <c r="BA285" s="66">
        <f t="shared" si="71"/>
        <v>3065.4433333333336</v>
      </c>
    </row>
    <row r="286" spans="1:53">
      <c r="A286" s="123" t="s">
        <v>317</v>
      </c>
      <c r="B286" s="132" t="s">
        <v>329</v>
      </c>
      <c r="C286" s="125"/>
      <c r="D286" s="127">
        <v>198233</v>
      </c>
      <c r="E286" s="127">
        <v>9</v>
      </c>
      <c r="F286" s="29" t="s">
        <v>75</v>
      </c>
      <c r="G286" s="16" t="s">
        <v>75</v>
      </c>
      <c r="H286" s="27"/>
      <c r="I286" s="26"/>
      <c r="J286" s="162">
        <v>41156</v>
      </c>
      <c r="K286" s="163">
        <v>40872</v>
      </c>
      <c r="L286" s="162">
        <v>8461</v>
      </c>
      <c r="M286" s="26">
        <v>8271</v>
      </c>
      <c r="N286" s="162">
        <v>44351</v>
      </c>
      <c r="O286" s="26">
        <v>44729</v>
      </c>
      <c r="P286" s="64">
        <f t="shared" si="54"/>
        <v>93968</v>
      </c>
      <c r="Q286" s="65">
        <f t="shared" si="55"/>
        <v>3132.2666666666669</v>
      </c>
      <c r="R286" s="66">
        <f t="shared" si="56"/>
        <v>93872</v>
      </c>
      <c r="S286" s="67">
        <f t="shared" si="57"/>
        <v>3129.0666666666666</v>
      </c>
      <c r="T286" s="162">
        <v>8552</v>
      </c>
      <c r="U286" s="109">
        <v>12191</v>
      </c>
      <c r="V286" s="64">
        <f t="shared" si="58"/>
        <v>93968</v>
      </c>
      <c r="W286" s="68">
        <f t="shared" si="59"/>
        <v>93872</v>
      </c>
      <c r="X286" s="27"/>
      <c r="Y286" s="26"/>
      <c r="Z286" s="27">
        <v>209476</v>
      </c>
      <c r="AA286" s="109">
        <v>190790</v>
      </c>
      <c r="AB286" s="27">
        <v>116515</v>
      </c>
      <c r="AC286" s="109">
        <v>140085</v>
      </c>
      <c r="AD286" s="27">
        <v>218698</v>
      </c>
      <c r="AE286" s="109">
        <v>187963</v>
      </c>
      <c r="AF286" s="64">
        <f t="shared" si="60"/>
        <v>544689</v>
      </c>
      <c r="AG286" s="65">
        <f t="shared" si="61"/>
        <v>605.21</v>
      </c>
      <c r="AH286" s="66">
        <f t="shared" si="62"/>
        <v>518838</v>
      </c>
      <c r="AI286" s="66">
        <f t="shared" si="63"/>
        <v>576.48666666666668</v>
      </c>
      <c r="AJ286" s="27"/>
      <c r="AK286" s="26"/>
      <c r="AL286" s="64">
        <f t="shared" si="64"/>
        <v>0</v>
      </c>
      <c r="AM286" s="67">
        <f t="shared" si="65"/>
        <v>0</v>
      </c>
      <c r="AN286" s="27"/>
      <c r="AO286" s="26"/>
      <c r="AP286" s="27"/>
      <c r="AQ286" s="26"/>
      <c r="AR286" s="27"/>
      <c r="AS286" s="26"/>
      <c r="AT286" s="27"/>
      <c r="AU286" s="26"/>
      <c r="AV286" s="64">
        <f t="shared" si="66"/>
        <v>0</v>
      </c>
      <c r="AW286" s="70">
        <f t="shared" si="67"/>
        <v>0</v>
      </c>
      <c r="AX286" s="66">
        <f t="shared" si="68"/>
        <v>0</v>
      </c>
      <c r="AY286" s="71">
        <f t="shared" si="69"/>
        <v>0</v>
      </c>
      <c r="AZ286" s="72">
        <f t="shared" si="70"/>
        <v>3737.4766666666669</v>
      </c>
      <c r="BA286" s="66">
        <f t="shared" si="71"/>
        <v>3705.5533333333333</v>
      </c>
    </row>
    <row r="287" spans="1:53">
      <c r="A287" s="123" t="s">
        <v>317</v>
      </c>
      <c r="B287" s="132" t="s">
        <v>330</v>
      </c>
      <c r="C287" s="125"/>
      <c r="D287" s="127">
        <v>198251</v>
      </c>
      <c r="E287" s="127">
        <v>9</v>
      </c>
      <c r="F287" s="29" t="s">
        <v>75</v>
      </c>
      <c r="G287" s="16" t="s">
        <v>75</v>
      </c>
      <c r="H287" s="27"/>
      <c r="I287" s="26"/>
      <c r="J287" s="162">
        <v>44027</v>
      </c>
      <c r="K287" s="163">
        <v>44488</v>
      </c>
      <c r="L287" s="162">
        <v>8210</v>
      </c>
      <c r="M287" s="109">
        <v>8979</v>
      </c>
      <c r="N287" s="162">
        <v>47818</v>
      </c>
      <c r="O287" s="26">
        <v>48087</v>
      </c>
      <c r="P287" s="64">
        <f t="shared" si="54"/>
        <v>100055</v>
      </c>
      <c r="Q287" s="65">
        <f t="shared" si="55"/>
        <v>3335.1666666666665</v>
      </c>
      <c r="R287" s="66">
        <f t="shared" si="56"/>
        <v>101554</v>
      </c>
      <c r="S287" s="67">
        <f t="shared" si="57"/>
        <v>3385.1333333333332</v>
      </c>
      <c r="T287" s="162">
        <v>13692</v>
      </c>
      <c r="U287" s="109">
        <v>17172</v>
      </c>
      <c r="V287" s="64">
        <f t="shared" si="58"/>
        <v>100055</v>
      </c>
      <c r="W287" s="68">
        <f t="shared" si="59"/>
        <v>101554</v>
      </c>
      <c r="X287" s="27"/>
      <c r="Y287" s="26"/>
      <c r="Z287" s="27">
        <v>278945</v>
      </c>
      <c r="AA287" s="26">
        <v>282558</v>
      </c>
      <c r="AB287" s="27">
        <v>198406</v>
      </c>
      <c r="AC287" s="26">
        <v>201552</v>
      </c>
      <c r="AD287" s="27">
        <v>358892</v>
      </c>
      <c r="AE287" s="109">
        <v>304017</v>
      </c>
      <c r="AF287" s="64">
        <f t="shared" si="60"/>
        <v>836243</v>
      </c>
      <c r="AG287" s="65">
        <f t="shared" si="61"/>
        <v>929.1588888888889</v>
      </c>
      <c r="AH287" s="66">
        <f t="shared" si="62"/>
        <v>788127</v>
      </c>
      <c r="AI287" s="66">
        <f t="shared" si="63"/>
        <v>875.69666666666672</v>
      </c>
      <c r="AJ287" s="27"/>
      <c r="AK287" s="26"/>
      <c r="AL287" s="64">
        <f t="shared" si="64"/>
        <v>0</v>
      </c>
      <c r="AM287" s="67">
        <f t="shared" si="65"/>
        <v>0</v>
      </c>
      <c r="AN287" s="27"/>
      <c r="AO287" s="26"/>
      <c r="AP287" s="27"/>
      <c r="AQ287" s="26"/>
      <c r="AR287" s="27"/>
      <c r="AS287" s="26"/>
      <c r="AT287" s="27"/>
      <c r="AU287" s="26"/>
      <c r="AV287" s="64">
        <f t="shared" si="66"/>
        <v>0</v>
      </c>
      <c r="AW287" s="70">
        <f t="shared" si="67"/>
        <v>0</v>
      </c>
      <c r="AX287" s="66">
        <f t="shared" si="68"/>
        <v>0</v>
      </c>
      <c r="AY287" s="71">
        <f t="shared" si="69"/>
        <v>0</v>
      </c>
      <c r="AZ287" s="72">
        <f t="shared" si="70"/>
        <v>4264.3255555555552</v>
      </c>
      <c r="BA287" s="66">
        <f t="shared" si="71"/>
        <v>4260.83</v>
      </c>
    </row>
    <row r="288" spans="1:53">
      <c r="A288" s="123" t="s">
        <v>317</v>
      </c>
      <c r="B288" s="132" t="s">
        <v>331</v>
      </c>
      <c r="C288" s="125"/>
      <c r="D288" s="127">
        <v>198321</v>
      </c>
      <c r="E288" s="127">
        <v>9</v>
      </c>
      <c r="F288" s="29" t="s">
        <v>75</v>
      </c>
      <c r="G288" s="16" t="s">
        <v>75</v>
      </c>
      <c r="H288" s="27"/>
      <c r="I288" s="26"/>
      <c r="J288" s="162">
        <v>26168</v>
      </c>
      <c r="K288" s="164">
        <v>24105</v>
      </c>
      <c r="L288" s="162">
        <v>3636</v>
      </c>
      <c r="M288" s="109">
        <v>5647</v>
      </c>
      <c r="N288" s="162">
        <v>26600.5</v>
      </c>
      <c r="O288" s="109">
        <v>28132.5</v>
      </c>
      <c r="P288" s="64">
        <f t="shared" si="54"/>
        <v>56404.5</v>
      </c>
      <c r="Q288" s="65">
        <f t="shared" si="55"/>
        <v>1880.15</v>
      </c>
      <c r="R288" s="66">
        <f t="shared" si="56"/>
        <v>57884.5</v>
      </c>
      <c r="S288" s="67">
        <f t="shared" si="57"/>
        <v>1929.4833333333333</v>
      </c>
      <c r="T288" s="162">
        <v>8847</v>
      </c>
      <c r="U288" s="109">
        <v>9355.5</v>
      </c>
      <c r="V288" s="64">
        <f t="shared" si="58"/>
        <v>56404.5</v>
      </c>
      <c r="W288" s="68">
        <f t="shared" si="59"/>
        <v>57884.5</v>
      </c>
      <c r="X288" s="27"/>
      <c r="Y288" s="26"/>
      <c r="Z288" s="27">
        <v>127883</v>
      </c>
      <c r="AA288" s="109">
        <v>136786</v>
      </c>
      <c r="AB288" s="27">
        <v>107613</v>
      </c>
      <c r="AC288" s="109">
        <v>101931</v>
      </c>
      <c r="AD288" s="27">
        <v>171680</v>
      </c>
      <c r="AE288" s="109">
        <v>156906</v>
      </c>
      <c r="AF288" s="64">
        <f t="shared" si="60"/>
        <v>407176</v>
      </c>
      <c r="AG288" s="65">
        <f t="shared" si="61"/>
        <v>452.41777777777776</v>
      </c>
      <c r="AH288" s="66">
        <f t="shared" si="62"/>
        <v>395623</v>
      </c>
      <c r="AI288" s="66">
        <f t="shared" si="63"/>
        <v>439.58111111111111</v>
      </c>
      <c r="AJ288" s="27"/>
      <c r="AK288" s="26"/>
      <c r="AL288" s="64">
        <f t="shared" si="64"/>
        <v>0</v>
      </c>
      <c r="AM288" s="67">
        <f t="shared" si="65"/>
        <v>0</v>
      </c>
      <c r="AN288" s="27"/>
      <c r="AO288" s="26"/>
      <c r="AP288" s="27"/>
      <c r="AQ288" s="26"/>
      <c r="AR288" s="27"/>
      <c r="AS288" s="26"/>
      <c r="AT288" s="27"/>
      <c r="AU288" s="26"/>
      <c r="AV288" s="64">
        <f t="shared" si="66"/>
        <v>0</v>
      </c>
      <c r="AW288" s="70">
        <f t="shared" si="67"/>
        <v>0</v>
      </c>
      <c r="AX288" s="66">
        <f t="shared" si="68"/>
        <v>0</v>
      </c>
      <c r="AY288" s="71">
        <f t="shared" si="69"/>
        <v>0</v>
      </c>
      <c r="AZ288" s="72">
        <f t="shared" si="70"/>
        <v>2332.5677777777778</v>
      </c>
      <c r="BA288" s="66">
        <f t="shared" si="71"/>
        <v>2369.0644444444442</v>
      </c>
    </row>
    <row r="289" spans="1:53">
      <c r="A289" s="123" t="s">
        <v>317</v>
      </c>
      <c r="B289" s="145" t="s">
        <v>332</v>
      </c>
      <c r="C289" s="165"/>
      <c r="D289" s="127">
        <v>198330</v>
      </c>
      <c r="E289" s="127">
        <v>9</v>
      </c>
      <c r="F289" s="29" t="s">
        <v>75</v>
      </c>
      <c r="G289" s="16" t="s">
        <v>75</v>
      </c>
      <c r="H289" s="27"/>
      <c r="I289" s="26"/>
      <c r="J289" s="162">
        <v>43562</v>
      </c>
      <c r="K289" s="164">
        <v>40864</v>
      </c>
      <c r="L289" s="162">
        <v>16044</v>
      </c>
      <c r="M289" s="26">
        <v>15280</v>
      </c>
      <c r="N289" s="162">
        <v>43564</v>
      </c>
      <c r="O289" s="109">
        <v>41002</v>
      </c>
      <c r="P289" s="64">
        <f t="shared" si="54"/>
        <v>103170</v>
      </c>
      <c r="Q289" s="65">
        <f t="shared" si="55"/>
        <v>3439</v>
      </c>
      <c r="R289" s="66">
        <f t="shared" si="56"/>
        <v>97146</v>
      </c>
      <c r="S289" s="67">
        <f t="shared" si="57"/>
        <v>3238.2</v>
      </c>
      <c r="T289" s="162">
        <v>781</v>
      </c>
      <c r="U289" s="109">
        <v>1267</v>
      </c>
      <c r="V289" s="64">
        <f t="shared" si="58"/>
        <v>103170</v>
      </c>
      <c r="W289" s="68">
        <f t="shared" si="59"/>
        <v>97146</v>
      </c>
      <c r="X289" s="27"/>
      <c r="Y289" s="26"/>
      <c r="Z289" s="27">
        <v>173589</v>
      </c>
      <c r="AA289" s="109">
        <v>164581</v>
      </c>
      <c r="AB289" s="27">
        <v>128148</v>
      </c>
      <c r="AC289" s="26">
        <v>130907</v>
      </c>
      <c r="AD289" s="27">
        <v>203374</v>
      </c>
      <c r="AE289" s="26">
        <v>199176</v>
      </c>
      <c r="AF289" s="64">
        <f t="shared" si="60"/>
        <v>505111</v>
      </c>
      <c r="AG289" s="65">
        <f t="shared" si="61"/>
        <v>561.23444444444442</v>
      </c>
      <c r="AH289" s="66">
        <f t="shared" si="62"/>
        <v>494664</v>
      </c>
      <c r="AI289" s="66">
        <f t="shared" si="63"/>
        <v>549.62666666666667</v>
      </c>
      <c r="AJ289" s="27"/>
      <c r="AK289" s="26"/>
      <c r="AL289" s="64">
        <f t="shared" si="64"/>
        <v>0</v>
      </c>
      <c r="AM289" s="67">
        <f t="shared" si="65"/>
        <v>0</v>
      </c>
      <c r="AN289" s="27"/>
      <c r="AO289" s="26"/>
      <c r="AP289" s="27"/>
      <c r="AQ289" s="26"/>
      <c r="AR289" s="27"/>
      <c r="AS289" s="26"/>
      <c r="AT289" s="27"/>
      <c r="AU289" s="26"/>
      <c r="AV289" s="64">
        <f t="shared" si="66"/>
        <v>0</v>
      </c>
      <c r="AW289" s="70">
        <f t="shared" si="67"/>
        <v>0</v>
      </c>
      <c r="AX289" s="66">
        <f t="shared" si="68"/>
        <v>0</v>
      </c>
      <c r="AY289" s="71">
        <f t="shared" si="69"/>
        <v>0</v>
      </c>
      <c r="AZ289" s="72">
        <f t="shared" si="70"/>
        <v>4000.2344444444443</v>
      </c>
      <c r="BA289" s="66">
        <f t="shared" si="71"/>
        <v>3787.8266666666664</v>
      </c>
    </row>
    <row r="290" spans="1:53">
      <c r="A290" s="123" t="s">
        <v>317</v>
      </c>
      <c r="B290" s="132" t="s">
        <v>333</v>
      </c>
      <c r="C290" s="125"/>
      <c r="D290" s="127">
        <v>198367</v>
      </c>
      <c r="E290" s="127">
        <v>9</v>
      </c>
      <c r="F290" s="29" t="s">
        <v>75</v>
      </c>
      <c r="G290" s="16" t="s">
        <v>75</v>
      </c>
      <c r="H290" s="27"/>
      <c r="I290" s="26"/>
      <c r="J290" s="162">
        <v>28742</v>
      </c>
      <c r="K290" s="163">
        <v>28343</v>
      </c>
      <c r="L290" s="162">
        <v>6609</v>
      </c>
      <c r="M290" s="26">
        <v>6794</v>
      </c>
      <c r="N290" s="162">
        <v>28745</v>
      </c>
      <c r="O290" s="109">
        <v>26898</v>
      </c>
      <c r="P290" s="64">
        <f t="shared" si="54"/>
        <v>64096</v>
      </c>
      <c r="Q290" s="65">
        <f t="shared" si="55"/>
        <v>2136.5333333333333</v>
      </c>
      <c r="R290" s="66">
        <f t="shared" si="56"/>
        <v>62035</v>
      </c>
      <c r="S290" s="67">
        <f t="shared" si="57"/>
        <v>2067.8333333333335</v>
      </c>
      <c r="T290" s="162">
        <v>7004</v>
      </c>
      <c r="U290" s="109">
        <v>7977</v>
      </c>
      <c r="V290" s="64">
        <f t="shared" si="58"/>
        <v>64096</v>
      </c>
      <c r="W290" s="68">
        <f t="shared" si="59"/>
        <v>62035</v>
      </c>
      <c r="X290" s="27"/>
      <c r="Y290" s="26"/>
      <c r="Z290" s="27">
        <v>143777</v>
      </c>
      <c r="AA290" s="26">
        <v>136657</v>
      </c>
      <c r="AB290" s="27">
        <v>76869</v>
      </c>
      <c r="AC290" s="109">
        <v>103959</v>
      </c>
      <c r="AD290" s="27">
        <v>167216</v>
      </c>
      <c r="AE290" s="26">
        <v>169840</v>
      </c>
      <c r="AF290" s="64">
        <f t="shared" si="60"/>
        <v>387862</v>
      </c>
      <c r="AG290" s="65">
        <f t="shared" si="61"/>
        <v>430.95777777777778</v>
      </c>
      <c r="AH290" s="66">
        <f t="shared" si="62"/>
        <v>410456</v>
      </c>
      <c r="AI290" s="66">
        <f t="shared" si="63"/>
        <v>456.0622222222222</v>
      </c>
      <c r="AJ290" s="27"/>
      <c r="AK290" s="26"/>
      <c r="AL290" s="64">
        <f t="shared" si="64"/>
        <v>0</v>
      </c>
      <c r="AM290" s="67">
        <f t="shared" si="65"/>
        <v>0</v>
      </c>
      <c r="AN290" s="27"/>
      <c r="AO290" s="26"/>
      <c r="AP290" s="27"/>
      <c r="AQ290" s="26"/>
      <c r="AR290" s="27"/>
      <c r="AS290" s="26"/>
      <c r="AT290" s="27"/>
      <c r="AU290" s="26"/>
      <c r="AV290" s="64">
        <f t="shared" si="66"/>
        <v>0</v>
      </c>
      <c r="AW290" s="70">
        <f t="shared" si="67"/>
        <v>0</v>
      </c>
      <c r="AX290" s="66">
        <f t="shared" si="68"/>
        <v>0</v>
      </c>
      <c r="AY290" s="71">
        <f t="shared" si="69"/>
        <v>0</v>
      </c>
      <c r="AZ290" s="72">
        <f t="shared" si="70"/>
        <v>2567.491111111111</v>
      </c>
      <c r="BA290" s="66">
        <f t="shared" si="71"/>
        <v>2523.8955555555558</v>
      </c>
    </row>
    <row r="291" spans="1:53">
      <c r="A291" s="123" t="s">
        <v>317</v>
      </c>
      <c r="B291" s="132" t="s">
        <v>334</v>
      </c>
      <c r="C291" s="125"/>
      <c r="D291" s="127">
        <v>198376</v>
      </c>
      <c r="E291" s="127">
        <v>9</v>
      </c>
      <c r="F291" s="29" t="s">
        <v>75</v>
      </c>
      <c r="G291" s="16" t="s">
        <v>75</v>
      </c>
      <c r="H291" s="27"/>
      <c r="I291" s="26"/>
      <c r="J291" s="162">
        <v>35896.5</v>
      </c>
      <c r="K291" s="163">
        <v>35047</v>
      </c>
      <c r="L291" s="162">
        <v>5682</v>
      </c>
      <c r="M291" s="109">
        <v>6232</v>
      </c>
      <c r="N291" s="162">
        <v>37087</v>
      </c>
      <c r="O291" s="26">
        <v>36268</v>
      </c>
      <c r="P291" s="64">
        <f t="shared" si="54"/>
        <v>78665.5</v>
      </c>
      <c r="Q291" s="65">
        <f t="shared" si="55"/>
        <v>2622.1833333333334</v>
      </c>
      <c r="R291" s="66">
        <f t="shared" si="56"/>
        <v>77547</v>
      </c>
      <c r="S291" s="67">
        <f t="shared" si="57"/>
        <v>2584.9</v>
      </c>
      <c r="T291" s="162">
        <v>8043.5</v>
      </c>
      <c r="U291" s="109">
        <v>10701</v>
      </c>
      <c r="V291" s="64">
        <f t="shared" si="58"/>
        <v>78665.5</v>
      </c>
      <c r="W291" s="68">
        <f t="shared" si="59"/>
        <v>77547</v>
      </c>
      <c r="X291" s="27"/>
      <c r="Y291" s="26"/>
      <c r="Z291" s="27">
        <v>174253</v>
      </c>
      <c r="AA291" s="109">
        <v>154019</v>
      </c>
      <c r="AB291" s="27">
        <v>140374</v>
      </c>
      <c r="AC291" s="109">
        <v>102639</v>
      </c>
      <c r="AD291" s="27">
        <v>186659</v>
      </c>
      <c r="AE291" s="109">
        <v>158450</v>
      </c>
      <c r="AF291" s="64">
        <f t="shared" si="60"/>
        <v>501286</v>
      </c>
      <c r="AG291" s="65">
        <f t="shared" si="61"/>
        <v>556.98444444444442</v>
      </c>
      <c r="AH291" s="66">
        <f t="shared" si="62"/>
        <v>415108</v>
      </c>
      <c r="AI291" s="66">
        <f t="shared" si="63"/>
        <v>461.23111111111109</v>
      </c>
      <c r="AJ291" s="27"/>
      <c r="AK291" s="26"/>
      <c r="AL291" s="64">
        <f t="shared" si="64"/>
        <v>0</v>
      </c>
      <c r="AM291" s="67">
        <f t="shared" si="65"/>
        <v>0</v>
      </c>
      <c r="AN291" s="27"/>
      <c r="AO291" s="26"/>
      <c r="AP291" s="27"/>
      <c r="AQ291" s="26"/>
      <c r="AR291" s="27"/>
      <c r="AS291" s="26"/>
      <c r="AT291" s="27"/>
      <c r="AU291" s="26"/>
      <c r="AV291" s="64">
        <f t="shared" si="66"/>
        <v>0</v>
      </c>
      <c r="AW291" s="70">
        <f t="shared" si="67"/>
        <v>0</v>
      </c>
      <c r="AX291" s="66">
        <f t="shared" si="68"/>
        <v>0</v>
      </c>
      <c r="AY291" s="71">
        <f t="shared" si="69"/>
        <v>0</v>
      </c>
      <c r="AZ291" s="72">
        <f t="shared" si="70"/>
        <v>3179.1677777777777</v>
      </c>
      <c r="BA291" s="66">
        <f t="shared" si="71"/>
        <v>3046.1311111111113</v>
      </c>
    </row>
    <row r="292" spans="1:53">
      <c r="A292" s="123" t="s">
        <v>317</v>
      </c>
      <c r="B292" s="132" t="s">
        <v>335</v>
      </c>
      <c r="C292" s="125"/>
      <c r="D292" s="127">
        <v>198455</v>
      </c>
      <c r="E292" s="127">
        <v>9</v>
      </c>
      <c r="F292" s="29" t="s">
        <v>75</v>
      </c>
      <c r="G292" s="16" t="s">
        <v>75</v>
      </c>
      <c r="H292" s="27"/>
      <c r="I292" s="26"/>
      <c r="J292" s="162">
        <v>45152</v>
      </c>
      <c r="K292" s="164">
        <v>42635</v>
      </c>
      <c r="L292" s="162">
        <v>11011</v>
      </c>
      <c r="M292" s="26">
        <v>11168</v>
      </c>
      <c r="N292" s="162">
        <v>44312</v>
      </c>
      <c r="O292" s="26">
        <v>44442</v>
      </c>
      <c r="P292" s="64">
        <f t="shared" si="54"/>
        <v>100475</v>
      </c>
      <c r="Q292" s="65">
        <f t="shared" si="55"/>
        <v>3349.1666666666665</v>
      </c>
      <c r="R292" s="66">
        <f t="shared" si="56"/>
        <v>98245</v>
      </c>
      <c r="S292" s="67">
        <f t="shared" si="57"/>
        <v>3274.8333333333335</v>
      </c>
      <c r="T292" s="162">
        <v>5184</v>
      </c>
      <c r="U292" s="109">
        <v>6151</v>
      </c>
      <c r="V292" s="64">
        <f t="shared" si="58"/>
        <v>100475</v>
      </c>
      <c r="W292" s="68">
        <f t="shared" si="59"/>
        <v>98245</v>
      </c>
      <c r="X292" s="27"/>
      <c r="Y292" s="26"/>
      <c r="Z292" s="27">
        <v>208703</v>
      </c>
      <c r="AA292" s="109">
        <v>228548</v>
      </c>
      <c r="AB292" s="27">
        <v>149191</v>
      </c>
      <c r="AC292" s="26">
        <v>147188</v>
      </c>
      <c r="AD292" s="27">
        <v>219839</v>
      </c>
      <c r="AE292" s="109">
        <v>202771</v>
      </c>
      <c r="AF292" s="64">
        <f t="shared" si="60"/>
        <v>577733</v>
      </c>
      <c r="AG292" s="65">
        <f t="shared" si="61"/>
        <v>641.92555555555555</v>
      </c>
      <c r="AH292" s="66">
        <f t="shared" si="62"/>
        <v>578507</v>
      </c>
      <c r="AI292" s="66">
        <f t="shared" si="63"/>
        <v>642.78555555555556</v>
      </c>
      <c r="AJ292" s="27"/>
      <c r="AK292" s="26"/>
      <c r="AL292" s="64">
        <f t="shared" si="64"/>
        <v>0</v>
      </c>
      <c r="AM292" s="67">
        <f t="shared" si="65"/>
        <v>0</v>
      </c>
      <c r="AN292" s="27"/>
      <c r="AO292" s="26"/>
      <c r="AP292" s="27"/>
      <c r="AQ292" s="26"/>
      <c r="AR292" s="27"/>
      <c r="AS292" s="26"/>
      <c r="AT292" s="27"/>
      <c r="AU292" s="26"/>
      <c r="AV292" s="64">
        <f t="shared" si="66"/>
        <v>0</v>
      </c>
      <c r="AW292" s="70">
        <f t="shared" si="67"/>
        <v>0</v>
      </c>
      <c r="AX292" s="66">
        <f t="shared" si="68"/>
        <v>0</v>
      </c>
      <c r="AY292" s="71">
        <f t="shared" si="69"/>
        <v>0</v>
      </c>
      <c r="AZ292" s="72">
        <f t="shared" si="70"/>
        <v>3991.0922222222221</v>
      </c>
      <c r="BA292" s="66">
        <f t="shared" si="71"/>
        <v>3917.6188888888892</v>
      </c>
    </row>
    <row r="293" spans="1:53" ht="15">
      <c r="A293" s="123" t="s">
        <v>317</v>
      </c>
      <c r="B293" s="132" t="s">
        <v>336</v>
      </c>
      <c r="C293" s="696" t="s">
        <v>982</v>
      </c>
      <c r="D293" s="127">
        <v>198491</v>
      </c>
      <c r="E293" s="127">
        <v>9</v>
      </c>
      <c r="F293" s="29" t="s">
        <v>75</v>
      </c>
      <c r="G293" s="16" t="s">
        <v>75</v>
      </c>
      <c r="H293" s="27"/>
      <c r="I293" s="26"/>
      <c r="J293" s="162">
        <v>24470</v>
      </c>
      <c r="K293" s="164">
        <v>21361</v>
      </c>
      <c r="L293" s="162">
        <v>6570</v>
      </c>
      <c r="M293" s="109">
        <v>6029</v>
      </c>
      <c r="N293" s="162">
        <v>22925</v>
      </c>
      <c r="O293" s="109">
        <v>21527</v>
      </c>
      <c r="P293" s="64">
        <f t="shared" si="54"/>
        <v>53965</v>
      </c>
      <c r="Q293" s="65">
        <f t="shared" si="55"/>
        <v>1798.8333333333333</v>
      </c>
      <c r="R293" s="66">
        <f t="shared" si="56"/>
        <v>48917</v>
      </c>
      <c r="S293" s="67">
        <f t="shared" si="57"/>
        <v>1630.5666666666666</v>
      </c>
      <c r="T293" s="162">
        <v>3566</v>
      </c>
      <c r="U293" s="26">
        <v>3433</v>
      </c>
      <c r="V293" s="64">
        <f t="shared" si="58"/>
        <v>53965</v>
      </c>
      <c r="W293" s="68">
        <f t="shared" si="59"/>
        <v>48917</v>
      </c>
      <c r="X293" s="27"/>
      <c r="Y293" s="26"/>
      <c r="Z293" s="27">
        <v>121922</v>
      </c>
      <c r="AA293" s="109">
        <v>74039</v>
      </c>
      <c r="AB293" s="27">
        <v>50098</v>
      </c>
      <c r="AC293" s="109">
        <v>65780</v>
      </c>
      <c r="AD293" s="27">
        <v>93734</v>
      </c>
      <c r="AE293" s="109">
        <v>88544</v>
      </c>
      <c r="AF293" s="64">
        <f t="shared" si="60"/>
        <v>265754</v>
      </c>
      <c r="AG293" s="65">
        <f t="shared" si="61"/>
        <v>295.28222222222223</v>
      </c>
      <c r="AH293" s="66">
        <f t="shared" si="62"/>
        <v>228363</v>
      </c>
      <c r="AI293" s="66">
        <f t="shared" si="63"/>
        <v>253.73666666666668</v>
      </c>
      <c r="AJ293" s="27"/>
      <c r="AK293" s="26"/>
      <c r="AL293" s="64">
        <f t="shared" si="64"/>
        <v>0</v>
      </c>
      <c r="AM293" s="67">
        <f t="shared" si="65"/>
        <v>0</v>
      </c>
      <c r="AN293" s="27"/>
      <c r="AO293" s="26"/>
      <c r="AP293" s="27"/>
      <c r="AQ293" s="26"/>
      <c r="AR293" s="27"/>
      <c r="AS293" s="26"/>
      <c r="AT293" s="27"/>
      <c r="AU293" s="26"/>
      <c r="AV293" s="64">
        <f t="shared" si="66"/>
        <v>0</v>
      </c>
      <c r="AW293" s="70">
        <f t="shared" si="67"/>
        <v>0</v>
      </c>
      <c r="AX293" s="66">
        <f t="shared" si="68"/>
        <v>0</v>
      </c>
      <c r="AY293" s="71">
        <f t="shared" si="69"/>
        <v>0</v>
      </c>
      <c r="AZ293" s="72">
        <f t="shared" si="70"/>
        <v>2094.1155555555556</v>
      </c>
      <c r="BA293" s="66">
        <f t="shared" si="71"/>
        <v>1884.3033333333333</v>
      </c>
    </row>
    <row r="294" spans="1:53">
      <c r="A294" s="123" t="s">
        <v>317</v>
      </c>
      <c r="B294" s="132" t="s">
        <v>337</v>
      </c>
      <c r="C294" s="138"/>
      <c r="D294" s="127">
        <v>198570</v>
      </c>
      <c r="E294" s="127">
        <v>9</v>
      </c>
      <c r="F294" s="29" t="s">
        <v>75</v>
      </c>
      <c r="G294" s="16" t="s">
        <v>75</v>
      </c>
      <c r="H294" s="27"/>
      <c r="I294" s="26"/>
      <c r="J294" s="162">
        <v>50524</v>
      </c>
      <c r="K294" s="163">
        <v>48086</v>
      </c>
      <c r="L294" s="162">
        <v>11443</v>
      </c>
      <c r="M294" s="109">
        <v>13046</v>
      </c>
      <c r="N294" s="162">
        <v>53639</v>
      </c>
      <c r="O294" s="26">
        <v>52230</v>
      </c>
      <c r="P294" s="64">
        <f t="shared" si="54"/>
        <v>115606</v>
      </c>
      <c r="Q294" s="65">
        <f t="shared" si="55"/>
        <v>3853.5333333333333</v>
      </c>
      <c r="R294" s="66">
        <f t="shared" si="56"/>
        <v>113362</v>
      </c>
      <c r="S294" s="67">
        <f t="shared" si="57"/>
        <v>3778.7333333333331</v>
      </c>
      <c r="T294" s="162">
        <v>4000</v>
      </c>
      <c r="U294" s="109">
        <v>7726</v>
      </c>
      <c r="V294" s="64">
        <f t="shared" si="58"/>
        <v>115606</v>
      </c>
      <c r="W294" s="68">
        <f t="shared" si="59"/>
        <v>113362</v>
      </c>
      <c r="X294" s="27"/>
      <c r="Y294" s="26"/>
      <c r="Z294" s="27">
        <v>132084</v>
      </c>
      <c r="AA294" s="109">
        <v>144383</v>
      </c>
      <c r="AB294" s="27">
        <v>79456</v>
      </c>
      <c r="AC294" s="26">
        <v>81623</v>
      </c>
      <c r="AD294" s="27">
        <v>131883</v>
      </c>
      <c r="AE294" s="26">
        <v>133544</v>
      </c>
      <c r="AF294" s="64">
        <f t="shared" si="60"/>
        <v>343423</v>
      </c>
      <c r="AG294" s="65">
        <f t="shared" si="61"/>
        <v>381.58111111111111</v>
      </c>
      <c r="AH294" s="66">
        <f t="shared" si="62"/>
        <v>359550</v>
      </c>
      <c r="AI294" s="66">
        <f t="shared" si="63"/>
        <v>399.5</v>
      </c>
      <c r="AJ294" s="27"/>
      <c r="AK294" s="26"/>
      <c r="AL294" s="64">
        <f t="shared" si="64"/>
        <v>0</v>
      </c>
      <c r="AM294" s="67">
        <f t="shared" si="65"/>
        <v>0</v>
      </c>
      <c r="AN294" s="27"/>
      <c r="AO294" s="26"/>
      <c r="AP294" s="27"/>
      <c r="AQ294" s="26"/>
      <c r="AR294" s="27"/>
      <c r="AS294" s="26"/>
      <c r="AT294" s="27"/>
      <c r="AU294" s="26"/>
      <c r="AV294" s="64">
        <f t="shared" si="66"/>
        <v>0</v>
      </c>
      <c r="AW294" s="70">
        <f t="shared" si="67"/>
        <v>0</v>
      </c>
      <c r="AX294" s="66">
        <f t="shared" si="68"/>
        <v>0</v>
      </c>
      <c r="AY294" s="71">
        <f t="shared" si="69"/>
        <v>0</v>
      </c>
      <c r="AZ294" s="72">
        <f t="shared" si="70"/>
        <v>4235.1144444444444</v>
      </c>
      <c r="BA294" s="66">
        <f t="shared" si="71"/>
        <v>4178.2333333333336</v>
      </c>
    </row>
    <row r="295" spans="1:53">
      <c r="A295" s="123" t="s">
        <v>317</v>
      </c>
      <c r="B295" s="132" t="s">
        <v>338</v>
      </c>
      <c r="C295" s="125"/>
      <c r="D295" s="127">
        <v>198774</v>
      </c>
      <c r="E295" s="127">
        <v>9</v>
      </c>
      <c r="F295" s="29" t="s">
        <v>75</v>
      </c>
      <c r="G295" s="16" t="s">
        <v>75</v>
      </c>
      <c r="H295" s="27"/>
      <c r="I295" s="26"/>
      <c r="J295" s="162">
        <v>37796</v>
      </c>
      <c r="K295" s="163">
        <v>37456</v>
      </c>
      <c r="L295" s="162">
        <v>3601</v>
      </c>
      <c r="M295" s="109">
        <v>6487</v>
      </c>
      <c r="N295" s="162">
        <v>40615</v>
      </c>
      <c r="O295" s="26">
        <v>39031</v>
      </c>
      <c r="P295" s="64">
        <f t="shared" si="54"/>
        <v>82012</v>
      </c>
      <c r="Q295" s="65">
        <f t="shared" si="55"/>
        <v>2733.7333333333331</v>
      </c>
      <c r="R295" s="66">
        <f t="shared" si="56"/>
        <v>82974</v>
      </c>
      <c r="S295" s="67">
        <f t="shared" si="57"/>
        <v>2765.8</v>
      </c>
      <c r="T295" s="162">
        <v>12804</v>
      </c>
      <c r="U295" s="109">
        <v>14732</v>
      </c>
      <c r="V295" s="64">
        <f t="shared" si="58"/>
        <v>82012</v>
      </c>
      <c r="W295" s="68">
        <f t="shared" si="59"/>
        <v>82974</v>
      </c>
      <c r="X295" s="27"/>
      <c r="Y295" s="26"/>
      <c r="Z295" s="27">
        <v>175510</v>
      </c>
      <c r="AA295" s="109">
        <v>166354</v>
      </c>
      <c r="AB295" s="27">
        <v>115940</v>
      </c>
      <c r="AC295" s="26">
        <v>119262</v>
      </c>
      <c r="AD295" s="27">
        <v>197265</v>
      </c>
      <c r="AE295" s="26">
        <v>188891</v>
      </c>
      <c r="AF295" s="64">
        <f t="shared" si="60"/>
        <v>488715</v>
      </c>
      <c r="AG295" s="65">
        <f t="shared" si="61"/>
        <v>543.01666666666665</v>
      </c>
      <c r="AH295" s="66">
        <f t="shared" si="62"/>
        <v>474507</v>
      </c>
      <c r="AI295" s="66">
        <f t="shared" si="63"/>
        <v>527.23</v>
      </c>
      <c r="AJ295" s="27"/>
      <c r="AK295" s="26"/>
      <c r="AL295" s="64">
        <f t="shared" si="64"/>
        <v>0</v>
      </c>
      <c r="AM295" s="67">
        <f t="shared" si="65"/>
        <v>0</v>
      </c>
      <c r="AN295" s="27"/>
      <c r="AO295" s="26"/>
      <c r="AP295" s="27"/>
      <c r="AQ295" s="26"/>
      <c r="AR295" s="27"/>
      <c r="AS295" s="26"/>
      <c r="AT295" s="27"/>
      <c r="AU295" s="26"/>
      <c r="AV295" s="64">
        <f t="shared" si="66"/>
        <v>0</v>
      </c>
      <c r="AW295" s="70">
        <f t="shared" si="67"/>
        <v>0</v>
      </c>
      <c r="AX295" s="66">
        <f t="shared" si="68"/>
        <v>0</v>
      </c>
      <c r="AY295" s="71">
        <f t="shared" si="69"/>
        <v>0</v>
      </c>
      <c r="AZ295" s="72">
        <f t="shared" si="70"/>
        <v>3276.75</v>
      </c>
      <c r="BA295" s="66">
        <f t="shared" si="71"/>
        <v>3293.03</v>
      </c>
    </row>
    <row r="296" spans="1:53">
      <c r="A296" s="123" t="s">
        <v>317</v>
      </c>
      <c r="B296" s="132" t="s">
        <v>339</v>
      </c>
      <c r="C296" s="125"/>
      <c r="D296" s="127">
        <v>198817</v>
      </c>
      <c r="E296" s="127">
        <v>9</v>
      </c>
      <c r="F296" s="29" t="s">
        <v>75</v>
      </c>
      <c r="G296" s="16" t="s">
        <v>75</v>
      </c>
      <c r="H296" s="27"/>
      <c r="I296" s="26"/>
      <c r="J296" s="162">
        <v>26260</v>
      </c>
      <c r="K296" s="164">
        <v>23581</v>
      </c>
      <c r="L296" s="162">
        <v>7664</v>
      </c>
      <c r="M296" s="109">
        <v>6652</v>
      </c>
      <c r="N296" s="162">
        <v>26860</v>
      </c>
      <c r="O296" s="26">
        <v>26403</v>
      </c>
      <c r="P296" s="64">
        <f t="shared" si="54"/>
        <v>60784</v>
      </c>
      <c r="Q296" s="65">
        <f t="shared" si="55"/>
        <v>2026.1333333333334</v>
      </c>
      <c r="R296" s="66">
        <f t="shared" si="56"/>
        <v>56636</v>
      </c>
      <c r="S296" s="67">
        <f t="shared" si="57"/>
        <v>1887.8666666666666</v>
      </c>
      <c r="T296" s="162">
        <v>11461</v>
      </c>
      <c r="U296" s="109">
        <v>12377</v>
      </c>
      <c r="V296" s="64">
        <f t="shared" si="58"/>
        <v>60784</v>
      </c>
      <c r="W296" s="68">
        <f t="shared" si="59"/>
        <v>56636</v>
      </c>
      <c r="X296" s="27"/>
      <c r="Y296" s="26"/>
      <c r="Z296" s="27">
        <v>400035</v>
      </c>
      <c r="AA296" s="109">
        <v>448398</v>
      </c>
      <c r="AB296" s="27">
        <v>309060</v>
      </c>
      <c r="AC296" s="109">
        <v>364159</v>
      </c>
      <c r="AD296" s="27">
        <v>552293</v>
      </c>
      <c r="AE296" s="26">
        <v>550397</v>
      </c>
      <c r="AF296" s="64">
        <f t="shared" si="60"/>
        <v>1261388</v>
      </c>
      <c r="AG296" s="65">
        <f t="shared" si="61"/>
        <v>1401.5422222222223</v>
      </c>
      <c r="AH296" s="66">
        <f t="shared" si="62"/>
        <v>1362954</v>
      </c>
      <c r="AI296" s="66">
        <f t="shared" si="63"/>
        <v>1514.3933333333334</v>
      </c>
      <c r="AJ296" s="27"/>
      <c r="AK296" s="26"/>
      <c r="AL296" s="64">
        <f t="shared" si="64"/>
        <v>0</v>
      </c>
      <c r="AM296" s="67">
        <f t="shared" si="65"/>
        <v>0</v>
      </c>
      <c r="AN296" s="27"/>
      <c r="AO296" s="26"/>
      <c r="AP296" s="27"/>
      <c r="AQ296" s="26"/>
      <c r="AR296" s="27"/>
      <c r="AS296" s="26"/>
      <c r="AT296" s="27"/>
      <c r="AU296" s="26"/>
      <c r="AV296" s="64">
        <f t="shared" si="66"/>
        <v>0</v>
      </c>
      <c r="AW296" s="70">
        <f t="shared" si="67"/>
        <v>0</v>
      </c>
      <c r="AX296" s="66">
        <f t="shared" si="68"/>
        <v>0</v>
      </c>
      <c r="AY296" s="71">
        <f t="shared" si="69"/>
        <v>0</v>
      </c>
      <c r="AZ296" s="72">
        <f t="shared" si="70"/>
        <v>3427.6755555555555</v>
      </c>
      <c r="BA296" s="66">
        <f t="shared" si="71"/>
        <v>3402.26</v>
      </c>
    </row>
    <row r="297" spans="1:53">
      <c r="A297" s="123" t="s">
        <v>317</v>
      </c>
      <c r="B297" s="132" t="s">
        <v>340</v>
      </c>
      <c r="C297" s="125"/>
      <c r="D297" s="127">
        <v>198987</v>
      </c>
      <c r="E297" s="127">
        <v>9</v>
      </c>
      <c r="F297" s="29" t="s">
        <v>75</v>
      </c>
      <c r="G297" s="16" t="s">
        <v>75</v>
      </c>
      <c r="H297" s="27"/>
      <c r="I297" s="26"/>
      <c r="J297" s="162">
        <v>26380</v>
      </c>
      <c r="K297" s="163">
        <v>25651.5</v>
      </c>
      <c r="L297" s="162">
        <v>6485.5</v>
      </c>
      <c r="M297" s="109">
        <v>6852</v>
      </c>
      <c r="N297" s="162">
        <v>27724.5</v>
      </c>
      <c r="O297" s="26">
        <v>28489</v>
      </c>
      <c r="P297" s="64">
        <f t="shared" si="54"/>
        <v>60590</v>
      </c>
      <c r="Q297" s="65">
        <f t="shared" si="55"/>
        <v>2019.6666666666667</v>
      </c>
      <c r="R297" s="66">
        <f t="shared" si="56"/>
        <v>60992.5</v>
      </c>
      <c r="S297" s="67">
        <f t="shared" si="57"/>
        <v>2033.0833333333333</v>
      </c>
      <c r="T297" s="162">
        <v>7773</v>
      </c>
      <c r="U297" s="109">
        <v>8694.5</v>
      </c>
      <c r="V297" s="64">
        <f t="shared" si="58"/>
        <v>60590</v>
      </c>
      <c r="W297" s="68">
        <f t="shared" si="59"/>
        <v>60992.5</v>
      </c>
      <c r="X297" s="27"/>
      <c r="Y297" s="26"/>
      <c r="Z297" s="27">
        <v>79375</v>
      </c>
      <c r="AA297" s="109">
        <v>90631</v>
      </c>
      <c r="AB297" s="27">
        <v>74119</v>
      </c>
      <c r="AC297" s="26">
        <v>73292</v>
      </c>
      <c r="AD297" s="27">
        <v>118849</v>
      </c>
      <c r="AE297" s="26">
        <v>115829</v>
      </c>
      <c r="AF297" s="64">
        <f t="shared" si="60"/>
        <v>272343</v>
      </c>
      <c r="AG297" s="65">
        <f t="shared" si="61"/>
        <v>302.60333333333335</v>
      </c>
      <c r="AH297" s="66">
        <f t="shared" si="62"/>
        <v>279752</v>
      </c>
      <c r="AI297" s="66">
        <f t="shared" si="63"/>
        <v>310.83555555555557</v>
      </c>
      <c r="AJ297" s="27"/>
      <c r="AK297" s="26"/>
      <c r="AL297" s="64">
        <f t="shared" si="64"/>
        <v>0</v>
      </c>
      <c r="AM297" s="67">
        <f t="shared" si="65"/>
        <v>0</v>
      </c>
      <c r="AN297" s="27"/>
      <c r="AO297" s="26"/>
      <c r="AP297" s="27"/>
      <c r="AQ297" s="26"/>
      <c r="AR297" s="27"/>
      <c r="AS297" s="26"/>
      <c r="AT297" s="27"/>
      <c r="AU297" s="26"/>
      <c r="AV297" s="64">
        <f t="shared" si="66"/>
        <v>0</v>
      </c>
      <c r="AW297" s="70">
        <f t="shared" si="67"/>
        <v>0</v>
      </c>
      <c r="AX297" s="66">
        <f t="shared" si="68"/>
        <v>0</v>
      </c>
      <c r="AY297" s="71">
        <f t="shared" si="69"/>
        <v>0</v>
      </c>
      <c r="AZ297" s="72">
        <f t="shared" si="70"/>
        <v>2322.27</v>
      </c>
      <c r="BA297" s="66">
        <f t="shared" si="71"/>
        <v>2343.9188888888889</v>
      </c>
    </row>
    <row r="298" spans="1:53">
      <c r="A298" s="123" t="s">
        <v>317</v>
      </c>
      <c r="B298" s="132" t="s">
        <v>341</v>
      </c>
      <c r="C298" s="125"/>
      <c r="D298" s="127">
        <v>199087</v>
      </c>
      <c r="E298" s="127">
        <v>9</v>
      </c>
      <c r="F298" s="29" t="s">
        <v>75</v>
      </c>
      <c r="G298" s="16" t="s">
        <v>75</v>
      </c>
      <c r="H298" s="27"/>
      <c r="I298" s="26"/>
      <c r="J298" s="162">
        <v>30864</v>
      </c>
      <c r="K298" s="164">
        <v>28627</v>
      </c>
      <c r="L298" s="162">
        <v>6453</v>
      </c>
      <c r="M298" s="109">
        <v>5783</v>
      </c>
      <c r="N298" s="162">
        <v>30025</v>
      </c>
      <c r="O298" s="26">
        <v>28732</v>
      </c>
      <c r="P298" s="64">
        <f t="shared" si="54"/>
        <v>67342</v>
      </c>
      <c r="Q298" s="65">
        <f t="shared" si="55"/>
        <v>2244.7333333333331</v>
      </c>
      <c r="R298" s="66">
        <f t="shared" si="56"/>
        <v>63142</v>
      </c>
      <c r="S298" s="67">
        <f t="shared" si="57"/>
        <v>2104.7333333333331</v>
      </c>
      <c r="T298" s="162">
        <v>6456</v>
      </c>
      <c r="U298" s="109">
        <v>7237</v>
      </c>
      <c r="V298" s="64">
        <f t="shared" si="58"/>
        <v>67342</v>
      </c>
      <c r="W298" s="68">
        <f t="shared" si="59"/>
        <v>63142</v>
      </c>
      <c r="X298" s="27"/>
      <c r="Y298" s="26"/>
      <c r="Z298" s="27">
        <v>134496</v>
      </c>
      <c r="AA298" s="109">
        <v>119682</v>
      </c>
      <c r="AB298" s="27">
        <v>88270</v>
      </c>
      <c r="AC298" s="109">
        <v>99641</v>
      </c>
      <c r="AD298" s="27">
        <v>168715</v>
      </c>
      <c r="AE298" s="109">
        <v>128626</v>
      </c>
      <c r="AF298" s="64">
        <f t="shared" si="60"/>
        <v>391481</v>
      </c>
      <c r="AG298" s="65">
        <f t="shared" si="61"/>
        <v>434.97888888888889</v>
      </c>
      <c r="AH298" s="66">
        <f t="shared" si="62"/>
        <v>347949</v>
      </c>
      <c r="AI298" s="66">
        <f t="shared" si="63"/>
        <v>386.61</v>
      </c>
      <c r="AJ298" s="27"/>
      <c r="AK298" s="26"/>
      <c r="AL298" s="64">
        <f t="shared" si="64"/>
        <v>0</v>
      </c>
      <c r="AM298" s="67">
        <f t="shared" si="65"/>
        <v>0</v>
      </c>
      <c r="AN298" s="27"/>
      <c r="AO298" s="26"/>
      <c r="AP298" s="27"/>
      <c r="AQ298" s="26"/>
      <c r="AR298" s="27"/>
      <c r="AS298" s="26"/>
      <c r="AT298" s="27"/>
      <c r="AU298" s="26"/>
      <c r="AV298" s="64">
        <f t="shared" si="66"/>
        <v>0</v>
      </c>
      <c r="AW298" s="70">
        <f t="shared" si="67"/>
        <v>0</v>
      </c>
      <c r="AX298" s="66">
        <f t="shared" si="68"/>
        <v>0</v>
      </c>
      <c r="AY298" s="71">
        <f t="shared" si="69"/>
        <v>0</v>
      </c>
      <c r="AZ298" s="72">
        <f t="shared" si="70"/>
        <v>2679.712222222222</v>
      </c>
      <c r="BA298" s="66">
        <f t="shared" si="71"/>
        <v>2491.3433333333332</v>
      </c>
    </row>
    <row r="299" spans="1:53">
      <c r="A299" s="123" t="s">
        <v>317</v>
      </c>
      <c r="B299" s="132" t="s">
        <v>342</v>
      </c>
      <c r="C299" s="125"/>
      <c r="D299" s="127">
        <v>199421</v>
      </c>
      <c r="E299" s="127">
        <v>9</v>
      </c>
      <c r="F299" s="29" t="s">
        <v>75</v>
      </c>
      <c r="G299" s="16" t="s">
        <v>75</v>
      </c>
      <c r="H299" s="27"/>
      <c r="I299" s="26"/>
      <c r="J299" s="162">
        <v>26186</v>
      </c>
      <c r="K299" s="164">
        <v>24104</v>
      </c>
      <c r="L299" s="162">
        <v>5322</v>
      </c>
      <c r="M299" s="109">
        <v>5648</v>
      </c>
      <c r="N299" s="162">
        <v>27280</v>
      </c>
      <c r="O299" s="109">
        <v>25841</v>
      </c>
      <c r="P299" s="64">
        <f t="shared" si="54"/>
        <v>58788</v>
      </c>
      <c r="Q299" s="65">
        <f t="shared" si="55"/>
        <v>1959.6</v>
      </c>
      <c r="R299" s="66">
        <f t="shared" si="56"/>
        <v>55593</v>
      </c>
      <c r="S299" s="67">
        <f t="shared" si="57"/>
        <v>1853.1</v>
      </c>
      <c r="T299" s="162">
        <v>6746</v>
      </c>
      <c r="U299" s="109">
        <v>8334</v>
      </c>
      <c r="V299" s="64">
        <f t="shared" si="58"/>
        <v>58788</v>
      </c>
      <c r="W299" s="68">
        <f t="shared" si="59"/>
        <v>55593</v>
      </c>
      <c r="X299" s="27"/>
      <c r="Y299" s="26"/>
      <c r="Z299" s="27">
        <v>139552</v>
      </c>
      <c r="AA299" s="26">
        <v>142678</v>
      </c>
      <c r="AB299" s="27">
        <v>78530</v>
      </c>
      <c r="AC299" s="109">
        <v>94269</v>
      </c>
      <c r="AD299" s="27">
        <v>156182</v>
      </c>
      <c r="AE299" s="109">
        <v>171540</v>
      </c>
      <c r="AF299" s="64">
        <f t="shared" si="60"/>
        <v>374264</v>
      </c>
      <c r="AG299" s="65">
        <f t="shared" si="61"/>
        <v>415.84888888888889</v>
      </c>
      <c r="AH299" s="66">
        <f t="shared" si="62"/>
        <v>408487</v>
      </c>
      <c r="AI299" s="66">
        <f t="shared" si="63"/>
        <v>453.87444444444446</v>
      </c>
      <c r="AJ299" s="27"/>
      <c r="AK299" s="26"/>
      <c r="AL299" s="64">
        <f t="shared" si="64"/>
        <v>0</v>
      </c>
      <c r="AM299" s="67">
        <f t="shared" si="65"/>
        <v>0</v>
      </c>
      <c r="AN299" s="27"/>
      <c r="AO299" s="26"/>
      <c r="AP299" s="27"/>
      <c r="AQ299" s="26"/>
      <c r="AR299" s="27"/>
      <c r="AS299" s="26"/>
      <c r="AT299" s="27"/>
      <c r="AU299" s="26"/>
      <c r="AV299" s="64">
        <f t="shared" si="66"/>
        <v>0</v>
      </c>
      <c r="AW299" s="70">
        <f t="shared" si="67"/>
        <v>0</v>
      </c>
      <c r="AX299" s="66">
        <f t="shared" si="68"/>
        <v>0</v>
      </c>
      <c r="AY299" s="71">
        <f t="shared" si="69"/>
        <v>0</v>
      </c>
      <c r="AZ299" s="72">
        <f t="shared" si="70"/>
        <v>2375.4488888888886</v>
      </c>
      <c r="BA299" s="66">
        <f t="shared" si="71"/>
        <v>2306.9744444444445</v>
      </c>
    </row>
    <row r="300" spans="1:53">
      <c r="A300" s="123" t="s">
        <v>317</v>
      </c>
      <c r="B300" s="132" t="s">
        <v>343</v>
      </c>
      <c r="C300" s="138"/>
      <c r="D300" s="127">
        <v>199449</v>
      </c>
      <c r="E300" s="127">
        <v>9</v>
      </c>
      <c r="F300" s="29" t="s">
        <v>75</v>
      </c>
      <c r="G300" s="16" t="s">
        <v>75</v>
      </c>
      <c r="H300" s="27"/>
      <c r="I300" s="26"/>
      <c r="J300" s="162">
        <v>21939</v>
      </c>
      <c r="K300" s="163">
        <v>22225</v>
      </c>
      <c r="L300" s="162">
        <v>4197</v>
      </c>
      <c r="M300" s="109">
        <v>4957</v>
      </c>
      <c r="N300" s="162">
        <v>24835</v>
      </c>
      <c r="O300" s="26">
        <v>25248</v>
      </c>
      <c r="P300" s="64">
        <f t="shared" si="54"/>
        <v>50971</v>
      </c>
      <c r="Q300" s="65">
        <f t="shared" si="55"/>
        <v>1699.0333333333333</v>
      </c>
      <c r="R300" s="66">
        <f t="shared" si="56"/>
        <v>52430</v>
      </c>
      <c r="S300" s="67">
        <f t="shared" si="57"/>
        <v>1747.6666666666667</v>
      </c>
      <c r="T300" s="162">
        <v>9178</v>
      </c>
      <c r="U300" s="109">
        <v>10858</v>
      </c>
      <c r="V300" s="64">
        <f t="shared" si="58"/>
        <v>50971</v>
      </c>
      <c r="W300" s="68">
        <f t="shared" si="59"/>
        <v>52430</v>
      </c>
      <c r="X300" s="27"/>
      <c r="Y300" s="26"/>
      <c r="Z300" s="27">
        <v>210388</v>
      </c>
      <c r="AA300" s="109">
        <v>196368</v>
      </c>
      <c r="AB300" s="27">
        <v>161077</v>
      </c>
      <c r="AC300" s="26">
        <v>154991</v>
      </c>
      <c r="AD300" s="27">
        <v>203645</v>
      </c>
      <c r="AE300" s="109">
        <v>216830</v>
      </c>
      <c r="AF300" s="64">
        <f t="shared" si="60"/>
        <v>575110</v>
      </c>
      <c r="AG300" s="65">
        <f t="shared" si="61"/>
        <v>639.01111111111106</v>
      </c>
      <c r="AH300" s="66">
        <f t="shared" si="62"/>
        <v>568189</v>
      </c>
      <c r="AI300" s="66">
        <f t="shared" si="63"/>
        <v>631.32111111111112</v>
      </c>
      <c r="AJ300" s="27"/>
      <c r="AK300" s="26"/>
      <c r="AL300" s="64">
        <f t="shared" si="64"/>
        <v>0</v>
      </c>
      <c r="AM300" s="67">
        <f t="shared" si="65"/>
        <v>0</v>
      </c>
      <c r="AN300" s="27"/>
      <c r="AO300" s="26"/>
      <c r="AP300" s="27"/>
      <c r="AQ300" s="26"/>
      <c r="AR300" s="27"/>
      <c r="AS300" s="26"/>
      <c r="AT300" s="27"/>
      <c r="AU300" s="26"/>
      <c r="AV300" s="64">
        <f t="shared" si="66"/>
        <v>0</v>
      </c>
      <c r="AW300" s="70">
        <f t="shared" si="67"/>
        <v>0</v>
      </c>
      <c r="AX300" s="66">
        <f t="shared" si="68"/>
        <v>0</v>
      </c>
      <c r="AY300" s="71">
        <f t="shared" si="69"/>
        <v>0</v>
      </c>
      <c r="AZ300" s="72">
        <f t="shared" si="70"/>
        <v>2338.0444444444443</v>
      </c>
      <c r="BA300" s="66">
        <f t="shared" si="71"/>
        <v>2378.9877777777779</v>
      </c>
    </row>
    <row r="301" spans="1:53">
      <c r="A301" s="123" t="s">
        <v>317</v>
      </c>
      <c r="B301" s="132" t="s">
        <v>344</v>
      </c>
      <c r="C301" s="125"/>
      <c r="D301" s="127">
        <v>199476</v>
      </c>
      <c r="E301" s="127">
        <v>9</v>
      </c>
      <c r="F301" s="29" t="s">
        <v>75</v>
      </c>
      <c r="G301" s="16" t="s">
        <v>75</v>
      </c>
      <c r="H301" s="27"/>
      <c r="I301" s="26"/>
      <c r="J301" s="162">
        <v>18280</v>
      </c>
      <c r="K301" s="163">
        <v>17432</v>
      </c>
      <c r="L301" s="162">
        <v>3483</v>
      </c>
      <c r="M301" s="26">
        <v>3370</v>
      </c>
      <c r="N301" s="162">
        <v>20602</v>
      </c>
      <c r="O301" s="109">
        <v>19468</v>
      </c>
      <c r="P301" s="64">
        <f t="shared" si="54"/>
        <v>42365</v>
      </c>
      <c r="Q301" s="65">
        <f t="shared" si="55"/>
        <v>1412.1666666666667</v>
      </c>
      <c r="R301" s="66">
        <f t="shared" si="56"/>
        <v>40270</v>
      </c>
      <c r="S301" s="67">
        <f t="shared" si="57"/>
        <v>1342.3333333333333</v>
      </c>
      <c r="T301" s="162">
        <v>3298</v>
      </c>
      <c r="U301" s="109">
        <v>4936</v>
      </c>
      <c r="V301" s="64">
        <f t="shared" si="58"/>
        <v>42365</v>
      </c>
      <c r="W301" s="68">
        <f t="shared" si="59"/>
        <v>40270</v>
      </c>
      <c r="X301" s="27"/>
      <c r="Y301" s="26"/>
      <c r="Z301" s="27">
        <v>247616</v>
      </c>
      <c r="AA301" s="26">
        <v>240422</v>
      </c>
      <c r="AB301" s="27">
        <v>207813</v>
      </c>
      <c r="AC301" s="109">
        <v>195058</v>
      </c>
      <c r="AD301" s="27">
        <v>269123</v>
      </c>
      <c r="AE301" s="26">
        <v>256860</v>
      </c>
      <c r="AF301" s="64">
        <f t="shared" si="60"/>
        <v>724552</v>
      </c>
      <c r="AG301" s="65">
        <f t="shared" si="61"/>
        <v>805.0577777777778</v>
      </c>
      <c r="AH301" s="66">
        <f t="shared" si="62"/>
        <v>692340</v>
      </c>
      <c r="AI301" s="66">
        <f t="shared" si="63"/>
        <v>769.26666666666665</v>
      </c>
      <c r="AJ301" s="27"/>
      <c r="AK301" s="26"/>
      <c r="AL301" s="64">
        <f t="shared" si="64"/>
        <v>0</v>
      </c>
      <c r="AM301" s="67">
        <f t="shared" si="65"/>
        <v>0</v>
      </c>
      <c r="AN301" s="27"/>
      <c r="AO301" s="26"/>
      <c r="AP301" s="27"/>
      <c r="AQ301" s="26"/>
      <c r="AR301" s="27"/>
      <c r="AS301" s="26"/>
      <c r="AT301" s="27"/>
      <c r="AU301" s="26"/>
      <c r="AV301" s="64">
        <f t="shared" si="66"/>
        <v>0</v>
      </c>
      <c r="AW301" s="70">
        <f t="shared" si="67"/>
        <v>0</v>
      </c>
      <c r="AX301" s="66">
        <f t="shared" si="68"/>
        <v>0</v>
      </c>
      <c r="AY301" s="71">
        <f t="shared" si="69"/>
        <v>0</v>
      </c>
      <c r="AZ301" s="72">
        <f t="shared" si="70"/>
        <v>2217.2244444444445</v>
      </c>
      <c r="BA301" s="66">
        <f t="shared" si="71"/>
        <v>2111.6</v>
      </c>
    </row>
    <row r="302" spans="1:53">
      <c r="A302" s="123" t="s">
        <v>317</v>
      </c>
      <c r="B302" s="132" t="s">
        <v>345</v>
      </c>
      <c r="C302" s="125"/>
      <c r="D302" s="127">
        <v>199634</v>
      </c>
      <c r="E302" s="127">
        <v>9</v>
      </c>
      <c r="F302" s="29" t="s">
        <v>75</v>
      </c>
      <c r="G302" s="16" t="s">
        <v>75</v>
      </c>
      <c r="H302" s="27"/>
      <c r="I302" s="26"/>
      <c r="J302" s="162">
        <v>36356.5</v>
      </c>
      <c r="K302" s="164">
        <v>34385.5</v>
      </c>
      <c r="L302" s="162">
        <v>9409</v>
      </c>
      <c r="M302" s="109">
        <v>8748</v>
      </c>
      <c r="N302" s="162">
        <v>37082</v>
      </c>
      <c r="O302" s="26">
        <v>35505</v>
      </c>
      <c r="P302" s="64">
        <f t="shared" si="54"/>
        <v>82847.5</v>
      </c>
      <c r="Q302" s="65">
        <f t="shared" si="55"/>
        <v>2761.5833333333335</v>
      </c>
      <c r="R302" s="66">
        <f t="shared" si="56"/>
        <v>78638.5</v>
      </c>
      <c r="S302" s="67">
        <f t="shared" si="57"/>
        <v>2621.2833333333333</v>
      </c>
      <c r="T302" s="162">
        <v>9215</v>
      </c>
      <c r="U302" s="109">
        <v>10999</v>
      </c>
      <c r="V302" s="64">
        <f t="shared" si="58"/>
        <v>82847.5</v>
      </c>
      <c r="W302" s="68">
        <f t="shared" si="59"/>
        <v>78638.5</v>
      </c>
      <c r="X302" s="27"/>
      <c r="Y302" s="26"/>
      <c r="Z302" s="27">
        <v>156632</v>
      </c>
      <c r="AA302" s="26">
        <v>149711</v>
      </c>
      <c r="AB302" s="27">
        <v>104680</v>
      </c>
      <c r="AC302" s="109">
        <v>94970</v>
      </c>
      <c r="AD302" s="27">
        <v>165443</v>
      </c>
      <c r="AE302" s="109">
        <v>144548</v>
      </c>
      <c r="AF302" s="64">
        <f t="shared" si="60"/>
        <v>426755</v>
      </c>
      <c r="AG302" s="65">
        <f t="shared" si="61"/>
        <v>474.17222222222222</v>
      </c>
      <c r="AH302" s="66">
        <f t="shared" si="62"/>
        <v>389229</v>
      </c>
      <c r="AI302" s="66">
        <f t="shared" si="63"/>
        <v>432.47666666666669</v>
      </c>
      <c r="AJ302" s="27"/>
      <c r="AK302" s="26"/>
      <c r="AL302" s="64">
        <f t="shared" si="64"/>
        <v>0</v>
      </c>
      <c r="AM302" s="67">
        <f t="shared" si="65"/>
        <v>0</v>
      </c>
      <c r="AN302" s="27"/>
      <c r="AO302" s="26"/>
      <c r="AP302" s="27"/>
      <c r="AQ302" s="26"/>
      <c r="AR302" s="27"/>
      <c r="AS302" s="26"/>
      <c r="AT302" s="27"/>
      <c r="AU302" s="26"/>
      <c r="AV302" s="64">
        <f t="shared" si="66"/>
        <v>0</v>
      </c>
      <c r="AW302" s="70">
        <f t="shared" si="67"/>
        <v>0</v>
      </c>
      <c r="AX302" s="66">
        <f t="shared" si="68"/>
        <v>0</v>
      </c>
      <c r="AY302" s="71">
        <f t="shared" si="69"/>
        <v>0</v>
      </c>
      <c r="AZ302" s="72">
        <f t="shared" si="70"/>
        <v>3235.7555555555555</v>
      </c>
      <c r="BA302" s="66">
        <f t="shared" si="71"/>
        <v>3053.76</v>
      </c>
    </row>
    <row r="303" spans="1:53">
      <c r="A303" s="123" t="s">
        <v>317</v>
      </c>
      <c r="B303" s="132" t="s">
        <v>346</v>
      </c>
      <c r="C303" s="125"/>
      <c r="D303" s="127">
        <v>199740</v>
      </c>
      <c r="E303" s="127">
        <v>9</v>
      </c>
      <c r="F303" s="29" t="s">
        <v>75</v>
      </c>
      <c r="G303" s="16" t="s">
        <v>75</v>
      </c>
      <c r="H303" s="27"/>
      <c r="I303" s="26"/>
      <c r="J303" s="162">
        <v>24331</v>
      </c>
      <c r="K303" s="163">
        <v>23213</v>
      </c>
      <c r="L303" s="162">
        <v>5385</v>
      </c>
      <c r="M303" s="109">
        <v>5766</v>
      </c>
      <c r="N303" s="162">
        <v>25552</v>
      </c>
      <c r="O303" s="26">
        <v>24519</v>
      </c>
      <c r="P303" s="64">
        <f t="shared" si="54"/>
        <v>55268</v>
      </c>
      <c r="Q303" s="65">
        <f t="shared" si="55"/>
        <v>1842.2666666666667</v>
      </c>
      <c r="R303" s="66">
        <f t="shared" si="56"/>
        <v>53498</v>
      </c>
      <c r="S303" s="67">
        <f t="shared" si="57"/>
        <v>1783.2666666666667</v>
      </c>
      <c r="T303" s="162">
        <v>3306</v>
      </c>
      <c r="U303" s="109">
        <v>3709</v>
      </c>
      <c r="V303" s="64">
        <f t="shared" si="58"/>
        <v>55268</v>
      </c>
      <c r="W303" s="68">
        <f t="shared" si="59"/>
        <v>53498</v>
      </c>
      <c r="X303" s="27"/>
      <c r="Y303" s="26"/>
      <c r="Z303" s="27">
        <v>139033</v>
      </c>
      <c r="AA303" s="109">
        <v>160902</v>
      </c>
      <c r="AB303" s="27">
        <v>98465</v>
      </c>
      <c r="AC303" s="109">
        <v>111889</v>
      </c>
      <c r="AD303" s="27">
        <v>160796</v>
      </c>
      <c r="AE303" s="109">
        <v>176574</v>
      </c>
      <c r="AF303" s="64">
        <f t="shared" si="60"/>
        <v>398294</v>
      </c>
      <c r="AG303" s="65">
        <f t="shared" si="61"/>
        <v>442.54888888888888</v>
      </c>
      <c r="AH303" s="66">
        <f t="shared" si="62"/>
        <v>449365</v>
      </c>
      <c r="AI303" s="66">
        <f t="shared" si="63"/>
        <v>499.29444444444442</v>
      </c>
      <c r="AJ303" s="27"/>
      <c r="AK303" s="26"/>
      <c r="AL303" s="64">
        <f t="shared" si="64"/>
        <v>0</v>
      </c>
      <c r="AM303" s="67">
        <f t="shared" si="65"/>
        <v>0</v>
      </c>
      <c r="AN303" s="27"/>
      <c r="AO303" s="26"/>
      <c r="AP303" s="27"/>
      <c r="AQ303" s="26"/>
      <c r="AR303" s="27"/>
      <c r="AS303" s="26"/>
      <c r="AT303" s="27"/>
      <c r="AU303" s="26"/>
      <c r="AV303" s="64">
        <f t="shared" si="66"/>
        <v>0</v>
      </c>
      <c r="AW303" s="70">
        <f t="shared" si="67"/>
        <v>0</v>
      </c>
      <c r="AX303" s="66">
        <f t="shared" si="68"/>
        <v>0</v>
      </c>
      <c r="AY303" s="71">
        <f t="shared" si="69"/>
        <v>0</v>
      </c>
      <c r="AZ303" s="72">
        <f t="shared" si="70"/>
        <v>2284.8155555555554</v>
      </c>
      <c r="BA303" s="66">
        <f t="shared" si="71"/>
        <v>2282.5611111111111</v>
      </c>
    </row>
    <row r="304" spans="1:53">
      <c r="A304" s="123" t="s">
        <v>317</v>
      </c>
      <c r="B304" s="132" t="s">
        <v>347</v>
      </c>
      <c r="C304" s="125"/>
      <c r="D304" s="127">
        <v>199768</v>
      </c>
      <c r="E304" s="127">
        <v>9</v>
      </c>
      <c r="F304" s="29" t="s">
        <v>75</v>
      </c>
      <c r="G304" s="16" t="s">
        <v>75</v>
      </c>
      <c r="H304" s="27"/>
      <c r="I304" s="26"/>
      <c r="J304" s="162">
        <v>28325</v>
      </c>
      <c r="K304" s="164">
        <v>22980</v>
      </c>
      <c r="L304" s="162">
        <v>4300</v>
      </c>
      <c r="M304" s="109">
        <v>3895</v>
      </c>
      <c r="N304" s="162">
        <v>26244</v>
      </c>
      <c r="O304" s="109">
        <v>21241</v>
      </c>
      <c r="P304" s="64">
        <f t="shared" si="54"/>
        <v>58869</v>
      </c>
      <c r="Q304" s="65">
        <f t="shared" si="55"/>
        <v>1962.3</v>
      </c>
      <c r="R304" s="66">
        <f t="shared" si="56"/>
        <v>48116</v>
      </c>
      <c r="S304" s="67">
        <f t="shared" si="57"/>
        <v>1603.8666666666666</v>
      </c>
      <c r="T304" s="162">
        <v>9649</v>
      </c>
      <c r="U304" s="109">
        <v>11084</v>
      </c>
      <c r="V304" s="64">
        <f t="shared" si="58"/>
        <v>58869</v>
      </c>
      <c r="W304" s="68">
        <f t="shared" si="59"/>
        <v>48116</v>
      </c>
      <c r="X304" s="27"/>
      <c r="Y304" s="26"/>
      <c r="Z304" s="27">
        <v>138334</v>
      </c>
      <c r="AA304" s="109">
        <v>117037</v>
      </c>
      <c r="AB304" s="27">
        <v>110297</v>
      </c>
      <c r="AC304" s="109">
        <v>101859</v>
      </c>
      <c r="AD304" s="27">
        <v>178778</v>
      </c>
      <c r="AE304" s="26">
        <v>178703</v>
      </c>
      <c r="AF304" s="64">
        <f t="shared" si="60"/>
        <v>427409</v>
      </c>
      <c r="AG304" s="65">
        <f t="shared" si="61"/>
        <v>474.89888888888891</v>
      </c>
      <c r="AH304" s="66">
        <f t="shared" si="62"/>
        <v>397599</v>
      </c>
      <c r="AI304" s="66">
        <f t="shared" si="63"/>
        <v>441.77666666666664</v>
      </c>
      <c r="AJ304" s="27"/>
      <c r="AK304" s="26"/>
      <c r="AL304" s="64">
        <f t="shared" si="64"/>
        <v>0</v>
      </c>
      <c r="AM304" s="67">
        <f t="shared" si="65"/>
        <v>0</v>
      </c>
      <c r="AN304" s="27"/>
      <c r="AO304" s="26"/>
      <c r="AP304" s="27"/>
      <c r="AQ304" s="26"/>
      <c r="AR304" s="27"/>
      <c r="AS304" s="26"/>
      <c r="AT304" s="27"/>
      <c r="AU304" s="26"/>
      <c r="AV304" s="64">
        <f t="shared" si="66"/>
        <v>0</v>
      </c>
      <c r="AW304" s="70">
        <f t="shared" si="67"/>
        <v>0</v>
      </c>
      <c r="AX304" s="66">
        <f t="shared" si="68"/>
        <v>0</v>
      </c>
      <c r="AY304" s="71">
        <f t="shared" si="69"/>
        <v>0</v>
      </c>
      <c r="AZ304" s="72">
        <f t="shared" si="70"/>
        <v>2437.1988888888891</v>
      </c>
      <c r="BA304" s="66">
        <f t="shared" si="71"/>
        <v>2045.6433333333332</v>
      </c>
    </row>
    <row r="305" spans="1:53">
      <c r="A305" s="123" t="s">
        <v>317</v>
      </c>
      <c r="B305" s="132" t="s">
        <v>348</v>
      </c>
      <c r="C305" s="125"/>
      <c r="D305" s="127">
        <v>199838</v>
      </c>
      <c r="E305" s="127">
        <v>9</v>
      </c>
      <c r="F305" s="29" t="s">
        <v>75</v>
      </c>
      <c r="G305" s="16" t="s">
        <v>75</v>
      </c>
      <c r="H305" s="27"/>
      <c r="I305" s="26"/>
      <c r="J305" s="162">
        <v>29971</v>
      </c>
      <c r="K305" s="164">
        <v>27038.5</v>
      </c>
      <c r="L305" s="162">
        <v>3940</v>
      </c>
      <c r="M305" s="109">
        <v>5289</v>
      </c>
      <c r="N305" s="162">
        <v>29421.5</v>
      </c>
      <c r="O305" s="109">
        <v>27664</v>
      </c>
      <c r="P305" s="64">
        <f t="shared" si="54"/>
        <v>63332.5</v>
      </c>
      <c r="Q305" s="65">
        <f t="shared" si="55"/>
        <v>2111.0833333333335</v>
      </c>
      <c r="R305" s="66">
        <f t="shared" si="56"/>
        <v>59991.5</v>
      </c>
      <c r="S305" s="67">
        <f t="shared" si="57"/>
        <v>1999.7166666666667</v>
      </c>
      <c r="T305" s="162">
        <v>9964</v>
      </c>
      <c r="U305" s="109">
        <v>12631</v>
      </c>
      <c r="V305" s="64">
        <f t="shared" si="58"/>
        <v>63332.5</v>
      </c>
      <c r="W305" s="68">
        <f t="shared" si="59"/>
        <v>59991.5</v>
      </c>
      <c r="X305" s="27"/>
      <c r="Y305" s="26"/>
      <c r="Z305" s="27">
        <v>164131</v>
      </c>
      <c r="AA305" s="26">
        <v>159069</v>
      </c>
      <c r="AB305" s="27">
        <v>133045</v>
      </c>
      <c r="AC305" s="26">
        <v>132695</v>
      </c>
      <c r="AD305" s="27">
        <v>180737</v>
      </c>
      <c r="AE305" s="109">
        <v>170031</v>
      </c>
      <c r="AF305" s="64">
        <f t="shared" si="60"/>
        <v>477913</v>
      </c>
      <c r="AG305" s="65">
        <f t="shared" si="61"/>
        <v>531.01444444444439</v>
      </c>
      <c r="AH305" s="66">
        <f t="shared" si="62"/>
        <v>461795</v>
      </c>
      <c r="AI305" s="66">
        <f t="shared" si="63"/>
        <v>513.10555555555561</v>
      </c>
      <c r="AJ305" s="27"/>
      <c r="AK305" s="26"/>
      <c r="AL305" s="64">
        <f t="shared" si="64"/>
        <v>0</v>
      </c>
      <c r="AM305" s="67">
        <f t="shared" si="65"/>
        <v>0</v>
      </c>
      <c r="AN305" s="27"/>
      <c r="AO305" s="26"/>
      <c r="AP305" s="27"/>
      <c r="AQ305" s="26"/>
      <c r="AR305" s="27"/>
      <c r="AS305" s="26"/>
      <c r="AT305" s="27"/>
      <c r="AU305" s="26"/>
      <c r="AV305" s="64">
        <f t="shared" si="66"/>
        <v>0</v>
      </c>
      <c r="AW305" s="70">
        <f t="shared" si="67"/>
        <v>0</v>
      </c>
      <c r="AX305" s="66">
        <f t="shared" si="68"/>
        <v>0</v>
      </c>
      <c r="AY305" s="71">
        <f t="shared" si="69"/>
        <v>0</v>
      </c>
      <c r="AZ305" s="72">
        <f t="shared" si="70"/>
        <v>2642.097777777778</v>
      </c>
      <c r="BA305" s="66">
        <f t="shared" si="71"/>
        <v>2512.8222222222221</v>
      </c>
    </row>
    <row r="306" spans="1:53">
      <c r="A306" s="123" t="s">
        <v>317</v>
      </c>
      <c r="B306" s="132" t="s">
        <v>349</v>
      </c>
      <c r="C306" s="125"/>
      <c r="D306" s="127">
        <v>199892</v>
      </c>
      <c r="E306" s="127">
        <v>9</v>
      </c>
      <c r="F306" s="29" t="s">
        <v>75</v>
      </c>
      <c r="G306" s="16" t="s">
        <v>75</v>
      </c>
      <c r="H306" s="27"/>
      <c r="I306" s="26"/>
      <c r="J306" s="162">
        <v>33753</v>
      </c>
      <c r="K306" s="164">
        <v>31957</v>
      </c>
      <c r="L306" s="162">
        <v>7108</v>
      </c>
      <c r="M306" s="109">
        <v>7499</v>
      </c>
      <c r="N306" s="162">
        <v>34562</v>
      </c>
      <c r="O306" s="109">
        <v>32608</v>
      </c>
      <c r="P306" s="64">
        <f t="shared" si="54"/>
        <v>75423</v>
      </c>
      <c r="Q306" s="65">
        <f t="shared" si="55"/>
        <v>2514.1</v>
      </c>
      <c r="R306" s="66">
        <f t="shared" si="56"/>
        <v>72064</v>
      </c>
      <c r="S306" s="67">
        <f t="shared" si="57"/>
        <v>2402.1333333333332</v>
      </c>
      <c r="T306" s="162">
        <v>8653</v>
      </c>
      <c r="U306" s="109">
        <v>10143</v>
      </c>
      <c r="V306" s="64">
        <f t="shared" si="58"/>
        <v>75423</v>
      </c>
      <c r="W306" s="68">
        <f t="shared" si="59"/>
        <v>72064</v>
      </c>
      <c r="X306" s="27"/>
      <c r="Y306" s="26"/>
      <c r="Z306" s="27">
        <v>145781</v>
      </c>
      <c r="AA306" s="26">
        <v>145051</v>
      </c>
      <c r="AB306" s="27">
        <v>101034</v>
      </c>
      <c r="AC306" s="109">
        <v>113809</v>
      </c>
      <c r="AD306" s="27">
        <v>162744</v>
      </c>
      <c r="AE306" s="26">
        <v>156310</v>
      </c>
      <c r="AF306" s="64">
        <f t="shared" si="60"/>
        <v>409559</v>
      </c>
      <c r="AG306" s="65">
        <f t="shared" si="61"/>
        <v>455.06555555555553</v>
      </c>
      <c r="AH306" s="66">
        <f t="shared" si="62"/>
        <v>415170</v>
      </c>
      <c r="AI306" s="66">
        <f t="shared" si="63"/>
        <v>461.3</v>
      </c>
      <c r="AJ306" s="27"/>
      <c r="AK306" s="26"/>
      <c r="AL306" s="64">
        <f t="shared" si="64"/>
        <v>0</v>
      </c>
      <c r="AM306" s="67">
        <f t="shared" si="65"/>
        <v>0</v>
      </c>
      <c r="AN306" s="27"/>
      <c r="AO306" s="26"/>
      <c r="AP306" s="27"/>
      <c r="AQ306" s="26"/>
      <c r="AR306" s="27"/>
      <c r="AS306" s="26"/>
      <c r="AT306" s="27"/>
      <c r="AU306" s="26"/>
      <c r="AV306" s="64">
        <f t="shared" si="66"/>
        <v>0</v>
      </c>
      <c r="AW306" s="70">
        <f t="shared" si="67"/>
        <v>0</v>
      </c>
      <c r="AX306" s="66">
        <f t="shared" si="68"/>
        <v>0</v>
      </c>
      <c r="AY306" s="71">
        <f t="shared" si="69"/>
        <v>0</v>
      </c>
      <c r="AZ306" s="72">
        <f t="shared" si="70"/>
        <v>2969.1655555555553</v>
      </c>
      <c r="BA306" s="66">
        <f t="shared" si="71"/>
        <v>2863.4333333333334</v>
      </c>
    </row>
    <row r="307" spans="1:53" ht="15">
      <c r="A307" s="123" t="s">
        <v>317</v>
      </c>
      <c r="B307" s="132" t="s">
        <v>350</v>
      </c>
      <c r="C307" s="696" t="s">
        <v>965</v>
      </c>
      <c r="D307" s="127">
        <v>199908</v>
      </c>
      <c r="E307" s="127">
        <v>9</v>
      </c>
      <c r="F307" s="29" t="s">
        <v>75</v>
      </c>
      <c r="G307" s="16" t="s">
        <v>75</v>
      </c>
      <c r="H307" s="27"/>
      <c r="I307" s="26"/>
      <c r="J307" s="162">
        <v>20068</v>
      </c>
      <c r="K307" s="164">
        <v>18024</v>
      </c>
      <c r="L307" s="162">
        <v>3726</v>
      </c>
      <c r="M307" s="26">
        <v>3653</v>
      </c>
      <c r="N307" s="162">
        <v>20526</v>
      </c>
      <c r="O307" s="109">
        <v>18837</v>
      </c>
      <c r="P307" s="64">
        <f t="shared" si="54"/>
        <v>44320</v>
      </c>
      <c r="Q307" s="65">
        <f t="shared" si="55"/>
        <v>1477.3333333333333</v>
      </c>
      <c r="R307" s="66">
        <f t="shared" si="56"/>
        <v>40514</v>
      </c>
      <c r="S307" s="67">
        <f t="shared" si="57"/>
        <v>1350.4666666666667</v>
      </c>
      <c r="T307" s="162">
        <v>4536</v>
      </c>
      <c r="U307" s="109">
        <v>4965</v>
      </c>
      <c r="V307" s="64">
        <f t="shared" si="58"/>
        <v>44320</v>
      </c>
      <c r="W307" s="68">
        <f t="shared" si="59"/>
        <v>40514</v>
      </c>
      <c r="X307" s="27"/>
      <c r="Y307" s="26"/>
      <c r="Z307" s="27">
        <v>148644</v>
      </c>
      <c r="AA307" s="109">
        <v>137113</v>
      </c>
      <c r="AB307" s="27">
        <v>89798</v>
      </c>
      <c r="AC307" s="109">
        <v>73037</v>
      </c>
      <c r="AD307" s="27">
        <v>150104</v>
      </c>
      <c r="AE307" s="109">
        <v>105981</v>
      </c>
      <c r="AF307" s="64">
        <f t="shared" si="60"/>
        <v>388546</v>
      </c>
      <c r="AG307" s="65">
        <f t="shared" si="61"/>
        <v>431.71777777777777</v>
      </c>
      <c r="AH307" s="66">
        <f t="shared" si="62"/>
        <v>316131</v>
      </c>
      <c r="AI307" s="66">
        <f t="shared" si="63"/>
        <v>351.25666666666666</v>
      </c>
      <c r="AJ307" s="27"/>
      <c r="AK307" s="26"/>
      <c r="AL307" s="64">
        <f t="shared" si="64"/>
        <v>0</v>
      </c>
      <c r="AM307" s="67">
        <f t="shared" si="65"/>
        <v>0</v>
      </c>
      <c r="AN307" s="27"/>
      <c r="AO307" s="26"/>
      <c r="AP307" s="27"/>
      <c r="AQ307" s="26"/>
      <c r="AR307" s="27"/>
      <c r="AS307" s="26"/>
      <c r="AT307" s="27"/>
      <c r="AU307" s="26"/>
      <c r="AV307" s="64">
        <f t="shared" si="66"/>
        <v>0</v>
      </c>
      <c r="AW307" s="70">
        <f t="shared" si="67"/>
        <v>0</v>
      </c>
      <c r="AX307" s="66">
        <f t="shared" si="68"/>
        <v>0</v>
      </c>
      <c r="AY307" s="71">
        <f t="shared" si="69"/>
        <v>0</v>
      </c>
      <c r="AZ307" s="72">
        <f t="shared" si="70"/>
        <v>1909.0511111111109</v>
      </c>
      <c r="BA307" s="66">
        <f t="shared" si="71"/>
        <v>1701.7233333333334</v>
      </c>
    </row>
    <row r="308" spans="1:53">
      <c r="A308" s="123" t="s">
        <v>317</v>
      </c>
      <c r="B308" s="132" t="s">
        <v>351</v>
      </c>
      <c r="C308" s="125"/>
      <c r="D308" s="127">
        <v>199926</v>
      </c>
      <c r="E308" s="127">
        <v>9</v>
      </c>
      <c r="F308" s="29" t="s">
        <v>75</v>
      </c>
      <c r="G308" s="16" t="s">
        <v>75</v>
      </c>
      <c r="H308" s="27"/>
      <c r="I308" s="26"/>
      <c r="J308" s="162">
        <v>25844</v>
      </c>
      <c r="K308" s="164">
        <v>24063</v>
      </c>
      <c r="L308" s="162">
        <v>3957</v>
      </c>
      <c r="M308" s="109">
        <v>4364</v>
      </c>
      <c r="N308" s="162">
        <v>27137</v>
      </c>
      <c r="O308" s="26">
        <v>27106</v>
      </c>
      <c r="P308" s="64">
        <f t="shared" si="54"/>
        <v>56938</v>
      </c>
      <c r="Q308" s="65">
        <f t="shared" si="55"/>
        <v>1897.9333333333334</v>
      </c>
      <c r="R308" s="66">
        <f t="shared" si="56"/>
        <v>55533</v>
      </c>
      <c r="S308" s="67">
        <f t="shared" si="57"/>
        <v>1851.1</v>
      </c>
      <c r="T308" s="162">
        <v>7048</v>
      </c>
      <c r="U308" s="109">
        <v>8427</v>
      </c>
      <c r="V308" s="64">
        <f t="shared" si="58"/>
        <v>56938</v>
      </c>
      <c r="W308" s="68">
        <f t="shared" si="59"/>
        <v>55533</v>
      </c>
      <c r="X308" s="27"/>
      <c r="Y308" s="26"/>
      <c r="Z308" s="27">
        <v>164700</v>
      </c>
      <c r="AA308" s="109">
        <v>142136</v>
      </c>
      <c r="AB308" s="27">
        <v>123306</v>
      </c>
      <c r="AC308" s="109">
        <v>89090</v>
      </c>
      <c r="AD308" s="27">
        <v>168725</v>
      </c>
      <c r="AE308" s="109">
        <v>158710</v>
      </c>
      <c r="AF308" s="64">
        <f t="shared" si="60"/>
        <v>456731</v>
      </c>
      <c r="AG308" s="65">
        <f t="shared" si="61"/>
        <v>507.47888888888889</v>
      </c>
      <c r="AH308" s="66">
        <f t="shared" si="62"/>
        <v>389936</v>
      </c>
      <c r="AI308" s="66">
        <f t="shared" si="63"/>
        <v>433.26222222222225</v>
      </c>
      <c r="AJ308" s="27"/>
      <c r="AK308" s="26"/>
      <c r="AL308" s="64">
        <f t="shared" si="64"/>
        <v>0</v>
      </c>
      <c r="AM308" s="67">
        <f t="shared" si="65"/>
        <v>0</v>
      </c>
      <c r="AN308" s="27"/>
      <c r="AO308" s="26"/>
      <c r="AP308" s="27"/>
      <c r="AQ308" s="26"/>
      <c r="AR308" s="27"/>
      <c r="AS308" s="26"/>
      <c r="AT308" s="27"/>
      <c r="AU308" s="26"/>
      <c r="AV308" s="64">
        <f t="shared" si="66"/>
        <v>0</v>
      </c>
      <c r="AW308" s="70">
        <f t="shared" si="67"/>
        <v>0</v>
      </c>
      <c r="AX308" s="66">
        <f t="shared" si="68"/>
        <v>0</v>
      </c>
      <c r="AY308" s="71">
        <f t="shared" si="69"/>
        <v>0</v>
      </c>
      <c r="AZ308" s="72">
        <f t="shared" si="70"/>
        <v>2405.4122222222222</v>
      </c>
      <c r="BA308" s="66">
        <f t="shared" si="71"/>
        <v>2284.362222222222</v>
      </c>
    </row>
    <row r="309" spans="1:53">
      <c r="A309" s="123" t="s">
        <v>317</v>
      </c>
      <c r="B309" s="132" t="s">
        <v>352</v>
      </c>
      <c r="C309" s="125"/>
      <c r="D309" s="127">
        <v>197966</v>
      </c>
      <c r="E309" s="127">
        <v>10</v>
      </c>
      <c r="F309" s="29" t="s">
        <v>75</v>
      </c>
      <c r="G309" s="16" t="s">
        <v>75</v>
      </c>
      <c r="H309" s="27"/>
      <c r="I309" s="26"/>
      <c r="J309" s="162">
        <v>19052</v>
      </c>
      <c r="K309" s="164">
        <v>12861</v>
      </c>
      <c r="L309" s="162">
        <v>2382</v>
      </c>
      <c r="M309" s="109">
        <v>2610</v>
      </c>
      <c r="N309" s="162">
        <v>13895</v>
      </c>
      <c r="O309" s="26">
        <v>13437</v>
      </c>
      <c r="P309" s="64">
        <f t="shared" si="54"/>
        <v>35329</v>
      </c>
      <c r="Q309" s="65">
        <f t="shared" si="55"/>
        <v>1177.6333333333334</v>
      </c>
      <c r="R309" s="66">
        <f t="shared" si="56"/>
        <v>28908</v>
      </c>
      <c r="S309" s="67">
        <f t="shared" si="57"/>
        <v>963.6</v>
      </c>
      <c r="T309" s="162">
        <v>6724</v>
      </c>
      <c r="U309" s="26">
        <v>6761</v>
      </c>
      <c r="V309" s="64">
        <f t="shared" si="58"/>
        <v>35329</v>
      </c>
      <c r="W309" s="68">
        <f t="shared" si="59"/>
        <v>28908</v>
      </c>
      <c r="X309" s="27"/>
      <c r="Y309" s="26"/>
      <c r="Z309" s="27">
        <v>83582</v>
      </c>
      <c r="AA309" s="109">
        <v>100803</v>
      </c>
      <c r="AB309" s="27">
        <v>85432</v>
      </c>
      <c r="AC309" s="109">
        <v>65736</v>
      </c>
      <c r="AD309" s="27">
        <v>118983</v>
      </c>
      <c r="AE309" s="109">
        <v>83125</v>
      </c>
      <c r="AF309" s="64">
        <f t="shared" si="60"/>
        <v>287997</v>
      </c>
      <c r="AG309" s="65">
        <f t="shared" si="61"/>
        <v>319.99666666666667</v>
      </c>
      <c r="AH309" s="66">
        <f t="shared" si="62"/>
        <v>249664</v>
      </c>
      <c r="AI309" s="66">
        <f t="shared" si="63"/>
        <v>277.40444444444444</v>
      </c>
      <c r="AJ309" s="27"/>
      <c r="AK309" s="26"/>
      <c r="AL309" s="64">
        <f t="shared" si="64"/>
        <v>0</v>
      </c>
      <c r="AM309" s="67">
        <f t="shared" si="65"/>
        <v>0</v>
      </c>
      <c r="AN309" s="27"/>
      <c r="AO309" s="26"/>
      <c r="AP309" s="27"/>
      <c r="AQ309" s="26"/>
      <c r="AR309" s="27"/>
      <c r="AS309" s="26"/>
      <c r="AT309" s="27"/>
      <c r="AU309" s="26"/>
      <c r="AV309" s="64">
        <f t="shared" si="66"/>
        <v>0</v>
      </c>
      <c r="AW309" s="70">
        <f t="shared" si="67"/>
        <v>0</v>
      </c>
      <c r="AX309" s="66">
        <f t="shared" si="68"/>
        <v>0</v>
      </c>
      <c r="AY309" s="71">
        <f t="shared" si="69"/>
        <v>0</v>
      </c>
      <c r="AZ309" s="72">
        <f t="shared" si="70"/>
        <v>1497.63</v>
      </c>
      <c r="BA309" s="66">
        <f t="shared" si="71"/>
        <v>1241.0044444444445</v>
      </c>
    </row>
    <row r="310" spans="1:53">
      <c r="A310" s="123" t="s">
        <v>317</v>
      </c>
      <c r="B310" s="132" t="s">
        <v>353</v>
      </c>
      <c r="C310" s="125"/>
      <c r="D310" s="127">
        <v>198011</v>
      </c>
      <c r="E310" s="127">
        <v>10</v>
      </c>
      <c r="F310" s="29" t="s">
        <v>75</v>
      </c>
      <c r="G310" s="16" t="s">
        <v>75</v>
      </c>
      <c r="H310" s="27"/>
      <c r="I310" s="26"/>
      <c r="J310" s="162">
        <v>12419</v>
      </c>
      <c r="K310" s="163">
        <v>12489</v>
      </c>
      <c r="L310" s="162">
        <v>2606</v>
      </c>
      <c r="M310" s="26">
        <v>2650</v>
      </c>
      <c r="N310" s="162">
        <v>13202</v>
      </c>
      <c r="O310" s="26">
        <v>12957</v>
      </c>
      <c r="P310" s="64">
        <f t="shared" si="54"/>
        <v>28227</v>
      </c>
      <c r="Q310" s="65">
        <f t="shared" si="55"/>
        <v>940.9</v>
      </c>
      <c r="R310" s="66">
        <f t="shared" si="56"/>
        <v>28096</v>
      </c>
      <c r="S310" s="67">
        <f t="shared" si="57"/>
        <v>936.5333333333333</v>
      </c>
      <c r="T310" s="162">
        <v>2240</v>
      </c>
      <c r="U310" s="109">
        <v>3245</v>
      </c>
      <c r="V310" s="64">
        <f t="shared" si="58"/>
        <v>28227</v>
      </c>
      <c r="W310" s="68">
        <f t="shared" si="59"/>
        <v>28096</v>
      </c>
      <c r="X310" s="27"/>
      <c r="Y310" s="26"/>
      <c r="Z310" s="27">
        <v>77519</v>
      </c>
      <c r="AA310" s="109">
        <v>66204</v>
      </c>
      <c r="AB310" s="27">
        <v>48645</v>
      </c>
      <c r="AC310" s="109">
        <v>40274</v>
      </c>
      <c r="AD310" s="27">
        <v>60080</v>
      </c>
      <c r="AE310" s="26">
        <v>57686</v>
      </c>
      <c r="AF310" s="64">
        <f t="shared" si="60"/>
        <v>186244</v>
      </c>
      <c r="AG310" s="65">
        <f t="shared" si="61"/>
        <v>206.93777777777777</v>
      </c>
      <c r="AH310" s="66">
        <f t="shared" si="62"/>
        <v>164164</v>
      </c>
      <c r="AI310" s="66">
        <f t="shared" si="63"/>
        <v>182.40444444444444</v>
      </c>
      <c r="AJ310" s="27"/>
      <c r="AK310" s="26"/>
      <c r="AL310" s="64">
        <f t="shared" si="64"/>
        <v>0</v>
      </c>
      <c r="AM310" s="67">
        <f t="shared" si="65"/>
        <v>0</v>
      </c>
      <c r="AN310" s="27"/>
      <c r="AO310" s="26"/>
      <c r="AP310" s="27"/>
      <c r="AQ310" s="26"/>
      <c r="AR310" s="27"/>
      <c r="AS310" s="26"/>
      <c r="AT310" s="27"/>
      <c r="AU310" s="26"/>
      <c r="AV310" s="64">
        <f t="shared" si="66"/>
        <v>0</v>
      </c>
      <c r="AW310" s="70">
        <f t="shared" si="67"/>
        <v>0</v>
      </c>
      <c r="AX310" s="66">
        <f t="shared" si="68"/>
        <v>0</v>
      </c>
      <c r="AY310" s="71">
        <f t="shared" si="69"/>
        <v>0</v>
      </c>
      <c r="AZ310" s="72">
        <f t="shared" si="70"/>
        <v>1147.8377777777778</v>
      </c>
      <c r="BA310" s="66">
        <f t="shared" si="71"/>
        <v>1118.9377777777777</v>
      </c>
    </row>
    <row r="311" spans="1:53">
      <c r="A311" s="123" t="s">
        <v>317</v>
      </c>
      <c r="B311" s="132" t="s">
        <v>354</v>
      </c>
      <c r="C311" s="125"/>
      <c r="D311" s="127">
        <v>198039</v>
      </c>
      <c r="E311" s="127">
        <v>10</v>
      </c>
      <c r="F311" s="29" t="s">
        <v>75</v>
      </c>
      <c r="G311" s="16" t="s">
        <v>75</v>
      </c>
      <c r="H311" s="27"/>
      <c r="I311" s="26"/>
      <c r="J311" s="162">
        <v>18797</v>
      </c>
      <c r="K311" s="164">
        <v>17227</v>
      </c>
      <c r="L311" s="162">
        <v>3993</v>
      </c>
      <c r="M311" s="109">
        <v>3371</v>
      </c>
      <c r="N311" s="162">
        <v>19363</v>
      </c>
      <c r="O311" s="26">
        <v>20149</v>
      </c>
      <c r="P311" s="64">
        <f t="shared" si="54"/>
        <v>42153</v>
      </c>
      <c r="Q311" s="65">
        <f t="shared" si="55"/>
        <v>1405.1</v>
      </c>
      <c r="R311" s="66">
        <f t="shared" si="56"/>
        <v>40747</v>
      </c>
      <c r="S311" s="67">
        <f t="shared" si="57"/>
        <v>1358.2333333333333</v>
      </c>
      <c r="T311" s="162">
        <v>4810</v>
      </c>
      <c r="U311" s="109">
        <v>4218</v>
      </c>
      <c r="V311" s="64">
        <f t="shared" si="58"/>
        <v>42153</v>
      </c>
      <c r="W311" s="68">
        <f t="shared" si="59"/>
        <v>40747</v>
      </c>
      <c r="X311" s="27"/>
      <c r="Y311" s="26"/>
      <c r="Z311" s="27">
        <v>108895</v>
      </c>
      <c r="AA311" s="109">
        <v>139463</v>
      </c>
      <c r="AB311" s="27">
        <v>65876</v>
      </c>
      <c r="AC311" s="26">
        <v>64620</v>
      </c>
      <c r="AD311" s="27">
        <v>133933</v>
      </c>
      <c r="AE311" s="26">
        <v>131413</v>
      </c>
      <c r="AF311" s="64">
        <f t="shared" si="60"/>
        <v>308704</v>
      </c>
      <c r="AG311" s="65">
        <f t="shared" si="61"/>
        <v>343.00444444444446</v>
      </c>
      <c r="AH311" s="66">
        <f t="shared" si="62"/>
        <v>335496</v>
      </c>
      <c r="AI311" s="66">
        <f t="shared" si="63"/>
        <v>372.77333333333331</v>
      </c>
      <c r="AJ311" s="27"/>
      <c r="AK311" s="26"/>
      <c r="AL311" s="64">
        <f t="shared" si="64"/>
        <v>0</v>
      </c>
      <c r="AM311" s="67">
        <f t="shared" si="65"/>
        <v>0</v>
      </c>
      <c r="AN311" s="27"/>
      <c r="AO311" s="26"/>
      <c r="AP311" s="27"/>
      <c r="AQ311" s="26"/>
      <c r="AR311" s="27"/>
      <c r="AS311" s="26"/>
      <c r="AT311" s="27"/>
      <c r="AU311" s="26"/>
      <c r="AV311" s="64">
        <f t="shared" si="66"/>
        <v>0</v>
      </c>
      <c r="AW311" s="70">
        <f t="shared" si="67"/>
        <v>0</v>
      </c>
      <c r="AX311" s="66">
        <f t="shared" si="68"/>
        <v>0</v>
      </c>
      <c r="AY311" s="71">
        <f t="shared" si="69"/>
        <v>0</v>
      </c>
      <c r="AZ311" s="72">
        <f t="shared" si="70"/>
        <v>1748.1044444444444</v>
      </c>
      <c r="BA311" s="66">
        <f t="shared" si="71"/>
        <v>1731.0066666666667</v>
      </c>
    </row>
    <row r="312" spans="1:53">
      <c r="A312" s="123" t="s">
        <v>317</v>
      </c>
      <c r="B312" s="132" t="s">
        <v>355</v>
      </c>
      <c r="C312" s="125"/>
      <c r="D312" s="127">
        <v>198084</v>
      </c>
      <c r="E312" s="127">
        <v>10</v>
      </c>
      <c r="F312" s="29" t="s">
        <v>75</v>
      </c>
      <c r="G312" s="16" t="s">
        <v>75</v>
      </c>
      <c r="H312" s="27"/>
      <c r="I312" s="26"/>
      <c r="J312" s="162">
        <v>15023</v>
      </c>
      <c r="K312" s="163">
        <v>14652</v>
      </c>
      <c r="L312" s="162">
        <v>2363</v>
      </c>
      <c r="M312" s="109">
        <v>2989</v>
      </c>
      <c r="N312" s="162">
        <v>16133</v>
      </c>
      <c r="O312" s="109">
        <v>14771</v>
      </c>
      <c r="P312" s="64">
        <f t="shared" si="54"/>
        <v>33519</v>
      </c>
      <c r="Q312" s="65">
        <f t="shared" si="55"/>
        <v>1117.3</v>
      </c>
      <c r="R312" s="66">
        <f t="shared" si="56"/>
        <v>32412</v>
      </c>
      <c r="S312" s="67">
        <f t="shared" si="57"/>
        <v>1080.4000000000001</v>
      </c>
      <c r="T312" s="162">
        <v>5356</v>
      </c>
      <c r="U312" s="26">
        <v>5158</v>
      </c>
      <c r="V312" s="64">
        <f t="shared" si="58"/>
        <v>33519</v>
      </c>
      <c r="W312" s="68">
        <f t="shared" si="59"/>
        <v>32412</v>
      </c>
      <c r="X312" s="27"/>
      <c r="Y312" s="26"/>
      <c r="Z312" s="27">
        <v>137481</v>
      </c>
      <c r="AA312" s="109">
        <v>127509</v>
      </c>
      <c r="AB312" s="27">
        <v>100144</v>
      </c>
      <c r="AC312" s="109">
        <v>83979</v>
      </c>
      <c r="AD312" s="27">
        <v>156230</v>
      </c>
      <c r="AE312" s="26">
        <v>153042</v>
      </c>
      <c r="AF312" s="64">
        <f t="shared" si="60"/>
        <v>393855</v>
      </c>
      <c r="AG312" s="65">
        <f t="shared" si="61"/>
        <v>437.61666666666667</v>
      </c>
      <c r="AH312" s="66">
        <f t="shared" si="62"/>
        <v>364530</v>
      </c>
      <c r="AI312" s="66">
        <f t="shared" si="63"/>
        <v>405.03333333333336</v>
      </c>
      <c r="AJ312" s="27"/>
      <c r="AK312" s="26"/>
      <c r="AL312" s="64">
        <f t="shared" si="64"/>
        <v>0</v>
      </c>
      <c r="AM312" s="67">
        <f t="shared" si="65"/>
        <v>0</v>
      </c>
      <c r="AN312" s="27"/>
      <c r="AO312" s="26"/>
      <c r="AP312" s="27"/>
      <c r="AQ312" s="26"/>
      <c r="AR312" s="27"/>
      <c r="AS312" s="26"/>
      <c r="AT312" s="27"/>
      <c r="AU312" s="26"/>
      <c r="AV312" s="64">
        <f t="shared" si="66"/>
        <v>0</v>
      </c>
      <c r="AW312" s="70">
        <f t="shared" si="67"/>
        <v>0</v>
      </c>
      <c r="AX312" s="66">
        <f t="shared" si="68"/>
        <v>0</v>
      </c>
      <c r="AY312" s="71">
        <f t="shared" si="69"/>
        <v>0</v>
      </c>
      <c r="AZ312" s="72">
        <f t="shared" si="70"/>
        <v>1554.9166666666665</v>
      </c>
      <c r="BA312" s="66">
        <f t="shared" si="71"/>
        <v>1485.4333333333334</v>
      </c>
    </row>
    <row r="313" spans="1:53">
      <c r="A313" s="123" t="s">
        <v>317</v>
      </c>
      <c r="B313" s="132" t="s">
        <v>356</v>
      </c>
      <c r="C313" s="125"/>
      <c r="D313" s="127">
        <v>198206</v>
      </c>
      <c r="E313" s="127">
        <v>10</v>
      </c>
      <c r="F313" s="29" t="s">
        <v>75</v>
      </c>
      <c r="G313" s="16" t="s">
        <v>75</v>
      </c>
      <c r="H313" s="27"/>
      <c r="I313" s="26"/>
      <c r="J313" s="162">
        <v>14069</v>
      </c>
      <c r="K313" s="163">
        <v>13556</v>
      </c>
      <c r="L313" s="162">
        <v>3073</v>
      </c>
      <c r="M313" s="26">
        <v>3081</v>
      </c>
      <c r="N313" s="162">
        <v>14261</v>
      </c>
      <c r="O313" s="109">
        <v>15133</v>
      </c>
      <c r="P313" s="64">
        <f t="shared" si="54"/>
        <v>31403</v>
      </c>
      <c r="Q313" s="65">
        <f t="shared" si="55"/>
        <v>1046.7666666666667</v>
      </c>
      <c r="R313" s="66">
        <f t="shared" si="56"/>
        <v>31770</v>
      </c>
      <c r="S313" s="67">
        <f t="shared" si="57"/>
        <v>1059</v>
      </c>
      <c r="T313" s="162">
        <v>1263</v>
      </c>
      <c r="U313" s="109">
        <v>1699</v>
      </c>
      <c r="V313" s="64">
        <f t="shared" si="58"/>
        <v>31403</v>
      </c>
      <c r="W313" s="68">
        <f t="shared" si="59"/>
        <v>31770</v>
      </c>
      <c r="X313" s="27"/>
      <c r="Y313" s="26"/>
      <c r="Z313" s="27">
        <v>114481</v>
      </c>
      <c r="AA313" s="26">
        <v>111980</v>
      </c>
      <c r="AB313" s="27">
        <v>69975</v>
      </c>
      <c r="AC313" s="109">
        <v>76327</v>
      </c>
      <c r="AD313" s="27">
        <v>110254</v>
      </c>
      <c r="AE313" s="109">
        <v>118277</v>
      </c>
      <c r="AF313" s="64">
        <f t="shared" si="60"/>
        <v>294710</v>
      </c>
      <c r="AG313" s="65">
        <f t="shared" si="61"/>
        <v>327.45555555555558</v>
      </c>
      <c r="AH313" s="66">
        <f t="shared" si="62"/>
        <v>306584</v>
      </c>
      <c r="AI313" s="66">
        <f t="shared" si="63"/>
        <v>340.64888888888891</v>
      </c>
      <c r="AJ313" s="27"/>
      <c r="AK313" s="26"/>
      <c r="AL313" s="64">
        <f t="shared" si="64"/>
        <v>0</v>
      </c>
      <c r="AM313" s="67">
        <f t="shared" si="65"/>
        <v>0</v>
      </c>
      <c r="AN313" s="27"/>
      <c r="AO313" s="26"/>
      <c r="AP313" s="27"/>
      <c r="AQ313" s="26"/>
      <c r="AR313" s="27"/>
      <c r="AS313" s="26"/>
      <c r="AT313" s="27"/>
      <c r="AU313" s="26"/>
      <c r="AV313" s="64">
        <f t="shared" si="66"/>
        <v>0</v>
      </c>
      <c r="AW313" s="70">
        <f t="shared" si="67"/>
        <v>0</v>
      </c>
      <c r="AX313" s="66">
        <f t="shared" si="68"/>
        <v>0</v>
      </c>
      <c r="AY313" s="71">
        <f t="shared" si="69"/>
        <v>0</v>
      </c>
      <c r="AZ313" s="72">
        <f t="shared" si="70"/>
        <v>1374.2222222222222</v>
      </c>
      <c r="BA313" s="66">
        <f t="shared" si="71"/>
        <v>1399.6488888888889</v>
      </c>
    </row>
    <row r="314" spans="1:53">
      <c r="A314" s="123" t="s">
        <v>317</v>
      </c>
      <c r="B314" s="132" t="s">
        <v>357</v>
      </c>
      <c r="C314" s="125"/>
      <c r="D314" s="127">
        <v>197814</v>
      </c>
      <c r="E314" s="127">
        <v>10</v>
      </c>
      <c r="F314" s="29" t="s">
        <v>75</v>
      </c>
      <c r="G314" s="16" t="s">
        <v>75</v>
      </c>
      <c r="H314" s="27"/>
      <c r="I314" s="26"/>
      <c r="J314" s="162">
        <v>22915</v>
      </c>
      <c r="K314" s="164">
        <v>20851</v>
      </c>
      <c r="L314" s="162">
        <v>3447</v>
      </c>
      <c r="M314" s="109">
        <v>4350</v>
      </c>
      <c r="N314" s="162">
        <v>21126</v>
      </c>
      <c r="O314" s="109">
        <v>22265</v>
      </c>
      <c r="P314" s="64">
        <f t="shared" si="54"/>
        <v>47488</v>
      </c>
      <c r="Q314" s="65">
        <f t="shared" si="55"/>
        <v>1582.9333333333334</v>
      </c>
      <c r="R314" s="66">
        <f t="shared" si="56"/>
        <v>47466</v>
      </c>
      <c r="S314" s="67">
        <f t="shared" si="57"/>
        <v>1582.2</v>
      </c>
      <c r="T314" s="162">
        <v>6930</v>
      </c>
      <c r="U314" s="109">
        <v>9809</v>
      </c>
      <c r="V314" s="64">
        <f t="shared" si="58"/>
        <v>47488</v>
      </c>
      <c r="W314" s="68">
        <f t="shared" si="59"/>
        <v>47466</v>
      </c>
      <c r="X314" s="27"/>
      <c r="Y314" s="26"/>
      <c r="Z314" s="27">
        <v>106129</v>
      </c>
      <c r="AA314" s="109">
        <v>100820</v>
      </c>
      <c r="AB314" s="27">
        <v>43599</v>
      </c>
      <c r="AC314" s="109">
        <v>65982</v>
      </c>
      <c r="AD314" s="27">
        <v>113710</v>
      </c>
      <c r="AE314" s="109">
        <v>88539</v>
      </c>
      <c r="AF314" s="64">
        <f t="shared" si="60"/>
        <v>263438</v>
      </c>
      <c r="AG314" s="65">
        <f t="shared" si="61"/>
        <v>292.70888888888891</v>
      </c>
      <c r="AH314" s="66">
        <f t="shared" si="62"/>
        <v>255341</v>
      </c>
      <c r="AI314" s="66">
        <f t="shared" si="63"/>
        <v>283.71222222222224</v>
      </c>
      <c r="AJ314" s="27"/>
      <c r="AK314" s="26"/>
      <c r="AL314" s="64">
        <f t="shared" si="64"/>
        <v>0</v>
      </c>
      <c r="AM314" s="67">
        <f t="shared" si="65"/>
        <v>0</v>
      </c>
      <c r="AN314" s="27"/>
      <c r="AO314" s="26"/>
      <c r="AP314" s="27"/>
      <c r="AQ314" s="26"/>
      <c r="AR314" s="27"/>
      <c r="AS314" s="26"/>
      <c r="AT314" s="27"/>
      <c r="AU314" s="26"/>
      <c r="AV314" s="64">
        <f t="shared" si="66"/>
        <v>0</v>
      </c>
      <c r="AW314" s="70">
        <f t="shared" si="67"/>
        <v>0</v>
      </c>
      <c r="AX314" s="66">
        <f t="shared" si="68"/>
        <v>0</v>
      </c>
      <c r="AY314" s="71">
        <f t="shared" si="69"/>
        <v>0</v>
      </c>
      <c r="AZ314" s="72">
        <f t="shared" si="70"/>
        <v>1875.6422222222222</v>
      </c>
      <c r="BA314" s="66">
        <f t="shared" si="71"/>
        <v>1865.9122222222222</v>
      </c>
    </row>
    <row r="315" spans="1:53">
      <c r="A315" s="123" t="s">
        <v>317</v>
      </c>
      <c r="B315" s="132" t="s">
        <v>358</v>
      </c>
      <c r="C315" s="125"/>
      <c r="D315" s="127">
        <v>198640</v>
      </c>
      <c r="E315" s="127">
        <v>10</v>
      </c>
      <c r="F315" s="29" t="s">
        <v>75</v>
      </c>
      <c r="G315" s="16" t="s">
        <v>75</v>
      </c>
      <c r="H315" s="27"/>
      <c r="I315" s="26"/>
      <c r="J315" s="162">
        <v>11470</v>
      </c>
      <c r="K315" s="164">
        <v>10692</v>
      </c>
      <c r="L315" s="162">
        <v>1872</v>
      </c>
      <c r="M315" s="109">
        <v>2216</v>
      </c>
      <c r="N315" s="162">
        <v>12041</v>
      </c>
      <c r="O315" s="26">
        <v>11515</v>
      </c>
      <c r="P315" s="64">
        <f t="shared" si="54"/>
        <v>25383</v>
      </c>
      <c r="Q315" s="65">
        <f t="shared" si="55"/>
        <v>846.1</v>
      </c>
      <c r="R315" s="66">
        <f t="shared" si="56"/>
        <v>24423</v>
      </c>
      <c r="S315" s="67">
        <f t="shared" si="57"/>
        <v>814.1</v>
      </c>
      <c r="T315" s="162">
        <v>2733</v>
      </c>
      <c r="U315" s="109">
        <v>3675</v>
      </c>
      <c r="V315" s="64">
        <f t="shared" si="58"/>
        <v>25383</v>
      </c>
      <c r="W315" s="68">
        <f t="shared" si="59"/>
        <v>24423</v>
      </c>
      <c r="X315" s="27"/>
      <c r="Y315" s="26"/>
      <c r="Z315" s="27">
        <v>99092</v>
      </c>
      <c r="AA315" s="26">
        <v>94507</v>
      </c>
      <c r="AB315" s="27">
        <v>44094</v>
      </c>
      <c r="AC315" s="109">
        <v>53204</v>
      </c>
      <c r="AD315" s="27">
        <v>87284</v>
      </c>
      <c r="AE315" s="109">
        <v>91926</v>
      </c>
      <c r="AF315" s="64">
        <f t="shared" si="60"/>
        <v>230470</v>
      </c>
      <c r="AG315" s="65">
        <f t="shared" si="61"/>
        <v>256.07777777777778</v>
      </c>
      <c r="AH315" s="66">
        <f t="shared" si="62"/>
        <v>239637</v>
      </c>
      <c r="AI315" s="66">
        <f t="shared" si="63"/>
        <v>266.26333333333332</v>
      </c>
      <c r="AJ315" s="27"/>
      <c r="AK315" s="26"/>
      <c r="AL315" s="64">
        <f t="shared" si="64"/>
        <v>0</v>
      </c>
      <c r="AM315" s="67">
        <f t="shared" si="65"/>
        <v>0</v>
      </c>
      <c r="AN315" s="27"/>
      <c r="AO315" s="26"/>
      <c r="AP315" s="27"/>
      <c r="AQ315" s="26"/>
      <c r="AR315" s="27"/>
      <c r="AS315" s="26"/>
      <c r="AT315" s="27"/>
      <c r="AU315" s="26"/>
      <c r="AV315" s="64">
        <f t="shared" si="66"/>
        <v>0</v>
      </c>
      <c r="AW315" s="70">
        <f t="shared" si="67"/>
        <v>0</v>
      </c>
      <c r="AX315" s="66">
        <f t="shared" si="68"/>
        <v>0</v>
      </c>
      <c r="AY315" s="71">
        <f t="shared" si="69"/>
        <v>0</v>
      </c>
      <c r="AZ315" s="72">
        <f t="shared" si="70"/>
        <v>1102.1777777777779</v>
      </c>
      <c r="BA315" s="66">
        <f t="shared" si="71"/>
        <v>1080.3633333333332</v>
      </c>
    </row>
    <row r="316" spans="1:53">
      <c r="A316" s="123" t="s">
        <v>317</v>
      </c>
      <c r="B316" s="132" t="s">
        <v>359</v>
      </c>
      <c r="C316" s="138"/>
      <c r="D316" s="127">
        <v>198668</v>
      </c>
      <c r="E316" s="127">
        <v>10</v>
      </c>
      <c r="F316" s="29" t="s">
        <v>75</v>
      </c>
      <c r="G316" s="16" t="s">
        <v>75</v>
      </c>
      <c r="H316" s="27"/>
      <c r="I316" s="26"/>
      <c r="J316" s="162">
        <v>16442</v>
      </c>
      <c r="K316" s="164">
        <v>15264</v>
      </c>
      <c r="L316" s="162">
        <v>3635</v>
      </c>
      <c r="M316" s="109">
        <v>3827</v>
      </c>
      <c r="N316" s="162">
        <v>16370</v>
      </c>
      <c r="O316" s="26">
        <v>16193</v>
      </c>
      <c r="P316" s="64">
        <f t="shared" si="54"/>
        <v>36447</v>
      </c>
      <c r="Q316" s="65">
        <f t="shared" si="55"/>
        <v>1214.9000000000001</v>
      </c>
      <c r="R316" s="66">
        <f t="shared" si="56"/>
        <v>35284</v>
      </c>
      <c r="S316" s="67">
        <f t="shared" si="57"/>
        <v>1176.1333333333334</v>
      </c>
      <c r="T316" s="162">
        <v>4178</v>
      </c>
      <c r="U316" s="109">
        <v>5160</v>
      </c>
      <c r="V316" s="64">
        <f t="shared" si="58"/>
        <v>36447</v>
      </c>
      <c r="W316" s="68">
        <f t="shared" si="59"/>
        <v>35284</v>
      </c>
      <c r="X316" s="27"/>
      <c r="Y316" s="26"/>
      <c r="Z316" s="27">
        <v>67322</v>
      </c>
      <c r="AA316" s="109">
        <v>71404</v>
      </c>
      <c r="AB316" s="27">
        <v>41334</v>
      </c>
      <c r="AC316" s="109">
        <v>36239</v>
      </c>
      <c r="AD316" s="27">
        <v>68870</v>
      </c>
      <c r="AE316" s="109">
        <v>75505</v>
      </c>
      <c r="AF316" s="64">
        <f t="shared" si="60"/>
        <v>177526</v>
      </c>
      <c r="AG316" s="65">
        <f t="shared" si="61"/>
        <v>197.2511111111111</v>
      </c>
      <c r="AH316" s="66">
        <f t="shared" si="62"/>
        <v>183148</v>
      </c>
      <c r="AI316" s="66">
        <f t="shared" si="63"/>
        <v>203.49777777777777</v>
      </c>
      <c r="AJ316" s="27"/>
      <c r="AK316" s="26"/>
      <c r="AL316" s="64">
        <f t="shared" si="64"/>
        <v>0</v>
      </c>
      <c r="AM316" s="67">
        <f t="shared" si="65"/>
        <v>0</v>
      </c>
      <c r="AN316" s="27"/>
      <c r="AO316" s="26"/>
      <c r="AP316" s="27"/>
      <c r="AQ316" s="26"/>
      <c r="AR316" s="27"/>
      <c r="AS316" s="26"/>
      <c r="AT316" s="27"/>
      <c r="AU316" s="26"/>
      <c r="AV316" s="64">
        <f t="shared" si="66"/>
        <v>0</v>
      </c>
      <c r="AW316" s="70">
        <f t="shared" si="67"/>
        <v>0</v>
      </c>
      <c r="AX316" s="66">
        <f t="shared" si="68"/>
        <v>0</v>
      </c>
      <c r="AY316" s="71">
        <f t="shared" si="69"/>
        <v>0</v>
      </c>
      <c r="AZ316" s="72">
        <f t="shared" si="70"/>
        <v>1412.1511111111113</v>
      </c>
      <c r="BA316" s="66">
        <f t="shared" si="71"/>
        <v>1379.6311111111113</v>
      </c>
    </row>
    <row r="317" spans="1:53">
      <c r="A317" s="123" t="s">
        <v>317</v>
      </c>
      <c r="B317" s="132" t="s">
        <v>360</v>
      </c>
      <c r="C317" s="138"/>
      <c r="D317" s="127">
        <v>198710</v>
      </c>
      <c r="E317" s="127">
        <v>10</v>
      </c>
      <c r="F317" s="29" t="s">
        <v>75</v>
      </c>
      <c r="G317" s="16" t="s">
        <v>75</v>
      </c>
      <c r="H317" s="27"/>
      <c r="I317" s="26"/>
      <c r="J317" s="162">
        <v>19590.5</v>
      </c>
      <c r="K317" s="163">
        <v>18842</v>
      </c>
      <c r="L317" s="162">
        <v>3476</v>
      </c>
      <c r="M317" s="109">
        <v>4573</v>
      </c>
      <c r="N317" s="162">
        <v>19870</v>
      </c>
      <c r="O317" s="26">
        <v>19054</v>
      </c>
      <c r="P317" s="64">
        <f t="shared" si="54"/>
        <v>42936.5</v>
      </c>
      <c r="Q317" s="65">
        <f t="shared" si="55"/>
        <v>1431.2166666666667</v>
      </c>
      <c r="R317" s="66">
        <f t="shared" si="56"/>
        <v>42469</v>
      </c>
      <c r="S317" s="67">
        <f t="shared" si="57"/>
        <v>1415.6333333333334</v>
      </c>
      <c r="T317" s="162">
        <v>9492.5</v>
      </c>
      <c r="U317" s="109">
        <v>10147</v>
      </c>
      <c r="V317" s="64">
        <f t="shared" si="58"/>
        <v>42936.5</v>
      </c>
      <c r="W317" s="68">
        <f t="shared" si="59"/>
        <v>42469</v>
      </c>
      <c r="X317" s="27"/>
      <c r="Y317" s="26"/>
      <c r="Z317" s="27">
        <v>78217</v>
      </c>
      <c r="AA317" s="109">
        <v>72928</v>
      </c>
      <c r="AB317" s="27">
        <v>60040</v>
      </c>
      <c r="AC317" s="109">
        <v>54944</v>
      </c>
      <c r="AD317" s="27">
        <v>64890</v>
      </c>
      <c r="AE317" s="109">
        <v>77623</v>
      </c>
      <c r="AF317" s="64">
        <f t="shared" si="60"/>
        <v>203147</v>
      </c>
      <c r="AG317" s="65">
        <f t="shared" si="61"/>
        <v>225.7188888888889</v>
      </c>
      <c r="AH317" s="66">
        <f t="shared" si="62"/>
        <v>205495</v>
      </c>
      <c r="AI317" s="66">
        <f t="shared" si="63"/>
        <v>228.32777777777778</v>
      </c>
      <c r="AJ317" s="27"/>
      <c r="AK317" s="26"/>
      <c r="AL317" s="64">
        <f t="shared" si="64"/>
        <v>0</v>
      </c>
      <c r="AM317" s="67">
        <f t="shared" si="65"/>
        <v>0</v>
      </c>
      <c r="AN317" s="27"/>
      <c r="AO317" s="26"/>
      <c r="AP317" s="27"/>
      <c r="AQ317" s="26"/>
      <c r="AR317" s="27"/>
      <c r="AS317" s="26"/>
      <c r="AT317" s="27"/>
      <c r="AU317" s="26"/>
      <c r="AV317" s="64">
        <f t="shared" si="66"/>
        <v>0</v>
      </c>
      <c r="AW317" s="70">
        <f t="shared" si="67"/>
        <v>0</v>
      </c>
      <c r="AX317" s="66">
        <f t="shared" si="68"/>
        <v>0</v>
      </c>
      <c r="AY317" s="71">
        <f t="shared" si="69"/>
        <v>0</v>
      </c>
      <c r="AZ317" s="72">
        <f t="shared" si="70"/>
        <v>1656.9355555555555</v>
      </c>
      <c r="BA317" s="66">
        <f t="shared" si="71"/>
        <v>1643.9611111111112</v>
      </c>
    </row>
    <row r="318" spans="1:53">
      <c r="A318" s="123" t="s">
        <v>317</v>
      </c>
      <c r="B318" s="132" t="s">
        <v>361</v>
      </c>
      <c r="C318" s="125"/>
      <c r="D318" s="127">
        <v>198729</v>
      </c>
      <c r="E318" s="127">
        <v>10</v>
      </c>
      <c r="F318" s="29" t="s">
        <v>75</v>
      </c>
      <c r="G318" s="16" t="s">
        <v>75</v>
      </c>
      <c r="H318" s="27"/>
      <c r="I318" s="26"/>
      <c r="J318" s="162">
        <v>11318</v>
      </c>
      <c r="K318" s="163">
        <v>11005</v>
      </c>
      <c r="L318" s="162">
        <v>762</v>
      </c>
      <c r="M318" s="109">
        <v>2038</v>
      </c>
      <c r="N318" s="162">
        <v>11462</v>
      </c>
      <c r="O318" s="26">
        <v>11236</v>
      </c>
      <c r="P318" s="64">
        <f t="shared" si="54"/>
        <v>23542</v>
      </c>
      <c r="Q318" s="65">
        <f t="shared" si="55"/>
        <v>784.73333333333335</v>
      </c>
      <c r="R318" s="66">
        <f t="shared" si="56"/>
        <v>24279</v>
      </c>
      <c r="S318" s="67">
        <f t="shared" si="57"/>
        <v>809.3</v>
      </c>
      <c r="T318" s="162">
        <v>4204</v>
      </c>
      <c r="U318" s="109">
        <v>4889</v>
      </c>
      <c r="V318" s="64">
        <f t="shared" si="58"/>
        <v>23542</v>
      </c>
      <c r="W318" s="68">
        <f t="shared" si="59"/>
        <v>24279</v>
      </c>
      <c r="X318" s="27"/>
      <c r="Y318" s="26"/>
      <c r="Z318" s="27">
        <v>69709</v>
      </c>
      <c r="AA318" s="109">
        <v>61554</v>
      </c>
      <c r="AB318" s="27">
        <v>37412</v>
      </c>
      <c r="AC318" s="26">
        <v>37214</v>
      </c>
      <c r="AD318" s="27">
        <v>46217</v>
      </c>
      <c r="AE318" s="109">
        <v>61005</v>
      </c>
      <c r="AF318" s="64">
        <f t="shared" si="60"/>
        <v>153338</v>
      </c>
      <c r="AG318" s="65">
        <f t="shared" si="61"/>
        <v>170.37555555555556</v>
      </c>
      <c r="AH318" s="66">
        <f t="shared" si="62"/>
        <v>159773</v>
      </c>
      <c r="AI318" s="66">
        <f t="shared" si="63"/>
        <v>177.52555555555554</v>
      </c>
      <c r="AJ318" s="27"/>
      <c r="AK318" s="26"/>
      <c r="AL318" s="64">
        <f t="shared" si="64"/>
        <v>0</v>
      </c>
      <c r="AM318" s="67">
        <f t="shared" si="65"/>
        <v>0</v>
      </c>
      <c r="AN318" s="27"/>
      <c r="AO318" s="26"/>
      <c r="AP318" s="27"/>
      <c r="AQ318" s="26"/>
      <c r="AR318" s="27"/>
      <c r="AS318" s="26"/>
      <c r="AT318" s="27"/>
      <c r="AU318" s="26"/>
      <c r="AV318" s="64">
        <f t="shared" si="66"/>
        <v>0</v>
      </c>
      <c r="AW318" s="70">
        <f t="shared" si="67"/>
        <v>0</v>
      </c>
      <c r="AX318" s="66">
        <f t="shared" si="68"/>
        <v>0</v>
      </c>
      <c r="AY318" s="71">
        <f t="shared" si="69"/>
        <v>0</v>
      </c>
      <c r="AZ318" s="72">
        <f t="shared" si="70"/>
        <v>955.10888888888894</v>
      </c>
      <c r="BA318" s="66">
        <f t="shared" si="71"/>
        <v>986.82555555555552</v>
      </c>
    </row>
    <row r="319" spans="1:53">
      <c r="A319" s="123" t="s">
        <v>317</v>
      </c>
      <c r="B319" s="132" t="s">
        <v>362</v>
      </c>
      <c r="C319" s="125"/>
      <c r="D319" s="127">
        <v>198905</v>
      </c>
      <c r="E319" s="127">
        <v>10</v>
      </c>
      <c r="F319" s="29" t="s">
        <v>75</v>
      </c>
      <c r="G319" s="16" t="s">
        <v>75</v>
      </c>
      <c r="H319" s="27"/>
      <c r="I319" s="26"/>
      <c r="J319" s="162">
        <v>5818</v>
      </c>
      <c r="K319" s="164">
        <v>6919</v>
      </c>
      <c r="L319" s="162">
        <v>708</v>
      </c>
      <c r="M319" s="109">
        <v>1023</v>
      </c>
      <c r="N319" s="162">
        <v>6874</v>
      </c>
      <c r="O319" s="109">
        <v>7725</v>
      </c>
      <c r="P319" s="64">
        <f t="shared" si="54"/>
        <v>13400</v>
      </c>
      <c r="Q319" s="65">
        <f t="shared" si="55"/>
        <v>446.66666666666669</v>
      </c>
      <c r="R319" s="66">
        <f t="shared" si="56"/>
        <v>15667</v>
      </c>
      <c r="S319" s="67">
        <f t="shared" si="57"/>
        <v>522.23333333333335</v>
      </c>
      <c r="T319" s="162">
        <v>3697</v>
      </c>
      <c r="U319" s="109">
        <v>7290</v>
      </c>
      <c r="V319" s="64">
        <f t="shared" si="58"/>
        <v>13400</v>
      </c>
      <c r="W319" s="68">
        <f t="shared" si="59"/>
        <v>15667</v>
      </c>
      <c r="X319" s="27"/>
      <c r="Y319" s="26"/>
      <c r="Z319" s="27">
        <v>63569</v>
      </c>
      <c r="AA319" s="109">
        <v>69328</v>
      </c>
      <c r="AB319" s="27">
        <v>49378</v>
      </c>
      <c r="AC319" s="109">
        <v>34145</v>
      </c>
      <c r="AD319" s="27">
        <v>99697</v>
      </c>
      <c r="AE319" s="109">
        <v>85020</v>
      </c>
      <c r="AF319" s="64">
        <f t="shared" si="60"/>
        <v>212644</v>
      </c>
      <c r="AG319" s="65">
        <f t="shared" si="61"/>
        <v>236.27111111111111</v>
      </c>
      <c r="AH319" s="66">
        <f t="shared" si="62"/>
        <v>188493</v>
      </c>
      <c r="AI319" s="66">
        <f t="shared" si="63"/>
        <v>209.43666666666667</v>
      </c>
      <c r="AJ319" s="27"/>
      <c r="AK319" s="26"/>
      <c r="AL319" s="64">
        <f t="shared" si="64"/>
        <v>0</v>
      </c>
      <c r="AM319" s="67">
        <f t="shared" si="65"/>
        <v>0</v>
      </c>
      <c r="AN319" s="27"/>
      <c r="AO319" s="26"/>
      <c r="AP319" s="27"/>
      <c r="AQ319" s="26"/>
      <c r="AR319" s="27"/>
      <c r="AS319" s="26"/>
      <c r="AT319" s="27"/>
      <c r="AU319" s="26"/>
      <c r="AV319" s="64">
        <f t="shared" si="66"/>
        <v>0</v>
      </c>
      <c r="AW319" s="70">
        <f t="shared" si="67"/>
        <v>0</v>
      </c>
      <c r="AX319" s="66">
        <f t="shared" si="68"/>
        <v>0</v>
      </c>
      <c r="AY319" s="71">
        <f t="shared" si="69"/>
        <v>0</v>
      </c>
      <c r="AZ319" s="72">
        <f t="shared" si="70"/>
        <v>682.9377777777778</v>
      </c>
      <c r="BA319" s="66">
        <f t="shared" si="71"/>
        <v>731.67000000000007</v>
      </c>
    </row>
    <row r="320" spans="1:53">
      <c r="A320" s="123" t="s">
        <v>317</v>
      </c>
      <c r="B320" s="132" t="s">
        <v>363</v>
      </c>
      <c r="C320" s="125"/>
      <c r="D320" s="127">
        <v>198914</v>
      </c>
      <c r="E320" s="127">
        <v>10</v>
      </c>
      <c r="F320" s="29" t="s">
        <v>75</v>
      </c>
      <c r="G320" s="16" t="s">
        <v>75</v>
      </c>
      <c r="H320" s="27"/>
      <c r="I320" s="26"/>
      <c r="J320" s="162">
        <v>9522.5</v>
      </c>
      <c r="K320" s="164">
        <v>8680.5</v>
      </c>
      <c r="L320" s="162">
        <v>456.5</v>
      </c>
      <c r="M320" s="109">
        <v>740</v>
      </c>
      <c r="N320" s="162">
        <v>9583</v>
      </c>
      <c r="O320" s="109">
        <v>10342</v>
      </c>
      <c r="P320" s="64">
        <f t="shared" si="54"/>
        <v>19562</v>
      </c>
      <c r="Q320" s="65">
        <f t="shared" si="55"/>
        <v>652.06666666666672</v>
      </c>
      <c r="R320" s="66">
        <f t="shared" si="56"/>
        <v>19762.5</v>
      </c>
      <c r="S320" s="67">
        <f t="shared" si="57"/>
        <v>658.75</v>
      </c>
      <c r="T320" s="162">
        <v>2987</v>
      </c>
      <c r="U320" s="109">
        <v>5376</v>
      </c>
      <c r="V320" s="64">
        <f t="shared" si="58"/>
        <v>19562</v>
      </c>
      <c r="W320" s="68">
        <f t="shared" si="59"/>
        <v>19762.5</v>
      </c>
      <c r="X320" s="27"/>
      <c r="Y320" s="26"/>
      <c r="Z320" s="27">
        <v>182278</v>
      </c>
      <c r="AA320" s="109">
        <v>193181</v>
      </c>
      <c r="AB320" s="27">
        <v>146480</v>
      </c>
      <c r="AC320" s="109">
        <v>128275</v>
      </c>
      <c r="AD320" s="27">
        <v>173709</v>
      </c>
      <c r="AE320" s="109">
        <v>155829</v>
      </c>
      <c r="AF320" s="64">
        <f t="shared" si="60"/>
        <v>502467</v>
      </c>
      <c r="AG320" s="65">
        <f t="shared" si="61"/>
        <v>558.29666666666662</v>
      </c>
      <c r="AH320" s="66">
        <f t="shared" si="62"/>
        <v>477285</v>
      </c>
      <c r="AI320" s="66">
        <f t="shared" si="63"/>
        <v>530.31666666666672</v>
      </c>
      <c r="AJ320" s="27"/>
      <c r="AK320" s="26"/>
      <c r="AL320" s="64">
        <f t="shared" si="64"/>
        <v>0</v>
      </c>
      <c r="AM320" s="67">
        <f t="shared" si="65"/>
        <v>0</v>
      </c>
      <c r="AN320" s="27"/>
      <c r="AO320" s="26"/>
      <c r="AP320" s="27"/>
      <c r="AQ320" s="26"/>
      <c r="AR320" s="27"/>
      <c r="AS320" s="26"/>
      <c r="AT320" s="27"/>
      <c r="AU320" s="26"/>
      <c r="AV320" s="64">
        <f t="shared" si="66"/>
        <v>0</v>
      </c>
      <c r="AW320" s="70">
        <f t="shared" si="67"/>
        <v>0</v>
      </c>
      <c r="AX320" s="66">
        <f t="shared" si="68"/>
        <v>0</v>
      </c>
      <c r="AY320" s="71">
        <f t="shared" si="69"/>
        <v>0</v>
      </c>
      <c r="AZ320" s="72">
        <f t="shared" si="70"/>
        <v>1210.3633333333332</v>
      </c>
      <c r="BA320" s="66">
        <f t="shared" si="71"/>
        <v>1189.0666666666666</v>
      </c>
    </row>
    <row r="321" spans="1:53">
      <c r="A321" s="123" t="s">
        <v>317</v>
      </c>
      <c r="B321" s="132" t="s">
        <v>364</v>
      </c>
      <c r="C321" s="125"/>
      <c r="D321" s="127">
        <v>198923</v>
      </c>
      <c r="E321" s="127">
        <v>10</v>
      </c>
      <c r="F321" s="29" t="s">
        <v>75</v>
      </c>
      <c r="G321" s="16" t="s">
        <v>75</v>
      </c>
      <c r="H321" s="27"/>
      <c r="I321" s="26"/>
      <c r="J321" s="162">
        <v>9731</v>
      </c>
      <c r="K321" s="163">
        <v>9378</v>
      </c>
      <c r="L321" s="162">
        <v>2405</v>
      </c>
      <c r="M321" s="109">
        <v>2554</v>
      </c>
      <c r="N321" s="162">
        <v>10173</v>
      </c>
      <c r="O321" s="26">
        <v>10048</v>
      </c>
      <c r="P321" s="64">
        <f t="shared" si="54"/>
        <v>22309</v>
      </c>
      <c r="Q321" s="65">
        <f t="shared" si="55"/>
        <v>743.63333333333333</v>
      </c>
      <c r="R321" s="66">
        <f t="shared" si="56"/>
        <v>21980</v>
      </c>
      <c r="S321" s="67">
        <f t="shared" si="57"/>
        <v>732.66666666666663</v>
      </c>
      <c r="T321" s="162">
        <v>5552</v>
      </c>
      <c r="U321" s="109">
        <v>6019</v>
      </c>
      <c r="V321" s="64">
        <f t="shared" si="58"/>
        <v>22309</v>
      </c>
      <c r="W321" s="68">
        <f t="shared" si="59"/>
        <v>21980</v>
      </c>
      <c r="X321" s="27"/>
      <c r="Y321" s="26"/>
      <c r="Z321" s="27">
        <v>115721</v>
      </c>
      <c r="AA321" s="109">
        <v>94430</v>
      </c>
      <c r="AB321" s="27">
        <v>69267</v>
      </c>
      <c r="AC321" s="109">
        <v>41929</v>
      </c>
      <c r="AD321" s="27">
        <v>89980</v>
      </c>
      <c r="AE321" s="109">
        <v>63493</v>
      </c>
      <c r="AF321" s="64">
        <f t="shared" si="60"/>
        <v>274968</v>
      </c>
      <c r="AG321" s="65">
        <f t="shared" si="61"/>
        <v>305.52</v>
      </c>
      <c r="AH321" s="66">
        <f t="shared" si="62"/>
        <v>199852</v>
      </c>
      <c r="AI321" s="66">
        <f t="shared" si="63"/>
        <v>222.05777777777777</v>
      </c>
      <c r="AJ321" s="27"/>
      <c r="AK321" s="26"/>
      <c r="AL321" s="64">
        <f t="shared" si="64"/>
        <v>0</v>
      </c>
      <c r="AM321" s="67">
        <f t="shared" si="65"/>
        <v>0</v>
      </c>
      <c r="AN321" s="27"/>
      <c r="AO321" s="26"/>
      <c r="AP321" s="27"/>
      <c r="AQ321" s="26"/>
      <c r="AR321" s="27"/>
      <c r="AS321" s="26"/>
      <c r="AT321" s="27"/>
      <c r="AU321" s="26"/>
      <c r="AV321" s="64">
        <f t="shared" si="66"/>
        <v>0</v>
      </c>
      <c r="AW321" s="70">
        <f t="shared" si="67"/>
        <v>0</v>
      </c>
      <c r="AX321" s="66">
        <f t="shared" si="68"/>
        <v>0</v>
      </c>
      <c r="AY321" s="71">
        <f t="shared" si="69"/>
        <v>0</v>
      </c>
      <c r="AZ321" s="72">
        <f t="shared" si="70"/>
        <v>1049.1533333333332</v>
      </c>
      <c r="BA321" s="66">
        <f t="shared" si="71"/>
        <v>954.72444444444443</v>
      </c>
    </row>
    <row r="322" spans="1:53">
      <c r="A322" s="123" t="s">
        <v>317</v>
      </c>
      <c r="B322" s="132" t="s">
        <v>365</v>
      </c>
      <c r="C322" s="125"/>
      <c r="D322" s="127">
        <v>199023</v>
      </c>
      <c r="E322" s="127">
        <v>10</v>
      </c>
      <c r="F322" s="29" t="s">
        <v>75</v>
      </c>
      <c r="G322" s="16" t="s">
        <v>75</v>
      </c>
      <c r="H322" s="27"/>
      <c r="I322" s="26"/>
      <c r="J322" s="162">
        <v>7528</v>
      </c>
      <c r="K322" s="164">
        <v>6584</v>
      </c>
      <c r="L322" s="162">
        <v>1222</v>
      </c>
      <c r="M322" s="26">
        <v>1258</v>
      </c>
      <c r="N322" s="162">
        <v>7735</v>
      </c>
      <c r="O322" s="109">
        <v>8130</v>
      </c>
      <c r="P322" s="64">
        <f t="shared" ref="P322:P385" si="72">SUM(H322,J322,L322,N322)</f>
        <v>16485</v>
      </c>
      <c r="Q322" s="65">
        <f t="shared" ref="Q322:Q385" si="73">+P322/30</f>
        <v>549.5</v>
      </c>
      <c r="R322" s="66">
        <f t="shared" ref="R322:R385" si="74">SUM(I322,K322,M322,O322)</f>
        <v>15972</v>
      </c>
      <c r="S322" s="67">
        <f t="shared" ref="S322:S385" si="75">+R322/30</f>
        <v>532.4</v>
      </c>
      <c r="T322" s="162">
        <v>1684</v>
      </c>
      <c r="U322" s="109">
        <v>1540</v>
      </c>
      <c r="V322" s="64">
        <f t="shared" ref="V322:V385" si="76">IF(ISBLANK(T322),0,P322)</f>
        <v>16485</v>
      </c>
      <c r="W322" s="68">
        <f t="shared" ref="W322:W385" si="77">IF(ISBLANK(U322),0,R322)</f>
        <v>15972</v>
      </c>
      <c r="X322" s="27"/>
      <c r="Y322" s="26"/>
      <c r="Z322" s="27">
        <v>56138</v>
      </c>
      <c r="AA322" s="109">
        <v>62829</v>
      </c>
      <c r="AB322" s="27">
        <v>35045</v>
      </c>
      <c r="AC322" s="26">
        <v>35449</v>
      </c>
      <c r="AD322" s="27">
        <v>57072</v>
      </c>
      <c r="AE322" s="26">
        <v>54425</v>
      </c>
      <c r="AF322" s="64">
        <f t="shared" ref="AF322:AF385" si="78">SUM(X322,Z322,AB322,AD322)</f>
        <v>148255</v>
      </c>
      <c r="AG322" s="65">
        <f t="shared" ref="AG322:AG385" si="79">+AF322/900</f>
        <v>164.72777777777779</v>
      </c>
      <c r="AH322" s="66">
        <f t="shared" ref="AH322:AH385" si="80">SUM(Y322,AA322,AC322,AE322)</f>
        <v>152703</v>
      </c>
      <c r="AI322" s="66">
        <f t="shared" ref="AI322:AI385" si="81">+AH322/900</f>
        <v>169.67</v>
      </c>
      <c r="AJ322" s="27"/>
      <c r="AK322" s="26"/>
      <c r="AL322" s="64">
        <f t="shared" ref="AL322:AL385" si="82">IF(ISBLANK(AJ322),0,AF322)</f>
        <v>0</v>
      </c>
      <c r="AM322" s="67">
        <f t="shared" ref="AM322:AM385" si="83">IF(ISBLANK(AK322),0,AH322)</f>
        <v>0</v>
      </c>
      <c r="AN322" s="27"/>
      <c r="AO322" s="26"/>
      <c r="AP322" s="27"/>
      <c r="AQ322" s="26"/>
      <c r="AR322" s="27"/>
      <c r="AS322" s="26"/>
      <c r="AT322" s="27"/>
      <c r="AU322" s="26"/>
      <c r="AV322" s="64">
        <f t="shared" ref="AV322:AV385" si="84">SUM(AN322,AP322,AR322,AT322)</f>
        <v>0</v>
      </c>
      <c r="AW322" s="70">
        <f t="shared" ref="AW322:AW385" si="85">+AV322/24</f>
        <v>0</v>
      </c>
      <c r="AX322" s="66">
        <f t="shared" ref="AX322:AX385" si="86">SUM(AO322,AQ322,AS322,AU322)</f>
        <v>0</v>
      </c>
      <c r="AY322" s="71">
        <f t="shared" ref="AY322:AY385" si="87">+AX322/24</f>
        <v>0</v>
      </c>
      <c r="AZ322" s="72">
        <f t="shared" ref="AZ322:AZ385" si="88">SUM(Q322,AG322,AW322)</f>
        <v>714.22777777777776</v>
      </c>
      <c r="BA322" s="66">
        <f t="shared" ref="BA322:BA385" si="89">SUM(S322,AI322,AY322)</f>
        <v>702.06999999999994</v>
      </c>
    </row>
    <row r="323" spans="1:53">
      <c r="A323" s="123" t="s">
        <v>317</v>
      </c>
      <c r="B323" s="132" t="s">
        <v>366</v>
      </c>
      <c r="C323" s="125"/>
      <c r="D323" s="127">
        <v>199263</v>
      </c>
      <c r="E323" s="127">
        <v>10</v>
      </c>
      <c r="F323" s="29" t="s">
        <v>75</v>
      </c>
      <c r="G323" s="16" t="s">
        <v>75</v>
      </c>
      <c r="H323" s="27"/>
      <c r="I323" s="26"/>
      <c r="J323" s="162">
        <v>4453</v>
      </c>
      <c r="K323" s="163">
        <v>4638</v>
      </c>
      <c r="L323" s="162">
        <v>711</v>
      </c>
      <c r="M323" s="109">
        <v>933</v>
      </c>
      <c r="N323" s="162">
        <v>4903</v>
      </c>
      <c r="O323" s="26">
        <v>4926</v>
      </c>
      <c r="P323" s="64">
        <f t="shared" si="72"/>
        <v>10067</v>
      </c>
      <c r="Q323" s="65">
        <f t="shared" si="73"/>
        <v>335.56666666666666</v>
      </c>
      <c r="R323" s="66">
        <f t="shared" si="74"/>
        <v>10497</v>
      </c>
      <c r="S323" s="67">
        <f t="shared" si="75"/>
        <v>349.9</v>
      </c>
      <c r="T323" s="162">
        <v>1191</v>
      </c>
      <c r="U323" s="109">
        <v>1601</v>
      </c>
      <c r="V323" s="64">
        <f t="shared" si="76"/>
        <v>10067</v>
      </c>
      <c r="W323" s="68">
        <f t="shared" si="77"/>
        <v>10497</v>
      </c>
      <c r="X323" s="27"/>
      <c r="Y323" s="26"/>
      <c r="Z323" s="27">
        <v>46676</v>
      </c>
      <c r="AA323" s="109">
        <v>32073</v>
      </c>
      <c r="AB323" s="27">
        <v>31923</v>
      </c>
      <c r="AC323" s="109">
        <v>29437</v>
      </c>
      <c r="AD323" s="27">
        <v>39137</v>
      </c>
      <c r="AE323" s="26">
        <v>40034</v>
      </c>
      <c r="AF323" s="64">
        <f t="shared" si="78"/>
        <v>117736</v>
      </c>
      <c r="AG323" s="65">
        <f t="shared" si="79"/>
        <v>130.81777777777779</v>
      </c>
      <c r="AH323" s="66">
        <f t="shared" si="80"/>
        <v>101544</v>
      </c>
      <c r="AI323" s="66">
        <f t="shared" si="81"/>
        <v>112.82666666666667</v>
      </c>
      <c r="AJ323" s="27"/>
      <c r="AK323" s="26"/>
      <c r="AL323" s="64">
        <f t="shared" si="82"/>
        <v>0</v>
      </c>
      <c r="AM323" s="67">
        <f t="shared" si="83"/>
        <v>0</v>
      </c>
      <c r="AN323" s="27"/>
      <c r="AO323" s="26"/>
      <c r="AP323" s="27"/>
      <c r="AQ323" s="26"/>
      <c r="AR323" s="27"/>
      <c r="AS323" s="26"/>
      <c r="AT323" s="27"/>
      <c r="AU323" s="26"/>
      <c r="AV323" s="64">
        <f t="shared" si="84"/>
        <v>0</v>
      </c>
      <c r="AW323" s="70">
        <f t="shared" si="85"/>
        <v>0</v>
      </c>
      <c r="AX323" s="66">
        <f t="shared" si="86"/>
        <v>0</v>
      </c>
      <c r="AY323" s="71">
        <f t="shared" si="87"/>
        <v>0</v>
      </c>
      <c r="AZ323" s="72">
        <f t="shared" si="88"/>
        <v>466.38444444444445</v>
      </c>
      <c r="BA323" s="66">
        <f t="shared" si="89"/>
        <v>462.72666666666663</v>
      </c>
    </row>
    <row r="324" spans="1:53">
      <c r="A324" s="123" t="s">
        <v>317</v>
      </c>
      <c r="B324" s="132" t="s">
        <v>367</v>
      </c>
      <c r="C324" s="125"/>
      <c r="D324" s="127">
        <v>199324</v>
      </c>
      <c r="E324" s="127">
        <v>10</v>
      </c>
      <c r="F324" s="29" t="s">
        <v>75</v>
      </c>
      <c r="G324" s="16" t="s">
        <v>75</v>
      </c>
      <c r="H324" s="27"/>
      <c r="I324" s="26"/>
      <c r="J324" s="162">
        <v>12565</v>
      </c>
      <c r="K324" s="164">
        <v>11358</v>
      </c>
      <c r="L324" s="162">
        <v>1746</v>
      </c>
      <c r="M324" s="26">
        <v>1665.5</v>
      </c>
      <c r="N324" s="162">
        <v>12737.5</v>
      </c>
      <c r="O324" s="109">
        <v>11736</v>
      </c>
      <c r="P324" s="64">
        <f t="shared" si="72"/>
        <v>27048.5</v>
      </c>
      <c r="Q324" s="65">
        <f t="shared" si="73"/>
        <v>901.61666666666667</v>
      </c>
      <c r="R324" s="66">
        <f t="shared" si="74"/>
        <v>24759.5</v>
      </c>
      <c r="S324" s="67">
        <f t="shared" si="75"/>
        <v>825.31666666666672</v>
      </c>
      <c r="T324" s="162">
        <v>2604</v>
      </c>
      <c r="U324" s="26">
        <v>2655.5</v>
      </c>
      <c r="V324" s="64">
        <f t="shared" si="76"/>
        <v>27048.5</v>
      </c>
      <c r="W324" s="68">
        <f t="shared" si="77"/>
        <v>24759.5</v>
      </c>
      <c r="X324" s="27"/>
      <c r="Y324" s="26"/>
      <c r="Z324" s="27">
        <v>154167</v>
      </c>
      <c r="AA324" s="109">
        <v>145046</v>
      </c>
      <c r="AB324" s="27">
        <v>92181</v>
      </c>
      <c r="AC324" s="26">
        <v>89912</v>
      </c>
      <c r="AD324" s="27">
        <v>156168</v>
      </c>
      <c r="AE324" s="26">
        <v>150676</v>
      </c>
      <c r="AF324" s="64">
        <f t="shared" si="78"/>
        <v>402516</v>
      </c>
      <c r="AG324" s="65">
        <f t="shared" si="79"/>
        <v>447.24</v>
      </c>
      <c r="AH324" s="66">
        <f t="shared" si="80"/>
        <v>385634</v>
      </c>
      <c r="AI324" s="66">
        <f t="shared" si="81"/>
        <v>428.48222222222222</v>
      </c>
      <c r="AJ324" s="27"/>
      <c r="AK324" s="26"/>
      <c r="AL324" s="64">
        <f t="shared" si="82"/>
        <v>0</v>
      </c>
      <c r="AM324" s="67">
        <f t="shared" si="83"/>
        <v>0</v>
      </c>
      <c r="AN324" s="27"/>
      <c r="AO324" s="26"/>
      <c r="AP324" s="27"/>
      <c r="AQ324" s="26"/>
      <c r="AR324" s="27"/>
      <c r="AS324" s="26"/>
      <c r="AT324" s="27"/>
      <c r="AU324" s="26"/>
      <c r="AV324" s="64">
        <f t="shared" si="84"/>
        <v>0</v>
      </c>
      <c r="AW324" s="70">
        <f t="shared" si="85"/>
        <v>0</v>
      </c>
      <c r="AX324" s="66">
        <f t="shared" si="86"/>
        <v>0</v>
      </c>
      <c r="AY324" s="71">
        <f t="shared" si="87"/>
        <v>0</v>
      </c>
      <c r="AZ324" s="72">
        <f t="shared" si="88"/>
        <v>1348.8566666666666</v>
      </c>
      <c r="BA324" s="66">
        <f t="shared" si="89"/>
        <v>1253.798888888889</v>
      </c>
    </row>
    <row r="325" spans="1:53">
      <c r="A325" s="123" t="s">
        <v>317</v>
      </c>
      <c r="B325" s="132" t="s">
        <v>368</v>
      </c>
      <c r="C325" s="125"/>
      <c r="D325" s="127">
        <v>199467</v>
      </c>
      <c r="E325" s="127">
        <v>10</v>
      </c>
      <c r="F325" s="29" t="s">
        <v>75</v>
      </c>
      <c r="G325" s="16" t="s">
        <v>75</v>
      </c>
      <c r="H325" s="27"/>
      <c r="I325" s="26"/>
      <c r="J325" s="162">
        <v>7385</v>
      </c>
      <c r="K325" s="164">
        <v>6715</v>
      </c>
      <c r="L325" s="162">
        <v>628</v>
      </c>
      <c r="M325" s="109">
        <v>663</v>
      </c>
      <c r="N325" s="162">
        <v>7617</v>
      </c>
      <c r="O325" s="26">
        <v>7824</v>
      </c>
      <c r="P325" s="64">
        <f t="shared" si="72"/>
        <v>15630</v>
      </c>
      <c r="Q325" s="65">
        <f t="shared" si="73"/>
        <v>521</v>
      </c>
      <c r="R325" s="66">
        <f t="shared" si="74"/>
        <v>15202</v>
      </c>
      <c r="S325" s="67">
        <f t="shared" si="75"/>
        <v>506.73333333333335</v>
      </c>
      <c r="T325" s="162">
        <v>2610</v>
      </c>
      <c r="U325" s="109">
        <v>3783</v>
      </c>
      <c r="V325" s="64">
        <f t="shared" si="76"/>
        <v>15630</v>
      </c>
      <c r="W325" s="68">
        <f t="shared" si="77"/>
        <v>15202</v>
      </c>
      <c r="X325" s="27"/>
      <c r="Y325" s="26"/>
      <c r="Z325" s="27">
        <v>56321</v>
      </c>
      <c r="AA325" s="109">
        <v>63655</v>
      </c>
      <c r="AB325" s="27">
        <v>40676</v>
      </c>
      <c r="AC325" s="109">
        <v>51234</v>
      </c>
      <c r="AD325" s="27">
        <v>64965</v>
      </c>
      <c r="AE325" s="109">
        <v>54474</v>
      </c>
      <c r="AF325" s="64">
        <f t="shared" si="78"/>
        <v>161962</v>
      </c>
      <c r="AG325" s="65">
        <f t="shared" si="79"/>
        <v>179.95777777777778</v>
      </c>
      <c r="AH325" s="66">
        <f t="shared" si="80"/>
        <v>169363</v>
      </c>
      <c r="AI325" s="66">
        <f t="shared" si="81"/>
        <v>188.18111111111111</v>
      </c>
      <c r="AJ325" s="27"/>
      <c r="AK325" s="26"/>
      <c r="AL325" s="64">
        <f t="shared" si="82"/>
        <v>0</v>
      </c>
      <c r="AM325" s="67">
        <f t="shared" si="83"/>
        <v>0</v>
      </c>
      <c r="AN325" s="27"/>
      <c r="AO325" s="26"/>
      <c r="AP325" s="27"/>
      <c r="AQ325" s="26"/>
      <c r="AR325" s="27"/>
      <c r="AS325" s="26"/>
      <c r="AT325" s="27"/>
      <c r="AU325" s="26"/>
      <c r="AV325" s="64">
        <f t="shared" si="84"/>
        <v>0</v>
      </c>
      <c r="AW325" s="70">
        <f t="shared" si="85"/>
        <v>0</v>
      </c>
      <c r="AX325" s="66">
        <f t="shared" si="86"/>
        <v>0</v>
      </c>
      <c r="AY325" s="71">
        <f t="shared" si="87"/>
        <v>0</v>
      </c>
      <c r="AZ325" s="72">
        <f t="shared" si="88"/>
        <v>700.95777777777778</v>
      </c>
      <c r="BA325" s="66">
        <f t="shared" si="89"/>
        <v>694.91444444444448</v>
      </c>
    </row>
    <row r="326" spans="1:53">
      <c r="A326" s="123" t="s">
        <v>317</v>
      </c>
      <c r="B326" s="132" t="s">
        <v>369</v>
      </c>
      <c r="C326" s="125"/>
      <c r="D326" s="127">
        <v>199485</v>
      </c>
      <c r="E326" s="127">
        <v>10</v>
      </c>
      <c r="F326" s="29" t="s">
        <v>75</v>
      </c>
      <c r="G326" s="16" t="s">
        <v>75</v>
      </c>
      <c r="H326" s="27"/>
      <c r="I326" s="26"/>
      <c r="J326" s="162">
        <v>16267</v>
      </c>
      <c r="K326" s="164">
        <v>15010</v>
      </c>
      <c r="L326" s="162">
        <v>3169</v>
      </c>
      <c r="M326" s="26">
        <v>3046</v>
      </c>
      <c r="N326" s="162">
        <v>17008</v>
      </c>
      <c r="O326" s="109">
        <v>16104</v>
      </c>
      <c r="P326" s="64">
        <f t="shared" si="72"/>
        <v>36444</v>
      </c>
      <c r="Q326" s="65">
        <f t="shared" si="73"/>
        <v>1214.8</v>
      </c>
      <c r="R326" s="66">
        <f t="shared" si="74"/>
        <v>34160</v>
      </c>
      <c r="S326" s="67">
        <f t="shared" si="75"/>
        <v>1138.6666666666667</v>
      </c>
      <c r="T326" s="162">
        <v>4507</v>
      </c>
      <c r="U326" s="109">
        <v>5482</v>
      </c>
      <c r="V326" s="64">
        <f t="shared" si="76"/>
        <v>36444</v>
      </c>
      <c r="W326" s="68">
        <f t="shared" si="77"/>
        <v>34160</v>
      </c>
      <c r="X326" s="27"/>
      <c r="Y326" s="26"/>
      <c r="Z326" s="27">
        <v>61908</v>
      </c>
      <c r="AA326" s="26">
        <v>64180</v>
      </c>
      <c r="AB326" s="27">
        <v>45656</v>
      </c>
      <c r="AC326" s="26">
        <v>43755</v>
      </c>
      <c r="AD326" s="27">
        <v>80379</v>
      </c>
      <c r="AE326" s="109">
        <v>70912</v>
      </c>
      <c r="AF326" s="64">
        <f t="shared" si="78"/>
        <v>187943</v>
      </c>
      <c r="AG326" s="65">
        <f t="shared" si="79"/>
        <v>208.82555555555555</v>
      </c>
      <c r="AH326" s="66">
        <f t="shared" si="80"/>
        <v>178847</v>
      </c>
      <c r="AI326" s="66">
        <f t="shared" si="81"/>
        <v>198.7188888888889</v>
      </c>
      <c r="AJ326" s="27"/>
      <c r="AK326" s="26"/>
      <c r="AL326" s="64">
        <f t="shared" si="82"/>
        <v>0</v>
      </c>
      <c r="AM326" s="67">
        <f t="shared" si="83"/>
        <v>0</v>
      </c>
      <c r="AN326" s="27"/>
      <c r="AO326" s="26"/>
      <c r="AP326" s="27"/>
      <c r="AQ326" s="26"/>
      <c r="AR326" s="27"/>
      <c r="AS326" s="26"/>
      <c r="AT326" s="27"/>
      <c r="AU326" s="26"/>
      <c r="AV326" s="64">
        <f t="shared" si="84"/>
        <v>0</v>
      </c>
      <c r="AW326" s="70">
        <f t="shared" si="85"/>
        <v>0</v>
      </c>
      <c r="AX326" s="66">
        <f t="shared" si="86"/>
        <v>0</v>
      </c>
      <c r="AY326" s="71">
        <f t="shared" si="87"/>
        <v>0</v>
      </c>
      <c r="AZ326" s="72">
        <f t="shared" si="88"/>
        <v>1423.6255555555556</v>
      </c>
      <c r="BA326" s="66">
        <f t="shared" si="89"/>
        <v>1337.3855555555556</v>
      </c>
    </row>
    <row r="327" spans="1:53">
      <c r="A327" s="123" t="s">
        <v>317</v>
      </c>
      <c r="B327" s="132" t="s">
        <v>370</v>
      </c>
      <c r="C327" s="125"/>
      <c r="D327" s="127">
        <v>199625</v>
      </c>
      <c r="E327" s="127">
        <v>10</v>
      </c>
      <c r="F327" s="29" t="s">
        <v>75</v>
      </c>
      <c r="G327" s="16" t="s">
        <v>75</v>
      </c>
      <c r="H327" s="27"/>
      <c r="I327" s="26"/>
      <c r="J327" s="162">
        <v>12965</v>
      </c>
      <c r="K327" s="163">
        <v>12365</v>
      </c>
      <c r="L327" s="162">
        <v>1584</v>
      </c>
      <c r="M327" s="109">
        <v>2924</v>
      </c>
      <c r="N327" s="162">
        <v>13391</v>
      </c>
      <c r="O327" s="26">
        <v>14028</v>
      </c>
      <c r="P327" s="64">
        <f t="shared" si="72"/>
        <v>27940</v>
      </c>
      <c r="Q327" s="65">
        <f t="shared" si="73"/>
        <v>931.33333333333337</v>
      </c>
      <c r="R327" s="66">
        <f t="shared" si="74"/>
        <v>29317</v>
      </c>
      <c r="S327" s="67">
        <f t="shared" si="75"/>
        <v>977.23333333333335</v>
      </c>
      <c r="T327" s="162">
        <v>4997</v>
      </c>
      <c r="U327" s="109">
        <v>6646</v>
      </c>
      <c r="V327" s="64">
        <f t="shared" si="76"/>
        <v>27940</v>
      </c>
      <c r="W327" s="68">
        <f t="shared" si="77"/>
        <v>29317</v>
      </c>
      <c r="X327" s="27"/>
      <c r="Y327" s="26"/>
      <c r="Z327" s="27">
        <v>137899</v>
      </c>
      <c r="AA327" s="26">
        <v>134848</v>
      </c>
      <c r="AB327" s="27">
        <v>108715</v>
      </c>
      <c r="AC327" s="109">
        <v>97317</v>
      </c>
      <c r="AD327" s="27">
        <v>177033</v>
      </c>
      <c r="AE327" s="109">
        <v>160679</v>
      </c>
      <c r="AF327" s="64">
        <f t="shared" si="78"/>
        <v>423647</v>
      </c>
      <c r="AG327" s="65">
        <f t="shared" si="79"/>
        <v>470.7188888888889</v>
      </c>
      <c r="AH327" s="66">
        <f t="shared" si="80"/>
        <v>392844</v>
      </c>
      <c r="AI327" s="66">
        <f t="shared" si="81"/>
        <v>436.49333333333334</v>
      </c>
      <c r="AJ327" s="27"/>
      <c r="AK327" s="26"/>
      <c r="AL327" s="64">
        <f t="shared" si="82"/>
        <v>0</v>
      </c>
      <c r="AM327" s="67">
        <f t="shared" si="83"/>
        <v>0</v>
      </c>
      <c r="AN327" s="27"/>
      <c r="AO327" s="26"/>
      <c r="AP327" s="27"/>
      <c r="AQ327" s="26"/>
      <c r="AR327" s="27"/>
      <c r="AS327" s="26"/>
      <c r="AT327" s="27"/>
      <c r="AU327" s="26"/>
      <c r="AV327" s="64">
        <f t="shared" si="84"/>
        <v>0</v>
      </c>
      <c r="AW327" s="70">
        <f t="shared" si="85"/>
        <v>0</v>
      </c>
      <c r="AX327" s="66">
        <f t="shared" si="86"/>
        <v>0</v>
      </c>
      <c r="AY327" s="71">
        <f t="shared" si="87"/>
        <v>0</v>
      </c>
      <c r="AZ327" s="72">
        <f t="shared" si="88"/>
        <v>1402.0522222222223</v>
      </c>
      <c r="BA327" s="66">
        <f t="shared" si="89"/>
        <v>1413.7266666666667</v>
      </c>
    </row>
    <row r="328" spans="1:53" ht="15">
      <c r="A328" s="123" t="s">
        <v>317</v>
      </c>
      <c r="B328" s="132" t="s">
        <v>371</v>
      </c>
      <c r="C328" s="696" t="s">
        <v>985</v>
      </c>
      <c r="D328" s="127">
        <v>197850</v>
      </c>
      <c r="E328" s="127">
        <v>10</v>
      </c>
      <c r="F328" s="29" t="s">
        <v>75</v>
      </c>
      <c r="G328" s="16" t="s">
        <v>75</v>
      </c>
      <c r="H328" s="27"/>
      <c r="I328" s="26"/>
      <c r="J328" s="162">
        <v>20638</v>
      </c>
      <c r="K328" s="163">
        <v>20118</v>
      </c>
      <c r="L328" s="162">
        <v>3462</v>
      </c>
      <c r="M328" s="109">
        <v>3893</v>
      </c>
      <c r="N328" s="162">
        <v>21391</v>
      </c>
      <c r="O328" s="26">
        <v>21549</v>
      </c>
      <c r="P328" s="64">
        <f t="shared" si="72"/>
        <v>45491</v>
      </c>
      <c r="Q328" s="65">
        <f t="shared" si="73"/>
        <v>1516.3666666666666</v>
      </c>
      <c r="R328" s="66">
        <f t="shared" si="74"/>
        <v>45560</v>
      </c>
      <c r="S328" s="67">
        <f t="shared" si="75"/>
        <v>1518.6666666666667</v>
      </c>
      <c r="T328" s="162">
        <v>10569</v>
      </c>
      <c r="U328" s="109">
        <v>13649</v>
      </c>
      <c r="V328" s="64">
        <f t="shared" si="76"/>
        <v>45491</v>
      </c>
      <c r="W328" s="68">
        <f t="shared" si="77"/>
        <v>45560</v>
      </c>
      <c r="X328" s="27"/>
      <c r="Y328" s="26"/>
      <c r="Z328" s="27">
        <v>189477</v>
      </c>
      <c r="AA328" s="109">
        <v>228146</v>
      </c>
      <c r="AB328" s="27">
        <v>127956</v>
      </c>
      <c r="AC328" s="26">
        <v>123537</v>
      </c>
      <c r="AD328" s="27">
        <v>253211</v>
      </c>
      <c r="AE328" s="109">
        <v>202296</v>
      </c>
      <c r="AF328" s="64">
        <f t="shared" si="78"/>
        <v>570644</v>
      </c>
      <c r="AG328" s="65">
        <f t="shared" si="79"/>
        <v>634.04888888888888</v>
      </c>
      <c r="AH328" s="66">
        <f t="shared" si="80"/>
        <v>553979</v>
      </c>
      <c r="AI328" s="66">
        <f t="shared" si="81"/>
        <v>615.53222222222223</v>
      </c>
      <c r="AJ328" s="27"/>
      <c r="AK328" s="26"/>
      <c r="AL328" s="64">
        <f t="shared" si="82"/>
        <v>0</v>
      </c>
      <c r="AM328" s="67">
        <f t="shared" si="83"/>
        <v>0</v>
      </c>
      <c r="AN328" s="27"/>
      <c r="AO328" s="26"/>
      <c r="AP328" s="27"/>
      <c r="AQ328" s="26"/>
      <c r="AR328" s="27"/>
      <c r="AS328" s="26"/>
      <c r="AT328" s="27"/>
      <c r="AU328" s="26"/>
      <c r="AV328" s="64">
        <f t="shared" si="84"/>
        <v>0</v>
      </c>
      <c r="AW328" s="70">
        <f t="shared" si="85"/>
        <v>0</v>
      </c>
      <c r="AX328" s="66">
        <f t="shared" si="86"/>
        <v>0</v>
      </c>
      <c r="AY328" s="71">
        <f t="shared" si="87"/>
        <v>0</v>
      </c>
      <c r="AZ328" s="72">
        <f t="shared" si="88"/>
        <v>2150.4155555555553</v>
      </c>
      <c r="BA328" s="66">
        <f t="shared" si="89"/>
        <v>2134.1988888888891</v>
      </c>
    </row>
    <row r="329" spans="1:53" ht="15">
      <c r="A329" s="123" t="s">
        <v>317</v>
      </c>
      <c r="B329" s="132" t="s">
        <v>372</v>
      </c>
      <c r="C329" s="696"/>
      <c r="D329" s="127">
        <v>199722</v>
      </c>
      <c r="E329" s="127">
        <v>10</v>
      </c>
      <c r="F329" s="29" t="s">
        <v>75</v>
      </c>
      <c r="G329" s="16" t="s">
        <v>75</v>
      </c>
      <c r="H329" s="27"/>
      <c r="I329" s="26"/>
      <c r="J329" s="162">
        <v>13194</v>
      </c>
      <c r="K329" s="163">
        <v>13124</v>
      </c>
      <c r="L329" s="162">
        <v>3437</v>
      </c>
      <c r="M329" s="26">
        <v>3600</v>
      </c>
      <c r="N329" s="162">
        <v>13786</v>
      </c>
      <c r="O329" s="109">
        <v>12758</v>
      </c>
      <c r="P329" s="64">
        <f t="shared" si="72"/>
        <v>30417</v>
      </c>
      <c r="Q329" s="65">
        <f t="shared" si="73"/>
        <v>1013.9</v>
      </c>
      <c r="R329" s="66">
        <f t="shared" si="74"/>
        <v>29482</v>
      </c>
      <c r="S329" s="67">
        <f t="shared" si="75"/>
        <v>982.73333333333335</v>
      </c>
      <c r="T329" s="162">
        <v>3842</v>
      </c>
      <c r="U329" s="26">
        <v>3931</v>
      </c>
      <c r="V329" s="64">
        <f t="shared" si="76"/>
        <v>30417</v>
      </c>
      <c r="W329" s="68">
        <f t="shared" si="77"/>
        <v>29482</v>
      </c>
      <c r="X329" s="27"/>
      <c r="Y329" s="26"/>
      <c r="Z329" s="27">
        <v>248065</v>
      </c>
      <c r="AA329" s="26">
        <v>250386</v>
      </c>
      <c r="AB329" s="27">
        <v>152863</v>
      </c>
      <c r="AC329" s="26">
        <v>151586</v>
      </c>
      <c r="AD329" s="27">
        <v>260389</v>
      </c>
      <c r="AE329" s="109">
        <v>216359</v>
      </c>
      <c r="AF329" s="64">
        <f t="shared" si="78"/>
        <v>661317</v>
      </c>
      <c r="AG329" s="65">
        <f t="shared" si="79"/>
        <v>734.79666666666662</v>
      </c>
      <c r="AH329" s="66">
        <f t="shared" si="80"/>
        <v>618331</v>
      </c>
      <c r="AI329" s="66">
        <f t="shared" si="81"/>
        <v>687.03444444444449</v>
      </c>
      <c r="AJ329" s="27"/>
      <c r="AK329" s="26"/>
      <c r="AL329" s="64">
        <f t="shared" si="82"/>
        <v>0</v>
      </c>
      <c r="AM329" s="67">
        <f t="shared" si="83"/>
        <v>0</v>
      </c>
      <c r="AN329" s="27"/>
      <c r="AO329" s="26"/>
      <c r="AP329" s="27"/>
      <c r="AQ329" s="26"/>
      <c r="AR329" s="27"/>
      <c r="AS329" s="26"/>
      <c r="AT329" s="27"/>
      <c r="AU329" s="26"/>
      <c r="AV329" s="64">
        <f t="shared" si="84"/>
        <v>0</v>
      </c>
      <c r="AW329" s="70">
        <f t="shared" si="85"/>
        <v>0</v>
      </c>
      <c r="AX329" s="66">
        <f t="shared" si="86"/>
        <v>0</v>
      </c>
      <c r="AY329" s="71">
        <f t="shared" si="87"/>
        <v>0</v>
      </c>
      <c r="AZ329" s="72">
        <f t="shared" si="88"/>
        <v>1748.6966666666667</v>
      </c>
      <c r="BA329" s="66">
        <f t="shared" si="89"/>
        <v>1669.7677777777778</v>
      </c>
    </row>
    <row r="330" spans="1:53" ht="15">
      <c r="A330" s="123" t="s">
        <v>317</v>
      </c>
      <c r="B330" s="132" t="s">
        <v>373</v>
      </c>
      <c r="C330" s="696" t="s">
        <v>985</v>
      </c>
      <c r="D330" s="127">
        <v>199731</v>
      </c>
      <c r="E330" s="127">
        <v>10</v>
      </c>
      <c r="F330" s="29" t="s">
        <v>75</v>
      </c>
      <c r="G330" s="16" t="s">
        <v>75</v>
      </c>
      <c r="H330" s="27"/>
      <c r="I330" s="26"/>
      <c r="J330" s="162">
        <v>22879</v>
      </c>
      <c r="K330" s="163">
        <v>22929</v>
      </c>
      <c r="L330" s="162">
        <v>4212</v>
      </c>
      <c r="M330" s="26">
        <v>4039</v>
      </c>
      <c r="N330" s="162">
        <v>24153</v>
      </c>
      <c r="O330" s="26">
        <v>23326</v>
      </c>
      <c r="P330" s="64">
        <f t="shared" si="72"/>
        <v>51244</v>
      </c>
      <c r="Q330" s="65">
        <f t="shared" si="73"/>
        <v>1708.1333333333334</v>
      </c>
      <c r="R330" s="66">
        <f t="shared" si="74"/>
        <v>50294</v>
      </c>
      <c r="S330" s="67">
        <f t="shared" si="75"/>
        <v>1676.4666666666667</v>
      </c>
      <c r="T330" s="162">
        <v>8697</v>
      </c>
      <c r="U330" s="109">
        <v>10369</v>
      </c>
      <c r="V330" s="64">
        <f t="shared" si="76"/>
        <v>51244</v>
      </c>
      <c r="W330" s="68">
        <f t="shared" si="77"/>
        <v>50294</v>
      </c>
      <c r="X330" s="27"/>
      <c r="Y330" s="26"/>
      <c r="Z330" s="27">
        <v>142728</v>
      </c>
      <c r="AA330" s="109">
        <v>157061</v>
      </c>
      <c r="AB330" s="27">
        <v>85135</v>
      </c>
      <c r="AC330" s="109">
        <v>71249</v>
      </c>
      <c r="AD330" s="27">
        <v>164031</v>
      </c>
      <c r="AE330" s="109">
        <v>129766</v>
      </c>
      <c r="AF330" s="64">
        <f t="shared" si="78"/>
        <v>391894</v>
      </c>
      <c r="AG330" s="65">
        <f t="shared" si="79"/>
        <v>435.4377777777778</v>
      </c>
      <c r="AH330" s="66">
        <f t="shared" si="80"/>
        <v>358076</v>
      </c>
      <c r="AI330" s="66">
        <f t="shared" si="81"/>
        <v>397.86222222222221</v>
      </c>
      <c r="AJ330" s="27"/>
      <c r="AK330" s="26"/>
      <c r="AL330" s="64">
        <f t="shared" si="82"/>
        <v>0</v>
      </c>
      <c r="AM330" s="67">
        <f t="shared" si="83"/>
        <v>0</v>
      </c>
      <c r="AN330" s="27"/>
      <c r="AO330" s="26"/>
      <c r="AP330" s="27"/>
      <c r="AQ330" s="26"/>
      <c r="AR330" s="27"/>
      <c r="AS330" s="26"/>
      <c r="AT330" s="27"/>
      <c r="AU330" s="26"/>
      <c r="AV330" s="64">
        <f t="shared" si="84"/>
        <v>0</v>
      </c>
      <c r="AW330" s="70">
        <f t="shared" si="85"/>
        <v>0</v>
      </c>
      <c r="AX330" s="66">
        <f t="shared" si="86"/>
        <v>0</v>
      </c>
      <c r="AY330" s="71">
        <f t="shared" si="87"/>
        <v>0</v>
      </c>
      <c r="AZ330" s="72">
        <f t="shared" si="88"/>
        <v>2143.5711111111113</v>
      </c>
      <c r="BA330" s="66">
        <f t="shared" si="89"/>
        <v>2074.3288888888887</v>
      </c>
    </row>
    <row r="331" spans="1:53" ht="15">
      <c r="A331" s="123" t="s">
        <v>317</v>
      </c>
      <c r="B331" s="132" t="s">
        <v>374</v>
      </c>
      <c r="C331" s="696"/>
      <c r="D331" s="127">
        <v>199795</v>
      </c>
      <c r="E331" s="127">
        <v>10</v>
      </c>
      <c r="F331" s="29" t="s">
        <v>75</v>
      </c>
      <c r="G331" s="16" t="s">
        <v>75</v>
      </c>
      <c r="H331" s="27"/>
      <c r="I331" s="26"/>
      <c r="J331" s="162">
        <v>11807</v>
      </c>
      <c r="K331" s="164">
        <v>10835</v>
      </c>
      <c r="L331" s="162">
        <v>1962</v>
      </c>
      <c r="M331" s="109">
        <v>1814</v>
      </c>
      <c r="N331" s="162">
        <v>11693</v>
      </c>
      <c r="O331" s="109">
        <v>10947</v>
      </c>
      <c r="P331" s="64">
        <f t="shared" si="72"/>
        <v>25462</v>
      </c>
      <c r="Q331" s="65">
        <f t="shared" si="73"/>
        <v>848.73333333333335</v>
      </c>
      <c r="R331" s="66">
        <f t="shared" si="74"/>
        <v>23596</v>
      </c>
      <c r="S331" s="67">
        <f t="shared" si="75"/>
        <v>786.5333333333333</v>
      </c>
      <c r="T331" s="162">
        <v>5589</v>
      </c>
      <c r="U331" s="109">
        <v>6562</v>
      </c>
      <c r="V331" s="64">
        <f t="shared" si="76"/>
        <v>25462</v>
      </c>
      <c r="W331" s="68">
        <f t="shared" si="77"/>
        <v>23596</v>
      </c>
      <c r="X331" s="27"/>
      <c r="Y331" s="26"/>
      <c r="Z331" s="27">
        <v>55031</v>
      </c>
      <c r="AA331" s="109">
        <v>49067</v>
      </c>
      <c r="AB331" s="27">
        <v>57851</v>
      </c>
      <c r="AC331" s="109">
        <v>32066</v>
      </c>
      <c r="AD331" s="27">
        <v>75060</v>
      </c>
      <c r="AE331" s="109">
        <v>49611</v>
      </c>
      <c r="AF331" s="64">
        <f t="shared" si="78"/>
        <v>187942</v>
      </c>
      <c r="AG331" s="65">
        <f t="shared" si="79"/>
        <v>208.82444444444445</v>
      </c>
      <c r="AH331" s="66">
        <f t="shared" si="80"/>
        <v>130744</v>
      </c>
      <c r="AI331" s="66">
        <f t="shared" si="81"/>
        <v>145.27111111111111</v>
      </c>
      <c r="AJ331" s="27"/>
      <c r="AK331" s="26"/>
      <c r="AL331" s="64">
        <f t="shared" si="82"/>
        <v>0</v>
      </c>
      <c r="AM331" s="67">
        <f t="shared" si="83"/>
        <v>0</v>
      </c>
      <c r="AN331" s="27"/>
      <c r="AO331" s="26"/>
      <c r="AP331" s="27"/>
      <c r="AQ331" s="26"/>
      <c r="AR331" s="27"/>
      <c r="AS331" s="26"/>
      <c r="AT331" s="27"/>
      <c r="AU331" s="26"/>
      <c r="AV331" s="64">
        <f t="shared" si="84"/>
        <v>0</v>
      </c>
      <c r="AW331" s="70">
        <f t="shared" si="85"/>
        <v>0</v>
      </c>
      <c r="AX331" s="66">
        <f t="shared" si="86"/>
        <v>0</v>
      </c>
      <c r="AY331" s="71">
        <f t="shared" si="87"/>
        <v>0</v>
      </c>
      <c r="AZ331" s="72">
        <f t="shared" si="88"/>
        <v>1057.5577777777778</v>
      </c>
      <c r="BA331" s="66">
        <f t="shared" si="89"/>
        <v>931.80444444444447</v>
      </c>
    </row>
    <row r="332" spans="1:53">
      <c r="A332" s="123" t="s">
        <v>317</v>
      </c>
      <c r="B332" s="132" t="s">
        <v>375</v>
      </c>
      <c r="C332" s="125"/>
      <c r="D332" s="127">
        <v>199953</v>
      </c>
      <c r="E332" s="127">
        <v>10</v>
      </c>
      <c r="F332" s="29" t="s">
        <v>75</v>
      </c>
      <c r="G332" s="16" t="s">
        <v>75</v>
      </c>
      <c r="H332" s="27"/>
      <c r="I332" s="26"/>
      <c r="J332" s="162">
        <v>16261</v>
      </c>
      <c r="K332" s="163">
        <v>15536.5</v>
      </c>
      <c r="L332" s="162">
        <v>5644</v>
      </c>
      <c r="M332" s="109">
        <v>6009</v>
      </c>
      <c r="N332" s="162">
        <v>15938</v>
      </c>
      <c r="O332" s="26">
        <v>16224</v>
      </c>
      <c r="P332" s="64">
        <f t="shared" si="72"/>
        <v>37843</v>
      </c>
      <c r="Q332" s="65">
        <f t="shared" si="73"/>
        <v>1261.4333333333334</v>
      </c>
      <c r="R332" s="66">
        <f t="shared" si="74"/>
        <v>37769.5</v>
      </c>
      <c r="S332" s="67">
        <f t="shared" si="75"/>
        <v>1258.9833333333333</v>
      </c>
      <c r="T332" s="162">
        <v>5128</v>
      </c>
      <c r="U332" s="109">
        <v>7115.5</v>
      </c>
      <c r="V332" s="64">
        <f t="shared" si="76"/>
        <v>37843</v>
      </c>
      <c r="W332" s="68">
        <f t="shared" si="77"/>
        <v>37769.5</v>
      </c>
      <c r="X332" s="27"/>
      <c r="Y332" s="26"/>
      <c r="Z332" s="27">
        <v>107967</v>
      </c>
      <c r="AA332" s="109">
        <v>114066</v>
      </c>
      <c r="AB332" s="27">
        <v>67928</v>
      </c>
      <c r="AC332" s="26">
        <v>68779</v>
      </c>
      <c r="AD332" s="27">
        <v>119746</v>
      </c>
      <c r="AE332" s="109">
        <v>111304</v>
      </c>
      <c r="AF332" s="64">
        <f t="shared" si="78"/>
        <v>295641</v>
      </c>
      <c r="AG332" s="65">
        <f t="shared" si="79"/>
        <v>328.49</v>
      </c>
      <c r="AH332" s="66">
        <f t="shared" si="80"/>
        <v>294149</v>
      </c>
      <c r="AI332" s="66">
        <f t="shared" si="81"/>
        <v>326.83222222222224</v>
      </c>
      <c r="AJ332" s="27"/>
      <c r="AK332" s="26"/>
      <c r="AL332" s="64">
        <f t="shared" si="82"/>
        <v>0</v>
      </c>
      <c r="AM332" s="67">
        <f t="shared" si="83"/>
        <v>0</v>
      </c>
      <c r="AN332" s="27"/>
      <c r="AO332" s="26"/>
      <c r="AP332" s="27"/>
      <c r="AQ332" s="26"/>
      <c r="AR332" s="27"/>
      <c r="AS332" s="26"/>
      <c r="AT332" s="27"/>
      <c r="AU332" s="26"/>
      <c r="AV332" s="64">
        <f t="shared" si="84"/>
        <v>0</v>
      </c>
      <c r="AW332" s="70">
        <f t="shared" si="85"/>
        <v>0</v>
      </c>
      <c r="AX332" s="66">
        <f t="shared" si="86"/>
        <v>0</v>
      </c>
      <c r="AY332" s="71">
        <f t="shared" si="87"/>
        <v>0</v>
      </c>
      <c r="AZ332" s="72">
        <f t="shared" si="88"/>
        <v>1589.9233333333334</v>
      </c>
      <c r="BA332" s="66">
        <f t="shared" si="89"/>
        <v>1585.8155555555556</v>
      </c>
    </row>
    <row r="333" spans="1:53" s="54" customFormat="1" ht="13.9" customHeight="1">
      <c r="A333" s="166" t="s">
        <v>317</v>
      </c>
      <c r="B333" s="167" t="s">
        <v>376</v>
      </c>
      <c r="C333" s="168"/>
      <c r="D333" s="169">
        <v>199193</v>
      </c>
      <c r="E333" s="169">
        <v>1</v>
      </c>
      <c r="F333" s="29" t="s">
        <v>75</v>
      </c>
      <c r="G333" s="16" t="s">
        <v>75</v>
      </c>
      <c r="H333" s="27"/>
      <c r="I333" s="26"/>
      <c r="J333" s="27">
        <v>312205</v>
      </c>
      <c r="K333" s="26">
        <v>304842</v>
      </c>
      <c r="L333" s="27">
        <v>48937</v>
      </c>
      <c r="M333" s="109">
        <v>45980</v>
      </c>
      <c r="N333" s="27">
        <v>330596</v>
      </c>
      <c r="O333" s="26">
        <v>327142</v>
      </c>
      <c r="P333" s="64">
        <f t="shared" si="72"/>
        <v>691738</v>
      </c>
      <c r="Q333" s="65">
        <f t="shared" si="73"/>
        <v>23057.933333333334</v>
      </c>
      <c r="R333" s="66">
        <f t="shared" si="74"/>
        <v>677964</v>
      </c>
      <c r="S333" s="67">
        <f t="shared" si="75"/>
        <v>22598.799999999999</v>
      </c>
      <c r="T333" s="27">
        <v>1291</v>
      </c>
      <c r="U333" s="109">
        <v>1603</v>
      </c>
      <c r="V333" s="64">
        <f t="shared" si="76"/>
        <v>691738</v>
      </c>
      <c r="W333" s="68">
        <f t="shared" si="77"/>
        <v>677964</v>
      </c>
      <c r="X333" s="27"/>
      <c r="Y333" s="26"/>
      <c r="Z333" s="27"/>
      <c r="AA333" s="26"/>
      <c r="AB333" s="27"/>
      <c r="AC333" s="26"/>
      <c r="AD333" s="27"/>
      <c r="AE333" s="26"/>
      <c r="AF333" s="64">
        <f t="shared" si="78"/>
        <v>0</v>
      </c>
      <c r="AG333" s="65">
        <f t="shared" si="79"/>
        <v>0</v>
      </c>
      <c r="AH333" s="66">
        <f t="shared" si="80"/>
        <v>0</v>
      </c>
      <c r="AI333" s="66">
        <f t="shared" si="81"/>
        <v>0</v>
      </c>
      <c r="AJ333" s="27"/>
      <c r="AK333" s="26"/>
      <c r="AL333" s="64">
        <f t="shared" si="82"/>
        <v>0</v>
      </c>
      <c r="AM333" s="67">
        <f t="shared" si="83"/>
        <v>0</v>
      </c>
      <c r="AN333" s="27"/>
      <c r="AO333" s="26"/>
      <c r="AP333" s="27">
        <v>65131</v>
      </c>
      <c r="AQ333" s="26">
        <v>66049</v>
      </c>
      <c r="AR333" s="27">
        <v>9912</v>
      </c>
      <c r="AS333" s="109">
        <v>10676</v>
      </c>
      <c r="AT333" s="27">
        <v>73976</v>
      </c>
      <c r="AU333" s="26">
        <v>75248</v>
      </c>
      <c r="AV333" s="64">
        <f t="shared" si="84"/>
        <v>149019</v>
      </c>
      <c r="AW333" s="70">
        <f t="shared" si="85"/>
        <v>6209.125</v>
      </c>
      <c r="AX333" s="66">
        <f t="shared" si="86"/>
        <v>151973</v>
      </c>
      <c r="AY333" s="71">
        <f t="shared" si="87"/>
        <v>6332.208333333333</v>
      </c>
      <c r="AZ333" s="72">
        <f t="shared" si="88"/>
        <v>29267.058333333334</v>
      </c>
      <c r="BA333" s="66">
        <f t="shared" si="89"/>
        <v>28931.008333333331</v>
      </c>
    </row>
    <row r="334" spans="1:53">
      <c r="A334" s="166" t="s">
        <v>317</v>
      </c>
      <c r="B334" s="167" t="s">
        <v>377</v>
      </c>
      <c r="C334" s="168"/>
      <c r="D334" s="169">
        <v>199120</v>
      </c>
      <c r="E334" s="169">
        <v>1</v>
      </c>
      <c r="F334" s="29" t="s">
        <v>75</v>
      </c>
      <c r="G334" s="16" t="s">
        <v>75</v>
      </c>
      <c r="H334" s="27"/>
      <c r="I334" s="26"/>
      <c r="J334" s="27">
        <v>228885</v>
      </c>
      <c r="K334" s="26">
        <v>235317</v>
      </c>
      <c r="L334" s="27">
        <v>29153</v>
      </c>
      <c r="M334" s="26">
        <v>29284</v>
      </c>
      <c r="N334" s="27">
        <v>245001</v>
      </c>
      <c r="O334" s="26">
        <v>252297</v>
      </c>
      <c r="P334" s="64">
        <f t="shared" si="72"/>
        <v>503039</v>
      </c>
      <c r="Q334" s="65">
        <f t="shared" si="73"/>
        <v>16767.966666666667</v>
      </c>
      <c r="R334" s="66">
        <f t="shared" si="74"/>
        <v>516898</v>
      </c>
      <c r="S334" s="67">
        <f t="shared" si="75"/>
        <v>17229.933333333334</v>
      </c>
      <c r="T334" s="27">
        <v>50</v>
      </c>
      <c r="U334" s="109">
        <v>0</v>
      </c>
      <c r="V334" s="64">
        <f t="shared" si="76"/>
        <v>503039</v>
      </c>
      <c r="W334" s="68">
        <f t="shared" si="77"/>
        <v>516898</v>
      </c>
      <c r="X334" s="27"/>
      <c r="Y334" s="26"/>
      <c r="Z334" s="27"/>
      <c r="AA334" s="26"/>
      <c r="AB334" s="27"/>
      <c r="AC334" s="26"/>
      <c r="AD334" s="27"/>
      <c r="AE334" s="26"/>
      <c r="AF334" s="64">
        <f t="shared" si="78"/>
        <v>0</v>
      </c>
      <c r="AG334" s="65">
        <f t="shared" si="79"/>
        <v>0</v>
      </c>
      <c r="AH334" s="66">
        <f t="shared" si="80"/>
        <v>0</v>
      </c>
      <c r="AI334" s="66">
        <f t="shared" si="81"/>
        <v>0</v>
      </c>
      <c r="AJ334" s="27"/>
      <c r="AK334" s="26"/>
      <c r="AL334" s="64">
        <f t="shared" si="82"/>
        <v>0</v>
      </c>
      <c r="AM334" s="67">
        <f t="shared" si="83"/>
        <v>0</v>
      </c>
      <c r="AN334" s="27"/>
      <c r="AO334" s="26"/>
      <c r="AP334" s="27">
        <v>86380</v>
      </c>
      <c r="AQ334" s="109">
        <v>76996</v>
      </c>
      <c r="AR334" s="27">
        <v>12863</v>
      </c>
      <c r="AS334" s="26">
        <v>12671</v>
      </c>
      <c r="AT334" s="27">
        <v>83668</v>
      </c>
      <c r="AU334" s="109">
        <v>89608</v>
      </c>
      <c r="AV334" s="64">
        <f t="shared" si="84"/>
        <v>182911</v>
      </c>
      <c r="AW334" s="70">
        <f t="shared" si="85"/>
        <v>7621.291666666667</v>
      </c>
      <c r="AX334" s="66">
        <f t="shared" si="86"/>
        <v>179275</v>
      </c>
      <c r="AY334" s="71">
        <f t="shared" si="87"/>
        <v>7469.791666666667</v>
      </c>
      <c r="AZ334" s="72">
        <f t="shared" si="88"/>
        <v>24389.258333333335</v>
      </c>
      <c r="BA334" s="66">
        <f t="shared" si="89"/>
        <v>24699.725000000002</v>
      </c>
    </row>
    <row r="335" spans="1:53">
      <c r="A335" s="166" t="s">
        <v>317</v>
      </c>
      <c r="B335" s="167" t="s">
        <v>378</v>
      </c>
      <c r="C335" s="170"/>
      <c r="D335" s="169">
        <v>199139</v>
      </c>
      <c r="E335" s="169">
        <v>1</v>
      </c>
      <c r="F335" s="29" t="s">
        <v>75</v>
      </c>
      <c r="G335" s="16" t="s">
        <v>75</v>
      </c>
      <c r="H335" s="27"/>
      <c r="I335" s="26"/>
      <c r="J335" s="27">
        <v>279158</v>
      </c>
      <c r="K335" s="26">
        <v>289299</v>
      </c>
      <c r="L335" s="27">
        <v>47138</v>
      </c>
      <c r="M335" s="26">
        <v>49444</v>
      </c>
      <c r="N335" s="27">
        <v>307531</v>
      </c>
      <c r="O335" s="26">
        <v>317716</v>
      </c>
      <c r="P335" s="64">
        <f t="shared" si="72"/>
        <v>633827</v>
      </c>
      <c r="Q335" s="65">
        <f t="shared" si="73"/>
        <v>21127.566666666666</v>
      </c>
      <c r="R335" s="66">
        <f t="shared" si="74"/>
        <v>656459</v>
      </c>
      <c r="S335" s="67">
        <f t="shared" si="75"/>
        <v>21881.966666666667</v>
      </c>
      <c r="T335" s="27">
        <v>0</v>
      </c>
      <c r="U335" s="109">
        <v>570</v>
      </c>
      <c r="V335" s="64">
        <f t="shared" si="76"/>
        <v>633827</v>
      </c>
      <c r="W335" s="68">
        <f t="shared" si="77"/>
        <v>656459</v>
      </c>
      <c r="X335" s="27"/>
      <c r="Y335" s="26"/>
      <c r="Z335" s="27"/>
      <c r="AA335" s="26"/>
      <c r="AB335" s="27"/>
      <c r="AC335" s="26"/>
      <c r="AD335" s="27"/>
      <c r="AE335" s="26"/>
      <c r="AF335" s="64">
        <f t="shared" si="78"/>
        <v>0</v>
      </c>
      <c r="AG335" s="65">
        <f t="shared" si="79"/>
        <v>0</v>
      </c>
      <c r="AH335" s="66">
        <f t="shared" si="80"/>
        <v>0</v>
      </c>
      <c r="AI335" s="66">
        <f t="shared" si="81"/>
        <v>0</v>
      </c>
      <c r="AJ335" s="27"/>
      <c r="AK335" s="26"/>
      <c r="AL335" s="64">
        <f t="shared" si="82"/>
        <v>0</v>
      </c>
      <c r="AM335" s="67">
        <f t="shared" si="83"/>
        <v>0</v>
      </c>
      <c r="AN335" s="27"/>
      <c r="AO335" s="26"/>
      <c r="AP335" s="27">
        <v>33851</v>
      </c>
      <c r="AQ335" s="26">
        <v>34829</v>
      </c>
      <c r="AR335" s="27">
        <v>10484</v>
      </c>
      <c r="AS335" s="109">
        <v>11345</v>
      </c>
      <c r="AT335" s="27">
        <v>37493</v>
      </c>
      <c r="AU335" s="109">
        <v>39564</v>
      </c>
      <c r="AV335" s="64">
        <f t="shared" si="84"/>
        <v>81828</v>
      </c>
      <c r="AW335" s="70">
        <f t="shared" si="85"/>
        <v>3409.5</v>
      </c>
      <c r="AX335" s="66">
        <f t="shared" si="86"/>
        <v>85738</v>
      </c>
      <c r="AY335" s="71">
        <f t="shared" si="87"/>
        <v>3572.4166666666665</v>
      </c>
      <c r="AZ335" s="72">
        <f t="shared" si="88"/>
        <v>24537.066666666666</v>
      </c>
      <c r="BA335" s="66">
        <f t="shared" si="89"/>
        <v>25454.383333333335</v>
      </c>
    </row>
    <row r="336" spans="1:53">
      <c r="A336" s="166" t="s">
        <v>317</v>
      </c>
      <c r="B336" s="167" t="s">
        <v>379</v>
      </c>
      <c r="C336" s="168"/>
      <c r="D336" s="169">
        <v>199148</v>
      </c>
      <c r="E336" s="169">
        <v>1</v>
      </c>
      <c r="F336" s="29" t="s">
        <v>75</v>
      </c>
      <c r="G336" s="16" t="s">
        <v>75</v>
      </c>
      <c r="H336" s="27"/>
      <c r="I336" s="26"/>
      <c r="J336" s="27">
        <v>186617</v>
      </c>
      <c r="K336" s="109">
        <v>197145</v>
      </c>
      <c r="L336" s="27">
        <v>26424</v>
      </c>
      <c r="M336" s="109">
        <v>28484</v>
      </c>
      <c r="N336" s="27">
        <v>206694</v>
      </c>
      <c r="O336" s="109">
        <v>218310</v>
      </c>
      <c r="P336" s="64">
        <f t="shared" si="72"/>
        <v>419735</v>
      </c>
      <c r="Q336" s="65">
        <f t="shared" si="73"/>
        <v>13991.166666666666</v>
      </c>
      <c r="R336" s="66">
        <f t="shared" si="74"/>
        <v>443939</v>
      </c>
      <c r="S336" s="67">
        <f t="shared" si="75"/>
        <v>14797.966666666667</v>
      </c>
      <c r="T336" s="27">
        <v>3939</v>
      </c>
      <c r="U336" s="109">
        <v>2681</v>
      </c>
      <c r="V336" s="64">
        <f t="shared" si="76"/>
        <v>419735</v>
      </c>
      <c r="W336" s="68">
        <f t="shared" si="77"/>
        <v>443939</v>
      </c>
      <c r="X336" s="27"/>
      <c r="Y336" s="26"/>
      <c r="Z336" s="27"/>
      <c r="AA336" s="26"/>
      <c r="AB336" s="27"/>
      <c r="AC336" s="26"/>
      <c r="AD336" s="27"/>
      <c r="AE336" s="26"/>
      <c r="AF336" s="64">
        <f t="shared" si="78"/>
        <v>0</v>
      </c>
      <c r="AG336" s="65">
        <f t="shared" si="79"/>
        <v>0</v>
      </c>
      <c r="AH336" s="66">
        <f t="shared" si="80"/>
        <v>0</v>
      </c>
      <c r="AI336" s="66">
        <f t="shared" si="81"/>
        <v>0</v>
      </c>
      <c r="AJ336" s="27"/>
      <c r="AK336" s="26"/>
      <c r="AL336" s="64">
        <f t="shared" si="82"/>
        <v>0</v>
      </c>
      <c r="AM336" s="67">
        <f t="shared" si="83"/>
        <v>0</v>
      </c>
      <c r="AN336" s="27"/>
      <c r="AO336" s="26"/>
      <c r="AP336" s="27">
        <v>28933</v>
      </c>
      <c r="AQ336" s="109">
        <v>25148</v>
      </c>
      <c r="AR336" s="27">
        <v>5914</v>
      </c>
      <c r="AS336" s="26">
        <v>5703</v>
      </c>
      <c r="AT336" s="27">
        <v>30415</v>
      </c>
      <c r="AU336" s="109">
        <v>25960</v>
      </c>
      <c r="AV336" s="64">
        <f t="shared" si="84"/>
        <v>65262</v>
      </c>
      <c r="AW336" s="70">
        <f t="shared" si="85"/>
        <v>2719.25</v>
      </c>
      <c r="AX336" s="66">
        <f t="shared" si="86"/>
        <v>56811</v>
      </c>
      <c r="AY336" s="71">
        <f t="shared" si="87"/>
        <v>2367.125</v>
      </c>
      <c r="AZ336" s="72">
        <f t="shared" si="88"/>
        <v>16710.416666666664</v>
      </c>
      <c r="BA336" s="66">
        <f t="shared" si="89"/>
        <v>17165.091666666667</v>
      </c>
    </row>
    <row r="337" spans="1:53">
      <c r="A337" s="166" t="s">
        <v>317</v>
      </c>
      <c r="B337" s="167" t="s">
        <v>380</v>
      </c>
      <c r="C337" s="170"/>
      <c r="D337" s="169">
        <v>198464</v>
      </c>
      <c r="E337" s="169">
        <v>2</v>
      </c>
      <c r="F337" s="29" t="s">
        <v>75</v>
      </c>
      <c r="G337" s="16" t="s">
        <v>75</v>
      </c>
      <c r="H337" s="27"/>
      <c r="I337" s="26"/>
      <c r="J337" s="27">
        <v>268497</v>
      </c>
      <c r="K337" s="26">
        <v>280629</v>
      </c>
      <c r="L337" s="27">
        <v>49661</v>
      </c>
      <c r="M337" s="26">
        <v>51546</v>
      </c>
      <c r="N337" s="27">
        <v>297176</v>
      </c>
      <c r="O337" s="26">
        <v>303827</v>
      </c>
      <c r="P337" s="64">
        <f t="shared" si="72"/>
        <v>615334</v>
      </c>
      <c r="Q337" s="65">
        <f t="shared" si="73"/>
        <v>20511.133333333335</v>
      </c>
      <c r="R337" s="66">
        <f t="shared" si="74"/>
        <v>636002</v>
      </c>
      <c r="S337" s="67">
        <f t="shared" si="75"/>
        <v>21200.066666666666</v>
      </c>
      <c r="T337" s="27">
        <v>6035</v>
      </c>
      <c r="U337" s="109">
        <v>2672</v>
      </c>
      <c r="V337" s="64">
        <f t="shared" si="76"/>
        <v>615334</v>
      </c>
      <c r="W337" s="68">
        <f t="shared" si="77"/>
        <v>636002</v>
      </c>
      <c r="X337" s="27"/>
      <c r="Y337" s="26"/>
      <c r="Z337" s="27"/>
      <c r="AA337" s="26"/>
      <c r="AB337" s="27"/>
      <c r="AC337" s="26"/>
      <c r="AD337" s="27"/>
      <c r="AE337" s="26"/>
      <c r="AF337" s="64">
        <f t="shared" si="78"/>
        <v>0</v>
      </c>
      <c r="AG337" s="65">
        <f t="shared" si="79"/>
        <v>0</v>
      </c>
      <c r="AH337" s="66">
        <f t="shared" si="80"/>
        <v>0</v>
      </c>
      <c r="AI337" s="66">
        <f t="shared" si="81"/>
        <v>0</v>
      </c>
      <c r="AJ337" s="27"/>
      <c r="AK337" s="26"/>
      <c r="AL337" s="64">
        <f t="shared" si="82"/>
        <v>0</v>
      </c>
      <c r="AM337" s="67">
        <f t="shared" si="83"/>
        <v>0</v>
      </c>
      <c r="AN337" s="27"/>
      <c r="AO337" s="26"/>
      <c r="AP337" s="27">
        <v>31232</v>
      </c>
      <c r="AQ337" s="26">
        <v>30071</v>
      </c>
      <c r="AR337" s="27">
        <v>15430</v>
      </c>
      <c r="AS337" s="26">
        <v>15248</v>
      </c>
      <c r="AT337" s="27">
        <v>33875</v>
      </c>
      <c r="AU337" s="26">
        <v>35382</v>
      </c>
      <c r="AV337" s="64">
        <f t="shared" si="84"/>
        <v>80537</v>
      </c>
      <c r="AW337" s="70">
        <f t="shared" si="85"/>
        <v>3355.7083333333335</v>
      </c>
      <c r="AX337" s="66">
        <f t="shared" si="86"/>
        <v>80701</v>
      </c>
      <c r="AY337" s="71">
        <f t="shared" si="87"/>
        <v>3362.5416666666665</v>
      </c>
      <c r="AZ337" s="72">
        <f t="shared" si="88"/>
        <v>23866.841666666667</v>
      </c>
      <c r="BA337" s="66">
        <f t="shared" si="89"/>
        <v>24562.608333333334</v>
      </c>
    </row>
    <row r="338" spans="1:53">
      <c r="A338" s="166" t="s">
        <v>317</v>
      </c>
      <c r="B338" s="167" t="s">
        <v>381</v>
      </c>
      <c r="C338" s="168"/>
      <c r="D338" s="169">
        <v>197869</v>
      </c>
      <c r="E338" s="169">
        <v>3</v>
      </c>
      <c r="F338" s="29" t="s">
        <v>75</v>
      </c>
      <c r="G338" s="16" t="s">
        <v>75</v>
      </c>
      <c r="H338" s="27"/>
      <c r="I338" s="26"/>
      <c r="J338" s="27">
        <v>220984</v>
      </c>
      <c r="K338" s="26">
        <v>221773</v>
      </c>
      <c r="L338" s="27">
        <v>37420</v>
      </c>
      <c r="M338" s="26">
        <v>38319</v>
      </c>
      <c r="N338" s="27">
        <v>230651</v>
      </c>
      <c r="O338" s="26">
        <v>240631</v>
      </c>
      <c r="P338" s="64">
        <f t="shared" si="72"/>
        <v>489055</v>
      </c>
      <c r="Q338" s="65">
        <f t="shared" si="73"/>
        <v>16301.833333333334</v>
      </c>
      <c r="R338" s="66">
        <f t="shared" si="74"/>
        <v>500723</v>
      </c>
      <c r="S338" s="67">
        <f t="shared" si="75"/>
        <v>16690.766666666666</v>
      </c>
      <c r="T338" s="27">
        <v>0</v>
      </c>
      <c r="U338" s="26">
        <v>0</v>
      </c>
      <c r="V338" s="64">
        <f t="shared" si="76"/>
        <v>489055</v>
      </c>
      <c r="W338" s="68">
        <f t="shared" si="77"/>
        <v>500723</v>
      </c>
      <c r="X338" s="27"/>
      <c r="Y338" s="26"/>
      <c r="Z338" s="27"/>
      <c r="AA338" s="26"/>
      <c r="AB338" s="27"/>
      <c r="AC338" s="26"/>
      <c r="AD338" s="27"/>
      <c r="AE338" s="26"/>
      <c r="AF338" s="64">
        <f t="shared" si="78"/>
        <v>0</v>
      </c>
      <c r="AG338" s="65">
        <f t="shared" si="79"/>
        <v>0</v>
      </c>
      <c r="AH338" s="66">
        <f t="shared" si="80"/>
        <v>0</v>
      </c>
      <c r="AI338" s="66">
        <f t="shared" si="81"/>
        <v>0</v>
      </c>
      <c r="AJ338" s="27"/>
      <c r="AK338" s="26"/>
      <c r="AL338" s="64">
        <f t="shared" si="82"/>
        <v>0</v>
      </c>
      <c r="AM338" s="67">
        <f t="shared" si="83"/>
        <v>0</v>
      </c>
      <c r="AN338" s="27"/>
      <c r="AO338" s="26"/>
      <c r="AP338" s="27">
        <v>13260</v>
      </c>
      <c r="AQ338" s="26">
        <v>13053</v>
      </c>
      <c r="AR338" s="27">
        <v>6935</v>
      </c>
      <c r="AS338" s="26">
        <v>6722</v>
      </c>
      <c r="AT338" s="27">
        <v>10355</v>
      </c>
      <c r="AU338" s="109">
        <v>14149</v>
      </c>
      <c r="AV338" s="64">
        <f t="shared" si="84"/>
        <v>30550</v>
      </c>
      <c r="AW338" s="70">
        <f t="shared" si="85"/>
        <v>1272.9166666666667</v>
      </c>
      <c r="AX338" s="66">
        <f t="shared" si="86"/>
        <v>33924</v>
      </c>
      <c r="AY338" s="71">
        <f t="shared" si="87"/>
        <v>1413.5</v>
      </c>
      <c r="AZ338" s="72">
        <f t="shared" si="88"/>
        <v>17574.75</v>
      </c>
      <c r="BA338" s="66">
        <f t="shared" si="89"/>
        <v>18104.266666666666</v>
      </c>
    </row>
    <row r="339" spans="1:53" ht="15">
      <c r="A339" s="166" t="s">
        <v>317</v>
      </c>
      <c r="B339" s="167" t="s">
        <v>382</v>
      </c>
      <c r="C339" s="702" t="s">
        <v>986</v>
      </c>
      <c r="D339" s="169">
        <v>199102</v>
      </c>
      <c r="E339" s="169">
        <v>3</v>
      </c>
      <c r="F339" s="29" t="s">
        <v>75</v>
      </c>
      <c r="G339" s="16" t="s">
        <v>75</v>
      </c>
      <c r="H339" s="27"/>
      <c r="I339" s="26"/>
      <c r="J339" s="27">
        <v>116628</v>
      </c>
      <c r="K339" s="109">
        <v>124349</v>
      </c>
      <c r="L339" s="27">
        <v>15475</v>
      </c>
      <c r="M339" s="109">
        <v>16594</v>
      </c>
      <c r="N339" s="27">
        <v>126172</v>
      </c>
      <c r="O339" s="109">
        <v>135755</v>
      </c>
      <c r="P339" s="64">
        <f t="shared" si="72"/>
        <v>258275</v>
      </c>
      <c r="Q339" s="65">
        <f t="shared" si="73"/>
        <v>8609.1666666666661</v>
      </c>
      <c r="R339" s="66">
        <f t="shared" si="74"/>
        <v>276698</v>
      </c>
      <c r="S339" s="67">
        <f t="shared" si="75"/>
        <v>9223.2666666666664</v>
      </c>
      <c r="T339" s="27">
        <v>347</v>
      </c>
      <c r="U339" s="109">
        <v>0</v>
      </c>
      <c r="V339" s="64">
        <f t="shared" si="76"/>
        <v>258275</v>
      </c>
      <c r="W339" s="68">
        <f t="shared" si="77"/>
        <v>276698</v>
      </c>
      <c r="X339" s="27"/>
      <c r="Y339" s="26"/>
      <c r="Z339" s="27"/>
      <c r="AA339" s="26"/>
      <c r="AB339" s="27"/>
      <c r="AC339" s="26"/>
      <c r="AD339" s="27"/>
      <c r="AE339" s="26"/>
      <c r="AF339" s="64">
        <f t="shared" si="78"/>
        <v>0</v>
      </c>
      <c r="AG339" s="65">
        <f t="shared" si="79"/>
        <v>0</v>
      </c>
      <c r="AH339" s="66">
        <f t="shared" si="80"/>
        <v>0</v>
      </c>
      <c r="AI339" s="66">
        <f t="shared" si="81"/>
        <v>0</v>
      </c>
      <c r="AJ339" s="27"/>
      <c r="AK339" s="26"/>
      <c r="AL339" s="64">
        <f t="shared" si="82"/>
        <v>0</v>
      </c>
      <c r="AM339" s="67">
        <f t="shared" si="83"/>
        <v>0</v>
      </c>
      <c r="AN339" s="27"/>
      <c r="AO339" s="26"/>
      <c r="AP339" s="27">
        <v>13135</v>
      </c>
      <c r="AQ339" s="109">
        <v>11741</v>
      </c>
      <c r="AR339" s="27">
        <v>2462</v>
      </c>
      <c r="AS339" s="109">
        <v>2192</v>
      </c>
      <c r="AT339" s="27">
        <v>12868</v>
      </c>
      <c r="AU339" s="109">
        <v>12042</v>
      </c>
      <c r="AV339" s="64">
        <f t="shared" si="84"/>
        <v>28465</v>
      </c>
      <c r="AW339" s="70">
        <f t="shared" si="85"/>
        <v>1186.0416666666667</v>
      </c>
      <c r="AX339" s="66">
        <f t="shared" si="86"/>
        <v>25975</v>
      </c>
      <c r="AY339" s="71">
        <f t="shared" si="87"/>
        <v>1082.2916666666667</v>
      </c>
      <c r="AZ339" s="72">
        <f t="shared" si="88"/>
        <v>9795.2083333333321</v>
      </c>
      <c r="BA339" s="66">
        <f t="shared" si="89"/>
        <v>10305.558333333332</v>
      </c>
    </row>
    <row r="340" spans="1:53">
      <c r="A340" s="166" t="s">
        <v>317</v>
      </c>
      <c r="B340" s="167" t="s">
        <v>383</v>
      </c>
      <c r="C340" s="168"/>
      <c r="D340" s="169">
        <v>199157</v>
      </c>
      <c r="E340" s="169">
        <v>3</v>
      </c>
      <c r="F340" s="29" t="s">
        <v>75</v>
      </c>
      <c r="G340" s="16" t="s">
        <v>75</v>
      </c>
      <c r="H340" s="27"/>
      <c r="I340" s="26"/>
      <c r="J340" s="27">
        <v>75455</v>
      </c>
      <c r="K340" s="26">
        <v>78214</v>
      </c>
      <c r="L340" s="27">
        <v>18797</v>
      </c>
      <c r="M340" s="26">
        <v>18478</v>
      </c>
      <c r="N340" s="27">
        <v>83436</v>
      </c>
      <c r="O340" s="26">
        <v>84964</v>
      </c>
      <c r="P340" s="64">
        <f t="shared" si="72"/>
        <v>177688</v>
      </c>
      <c r="Q340" s="65">
        <f t="shared" si="73"/>
        <v>5922.9333333333334</v>
      </c>
      <c r="R340" s="66">
        <f t="shared" si="74"/>
        <v>181656</v>
      </c>
      <c r="S340" s="67">
        <f t="shared" si="75"/>
        <v>6055.2</v>
      </c>
      <c r="T340" s="27">
        <v>4541</v>
      </c>
      <c r="U340" s="109">
        <v>2191</v>
      </c>
      <c r="V340" s="64">
        <f t="shared" si="76"/>
        <v>177688</v>
      </c>
      <c r="W340" s="68">
        <f t="shared" si="77"/>
        <v>181656</v>
      </c>
      <c r="X340" s="27"/>
      <c r="Y340" s="26"/>
      <c r="Z340" s="27"/>
      <c r="AA340" s="26"/>
      <c r="AB340" s="27"/>
      <c r="AC340" s="26"/>
      <c r="AD340" s="27"/>
      <c r="AE340" s="26"/>
      <c r="AF340" s="64">
        <f t="shared" si="78"/>
        <v>0</v>
      </c>
      <c r="AG340" s="65">
        <f t="shared" si="79"/>
        <v>0</v>
      </c>
      <c r="AH340" s="66">
        <f t="shared" si="80"/>
        <v>0</v>
      </c>
      <c r="AI340" s="66">
        <f t="shared" si="81"/>
        <v>0</v>
      </c>
      <c r="AJ340" s="27"/>
      <c r="AK340" s="26"/>
      <c r="AL340" s="64">
        <f t="shared" si="82"/>
        <v>0</v>
      </c>
      <c r="AM340" s="67">
        <f t="shared" si="83"/>
        <v>0</v>
      </c>
      <c r="AN340" s="27"/>
      <c r="AO340" s="26"/>
      <c r="AP340" s="27">
        <v>16346</v>
      </c>
      <c r="AQ340" s="26">
        <v>16684</v>
      </c>
      <c r="AR340" s="27">
        <v>4227</v>
      </c>
      <c r="AS340" s="26">
        <v>4388</v>
      </c>
      <c r="AT340" s="27">
        <v>18364</v>
      </c>
      <c r="AU340" s="26">
        <v>18255</v>
      </c>
      <c r="AV340" s="64">
        <f t="shared" si="84"/>
        <v>38937</v>
      </c>
      <c r="AW340" s="70">
        <f t="shared" si="85"/>
        <v>1622.375</v>
      </c>
      <c r="AX340" s="66">
        <f t="shared" si="86"/>
        <v>39327</v>
      </c>
      <c r="AY340" s="71">
        <f t="shared" si="87"/>
        <v>1638.625</v>
      </c>
      <c r="AZ340" s="72">
        <f t="shared" si="88"/>
        <v>7545.3083333333334</v>
      </c>
      <c r="BA340" s="66">
        <f t="shared" si="89"/>
        <v>7693.8249999999998</v>
      </c>
    </row>
    <row r="341" spans="1:53">
      <c r="A341" s="166" t="s">
        <v>317</v>
      </c>
      <c r="B341" s="167" t="s">
        <v>384</v>
      </c>
      <c r="C341" s="168"/>
      <c r="D341" s="169">
        <v>199218</v>
      </c>
      <c r="E341" s="169">
        <v>3</v>
      </c>
      <c r="F341" s="29" t="s">
        <v>75</v>
      </c>
      <c r="G341" s="16" t="s">
        <v>75</v>
      </c>
      <c r="H341" s="27"/>
      <c r="I341" s="26"/>
      <c r="J341" s="27">
        <v>167872</v>
      </c>
      <c r="K341" s="26">
        <v>171631</v>
      </c>
      <c r="L341" s="27">
        <v>36163</v>
      </c>
      <c r="M341" s="109">
        <v>38073</v>
      </c>
      <c r="N341" s="27">
        <v>182198</v>
      </c>
      <c r="O341" s="26">
        <v>189082</v>
      </c>
      <c r="P341" s="64">
        <f t="shared" si="72"/>
        <v>386233</v>
      </c>
      <c r="Q341" s="65">
        <f t="shared" si="73"/>
        <v>12874.433333333332</v>
      </c>
      <c r="R341" s="66">
        <f t="shared" si="74"/>
        <v>398786</v>
      </c>
      <c r="S341" s="67">
        <f t="shared" si="75"/>
        <v>13292.866666666667</v>
      </c>
      <c r="T341" s="27">
        <v>1233</v>
      </c>
      <c r="U341" s="109">
        <v>600</v>
      </c>
      <c r="V341" s="64">
        <f t="shared" si="76"/>
        <v>386233</v>
      </c>
      <c r="W341" s="68">
        <f t="shared" si="77"/>
        <v>398786</v>
      </c>
      <c r="X341" s="27"/>
      <c r="Y341" s="26"/>
      <c r="Z341" s="27"/>
      <c r="AA341" s="26"/>
      <c r="AB341" s="27"/>
      <c r="AC341" s="26"/>
      <c r="AD341" s="27"/>
      <c r="AE341" s="26"/>
      <c r="AF341" s="64">
        <f t="shared" si="78"/>
        <v>0</v>
      </c>
      <c r="AG341" s="65">
        <f t="shared" si="79"/>
        <v>0</v>
      </c>
      <c r="AH341" s="66">
        <f t="shared" si="80"/>
        <v>0</v>
      </c>
      <c r="AI341" s="66">
        <f t="shared" si="81"/>
        <v>0</v>
      </c>
      <c r="AJ341" s="27"/>
      <c r="AK341" s="26"/>
      <c r="AL341" s="64">
        <f t="shared" si="82"/>
        <v>0</v>
      </c>
      <c r="AM341" s="67">
        <f t="shared" si="83"/>
        <v>0</v>
      </c>
      <c r="AN341" s="27"/>
      <c r="AO341" s="26"/>
      <c r="AP341" s="27">
        <v>11456</v>
      </c>
      <c r="AQ341" s="109">
        <v>12140</v>
      </c>
      <c r="AR341" s="27">
        <v>4717</v>
      </c>
      <c r="AS341" s="26">
        <v>4574</v>
      </c>
      <c r="AT341" s="27">
        <v>12409</v>
      </c>
      <c r="AU341" s="109">
        <v>13349</v>
      </c>
      <c r="AV341" s="64">
        <f t="shared" si="84"/>
        <v>28582</v>
      </c>
      <c r="AW341" s="70">
        <f t="shared" si="85"/>
        <v>1190.9166666666667</v>
      </c>
      <c r="AX341" s="66">
        <f t="shared" si="86"/>
        <v>30063</v>
      </c>
      <c r="AY341" s="71">
        <f t="shared" si="87"/>
        <v>1252.625</v>
      </c>
      <c r="AZ341" s="72">
        <f t="shared" si="88"/>
        <v>14065.349999999999</v>
      </c>
      <c r="BA341" s="66">
        <f t="shared" si="89"/>
        <v>14545.491666666667</v>
      </c>
    </row>
    <row r="342" spans="1:53">
      <c r="A342" s="166" t="s">
        <v>317</v>
      </c>
      <c r="B342" s="167" t="s">
        <v>385</v>
      </c>
      <c r="C342" s="168"/>
      <c r="D342" s="169">
        <v>200004</v>
      </c>
      <c r="E342" s="169">
        <v>3</v>
      </c>
      <c r="F342" s="29" t="s">
        <v>75</v>
      </c>
      <c r="G342" s="16" t="s">
        <v>75</v>
      </c>
      <c r="H342" s="27"/>
      <c r="I342" s="26"/>
      <c r="J342" s="27">
        <v>109408</v>
      </c>
      <c r="K342" s="26">
        <v>109981</v>
      </c>
      <c r="L342" s="27">
        <v>16411</v>
      </c>
      <c r="M342" s="109">
        <v>17951</v>
      </c>
      <c r="N342" s="27">
        <v>118776</v>
      </c>
      <c r="O342" s="26">
        <v>124657</v>
      </c>
      <c r="P342" s="64">
        <f t="shared" si="72"/>
        <v>244595</v>
      </c>
      <c r="Q342" s="65">
        <f t="shared" si="73"/>
        <v>8153.166666666667</v>
      </c>
      <c r="R342" s="66">
        <f t="shared" si="74"/>
        <v>252589</v>
      </c>
      <c r="S342" s="67">
        <f t="shared" si="75"/>
        <v>8419.6333333333332</v>
      </c>
      <c r="T342" s="27">
        <v>0</v>
      </c>
      <c r="U342" s="26">
        <v>0</v>
      </c>
      <c r="V342" s="64">
        <f t="shared" si="76"/>
        <v>244595</v>
      </c>
      <c r="W342" s="68">
        <f t="shared" si="77"/>
        <v>252589</v>
      </c>
      <c r="X342" s="27"/>
      <c r="Y342" s="26"/>
      <c r="Z342" s="27"/>
      <c r="AA342" s="26"/>
      <c r="AB342" s="27"/>
      <c r="AC342" s="26"/>
      <c r="AD342" s="27"/>
      <c r="AE342" s="26"/>
      <c r="AF342" s="64">
        <f t="shared" si="78"/>
        <v>0</v>
      </c>
      <c r="AG342" s="65">
        <f t="shared" si="79"/>
        <v>0</v>
      </c>
      <c r="AH342" s="66">
        <f t="shared" si="80"/>
        <v>0</v>
      </c>
      <c r="AI342" s="66">
        <f t="shared" si="81"/>
        <v>0</v>
      </c>
      <c r="AJ342" s="27"/>
      <c r="AK342" s="26"/>
      <c r="AL342" s="64">
        <f t="shared" si="82"/>
        <v>0</v>
      </c>
      <c r="AM342" s="67">
        <f t="shared" si="83"/>
        <v>0</v>
      </c>
      <c r="AN342" s="27"/>
      <c r="AO342" s="26"/>
      <c r="AP342" s="27">
        <v>11889</v>
      </c>
      <c r="AQ342" s="109">
        <v>11235</v>
      </c>
      <c r="AR342" s="27">
        <v>5604</v>
      </c>
      <c r="AS342" s="109">
        <v>5068</v>
      </c>
      <c r="AT342" s="27">
        <v>11964</v>
      </c>
      <c r="AU342" s="109">
        <v>12946</v>
      </c>
      <c r="AV342" s="64">
        <f t="shared" si="84"/>
        <v>29457</v>
      </c>
      <c r="AW342" s="70">
        <f t="shared" si="85"/>
        <v>1227.375</v>
      </c>
      <c r="AX342" s="66">
        <f t="shared" si="86"/>
        <v>29249</v>
      </c>
      <c r="AY342" s="71">
        <f t="shared" si="87"/>
        <v>1218.7083333333333</v>
      </c>
      <c r="AZ342" s="72">
        <f t="shared" si="88"/>
        <v>9380.5416666666679</v>
      </c>
      <c r="BA342" s="66">
        <f t="shared" si="89"/>
        <v>9638.3416666666672</v>
      </c>
    </row>
    <row r="343" spans="1:53">
      <c r="A343" s="166" t="s">
        <v>317</v>
      </c>
      <c r="B343" s="167" t="s">
        <v>386</v>
      </c>
      <c r="C343" s="168"/>
      <c r="D343" s="169">
        <v>198543</v>
      </c>
      <c r="E343" s="169">
        <v>4</v>
      </c>
      <c r="F343" s="29" t="s">
        <v>75</v>
      </c>
      <c r="G343" s="16" t="s">
        <v>75</v>
      </c>
      <c r="H343" s="27"/>
      <c r="I343" s="26"/>
      <c r="J343" s="27">
        <v>63646</v>
      </c>
      <c r="K343" s="26">
        <v>62358</v>
      </c>
      <c r="L343" s="27">
        <v>19479</v>
      </c>
      <c r="M343" s="109">
        <v>17171</v>
      </c>
      <c r="N343" s="27">
        <v>68258</v>
      </c>
      <c r="O343" s="26">
        <v>68439</v>
      </c>
      <c r="P343" s="64">
        <f t="shared" si="72"/>
        <v>151383</v>
      </c>
      <c r="Q343" s="65">
        <f t="shared" si="73"/>
        <v>5046.1000000000004</v>
      </c>
      <c r="R343" s="66">
        <f t="shared" si="74"/>
        <v>147968</v>
      </c>
      <c r="S343" s="67">
        <f t="shared" si="75"/>
        <v>4932.2666666666664</v>
      </c>
      <c r="T343" s="27">
        <v>2693</v>
      </c>
      <c r="U343" s="109">
        <v>7389</v>
      </c>
      <c r="V343" s="64">
        <f t="shared" si="76"/>
        <v>151383</v>
      </c>
      <c r="W343" s="68">
        <f t="shared" si="77"/>
        <v>147968</v>
      </c>
      <c r="X343" s="27"/>
      <c r="Y343" s="26"/>
      <c r="Z343" s="27"/>
      <c r="AA343" s="26"/>
      <c r="AB343" s="27"/>
      <c r="AC343" s="26"/>
      <c r="AD343" s="27"/>
      <c r="AE343" s="26"/>
      <c r="AF343" s="64">
        <f t="shared" si="78"/>
        <v>0</v>
      </c>
      <c r="AG343" s="65">
        <f t="shared" si="79"/>
        <v>0</v>
      </c>
      <c r="AH343" s="66">
        <f t="shared" si="80"/>
        <v>0</v>
      </c>
      <c r="AI343" s="66">
        <f t="shared" si="81"/>
        <v>0</v>
      </c>
      <c r="AJ343" s="27"/>
      <c r="AK343" s="26"/>
      <c r="AL343" s="64">
        <f t="shared" si="82"/>
        <v>0</v>
      </c>
      <c r="AM343" s="67">
        <f t="shared" si="83"/>
        <v>0</v>
      </c>
      <c r="AN343" s="27"/>
      <c r="AO343" s="26"/>
      <c r="AP343" s="27">
        <v>4488</v>
      </c>
      <c r="AQ343" s="109">
        <v>5039</v>
      </c>
      <c r="AR343" s="27">
        <v>1476</v>
      </c>
      <c r="AS343" s="109">
        <v>1719</v>
      </c>
      <c r="AT343" s="27">
        <v>4134</v>
      </c>
      <c r="AU343" s="109">
        <v>5769</v>
      </c>
      <c r="AV343" s="64">
        <f t="shared" si="84"/>
        <v>10098</v>
      </c>
      <c r="AW343" s="70">
        <f t="shared" si="85"/>
        <v>420.75</v>
      </c>
      <c r="AX343" s="66">
        <f t="shared" si="86"/>
        <v>12527</v>
      </c>
      <c r="AY343" s="71">
        <f t="shared" si="87"/>
        <v>521.95833333333337</v>
      </c>
      <c r="AZ343" s="72">
        <f t="shared" si="88"/>
        <v>5466.85</v>
      </c>
      <c r="BA343" s="66">
        <f t="shared" si="89"/>
        <v>5454.2249999999995</v>
      </c>
    </row>
    <row r="344" spans="1:53">
      <c r="A344" s="166" t="s">
        <v>317</v>
      </c>
      <c r="B344" s="167" t="s">
        <v>387</v>
      </c>
      <c r="C344" s="168"/>
      <c r="D344" s="169">
        <v>199281</v>
      </c>
      <c r="E344" s="169">
        <v>5</v>
      </c>
      <c r="F344" s="29" t="s">
        <v>75</v>
      </c>
      <c r="G344" s="16" t="s">
        <v>75</v>
      </c>
      <c r="H344" s="27"/>
      <c r="I344" s="26"/>
      <c r="J344" s="27">
        <v>62841</v>
      </c>
      <c r="K344" s="109">
        <v>66318</v>
      </c>
      <c r="L344" s="27">
        <v>15883</v>
      </c>
      <c r="M344" s="109">
        <v>14891</v>
      </c>
      <c r="N344" s="27">
        <v>73285</v>
      </c>
      <c r="O344" s="26">
        <v>71548</v>
      </c>
      <c r="P344" s="64">
        <f t="shared" si="72"/>
        <v>152009</v>
      </c>
      <c r="Q344" s="65">
        <f t="shared" si="73"/>
        <v>5066.9666666666662</v>
      </c>
      <c r="R344" s="66">
        <f t="shared" si="74"/>
        <v>152757</v>
      </c>
      <c r="S344" s="67">
        <f t="shared" si="75"/>
        <v>5091.8999999999996</v>
      </c>
      <c r="T344" s="27">
        <v>0</v>
      </c>
      <c r="U344" s="26">
        <v>0</v>
      </c>
      <c r="V344" s="64">
        <f t="shared" si="76"/>
        <v>152009</v>
      </c>
      <c r="W344" s="68">
        <f t="shared" si="77"/>
        <v>152757</v>
      </c>
      <c r="X344" s="27"/>
      <c r="Y344" s="26"/>
      <c r="Z344" s="27"/>
      <c r="AA344" s="26"/>
      <c r="AB344" s="27"/>
      <c r="AC344" s="26"/>
      <c r="AD344" s="27"/>
      <c r="AE344" s="26"/>
      <c r="AF344" s="64">
        <f t="shared" si="78"/>
        <v>0</v>
      </c>
      <c r="AG344" s="65">
        <f t="shared" si="79"/>
        <v>0</v>
      </c>
      <c r="AH344" s="66">
        <f t="shared" si="80"/>
        <v>0</v>
      </c>
      <c r="AI344" s="66">
        <f t="shared" si="81"/>
        <v>0</v>
      </c>
      <c r="AJ344" s="27"/>
      <c r="AK344" s="26"/>
      <c r="AL344" s="64">
        <f t="shared" si="82"/>
        <v>0</v>
      </c>
      <c r="AM344" s="67">
        <f t="shared" si="83"/>
        <v>0</v>
      </c>
      <c r="AN344" s="27"/>
      <c r="AO344" s="26"/>
      <c r="AP344" s="27">
        <v>4824</v>
      </c>
      <c r="AQ344" s="26">
        <v>4689</v>
      </c>
      <c r="AR344" s="27">
        <v>2725</v>
      </c>
      <c r="AS344" s="26">
        <v>2851</v>
      </c>
      <c r="AT344" s="27">
        <v>5008</v>
      </c>
      <c r="AU344" s="26">
        <v>4874</v>
      </c>
      <c r="AV344" s="64">
        <f t="shared" si="84"/>
        <v>12557</v>
      </c>
      <c r="AW344" s="70">
        <f t="shared" si="85"/>
        <v>523.20833333333337</v>
      </c>
      <c r="AX344" s="66">
        <f t="shared" si="86"/>
        <v>12414</v>
      </c>
      <c r="AY344" s="71">
        <f t="shared" si="87"/>
        <v>517.25</v>
      </c>
      <c r="AZ344" s="72">
        <f t="shared" si="88"/>
        <v>5590.1749999999993</v>
      </c>
      <c r="BA344" s="66">
        <f t="shared" si="89"/>
        <v>5609.15</v>
      </c>
    </row>
    <row r="345" spans="1:53">
      <c r="A345" s="166" t="s">
        <v>317</v>
      </c>
      <c r="B345" s="167" t="s">
        <v>388</v>
      </c>
      <c r="C345" s="168"/>
      <c r="D345" s="169">
        <v>199999</v>
      </c>
      <c r="E345" s="169">
        <v>5</v>
      </c>
      <c r="F345" s="29" t="s">
        <v>75</v>
      </c>
      <c r="G345" s="16" t="s">
        <v>75</v>
      </c>
      <c r="H345" s="27"/>
      <c r="I345" s="26"/>
      <c r="J345" s="27">
        <v>56953</v>
      </c>
      <c r="K345" s="26">
        <v>59213</v>
      </c>
      <c r="L345" s="27">
        <v>9755</v>
      </c>
      <c r="M345" s="109">
        <v>9135</v>
      </c>
      <c r="N345" s="27">
        <v>62494</v>
      </c>
      <c r="O345" s="26">
        <v>64636</v>
      </c>
      <c r="P345" s="64">
        <f t="shared" si="72"/>
        <v>129202</v>
      </c>
      <c r="Q345" s="65">
        <f t="shared" si="73"/>
        <v>4306.7333333333336</v>
      </c>
      <c r="R345" s="66">
        <f t="shared" si="74"/>
        <v>132984</v>
      </c>
      <c r="S345" s="67">
        <f t="shared" si="75"/>
        <v>4432.8</v>
      </c>
      <c r="T345" s="27">
        <v>0</v>
      </c>
      <c r="U345" s="26">
        <v>0</v>
      </c>
      <c r="V345" s="64">
        <f t="shared" si="76"/>
        <v>129202</v>
      </c>
      <c r="W345" s="68">
        <f t="shared" si="77"/>
        <v>132984</v>
      </c>
      <c r="X345" s="27"/>
      <c r="Y345" s="26"/>
      <c r="Z345" s="27"/>
      <c r="AA345" s="26"/>
      <c r="AB345" s="27"/>
      <c r="AC345" s="26"/>
      <c r="AD345" s="27"/>
      <c r="AE345" s="26"/>
      <c r="AF345" s="64">
        <f t="shared" si="78"/>
        <v>0</v>
      </c>
      <c r="AG345" s="65">
        <f t="shared" si="79"/>
        <v>0</v>
      </c>
      <c r="AH345" s="66">
        <f t="shared" si="80"/>
        <v>0</v>
      </c>
      <c r="AI345" s="66">
        <f t="shared" si="81"/>
        <v>0</v>
      </c>
      <c r="AJ345" s="27"/>
      <c r="AK345" s="26"/>
      <c r="AL345" s="64">
        <f t="shared" si="82"/>
        <v>0</v>
      </c>
      <c r="AM345" s="67">
        <f t="shared" si="83"/>
        <v>0</v>
      </c>
      <c r="AN345" s="27"/>
      <c r="AO345" s="26"/>
      <c r="AP345" s="27">
        <v>3978</v>
      </c>
      <c r="AQ345" s="109">
        <v>4261</v>
      </c>
      <c r="AR345" s="27">
        <v>1982</v>
      </c>
      <c r="AS345" s="109">
        <v>2126</v>
      </c>
      <c r="AT345" s="27">
        <v>4203</v>
      </c>
      <c r="AU345" s="109">
        <v>3975</v>
      </c>
      <c r="AV345" s="64">
        <f t="shared" si="84"/>
        <v>10163</v>
      </c>
      <c r="AW345" s="70">
        <f t="shared" si="85"/>
        <v>423.45833333333331</v>
      </c>
      <c r="AX345" s="66">
        <f t="shared" si="86"/>
        <v>10362</v>
      </c>
      <c r="AY345" s="71">
        <f t="shared" si="87"/>
        <v>431.75</v>
      </c>
      <c r="AZ345" s="72">
        <f t="shared" si="88"/>
        <v>4730.1916666666666</v>
      </c>
      <c r="BA345" s="66">
        <f t="shared" si="89"/>
        <v>4864.55</v>
      </c>
    </row>
    <row r="346" spans="1:53">
      <c r="A346" s="166" t="s">
        <v>317</v>
      </c>
      <c r="B346" s="167" t="s">
        <v>389</v>
      </c>
      <c r="C346" s="168"/>
      <c r="D346" s="169">
        <v>198507</v>
      </c>
      <c r="E346" s="169">
        <v>6</v>
      </c>
      <c r="F346" s="29" t="s">
        <v>75</v>
      </c>
      <c r="G346" s="16" t="s">
        <v>75</v>
      </c>
      <c r="H346" s="27"/>
      <c r="I346" s="26"/>
      <c r="J346" s="27">
        <v>22900</v>
      </c>
      <c r="K346" s="109">
        <v>21105</v>
      </c>
      <c r="L346" s="27">
        <v>4290</v>
      </c>
      <c r="M346" s="109">
        <v>3492</v>
      </c>
      <c r="N346" s="27">
        <v>21968</v>
      </c>
      <c r="O346" s="109">
        <v>18738</v>
      </c>
      <c r="P346" s="64">
        <f t="shared" si="72"/>
        <v>49158</v>
      </c>
      <c r="Q346" s="65">
        <f t="shared" si="73"/>
        <v>1638.6</v>
      </c>
      <c r="R346" s="66">
        <f t="shared" si="74"/>
        <v>43335</v>
      </c>
      <c r="S346" s="67">
        <f t="shared" si="75"/>
        <v>1444.5</v>
      </c>
      <c r="T346" s="27">
        <v>0</v>
      </c>
      <c r="U346" s="26">
        <v>0</v>
      </c>
      <c r="V346" s="64">
        <f t="shared" si="76"/>
        <v>49158</v>
      </c>
      <c r="W346" s="68">
        <f t="shared" si="77"/>
        <v>43335</v>
      </c>
      <c r="X346" s="27"/>
      <c r="Y346" s="26"/>
      <c r="Z346" s="27"/>
      <c r="AA346" s="26"/>
      <c r="AB346" s="27"/>
      <c r="AC346" s="26"/>
      <c r="AD346" s="27"/>
      <c r="AE346" s="26"/>
      <c r="AF346" s="64">
        <f t="shared" si="78"/>
        <v>0</v>
      </c>
      <c r="AG346" s="65">
        <f t="shared" si="79"/>
        <v>0</v>
      </c>
      <c r="AH346" s="66">
        <f t="shared" si="80"/>
        <v>0</v>
      </c>
      <c r="AI346" s="66">
        <f t="shared" si="81"/>
        <v>0</v>
      </c>
      <c r="AJ346" s="27"/>
      <c r="AK346" s="26"/>
      <c r="AL346" s="64">
        <f t="shared" si="82"/>
        <v>0</v>
      </c>
      <c r="AM346" s="67">
        <f t="shared" si="83"/>
        <v>0</v>
      </c>
      <c r="AN346" s="27"/>
      <c r="AO346" s="26"/>
      <c r="AP346" s="27">
        <v>378</v>
      </c>
      <c r="AQ346" s="109">
        <v>228</v>
      </c>
      <c r="AR346" s="27">
        <v>190</v>
      </c>
      <c r="AS346" s="109">
        <v>124</v>
      </c>
      <c r="AT346" s="27">
        <v>248</v>
      </c>
      <c r="AU346" s="109">
        <v>314</v>
      </c>
      <c r="AV346" s="64">
        <f t="shared" si="84"/>
        <v>816</v>
      </c>
      <c r="AW346" s="70">
        <f t="shared" si="85"/>
        <v>34</v>
      </c>
      <c r="AX346" s="66">
        <f t="shared" si="86"/>
        <v>666</v>
      </c>
      <c r="AY346" s="71">
        <f t="shared" si="87"/>
        <v>27.75</v>
      </c>
      <c r="AZ346" s="72">
        <f t="shared" si="88"/>
        <v>1672.6</v>
      </c>
      <c r="BA346" s="66">
        <f t="shared" si="89"/>
        <v>1472.25</v>
      </c>
    </row>
    <row r="347" spans="1:53">
      <c r="A347" s="166" t="s">
        <v>317</v>
      </c>
      <c r="B347" s="167" t="s">
        <v>390</v>
      </c>
      <c r="C347" s="168"/>
      <c r="D347" s="169">
        <v>199111</v>
      </c>
      <c r="E347" s="169">
        <v>6</v>
      </c>
      <c r="F347" s="29" t="s">
        <v>75</v>
      </c>
      <c r="G347" s="16" t="s">
        <v>75</v>
      </c>
      <c r="H347" s="27"/>
      <c r="I347" s="26"/>
      <c r="J347" s="27">
        <v>46573</v>
      </c>
      <c r="K347" s="26">
        <v>48083</v>
      </c>
      <c r="L347" s="27">
        <v>4625</v>
      </c>
      <c r="M347" s="26">
        <v>4485</v>
      </c>
      <c r="N347" s="27">
        <v>51674</v>
      </c>
      <c r="O347" s="26">
        <v>50775</v>
      </c>
      <c r="P347" s="64">
        <f t="shared" si="72"/>
        <v>102872</v>
      </c>
      <c r="Q347" s="65">
        <f t="shared" si="73"/>
        <v>3429.0666666666666</v>
      </c>
      <c r="R347" s="66">
        <f t="shared" si="74"/>
        <v>103343</v>
      </c>
      <c r="S347" s="67">
        <f t="shared" si="75"/>
        <v>3444.7666666666669</v>
      </c>
      <c r="T347" s="27">
        <v>0</v>
      </c>
      <c r="U347" s="26">
        <v>0</v>
      </c>
      <c r="V347" s="64">
        <f t="shared" si="76"/>
        <v>102872</v>
      </c>
      <c r="W347" s="68">
        <f t="shared" si="77"/>
        <v>103343</v>
      </c>
      <c r="X347" s="27"/>
      <c r="Y347" s="26"/>
      <c r="Z347" s="27"/>
      <c r="AA347" s="26"/>
      <c r="AB347" s="27"/>
      <c r="AC347" s="26"/>
      <c r="AD347" s="27"/>
      <c r="AE347" s="26"/>
      <c r="AF347" s="64">
        <f t="shared" si="78"/>
        <v>0</v>
      </c>
      <c r="AG347" s="65">
        <f t="shared" si="79"/>
        <v>0</v>
      </c>
      <c r="AH347" s="66">
        <f t="shared" si="80"/>
        <v>0</v>
      </c>
      <c r="AI347" s="66">
        <f t="shared" si="81"/>
        <v>0</v>
      </c>
      <c r="AJ347" s="27"/>
      <c r="AK347" s="26"/>
      <c r="AL347" s="64">
        <f t="shared" si="82"/>
        <v>0</v>
      </c>
      <c r="AM347" s="67">
        <f t="shared" si="83"/>
        <v>0</v>
      </c>
      <c r="AN347" s="27"/>
      <c r="AO347" s="26"/>
      <c r="AP347" s="27">
        <v>159</v>
      </c>
      <c r="AQ347" s="109">
        <v>126</v>
      </c>
      <c r="AR347" s="27">
        <v>3</v>
      </c>
      <c r="AS347" s="109">
        <v>11</v>
      </c>
      <c r="AT347" s="27">
        <v>179</v>
      </c>
      <c r="AU347" s="109">
        <v>120</v>
      </c>
      <c r="AV347" s="64">
        <f t="shared" si="84"/>
        <v>341</v>
      </c>
      <c r="AW347" s="70">
        <f t="shared" si="85"/>
        <v>14.208333333333334</v>
      </c>
      <c r="AX347" s="66">
        <f t="shared" si="86"/>
        <v>257</v>
      </c>
      <c r="AY347" s="71">
        <f t="shared" si="87"/>
        <v>10.708333333333334</v>
      </c>
      <c r="AZ347" s="72">
        <f t="shared" si="88"/>
        <v>3443.2750000000001</v>
      </c>
      <c r="BA347" s="66">
        <f t="shared" si="89"/>
        <v>3455.4750000000004</v>
      </c>
    </row>
    <row r="348" spans="1:53" s="54" customFormat="1" ht="13.5" customHeight="1">
      <c r="A348" s="22" t="s">
        <v>391</v>
      </c>
      <c r="B348" s="171" t="s">
        <v>392</v>
      </c>
      <c r="C348" s="31"/>
      <c r="D348" s="30">
        <v>365374</v>
      </c>
      <c r="E348" s="30">
        <v>12</v>
      </c>
      <c r="F348" s="29" t="s">
        <v>75</v>
      </c>
      <c r="G348" s="16"/>
      <c r="H348" s="27"/>
      <c r="I348" s="26"/>
      <c r="J348" s="27"/>
      <c r="K348" s="26"/>
      <c r="L348" s="27"/>
      <c r="M348" s="26"/>
      <c r="N348" s="27"/>
      <c r="O348" s="26"/>
      <c r="P348" s="64">
        <f t="shared" si="72"/>
        <v>0</v>
      </c>
      <c r="Q348" s="65">
        <f t="shared" si="73"/>
        <v>0</v>
      </c>
      <c r="R348" s="66">
        <f t="shared" si="74"/>
        <v>0</v>
      </c>
      <c r="S348" s="67">
        <f t="shared" si="75"/>
        <v>0</v>
      </c>
      <c r="T348" s="27"/>
      <c r="U348" s="26"/>
      <c r="V348" s="64">
        <f t="shared" si="76"/>
        <v>0</v>
      </c>
      <c r="W348" s="68">
        <f t="shared" si="77"/>
        <v>0</v>
      </c>
      <c r="X348" s="27"/>
      <c r="Y348" s="26"/>
      <c r="Z348" s="27"/>
      <c r="AA348" s="26"/>
      <c r="AB348" s="27"/>
      <c r="AC348" s="26"/>
      <c r="AD348" s="27">
        <v>944778.75</v>
      </c>
      <c r="AE348" s="26">
        <v>931535</v>
      </c>
      <c r="AF348" s="64">
        <f t="shared" si="78"/>
        <v>944778.75</v>
      </c>
      <c r="AG348" s="65">
        <f t="shared" si="79"/>
        <v>1049.7541666666666</v>
      </c>
      <c r="AH348" s="66">
        <f t="shared" si="80"/>
        <v>931535</v>
      </c>
      <c r="AI348" s="66">
        <f t="shared" si="81"/>
        <v>1035.0388888888888</v>
      </c>
      <c r="AJ348" s="27"/>
      <c r="AK348" s="26"/>
      <c r="AL348" s="64">
        <f t="shared" si="82"/>
        <v>0</v>
      </c>
      <c r="AM348" s="67">
        <f t="shared" si="83"/>
        <v>0</v>
      </c>
      <c r="AN348" s="27"/>
      <c r="AO348" s="26"/>
      <c r="AP348" s="27"/>
      <c r="AQ348" s="26"/>
      <c r="AR348" s="27"/>
      <c r="AS348" s="26"/>
      <c r="AT348" s="27"/>
      <c r="AU348" s="26"/>
      <c r="AV348" s="64">
        <f t="shared" si="84"/>
        <v>0</v>
      </c>
      <c r="AW348" s="70">
        <f t="shared" si="85"/>
        <v>0</v>
      </c>
      <c r="AX348" s="66">
        <f t="shared" si="86"/>
        <v>0</v>
      </c>
      <c r="AY348" s="71">
        <f t="shared" si="87"/>
        <v>0</v>
      </c>
      <c r="AZ348" s="72">
        <f t="shared" si="88"/>
        <v>1049.7541666666666</v>
      </c>
      <c r="BA348" s="66">
        <f t="shared" si="89"/>
        <v>1035.0388888888888</v>
      </c>
    </row>
    <row r="349" spans="1:53">
      <c r="A349" s="22" t="s">
        <v>391</v>
      </c>
      <c r="B349" s="32" t="s">
        <v>393</v>
      </c>
      <c r="C349" s="31"/>
      <c r="D349" s="30">
        <v>245999</v>
      </c>
      <c r="E349" s="30">
        <v>12</v>
      </c>
      <c r="F349" s="29" t="s">
        <v>75</v>
      </c>
      <c r="G349" s="16"/>
      <c r="H349" s="27"/>
      <c r="I349" s="26"/>
      <c r="J349" s="27"/>
      <c r="K349" s="26"/>
      <c r="L349" s="27"/>
      <c r="M349" s="26"/>
      <c r="N349" s="27"/>
      <c r="O349" s="26"/>
      <c r="P349" s="64">
        <f t="shared" si="72"/>
        <v>0</v>
      </c>
      <c r="Q349" s="65">
        <f t="shared" si="73"/>
        <v>0</v>
      </c>
      <c r="R349" s="66">
        <f t="shared" si="74"/>
        <v>0</v>
      </c>
      <c r="S349" s="67">
        <f t="shared" si="75"/>
        <v>0</v>
      </c>
      <c r="T349" s="27"/>
      <c r="U349" s="26"/>
      <c r="V349" s="64">
        <f t="shared" si="76"/>
        <v>0</v>
      </c>
      <c r="W349" s="68">
        <f t="shared" si="77"/>
        <v>0</v>
      </c>
      <c r="X349" s="27"/>
      <c r="Y349" s="26"/>
      <c r="Z349" s="27"/>
      <c r="AA349" s="26"/>
      <c r="AB349" s="27"/>
      <c r="AC349" s="26"/>
      <c r="AD349" s="27">
        <v>1635128.74</v>
      </c>
      <c r="AE349" s="26">
        <v>1646011.5</v>
      </c>
      <c r="AF349" s="64">
        <f t="shared" si="78"/>
        <v>1635128.74</v>
      </c>
      <c r="AG349" s="65">
        <f t="shared" si="79"/>
        <v>1816.809711111111</v>
      </c>
      <c r="AH349" s="66">
        <f t="shared" si="80"/>
        <v>1646011.5</v>
      </c>
      <c r="AI349" s="66">
        <f t="shared" si="81"/>
        <v>1828.9016666666666</v>
      </c>
      <c r="AJ349" s="27"/>
      <c r="AK349" s="26"/>
      <c r="AL349" s="64">
        <f t="shared" si="82"/>
        <v>0</v>
      </c>
      <c r="AM349" s="67">
        <f t="shared" si="83"/>
        <v>0</v>
      </c>
      <c r="AN349" s="27"/>
      <c r="AO349" s="26"/>
      <c r="AP349" s="27"/>
      <c r="AQ349" s="26"/>
      <c r="AR349" s="27"/>
      <c r="AS349" s="26"/>
      <c r="AT349" s="27"/>
      <c r="AU349" s="26"/>
      <c r="AV349" s="64">
        <f t="shared" si="84"/>
        <v>0</v>
      </c>
      <c r="AW349" s="70">
        <f t="shared" si="85"/>
        <v>0</v>
      </c>
      <c r="AX349" s="66">
        <f t="shared" si="86"/>
        <v>0</v>
      </c>
      <c r="AY349" s="71">
        <f t="shared" si="87"/>
        <v>0</v>
      </c>
      <c r="AZ349" s="72">
        <f t="shared" si="88"/>
        <v>1816.809711111111</v>
      </c>
      <c r="BA349" s="66">
        <f t="shared" si="89"/>
        <v>1828.9016666666666</v>
      </c>
    </row>
    <row r="350" spans="1:53" ht="15">
      <c r="A350" s="22" t="s">
        <v>391</v>
      </c>
      <c r="B350" s="32" t="s">
        <v>394</v>
      </c>
      <c r="C350" s="691" t="s">
        <v>987</v>
      </c>
      <c r="D350" s="30">
        <v>363165</v>
      </c>
      <c r="E350" s="30">
        <v>12</v>
      </c>
      <c r="F350" s="29" t="s">
        <v>75</v>
      </c>
      <c r="G350" s="16"/>
      <c r="H350" s="27"/>
      <c r="I350" s="26"/>
      <c r="J350" s="27"/>
      <c r="K350" s="26"/>
      <c r="L350" s="27"/>
      <c r="M350" s="26"/>
      <c r="N350" s="27"/>
      <c r="O350" s="26"/>
      <c r="P350" s="64">
        <f t="shared" si="72"/>
        <v>0</v>
      </c>
      <c r="Q350" s="65">
        <f t="shared" si="73"/>
        <v>0</v>
      </c>
      <c r="R350" s="66">
        <f t="shared" si="74"/>
        <v>0</v>
      </c>
      <c r="S350" s="67">
        <f t="shared" si="75"/>
        <v>0</v>
      </c>
      <c r="T350" s="27"/>
      <c r="U350" s="26"/>
      <c r="V350" s="64">
        <f t="shared" si="76"/>
        <v>0</v>
      </c>
      <c r="W350" s="68">
        <f t="shared" si="77"/>
        <v>0</v>
      </c>
      <c r="X350" s="27"/>
      <c r="Y350" s="26"/>
      <c r="Z350" s="27"/>
      <c r="AA350" s="26"/>
      <c r="AB350" s="27"/>
      <c r="AC350" s="26"/>
      <c r="AD350" s="27">
        <v>827239.3</v>
      </c>
      <c r="AE350" s="26">
        <v>820608.6</v>
      </c>
      <c r="AF350" s="64">
        <f t="shared" si="78"/>
        <v>827239.3</v>
      </c>
      <c r="AG350" s="65">
        <f t="shared" si="79"/>
        <v>919.15477777777778</v>
      </c>
      <c r="AH350" s="66">
        <f t="shared" si="80"/>
        <v>820608.6</v>
      </c>
      <c r="AI350" s="66">
        <f t="shared" si="81"/>
        <v>911.78733333333332</v>
      </c>
      <c r="AJ350" s="27"/>
      <c r="AK350" s="26"/>
      <c r="AL350" s="64">
        <f t="shared" si="82"/>
        <v>0</v>
      </c>
      <c r="AM350" s="67">
        <f t="shared" si="83"/>
        <v>0</v>
      </c>
      <c r="AN350" s="27"/>
      <c r="AO350" s="26"/>
      <c r="AP350" s="27"/>
      <c r="AQ350" s="26"/>
      <c r="AR350" s="27"/>
      <c r="AS350" s="26"/>
      <c r="AT350" s="27"/>
      <c r="AU350" s="26"/>
      <c r="AV350" s="64">
        <f t="shared" si="84"/>
        <v>0</v>
      </c>
      <c r="AW350" s="70">
        <f t="shared" si="85"/>
        <v>0</v>
      </c>
      <c r="AX350" s="66">
        <f t="shared" si="86"/>
        <v>0</v>
      </c>
      <c r="AY350" s="71">
        <f t="shared" si="87"/>
        <v>0</v>
      </c>
      <c r="AZ350" s="72">
        <f t="shared" si="88"/>
        <v>919.15477777777778</v>
      </c>
      <c r="BA350" s="66">
        <f t="shared" si="89"/>
        <v>911.78733333333332</v>
      </c>
    </row>
    <row r="351" spans="1:53">
      <c r="A351" s="22" t="s">
        <v>391</v>
      </c>
      <c r="B351" s="32" t="s">
        <v>395</v>
      </c>
      <c r="C351" s="25"/>
      <c r="D351" s="30">
        <v>261375</v>
      </c>
      <c r="E351" s="172">
        <v>12</v>
      </c>
      <c r="F351" s="29" t="s">
        <v>75</v>
      </c>
      <c r="G351" s="16"/>
      <c r="H351" s="27"/>
      <c r="I351" s="26"/>
      <c r="J351" s="27"/>
      <c r="K351" s="26"/>
      <c r="L351" s="27"/>
      <c r="M351" s="26"/>
      <c r="N351" s="27"/>
      <c r="O351" s="26"/>
      <c r="P351" s="64">
        <f t="shared" si="72"/>
        <v>0</v>
      </c>
      <c r="Q351" s="65">
        <f t="shared" si="73"/>
        <v>0</v>
      </c>
      <c r="R351" s="66">
        <f t="shared" si="74"/>
        <v>0</v>
      </c>
      <c r="S351" s="67">
        <f t="shared" si="75"/>
        <v>0</v>
      </c>
      <c r="T351" s="27"/>
      <c r="U351" s="26"/>
      <c r="V351" s="64">
        <f t="shared" si="76"/>
        <v>0</v>
      </c>
      <c r="W351" s="68">
        <f t="shared" si="77"/>
        <v>0</v>
      </c>
      <c r="X351" s="27"/>
      <c r="Y351" s="26"/>
      <c r="Z351" s="27"/>
      <c r="AA351" s="26"/>
      <c r="AB351" s="27"/>
      <c r="AC351" s="26"/>
      <c r="AD351" s="27">
        <v>903772.5</v>
      </c>
      <c r="AE351" s="109">
        <v>949790.5</v>
      </c>
      <c r="AF351" s="64">
        <f t="shared" si="78"/>
        <v>903772.5</v>
      </c>
      <c r="AG351" s="65">
        <f t="shared" si="79"/>
        <v>1004.1916666666667</v>
      </c>
      <c r="AH351" s="66">
        <f t="shared" si="80"/>
        <v>949790.5</v>
      </c>
      <c r="AI351" s="66">
        <f t="shared" si="81"/>
        <v>1055.3227777777777</v>
      </c>
      <c r="AJ351" s="27"/>
      <c r="AK351" s="26"/>
      <c r="AL351" s="64">
        <f t="shared" si="82"/>
        <v>0</v>
      </c>
      <c r="AM351" s="67">
        <f t="shared" si="83"/>
        <v>0</v>
      </c>
      <c r="AN351" s="27"/>
      <c r="AO351" s="26"/>
      <c r="AP351" s="27"/>
      <c r="AQ351" s="26"/>
      <c r="AR351" s="27"/>
      <c r="AS351" s="26"/>
      <c r="AT351" s="27"/>
      <c r="AU351" s="26"/>
      <c r="AV351" s="64">
        <f t="shared" si="84"/>
        <v>0</v>
      </c>
      <c r="AW351" s="70">
        <f t="shared" si="85"/>
        <v>0</v>
      </c>
      <c r="AX351" s="66">
        <f t="shared" si="86"/>
        <v>0</v>
      </c>
      <c r="AY351" s="71">
        <f t="shared" si="87"/>
        <v>0</v>
      </c>
      <c r="AZ351" s="72">
        <f t="shared" si="88"/>
        <v>1004.1916666666667</v>
      </c>
      <c r="BA351" s="66">
        <f t="shared" si="89"/>
        <v>1055.3227777777777</v>
      </c>
    </row>
    <row r="352" spans="1:53">
      <c r="A352" s="22" t="s">
        <v>391</v>
      </c>
      <c r="B352" s="32" t="s">
        <v>396</v>
      </c>
      <c r="C352" s="31"/>
      <c r="D352" s="30">
        <v>365213</v>
      </c>
      <c r="E352" s="30">
        <v>13</v>
      </c>
      <c r="F352" s="29" t="s">
        <v>75</v>
      </c>
      <c r="G352" s="16"/>
      <c r="H352" s="27"/>
      <c r="I352" s="26"/>
      <c r="J352" s="27"/>
      <c r="K352" s="26"/>
      <c r="L352" s="27"/>
      <c r="M352" s="26"/>
      <c r="N352" s="27"/>
      <c r="O352" s="26"/>
      <c r="P352" s="64">
        <f t="shared" si="72"/>
        <v>0</v>
      </c>
      <c r="Q352" s="65">
        <f t="shared" si="73"/>
        <v>0</v>
      </c>
      <c r="R352" s="66">
        <f t="shared" si="74"/>
        <v>0</v>
      </c>
      <c r="S352" s="67">
        <f t="shared" si="75"/>
        <v>0</v>
      </c>
      <c r="T352" s="27"/>
      <c r="U352" s="26"/>
      <c r="V352" s="64">
        <f t="shared" si="76"/>
        <v>0</v>
      </c>
      <c r="W352" s="68">
        <f t="shared" si="77"/>
        <v>0</v>
      </c>
      <c r="X352" s="27"/>
      <c r="Y352" s="26"/>
      <c r="Z352" s="27"/>
      <c r="AA352" s="26"/>
      <c r="AB352" s="27"/>
      <c r="AC352" s="26"/>
      <c r="AD352" s="27">
        <v>512368.79</v>
      </c>
      <c r="AE352" s="109">
        <v>473773.35</v>
      </c>
      <c r="AF352" s="64">
        <f t="shared" si="78"/>
        <v>512368.79</v>
      </c>
      <c r="AG352" s="65">
        <f t="shared" si="79"/>
        <v>569.29865555555557</v>
      </c>
      <c r="AH352" s="66">
        <f t="shared" si="80"/>
        <v>473773.35</v>
      </c>
      <c r="AI352" s="66">
        <f t="shared" si="81"/>
        <v>526.41483333333326</v>
      </c>
      <c r="AJ352" s="27"/>
      <c r="AK352" s="26"/>
      <c r="AL352" s="64">
        <f t="shared" si="82"/>
        <v>0</v>
      </c>
      <c r="AM352" s="67">
        <f t="shared" si="83"/>
        <v>0</v>
      </c>
      <c r="AN352" s="27"/>
      <c r="AO352" s="26"/>
      <c r="AP352" s="27"/>
      <c r="AQ352" s="26"/>
      <c r="AR352" s="27"/>
      <c r="AS352" s="26"/>
      <c r="AT352" s="27"/>
      <c r="AU352" s="26"/>
      <c r="AV352" s="64">
        <f t="shared" si="84"/>
        <v>0</v>
      </c>
      <c r="AW352" s="70">
        <f t="shared" si="85"/>
        <v>0</v>
      </c>
      <c r="AX352" s="66">
        <f t="shared" si="86"/>
        <v>0</v>
      </c>
      <c r="AY352" s="71">
        <f t="shared" si="87"/>
        <v>0</v>
      </c>
      <c r="AZ352" s="72">
        <f t="shared" si="88"/>
        <v>569.29865555555557</v>
      </c>
      <c r="BA352" s="66">
        <f t="shared" si="89"/>
        <v>526.41483333333326</v>
      </c>
    </row>
    <row r="353" spans="1:53">
      <c r="A353" s="22" t="s">
        <v>391</v>
      </c>
      <c r="B353" s="32" t="s">
        <v>397</v>
      </c>
      <c r="C353" s="31"/>
      <c r="D353" s="30">
        <v>364946</v>
      </c>
      <c r="E353" s="30">
        <v>13</v>
      </c>
      <c r="F353" s="29" t="s">
        <v>75</v>
      </c>
      <c r="G353" s="16"/>
      <c r="H353" s="27"/>
      <c r="I353" s="26"/>
      <c r="J353" s="27"/>
      <c r="K353" s="26"/>
      <c r="L353" s="27"/>
      <c r="M353" s="26"/>
      <c r="N353" s="27"/>
      <c r="O353" s="26"/>
      <c r="P353" s="64">
        <f t="shared" si="72"/>
        <v>0</v>
      </c>
      <c r="Q353" s="65">
        <f t="shared" si="73"/>
        <v>0</v>
      </c>
      <c r="R353" s="66">
        <f t="shared" si="74"/>
        <v>0</v>
      </c>
      <c r="S353" s="67">
        <f t="shared" si="75"/>
        <v>0</v>
      </c>
      <c r="T353" s="27"/>
      <c r="U353" s="26"/>
      <c r="V353" s="64">
        <f t="shared" si="76"/>
        <v>0</v>
      </c>
      <c r="W353" s="68">
        <f t="shared" si="77"/>
        <v>0</v>
      </c>
      <c r="X353" s="27"/>
      <c r="Y353" s="26"/>
      <c r="Z353" s="27"/>
      <c r="AA353" s="26"/>
      <c r="AB353" s="27"/>
      <c r="AC353" s="26"/>
      <c r="AD353" s="27">
        <v>326203.46000000002</v>
      </c>
      <c r="AE353" s="109">
        <v>289322.03999999998</v>
      </c>
      <c r="AF353" s="64">
        <f t="shared" si="78"/>
        <v>326203.46000000002</v>
      </c>
      <c r="AG353" s="65">
        <f t="shared" si="79"/>
        <v>362.4482888888889</v>
      </c>
      <c r="AH353" s="66">
        <f t="shared" si="80"/>
        <v>289322.03999999998</v>
      </c>
      <c r="AI353" s="66">
        <f t="shared" si="81"/>
        <v>321.46893333333333</v>
      </c>
      <c r="AJ353" s="27"/>
      <c r="AK353" s="26"/>
      <c r="AL353" s="64">
        <f t="shared" si="82"/>
        <v>0</v>
      </c>
      <c r="AM353" s="67">
        <f t="shared" si="83"/>
        <v>0</v>
      </c>
      <c r="AN353" s="27"/>
      <c r="AO353" s="26"/>
      <c r="AP353" s="27"/>
      <c r="AQ353" s="26"/>
      <c r="AR353" s="27"/>
      <c r="AS353" s="26"/>
      <c r="AT353" s="27"/>
      <c r="AU353" s="26"/>
      <c r="AV353" s="64">
        <f t="shared" si="84"/>
        <v>0</v>
      </c>
      <c r="AW353" s="70">
        <f t="shared" si="85"/>
        <v>0</v>
      </c>
      <c r="AX353" s="66">
        <f t="shared" si="86"/>
        <v>0</v>
      </c>
      <c r="AY353" s="71">
        <f t="shared" si="87"/>
        <v>0</v>
      </c>
      <c r="AZ353" s="72">
        <f t="shared" si="88"/>
        <v>362.4482888888889</v>
      </c>
      <c r="BA353" s="66">
        <f t="shared" si="89"/>
        <v>321.46893333333333</v>
      </c>
    </row>
    <row r="354" spans="1:53">
      <c r="A354" s="22" t="s">
        <v>391</v>
      </c>
      <c r="B354" s="32" t="s">
        <v>398</v>
      </c>
      <c r="C354" s="31"/>
      <c r="D354" s="30">
        <v>246017</v>
      </c>
      <c r="E354" s="30">
        <v>13</v>
      </c>
      <c r="F354" s="29" t="s">
        <v>75</v>
      </c>
      <c r="G354" s="16"/>
      <c r="H354" s="27"/>
      <c r="I354" s="26"/>
      <c r="J354" s="27"/>
      <c r="K354" s="26"/>
      <c r="L354" s="27"/>
      <c r="M354" s="26"/>
      <c r="N354" s="27"/>
      <c r="O354" s="26"/>
      <c r="P354" s="64">
        <f t="shared" si="72"/>
        <v>0</v>
      </c>
      <c r="Q354" s="65">
        <f t="shared" si="73"/>
        <v>0</v>
      </c>
      <c r="R354" s="66">
        <f t="shared" si="74"/>
        <v>0</v>
      </c>
      <c r="S354" s="67">
        <f t="shared" si="75"/>
        <v>0</v>
      </c>
      <c r="T354" s="27"/>
      <c r="U354" s="26"/>
      <c r="V354" s="64">
        <f t="shared" si="76"/>
        <v>0</v>
      </c>
      <c r="W354" s="68">
        <f t="shared" si="77"/>
        <v>0</v>
      </c>
      <c r="X354" s="27"/>
      <c r="Y354" s="26"/>
      <c r="Z354" s="27"/>
      <c r="AA354" s="26"/>
      <c r="AB354" s="27"/>
      <c r="AC354" s="26"/>
      <c r="AD354" s="27">
        <v>674821.75</v>
      </c>
      <c r="AE354" s="109">
        <v>728961.1</v>
      </c>
      <c r="AF354" s="64">
        <f t="shared" si="78"/>
        <v>674821.75</v>
      </c>
      <c r="AG354" s="65">
        <f t="shared" si="79"/>
        <v>749.80194444444442</v>
      </c>
      <c r="AH354" s="66">
        <f t="shared" si="80"/>
        <v>728961.1</v>
      </c>
      <c r="AI354" s="66">
        <f t="shared" si="81"/>
        <v>809.9567777777778</v>
      </c>
      <c r="AJ354" s="27"/>
      <c r="AK354" s="26"/>
      <c r="AL354" s="64">
        <f t="shared" si="82"/>
        <v>0</v>
      </c>
      <c r="AM354" s="67">
        <f t="shared" si="83"/>
        <v>0</v>
      </c>
      <c r="AN354" s="27"/>
      <c r="AO354" s="26"/>
      <c r="AP354" s="27"/>
      <c r="AQ354" s="26"/>
      <c r="AR354" s="27"/>
      <c r="AS354" s="26"/>
      <c r="AT354" s="27"/>
      <c r="AU354" s="26"/>
      <c r="AV354" s="64">
        <f t="shared" si="84"/>
        <v>0</v>
      </c>
      <c r="AW354" s="70">
        <f t="shared" si="85"/>
        <v>0</v>
      </c>
      <c r="AX354" s="66">
        <f t="shared" si="86"/>
        <v>0</v>
      </c>
      <c r="AY354" s="71">
        <f t="shared" si="87"/>
        <v>0</v>
      </c>
      <c r="AZ354" s="72">
        <f t="shared" si="88"/>
        <v>749.80194444444442</v>
      </c>
      <c r="BA354" s="66">
        <f t="shared" si="89"/>
        <v>809.9567777777778</v>
      </c>
    </row>
    <row r="355" spans="1:53">
      <c r="A355" s="22" t="s">
        <v>391</v>
      </c>
      <c r="B355" s="32" t="s">
        <v>399</v>
      </c>
      <c r="C355" s="31"/>
      <c r="D355" s="30">
        <v>375656</v>
      </c>
      <c r="E355" s="30">
        <v>13</v>
      </c>
      <c r="F355" s="29" t="s">
        <v>75</v>
      </c>
      <c r="G355" s="16"/>
      <c r="H355" s="27"/>
      <c r="I355" s="26"/>
      <c r="J355" s="27"/>
      <c r="K355" s="26"/>
      <c r="L355" s="27"/>
      <c r="M355" s="26"/>
      <c r="N355" s="27"/>
      <c r="O355" s="26"/>
      <c r="P355" s="64">
        <f t="shared" si="72"/>
        <v>0</v>
      </c>
      <c r="Q355" s="65">
        <f t="shared" si="73"/>
        <v>0</v>
      </c>
      <c r="R355" s="66">
        <f t="shared" si="74"/>
        <v>0</v>
      </c>
      <c r="S355" s="67">
        <f t="shared" si="75"/>
        <v>0</v>
      </c>
      <c r="T355" s="27"/>
      <c r="U355" s="26"/>
      <c r="V355" s="64">
        <f t="shared" si="76"/>
        <v>0</v>
      </c>
      <c r="W355" s="68">
        <f t="shared" si="77"/>
        <v>0</v>
      </c>
      <c r="X355" s="27"/>
      <c r="Y355" s="26"/>
      <c r="Z355" s="27"/>
      <c r="AA355" s="26"/>
      <c r="AB355" s="27"/>
      <c r="AC355" s="26"/>
      <c r="AD355" s="27">
        <v>79246.5</v>
      </c>
      <c r="AE355" s="109">
        <v>93494.5</v>
      </c>
      <c r="AF355" s="64">
        <f t="shared" si="78"/>
        <v>79246.5</v>
      </c>
      <c r="AG355" s="65">
        <f t="shared" si="79"/>
        <v>88.051666666666662</v>
      </c>
      <c r="AH355" s="66">
        <f t="shared" si="80"/>
        <v>93494.5</v>
      </c>
      <c r="AI355" s="66">
        <f t="shared" si="81"/>
        <v>103.88277777777778</v>
      </c>
      <c r="AJ355" s="27"/>
      <c r="AK355" s="26"/>
      <c r="AL355" s="64">
        <f t="shared" si="82"/>
        <v>0</v>
      </c>
      <c r="AM355" s="67">
        <f t="shared" si="83"/>
        <v>0</v>
      </c>
      <c r="AN355" s="27"/>
      <c r="AO355" s="26"/>
      <c r="AP355" s="27"/>
      <c r="AQ355" s="26"/>
      <c r="AR355" s="27"/>
      <c r="AS355" s="26"/>
      <c r="AT355" s="27"/>
      <c r="AU355" s="26"/>
      <c r="AV355" s="64">
        <f t="shared" si="84"/>
        <v>0</v>
      </c>
      <c r="AW355" s="70">
        <f t="shared" si="85"/>
        <v>0</v>
      </c>
      <c r="AX355" s="66">
        <f t="shared" si="86"/>
        <v>0</v>
      </c>
      <c r="AY355" s="71">
        <f t="shared" si="87"/>
        <v>0</v>
      </c>
      <c r="AZ355" s="72">
        <f t="shared" si="88"/>
        <v>88.051666666666662</v>
      </c>
      <c r="BA355" s="66">
        <f t="shared" si="89"/>
        <v>103.88277777777778</v>
      </c>
    </row>
    <row r="356" spans="1:53">
      <c r="A356" s="22" t="s">
        <v>391</v>
      </c>
      <c r="B356" s="32" t="s">
        <v>400</v>
      </c>
      <c r="C356" s="31"/>
      <c r="D356" s="30">
        <v>418348</v>
      </c>
      <c r="E356" s="30">
        <v>13</v>
      </c>
      <c r="F356" s="29" t="s">
        <v>75</v>
      </c>
      <c r="G356" s="16"/>
      <c r="H356" s="27"/>
      <c r="I356" s="26"/>
      <c r="J356" s="27"/>
      <c r="K356" s="26"/>
      <c r="L356" s="27"/>
      <c r="M356" s="26"/>
      <c r="N356" s="27"/>
      <c r="O356" s="26"/>
      <c r="P356" s="64">
        <f t="shared" si="72"/>
        <v>0</v>
      </c>
      <c r="Q356" s="65">
        <f t="shared" si="73"/>
        <v>0</v>
      </c>
      <c r="R356" s="66">
        <f t="shared" si="74"/>
        <v>0</v>
      </c>
      <c r="S356" s="67">
        <f t="shared" si="75"/>
        <v>0</v>
      </c>
      <c r="T356" s="27"/>
      <c r="U356" s="26"/>
      <c r="V356" s="64">
        <f t="shared" si="76"/>
        <v>0</v>
      </c>
      <c r="W356" s="68">
        <f t="shared" si="77"/>
        <v>0</v>
      </c>
      <c r="X356" s="27"/>
      <c r="Y356" s="26"/>
      <c r="Z356" s="27"/>
      <c r="AA356" s="26"/>
      <c r="AB356" s="27"/>
      <c r="AC356" s="26"/>
      <c r="AD356" s="27">
        <v>332625.7</v>
      </c>
      <c r="AE356" s="109">
        <v>354281.25</v>
      </c>
      <c r="AF356" s="64">
        <f t="shared" si="78"/>
        <v>332625.7</v>
      </c>
      <c r="AG356" s="65">
        <f t="shared" si="79"/>
        <v>369.5841111111111</v>
      </c>
      <c r="AH356" s="66">
        <f t="shared" si="80"/>
        <v>354281.25</v>
      </c>
      <c r="AI356" s="66">
        <f t="shared" si="81"/>
        <v>393.64583333333331</v>
      </c>
      <c r="AJ356" s="27"/>
      <c r="AK356" s="26"/>
      <c r="AL356" s="64">
        <f t="shared" si="82"/>
        <v>0</v>
      </c>
      <c r="AM356" s="67">
        <f t="shared" si="83"/>
        <v>0</v>
      </c>
      <c r="AN356" s="27"/>
      <c r="AO356" s="26"/>
      <c r="AP356" s="27"/>
      <c r="AQ356" s="26"/>
      <c r="AR356" s="27"/>
      <c r="AS356" s="26"/>
      <c r="AT356" s="27"/>
      <c r="AU356" s="26"/>
      <c r="AV356" s="64">
        <f t="shared" si="84"/>
        <v>0</v>
      </c>
      <c r="AW356" s="70">
        <f t="shared" si="85"/>
        <v>0</v>
      </c>
      <c r="AX356" s="66">
        <f t="shared" si="86"/>
        <v>0</v>
      </c>
      <c r="AY356" s="71">
        <f t="shared" si="87"/>
        <v>0</v>
      </c>
      <c r="AZ356" s="72">
        <f t="shared" si="88"/>
        <v>369.5841111111111</v>
      </c>
      <c r="BA356" s="66">
        <f t="shared" si="89"/>
        <v>393.64583333333331</v>
      </c>
    </row>
    <row r="357" spans="1:53">
      <c r="A357" s="22" t="s">
        <v>391</v>
      </c>
      <c r="B357" s="32" t="s">
        <v>401</v>
      </c>
      <c r="C357" s="31"/>
      <c r="D357" s="30">
        <v>375683</v>
      </c>
      <c r="E357" s="30">
        <v>13</v>
      </c>
      <c r="F357" s="29" t="s">
        <v>75</v>
      </c>
      <c r="G357" s="16"/>
      <c r="H357" s="27"/>
      <c r="I357" s="26"/>
      <c r="J357" s="27"/>
      <c r="K357" s="26"/>
      <c r="L357" s="27"/>
      <c r="M357" s="26"/>
      <c r="N357" s="27"/>
      <c r="O357" s="26"/>
      <c r="P357" s="64">
        <f t="shared" si="72"/>
        <v>0</v>
      </c>
      <c r="Q357" s="65">
        <f t="shared" si="73"/>
        <v>0</v>
      </c>
      <c r="R357" s="66">
        <f t="shared" si="74"/>
        <v>0</v>
      </c>
      <c r="S357" s="67">
        <f t="shared" si="75"/>
        <v>0</v>
      </c>
      <c r="T357" s="27"/>
      <c r="U357" s="26"/>
      <c r="V357" s="64">
        <f t="shared" si="76"/>
        <v>0</v>
      </c>
      <c r="W357" s="68">
        <f t="shared" si="77"/>
        <v>0</v>
      </c>
      <c r="X357" s="27"/>
      <c r="Y357" s="26"/>
      <c r="Z357" s="27"/>
      <c r="AA357" s="26"/>
      <c r="AB357" s="27"/>
      <c r="AC357" s="26"/>
      <c r="AD357" s="27">
        <v>647099.75</v>
      </c>
      <c r="AE357" s="26">
        <v>636420</v>
      </c>
      <c r="AF357" s="64">
        <f t="shared" si="78"/>
        <v>647099.75</v>
      </c>
      <c r="AG357" s="65">
        <f t="shared" si="79"/>
        <v>718.9997222222222</v>
      </c>
      <c r="AH357" s="66">
        <f t="shared" si="80"/>
        <v>636420</v>
      </c>
      <c r="AI357" s="66">
        <f t="shared" si="81"/>
        <v>707.13333333333333</v>
      </c>
      <c r="AJ357" s="27"/>
      <c r="AK357" s="26"/>
      <c r="AL357" s="64">
        <f t="shared" si="82"/>
        <v>0</v>
      </c>
      <c r="AM357" s="67">
        <f t="shared" si="83"/>
        <v>0</v>
      </c>
      <c r="AN357" s="27"/>
      <c r="AO357" s="26"/>
      <c r="AP357" s="27"/>
      <c r="AQ357" s="26"/>
      <c r="AR357" s="27"/>
      <c r="AS357" s="26"/>
      <c r="AT357" s="27"/>
      <c r="AU357" s="26"/>
      <c r="AV357" s="64">
        <f t="shared" si="84"/>
        <v>0</v>
      </c>
      <c r="AW357" s="70">
        <f t="shared" si="85"/>
        <v>0</v>
      </c>
      <c r="AX357" s="66">
        <f t="shared" si="86"/>
        <v>0</v>
      </c>
      <c r="AY357" s="71">
        <f t="shared" si="87"/>
        <v>0</v>
      </c>
      <c r="AZ357" s="72">
        <f t="shared" si="88"/>
        <v>718.9997222222222</v>
      </c>
      <c r="BA357" s="66">
        <f t="shared" si="89"/>
        <v>707.13333333333333</v>
      </c>
    </row>
    <row r="358" spans="1:53">
      <c r="A358" s="33" t="s">
        <v>391</v>
      </c>
      <c r="B358" s="32" t="s">
        <v>402</v>
      </c>
      <c r="C358" s="25"/>
      <c r="D358" s="30">
        <v>364548</v>
      </c>
      <c r="E358" s="30">
        <v>13</v>
      </c>
      <c r="F358" s="29" t="s">
        <v>75</v>
      </c>
      <c r="G358" s="16"/>
      <c r="H358" s="27"/>
      <c r="I358" s="26"/>
      <c r="J358" s="27"/>
      <c r="K358" s="26"/>
      <c r="L358" s="27"/>
      <c r="M358" s="26"/>
      <c r="N358" s="27"/>
      <c r="O358" s="26"/>
      <c r="P358" s="64">
        <f t="shared" si="72"/>
        <v>0</v>
      </c>
      <c r="Q358" s="65">
        <f t="shared" si="73"/>
        <v>0</v>
      </c>
      <c r="R358" s="66">
        <f t="shared" si="74"/>
        <v>0</v>
      </c>
      <c r="S358" s="67">
        <f t="shared" si="75"/>
        <v>0</v>
      </c>
      <c r="T358" s="27"/>
      <c r="U358" s="26"/>
      <c r="V358" s="64">
        <f t="shared" si="76"/>
        <v>0</v>
      </c>
      <c r="W358" s="68">
        <f t="shared" si="77"/>
        <v>0</v>
      </c>
      <c r="X358" s="27"/>
      <c r="Y358" s="26"/>
      <c r="Z358" s="27"/>
      <c r="AA358" s="26"/>
      <c r="AB358" s="27"/>
      <c r="AC358" s="26"/>
      <c r="AD358" s="27">
        <v>702816.2</v>
      </c>
      <c r="AE358" s="109">
        <v>777728</v>
      </c>
      <c r="AF358" s="64">
        <f t="shared" si="78"/>
        <v>702816.2</v>
      </c>
      <c r="AG358" s="65">
        <f t="shared" si="79"/>
        <v>780.90688888888883</v>
      </c>
      <c r="AH358" s="66">
        <f t="shared" si="80"/>
        <v>777728</v>
      </c>
      <c r="AI358" s="66">
        <f t="shared" si="81"/>
        <v>864.14222222222224</v>
      </c>
      <c r="AJ358" s="27"/>
      <c r="AK358" s="26"/>
      <c r="AL358" s="64">
        <f t="shared" si="82"/>
        <v>0</v>
      </c>
      <c r="AM358" s="67">
        <f t="shared" si="83"/>
        <v>0</v>
      </c>
      <c r="AN358" s="27"/>
      <c r="AO358" s="26"/>
      <c r="AP358" s="27"/>
      <c r="AQ358" s="26"/>
      <c r="AR358" s="27"/>
      <c r="AS358" s="26"/>
      <c r="AT358" s="27"/>
      <c r="AU358" s="26"/>
      <c r="AV358" s="64">
        <f t="shared" si="84"/>
        <v>0</v>
      </c>
      <c r="AW358" s="70">
        <f t="shared" si="85"/>
        <v>0</v>
      </c>
      <c r="AX358" s="66">
        <f t="shared" si="86"/>
        <v>0</v>
      </c>
      <c r="AY358" s="71">
        <f t="shared" si="87"/>
        <v>0</v>
      </c>
      <c r="AZ358" s="72">
        <f t="shared" si="88"/>
        <v>780.90688888888883</v>
      </c>
      <c r="BA358" s="66">
        <f t="shared" si="89"/>
        <v>864.14222222222224</v>
      </c>
    </row>
    <row r="359" spans="1:53">
      <c r="A359" s="22" t="s">
        <v>391</v>
      </c>
      <c r="B359" s="32" t="s">
        <v>403</v>
      </c>
      <c r="C359" s="31"/>
      <c r="D359" s="30">
        <v>428019</v>
      </c>
      <c r="E359" s="30">
        <v>13</v>
      </c>
      <c r="F359" s="29" t="s">
        <v>75</v>
      </c>
      <c r="G359" s="16"/>
      <c r="H359" s="27"/>
      <c r="I359" s="26"/>
      <c r="J359" s="27"/>
      <c r="K359" s="26"/>
      <c r="L359" s="27"/>
      <c r="M359" s="26"/>
      <c r="N359" s="27"/>
      <c r="O359" s="26"/>
      <c r="P359" s="64">
        <f t="shared" si="72"/>
        <v>0</v>
      </c>
      <c r="Q359" s="65">
        <f t="shared" si="73"/>
        <v>0</v>
      </c>
      <c r="R359" s="66">
        <f t="shared" si="74"/>
        <v>0</v>
      </c>
      <c r="S359" s="67">
        <f t="shared" si="75"/>
        <v>0</v>
      </c>
      <c r="T359" s="27"/>
      <c r="U359" s="26"/>
      <c r="V359" s="64">
        <f t="shared" si="76"/>
        <v>0</v>
      </c>
      <c r="W359" s="68">
        <f t="shared" si="77"/>
        <v>0</v>
      </c>
      <c r="X359" s="27"/>
      <c r="Y359" s="26"/>
      <c r="Z359" s="27"/>
      <c r="AA359" s="26"/>
      <c r="AB359" s="27"/>
      <c r="AC359" s="26"/>
      <c r="AD359" s="27">
        <v>213296.5</v>
      </c>
      <c r="AE359" s="26">
        <v>204813</v>
      </c>
      <c r="AF359" s="64">
        <f t="shared" si="78"/>
        <v>213296.5</v>
      </c>
      <c r="AG359" s="65">
        <f t="shared" si="79"/>
        <v>236.99611111111111</v>
      </c>
      <c r="AH359" s="66">
        <f t="shared" si="80"/>
        <v>204813</v>
      </c>
      <c r="AI359" s="66">
        <f t="shared" si="81"/>
        <v>227.57</v>
      </c>
      <c r="AJ359" s="27"/>
      <c r="AK359" s="26"/>
      <c r="AL359" s="64">
        <f t="shared" si="82"/>
        <v>0</v>
      </c>
      <c r="AM359" s="67">
        <f t="shared" si="83"/>
        <v>0</v>
      </c>
      <c r="AN359" s="27"/>
      <c r="AO359" s="26"/>
      <c r="AP359" s="27"/>
      <c r="AQ359" s="26"/>
      <c r="AR359" s="27"/>
      <c r="AS359" s="26"/>
      <c r="AT359" s="27"/>
      <c r="AU359" s="26"/>
      <c r="AV359" s="64">
        <f t="shared" si="84"/>
        <v>0</v>
      </c>
      <c r="AW359" s="70">
        <f t="shared" si="85"/>
        <v>0</v>
      </c>
      <c r="AX359" s="66">
        <f t="shared" si="86"/>
        <v>0</v>
      </c>
      <c r="AY359" s="71">
        <f t="shared" si="87"/>
        <v>0</v>
      </c>
      <c r="AZ359" s="72">
        <f t="shared" si="88"/>
        <v>236.99611111111111</v>
      </c>
      <c r="BA359" s="66">
        <f t="shared" si="89"/>
        <v>227.57</v>
      </c>
    </row>
    <row r="360" spans="1:53">
      <c r="A360" s="22" t="s">
        <v>391</v>
      </c>
      <c r="B360" s="32" t="s">
        <v>404</v>
      </c>
      <c r="C360" s="31"/>
      <c r="D360" s="30">
        <v>208053</v>
      </c>
      <c r="E360" s="30">
        <v>13</v>
      </c>
      <c r="F360" s="29" t="s">
        <v>75</v>
      </c>
      <c r="G360" s="16"/>
      <c r="H360" s="27"/>
      <c r="I360" s="26"/>
      <c r="J360" s="27"/>
      <c r="K360" s="26"/>
      <c r="L360" s="27"/>
      <c r="M360" s="26"/>
      <c r="N360" s="27"/>
      <c r="O360" s="26"/>
      <c r="P360" s="64">
        <f t="shared" si="72"/>
        <v>0</v>
      </c>
      <c r="Q360" s="65">
        <f t="shared" si="73"/>
        <v>0</v>
      </c>
      <c r="R360" s="66">
        <f t="shared" si="74"/>
        <v>0</v>
      </c>
      <c r="S360" s="67">
        <f t="shared" si="75"/>
        <v>0</v>
      </c>
      <c r="T360" s="27"/>
      <c r="U360" s="26"/>
      <c r="V360" s="64">
        <f t="shared" si="76"/>
        <v>0</v>
      </c>
      <c r="W360" s="68">
        <f t="shared" si="77"/>
        <v>0</v>
      </c>
      <c r="X360" s="27"/>
      <c r="Y360" s="26"/>
      <c r="Z360" s="27"/>
      <c r="AA360" s="26"/>
      <c r="AB360" s="27"/>
      <c r="AC360" s="26"/>
      <c r="AD360" s="27">
        <v>224694.75</v>
      </c>
      <c r="AE360" s="109">
        <v>276150.25</v>
      </c>
      <c r="AF360" s="64">
        <f t="shared" si="78"/>
        <v>224694.75</v>
      </c>
      <c r="AG360" s="65">
        <f t="shared" si="79"/>
        <v>249.66083333333333</v>
      </c>
      <c r="AH360" s="66">
        <f t="shared" si="80"/>
        <v>276150.25</v>
      </c>
      <c r="AI360" s="66">
        <f t="shared" si="81"/>
        <v>306.83361111111111</v>
      </c>
      <c r="AJ360" s="27"/>
      <c r="AK360" s="26"/>
      <c r="AL360" s="64">
        <f t="shared" si="82"/>
        <v>0</v>
      </c>
      <c r="AM360" s="67">
        <f t="shared" si="83"/>
        <v>0</v>
      </c>
      <c r="AN360" s="27"/>
      <c r="AO360" s="26"/>
      <c r="AP360" s="27"/>
      <c r="AQ360" s="26"/>
      <c r="AR360" s="27"/>
      <c r="AS360" s="26"/>
      <c r="AT360" s="27"/>
      <c r="AU360" s="26"/>
      <c r="AV360" s="64">
        <f t="shared" si="84"/>
        <v>0</v>
      </c>
      <c r="AW360" s="70">
        <f t="shared" si="85"/>
        <v>0</v>
      </c>
      <c r="AX360" s="66">
        <f t="shared" si="86"/>
        <v>0</v>
      </c>
      <c r="AY360" s="71">
        <f t="shared" si="87"/>
        <v>0</v>
      </c>
      <c r="AZ360" s="72">
        <f t="shared" si="88"/>
        <v>249.66083333333333</v>
      </c>
      <c r="BA360" s="66">
        <f t="shared" si="89"/>
        <v>306.83361111111111</v>
      </c>
    </row>
    <row r="361" spans="1:53">
      <c r="A361" s="22" t="s">
        <v>391</v>
      </c>
      <c r="B361" s="32" t="s">
        <v>405</v>
      </c>
      <c r="C361" s="31"/>
      <c r="D361" s="30">
        <v>418296</v>
      </c>
      <c r="E361" s="30">
        <v>13</v>
      </c>
      <c r="F361" s="29" t="s">
        <v>75</v>
      </c>
      <c r="G361" s="16"/>
      <c r="H361" s="27"/>
      <c r="I361" s="26"/>
      <c r="J361" s="27"/>
      <c r="K361" s="26"/>
      <c r="L361" s="27"/>
      <c r="M361" s="26"/>
      <c r="N361" s="27"/>
      <c r="O361" s="26"/>
      <c r="P361" s="64">
        <f t="shared" si="72"/>
        <v>0</v>
      </c>
      <c r="Q361" s="65">
        <f t="shared" si="73"/>
        <v>0</v>
      </c>
      <c r="R361" s="66">
        <f t="shared" si="74"/>
        <v>0</v>
      </c>
      <c r="S361" s="67">
        <f t="shared" si="75"/>
        <v>0</v>
      </c>
      <c r="T361" s="27"/>
      <c r="U361" s="26"/>
      <c r="V361" s="64">
        <f t="shared" si="76"/>
        <v>0</v>
      </c>
      <c r="W361" s="68">
        <f t="shared" si="77"/>
        <v>0</v>
      </c>
      <c r="X361" s="27"/>
      <c r="Y361" s="26"/>
      <c r="Z361" s="27"/>
      <c r="AA361" s="26"/>
      <c r="AB361" s="27"/>
      <c r="AC361" s="26"/>
      <c r="AD361" s="27">
        <v>480193.5</v>
      </c>
      <c r="AE361" s="26">
        <v>492616.65</v>
      </c>
      <c r="AF361" s="64">
        <f t="shared" si="78"/>
        <v>480193.5</v>
      </c>
      <c r="AG361" s="65">
        <f t="shared" si="79"/>
        <v>533.54833333333329</v>
      </c>
      <c r="AH361" s="66">
        <f t="shared" si="80"/>
        <v>492616.65</v>
      </c>
      <c r="AI361" s="66">
        <f t="shared" si="81"/>
        <v>547.35183333333339</v>
      </c>
      <c r="AJ361" s="27"/>
      <c r="AK361" s="26"/>
      <c r="AL361" s="64">
        <f t="shared" si="82"/>
        <v>0</v>
      </c>
      <c r="AM361" s="67">
        <f t="shared" si="83"/>
        <v>0</v>
      </c>
      <c r="AN361" s="27"/>
      <c r="AO361" s="26"/>
      <c r="AP361" s="27"/>
      <c r="AQ361" s="26"/>
      <c r="AR361" s="27"/>
      <c r="AS361" s="26"/>
      <c r="AT361" s="27"/>
      <c r="AU361" s="26"/>
      <c r="AV361" s="64">
        <f t="shared" si="84"/>
        <v>0</v>
      </c>
      <c r="AW361" s="70">
        <f t="shared" si="85"/>
        <v>0</v>
      </c>
      <c r="AX361" s="66">
        <f t="shared" si="86"/>
        <v>0</v>
      </c>
      <c r="AY361" s="71">
        <f t="shared" si="87"/>
        <v>0</v>
      </c>
      <c r="AZ361" s="72">
        <f t="shared" si="88"/>
        <v>533.54833333333329</v>
      </c>
      <c r="BA361" s="66">
        <f t="shared" si="89"/>
        <v>547.35183333333339</v>
      </c>
    </row>
    <row r="362" spans="1:53">
      <c r="A362" s="22" t="s">
        <v>391</v>
      </c>
      <c r="B362" s="32" t="s">
        <v>406</v>
      </c>
      <c r="C362" s="31"/>
      <c r="D362" s="30">
        <v>421540</v>
      </c>
      <c r="E362" s="30">
        <v>13</v>
      </c>
      <c r="F362" s="29" t="s">
        <v>75</v>
      </c>
      <c r="G362" s="16"/>
      <c r="H362" s="27"/>
      <c r="I362" s="26"/>
      <c r="J362" s="27"/>
      <c r="K362" s="26"/>
      <c r="L362" s="27"/>
      <c r="M362" s="26"/>
      <c r="N362" s="27"/>
      <c r="O362" s="26"/>
      <c r="P362" s="64">
        <f t="shared" si="72"/>
        <v>0</v>
      </c>
      <c r="Q362" s="65">
        <f t="shared" si="73"/>
        <v>0</v>
      </c>
      <c r="R362" s="66">
        <f t="shared" si="74"/>
        <v>0</v>
      </c>
      <c r="S362" s="67">
        <f t="shared" si="75"/>
        <v>0</v>
      </c>
      <c r="T362" s="27"/>
      <c r="U362" s="26"/>
      <c r="V362" s="64">
        <f t="shared" si="76"/>
        <v>0</v>
      </c>
      <c r="W362" s="68">
        <f t="shared" si="77"/>
        <v>0</v>
      </c>
      <c r="X362" s="27"/>
      <c r="Y362" s="26"/>
      <c r="Z362" s="27"/>
      <c r="AA362" s="26"/>
      <c r="AB362" s="27"/>
      <c r="AC362" s="26"/>
      <c r="AD362" s="27">
        <v>150387</v>
      </c>
      <c r="AE362" s="26">
        <v>147941</v>
      </c>
      <c r="AF362" s="64">
        <f t="shared" si="78"/>
        <v>150387</v>
      </c>
      <c r="AG362" s="65">
        <f t="shared" si="79"/>
        <v>167.09666666666666</v>
      </c>
      <c r="AH362" s="66">
        <f t="shared" si="80"/>
        <v>147941</v>
      </c>
      <c r="AI362" s="66">
        <f t="shared" si="81"/>
        <v>164.37888888888889</v>
      </c>
      <c r="AJ362" s="27"/>
      <c r="AK362" s="26"/>
      <c r="AL362" s="64">
        <f t="shared" si="82"/>
        <v>0</v>
      </c>
      <c r="AM362" s="67">
        <f t="shared" si="83"/>
        <v>0</v>
      </c>
      <c r="AN362" s="27"/>
      <c r="AO362" s="26"/>
      <c r="AP362" s="27"/>
      <c r="AQ362" s="26"/>
      <c r="AR362" s="27"/>
      <c r="AS362" s="26"/>
      <c r="AT362" s="27"/>
      <c r="AU362" s="26"/>
      <c r="AV362" s="64">
        <f t="shared" si="84"/>
        <v>0</v>
      </c>
      <c r="AW362" s="70">
        <f t="shared" si="85"/>
        <v>0</v>
      </c>
      <c r="AX362" s="66">
        <f t="shared" si="86"/>
        <v>0</v>
      </c>
      <c r="AY362" s="71">
        <f t="shared" si="87"/>
        <v>0</v>
      </c>
      <c r="AZ362" s="72">
        <f t="shared" si="88"/>
        <v>167.09666666666666</v>
      </c>
      <c r="BA362" s="66">
        <f t="shared" si="89"/>
        <v>164.37888888888889</v>
      </c>
    </row>
    <row r="363" spans="1:53">
      <c r="A363" s="22" t="s">
        <v>391</v>
      </c>
      <c r="B363" s="32" t="s">
        <v>407</v>
      </c>
      <c r="C363" s="31"/>
      <c r="D363" s="30">
        <v>421559</v>
      </c>
      <c r="E363" s="30">
        <v>13</v>
      </c>
      <c r="F363" s="29" t="s">
        <v>75</v>
      </c>
      <c r="G363" s="16"/>
      <c r="H363" s="27"/>
      <c r="I363" s="26"/>
      <c r="J363" s="27"/>
      <c r="K363" s="26"/>
      <c r="L363" s="27"/>
      <c r="M363" s="26"/>
      <c r="N363" s="27"/>
      <c r="O363" s="26"/>
      <c r="P363" s="64">
        <f t="shared" si="72"/>
        <v>0</v>
      </c>
      <c r="Q363" s="65">
        <f t="shared" si="73"/>
        <v>0</v>
      </c>
      <c r="R363" s="66">
        <f t="shared" si="74"/>
        <v>0</v>
      </c>
      <c r="S363" s="67">
        <f t="shared" si="75"/>
        <v>0</v>
      </c>
      <c r="T363" s="27"/>
      <c r="U363" s="26"/>
      <c r="V363" s="64">
        <f t="shared" si="76"/>
        <v>0</v>
      </c>
      <c r="W363" s="68">
        <f t="shared" si="77"/>
        <v>0</v>
      </c>
      <c r="X363" s="27"/>
      <c r="Y363" s="26"/>
      <c r="Z363" s="27"/>
      <c r="AA363" s="26"/>
      <c r="AB363" s="27"/>
      <c r="AC363" s="26"/>
      <c r="AD363" s="27">
        <v>96167</v>
      </c>
      <c r="AE363" s="26">
        <v>94226</v>
      </c>
      <c r="AF363" s="64">
        <f t="shared" si="78"/>
        <v>96167</v>
      </c>
      <c r="AG363" s="65">
        <f t="shared" si="79"/>
        <v>106.85222222222222</v>
      </c>
      <c r="AH363" s="66">
        <f t="shared" si="80"/>
        <v>94226</v>
      </c>
      <c r="AI363" s="66">
        <f t="shared" si="81"/>
        <v>104.69555555555556</v>
      </c>
      <c r="AJ363" s="27"/>
      <c r="AK363" s="26"/>
      <c r="AL363" s="64">
        <f t="shared" si="82"/>
        <v>0</v>
      </c>
      <c r="AM363" s="67">
        <f t="shared" si="83"/>
        <v>0</v>
      </c>
      <c r="AN363" s="27"/>
      <c r="AO363" s="26"/>
      <c r="AP363" s="27"/>
      <c r="AQ363" s="26"/>
      <c r="AR363" s="27"/>
      <c r="AS363" s="26"/>
      <c r="AT363" s="27"/>
      <c r="AU363" s="26"/>
      <c r="AV363" s="64">
        <f t="shared" si="84"/>
        <v>0</v>
      </c>
      <c r="AW363" s="70">
        <f t="shared" si="85"/>
        <v>0</v>
      </c>
      <c r="AX363" s="66">
        <f t="shared" si="86"/>
        <v>0</v>
      </c>
      <c r="AY363" s="71">
        <f t="shared" si="87"/>
        <v>0</v>
      </c>
      <c r="AZ363" s="72">
        <f t="shared" si="88"/>
        <v>106.85222222222222</v>
      </c>
      <c r="BA363" s="66">
        <f t="shared" si="89"/>
        <v>104.69555555555556</v>
      </c>
    </row>
    <row r="364" spans="1:53">
      <c r="A364" s="22" t="s">
        <v>391</v>
      </c>
      <c r="B364" s="32" t="s">
        <v>408</v>
      </c>
      <c r="C364" s="31"/>
      <c r="D364" s="30">
        <v>208026</v>
      </c>
      <c r="E364" s="30">
        <v>13</v>
      </c>
      <c r="F364" s="29" t="s">
        <v>75</v>
      </c>
      <c r="G364" s="16"/>
      <c r="H364" s="27"/>
      <c r="I364" s="26"/>
      <c r="J364" s="27"/>
      <c r="K364" s="26"/>
      <c r="L364" s="27"/>
      <c r="M364" s="26"/>
      <c r="N364" s="27"/>
      <c r="O364" s="26"/>
      <c r="P364" s="64">
        <f t="shared" si="72"/>
        <v>0</v>
      </c>
      <c r="Q364" s="65">
        <f t="shared" si="73"/>
        <v>0</v>
      </c>
      <c r="R364" s="66">
        <f t="shared" si="74"/>
        <v>0</v>
      </c>
      <c r="S364" s="67">
        <f t="shared" si="75"/>
        <v>0</v>
      </c>
      <c r="T364" s="27"/>
      <c r="U364" s="26"/>
      <c r="V364" s="64">
        <f t="shared" si="76"/>
        <v>0</v>
      </c>
      <c r="W364" s="68">
        <f t="shared" si="77"/>
        <v>0</v>
      </c>
      <c r="X364" s="27"/>
      <c r="Y364" s="26"/>
      <c r="Z364" s="27"/>
      <c r="AA364" s="26"/>
      <c r="AB364" s="27"/>
      <c r="AC364" s="26"/>
      <c r="AD364" s="27">
        <v>174916</v>
      </c>
      <c r="AE364" s="109">
        <v>208218</v>
      </c>
      <c r="AF364" s="64">
        <f t="shared" si="78"/>
        <v>174916</v>
      </c>
      <c r="AG364" s="65">
        <f t="shared" si="79"/>
        <v>194.35111111111112</v>
      </c>
      <c r="AH364" s="66">
        <f t="shared" si="80"/>
        <v>208218</v>
      </c>
      <c r="AI364" s="66">
        <f t="shared" si="81"/>
        <v>231.35333333333332</v>
      </c>
      <c r="AJ364" s="27"/>
      <c r="AK364" s="26"/>
      <c r="AL364" s="64">
        <f t="shared" si="82"/>
        <v>0</v>
      </c>
      <c r="AM364" s="67">
        <f t="shared" si="83"/>
        <v>0</v>
      </c>
      <c r="AN364" s="27"/>
      <c r="AO364" s="26"/>
      <c r="AP364" s="27"/>
      <c r="AQ364" s="26"/>
      <c r="AR364" s="27"/>
      <c r="AS364" s="26"/>
      <c r="AT364" s="27"/>
      <c r="AU364" s="26"/>
      <c r="AV364" s="64">
        <f t="shared" si="84"/>
        <v>0</v>
      </c>
      <c r="AW364" s="70">
        <f t="shared" si="85"/>
        <v>0</v>
      </c>
      <c r="AX364" s="66">
        <f t="shared" si="86"/>
        <v>0</v>
      </c>
      <c r="AY364" s="71">
        <f t="shared" si="87"/>
        <v>0</v>
      </c>
      <c r="AZ364" s="72">
        <f t="shared" si="88"/>
        <v>194.35111111111112</v>
      </c>
      <c r="BA364" s="66">
        <f t="shared" si="89"/>
        <v>231.35333333333332</v>
      </c>
    </row>
    <row r="365" spans="1:53">
      <c r="A365" s="22" t="s">
        <v>391</v>
      </c>
      <c r="B365" s="32" t="s">
        <v>409</v>
      </c>
      <c r="C365" s="31"/>
      <c r="D365" s="30">
        <v>375692</v>
      </c>
      <c r="E365" s="30">
        <v>13</v>
      </c>
      <c r="F365" s="29" t="s">
        <v>75</v>
      </c>
      <c r="G365" s="16"/>
      <c r="H365" s="27"/>
      <c r="I365" s="26"/>
      <c r="J365" s="27"/>
      <c r="K365" s="26"/>
      <c r="L365" s="27"/>
      <c r="M365" s="26"/>
      <c r="N365" s="27"/>
      <c r="O365" s="26"/>
      <c r="P365" s="64">
        <f t="shared" si="72"/>
        <v>0</v>
      </c>
      <c r="Q365" s="65">
        <f t="shared" si="73"/>
        <v>0</v>
      </c>
      <c r="R365" s="66">
        <f t="shared" si="74"/>
        <v>0</v>
      </c>
      <c r="S365" s="67">
        <f t="shared" si="75"/>
        <v>0</v>
      </c>
      <c r="T365" s="27"/>
      <c r="U365" s="26"/>
      <c r="V365" s="64">
        <f t="shared" si="76"/>
        <v>0</v>
      </c>
      <c r="W365" s="68">
        <f t="shared" si="77"/>
        <v>0</v>
      </c>
      <c r="X365" s="27"/>
      <c r="Y365" s="26"/>
      <c r="Z365" s="27"/>
      <c r="AA365" s="26"/>
      <c r="AB365" s="27"/>
      <c r="AC365" s="26"/>
      <c r="AD365" s="27">
        <v>104397</v>
      </c>
      <c r="AE365" s="26">
        <v>105673.5</v>
      </c>
      <c r="AF365" s="64">
        <f t="shared" si="78"/>
        <v>104397</v>
      </c>
      <c r="AG365" s="65">
        <f t="shared" si="79"/>
        <v>115.99666666666667</v>
      </c>
      <c r="AH365" s="66">
        <f t="shared" si="80"/>
        <v>105673.5</v>
      </c>
      <c r="AI365" s="66">
        <f t="shared" si="81"/>
        <v>117.41500000000001</v>
      </c>
      <c r="AJ365" s="27"/>
      <c r="AK365" s="26"/>
      <c r="AL365" s="64">
        <f t="shared" si="82"/>
        <v>0</v>
      </c>
      <c r="AM365" s="67">
        <f t="shared" si="83"/>
        <v>0</v>
      </c>
      <c r="AN365" s="27"/>
      <c r="AO365" s="26"/>
      <c r="AP365" s="27"/>
      <c r="AQ365" s="26"/>
      <c r="AR365" s="27"/>
      <c r="AS365" s="26"/>
      <c r="AT365" s="27"/>
      <c r="AU365" s="26"/>
      <c r="AV365" s="64">
        <f t="shared" si="84"/>
        <v>0</v>
      </c>
      <c r="AW365" s="70">
        <f t="shared" si="85"/>
        <v>0</v>
      </c>
      <c r="AX365" s="66">
        <f t="shared" si="86"/>
        <v>0</v>
      </c>
      <c r="AY365" s="71">
        <f t="shared" si="87"/>
        <v>0</v>
      </c>
      <c r="AZ365" s="72">
        <f t="shared" si="88"/>
        <v>115.99666666666667</v>
      </c>
      <c r="BA365" s="66">
        <f t="shared" si="89"/>
        <v>117.41500000000001</v>
      </c>
    </row>
    <row r="366" spans="1:53">
      <c r="A366" s="22" t="s">
        <v>391</v>
      </c>
      <c r="B366" s="32" t="s">
        <v>410</v>
      </c>
      <c r="C366" s="31"/>
      <c r="D366" s="30">
        <v>375708</v>
      </c>
      <c r="E366" s="30">
        <v>13</v>
      </c>
      <c r="F366" s="29" t="s">
        <v>75</v>
      </c>
      <c r="G366" s="16"/>
      <c r="H366" s="27"/>
      <c r="I366" s="26"/>
      <c r="J366" s="27"/>
      <c r="K366" s="26"/>
      <c r="L366" s="27"/>
      <c r="M366" s="26"/>
      <c r="N366" s="27"/>
      <c r="O366" s="26"/>
      <c r="P366" s="64">
        <f t="shared" si="72"/>
        <v>0</v>
      </c>
      <c r="Q366" s="65">
        <f t="shared" si="73"/>
        <v>0</v>
      </c>
      <c r="R366" s="66">
        <f t="shared" si="74"/>
        <v>0</v>
      </c>
      <c r="S366" s="67">
        <f t="shared" si="75"/>
        <v>0</v>
      </c>
      <c r="T366" s="27"/>
      <c r="U366" s="26"/>
      <c r="V366" s="64">
        <f t="shared" si="76"/>
        <v>0</v>
      </c>
      <c r="W366" s="68">
        <f t="shared" si="77"/>
        <v>0</v>
      </c>
      <c r="X366" s="27"/>
      <c r="Y366" s="26"/>
      <c r="Z366" s="27"/>
      <c r="AA366" s="26"/>
      <c r="AB366" s="27"/>
      <c r="AC366" s="26"/>
      <c r="AD366" s="27">
        <v>166267</v>
      </c>
      <c r="AE366" s="109">
        <v>156844.5</v>
      </c>
      <c r="AF366" s="64">
        <f t="shared" si="78"/>
        <v>166267</v>
      </c>
      <c r="AG366" s="65">
        <f t="shared" si="79"/>
        <v>184.74111111111111</v>
      </c>
      <c r="AH366" s="66">
        <f t="shared" si="80"/>
        <v>156844.5</v>
      </c>
      <c r="AI366" s="66">
        <f t="shared" si="81"/>
        <v>174.27166666666668</v>
      </c>
      <c r="AJ366" s="27"/>
      <c r="AK366" s="26"/>
      <c r="AL366" s="64">
        <f t="shared" si="82"/>
        <v>0</v>
      </c>
      <c r="AM366" s="67">
        <f t="shared" si="83"/>
        <v>0</v>
      </c>
      <c r="AN366" s="27"/>
      <c r="AO366" s="26"/>
      <c r="AP366" s="27"/>
      <c r="AQ366" s="26"/>
      <c r="AR366" s="27"/>
      <c r="AS366" s="26"/>
      <c r="AT366" s="27"/>
      <c r="AU366" s="26"/>
      <c r="AV366" s="64">
        <f t="shared" si="84"/>
        <v>0</v>
      </c>
      <c r="AW366" s="70">
        <f t="shared" si="85"/>
        <v>0</v>
      </c>
      <c r="AX366" s="66">
        <f t="shared" si="86"/>
        <v>0</v>
      </c>
      <c r="AY366" s="71">
        <f t="shared" si="87"/>
        <v>0</v>
      </c>
      <c r="AZ366" s="72">
        <f t="shared" si="88"/>
        <v>184.74111111111111</v>
      </c>
      <c r="BA366" s="66">
        <f t="shared" si="89"/>
        <v>174.27166666666668</v>
      </c>
    </row>
    <row r="367" spans="1:53">
      <c r="A367" s="22" t="s">
        <v>391</v>
      </c>
      <c r="B367" s="32" t="s">
        <v>411</v>
      </c>
      <c r="C367" s="31"/>
      <c r="D367" s="30">
        <v>375717</v>
      </c>
      <c r="E367" s="30">
        <v>13</v>
      </c>
      <c r="F367" s="29" t="s">
        <v>75</v>
      </c>
      <c r="G367" s="16"/>
      <c r="H367" s="27"/>
      <c r="I367" s="26"/>
      <c r="J367" s="27"/>
      <c r="K367" s="26"/>
      <c r="L367" s="27"/>
      <c r="M367" s="26"/>
      <c r="N367" s="27"/>
      <c r="O367" s="26"/>
      <c r="P367" s="64">
        <f t="shared" si="72"/>
        <v>0</v>
      </c>
      <c r="Q367" s="65">
        <f t="shared" si="73"/>
        <v>0</v>
      </c>
      <c r="R367" s="66">
        <f t="shared" si="74"/>
        <v>0</v>
      </c>
      <c r="S367" s="67">
        <f t="shared" si="75"/>
        <v>0</v>
      </c>
      <c r="T367" s="27"/>
      <c r="U367" s="26"/>
      <c r="V367" s="64">
        <f t="shared" si="76"/>
        <v>0</v>
      </c>
      <c r="W367" s="68">
        <f t="shared" si="77"/>
        <v>0</v>
      </c>
      <c r="X367" s="27"/>
      <c r="Y367" s="26"/>
      <c r="Z367" s="27"/>
      <c r="AA367" s="26"/>
      <c r="AB367" s="27"/>
      <c r="AC367" s="26"/>
      <c r="AD367" s="27">
        <v>114268.75</v>
      </c>
      <c r="AE367" s="26">
        <v>108853</v>
      </c>
      <c r="AF367" s="64">
        <f t="shared" si="78"/>
        <v>114268.75</v>
      </c>
      <c r="AG367" s="65">
        <f t="shared" si="79"/>
        <v>126.96527777777777</v>
      </c>
      <c r="AH367" s="66">
        <f t="shared" si="80"/>
        <v>108853</v>
      </c>
      <c r="AI367" s="66">
        <f t="shared" si="81"/>
        <v>120.94777777777777</v>
      </c>
      <c r="AJ367" s="27"/>
      <c r="AK367" s="26"/>
      <c r="AL367" s="64">
        <f t="shared" si="82"/>
        <v>0</v>
      </c>
      <c r="AM367" s="67">
        <f t="shared" si="83"/>
        <v>0</v>
      </c>
      <c r="AN367" s="27"/>
      <c r="AO367" s="26"/>
      <c r="AP367" s="27"/>
      <c r="AQ367" s="26"/>
      <c r="AR367" s="27"/>
      <c r="AS367" s="26"/>
      <c r="AT367" s="27"/>
      <c r="AU367" s="26"/>
      <c r="AV367" s="64">
        <f t="shared" si="84"/>
        <v>0</v>
      </c>
      <c r="AW367" s="70">
        <f t="shared" si="85"/>
        <v>0</v>
      </c>
      <c r="AX367" s="66">
        <f t="shared" si="86"/>
        <v>0</v>
      </c>
      <c r="AY367" s="71">
        <f t="shared" si="87"/>
        <v>0</v>
      </c>
      <c r="AZ367" s="72">
        <f t="shared" si="88"/>
        <v>126.96527777777777</v>
      </c>
      <c r="BA367" s="66">
        <f t="shared" si="89"/>
        <v>120.94777777777777</v>
      </c>
    </row>
    <row r="368" spans="1:53">
      <c r="A368" s="22" t="s">
        <v>391</v>
      </c>
      <c r="B368" s="32" t="s">
        <v>412</v>
      </c>
      <c r="C368" s="31"/>
      <c r="D368" s="30">
        <v>375735</v>
      </c>
      <c r="E368" s="30">
        <v>13</v>
      </c>
      <c r="F368" s="29" t="s">
        <v>75</v>
      </c>
      <c r="G368" s="16"/>
      <c r="H368" s="27"/>
      <c r="I368" s="26"/>
      <c r="J368" s="27"/>
      <c r="K368" s="26"/>
      <c r="L368" s="27"/>
      <c r="M368" s="26"/>
      <c r="N368" s="27"/>
      <c r="O368" s="26"/>
      <c r="P368" s="64">
        <f t="shared" si="72"/>
        <v>0</v>
      </c>
      <c r="Q368" s="65">
        <f t="shared" si="73"/>
        <v>0</v>
      </c>
      <c r="R368" s="66">
        <f t="shared" si="74"/>
        <v>0</v>
      </c>
      <c r="S368" s="67">
        <f t="shared" si="75"/>
        <v>0</v>
      </c>
      <c r="T368" s="27"/>
      <c r="U368" s="26"/>
      <c r="V368" s="64">
        <f t="shared" si="76"/>
        <v>0</v>
      </c>
      <c r="W368" s="68">
        <f t="shared" si="77"/>
        <v>0</v>
      </c>
      <c r="X368" s="27"/>
      <c r="Y368" s="26"/>
      <c r="Z368" s="27"/>
      <c r="AA368" s="26"/>
      <c r="AB368" s="27"/>
      <c r="AC368" s="26"/>
      <c r="AD368" s="27">
        <v>187449.5</v>
      </c>
      <c r="AE368" s="26">
        <v>187474</v>
      </c>
      <c r="AF368" s="64">
        <f t="shared" si="78"/>
        <v>187449.5</v>
      </c>
      <c r="AG368" s="65">
        <f t="shared" si="79"/>
        <v>208.27722222222224</v>
      </c>
      <c r="AH368" s="66">
        <f t="shared" si="80"/>
        <v>187474</v>
      </c>
      <c r="AI368" s="66">
        <f t="shared" si="81"/>
        <v>208.30444444444444</v>
      </c>
      <c r="AJ368" s="27"/>
      <c r="AK368" s="26"/>
      <c r="AL368" s="64">
        <f t="shared" si="82"/>
        <v>0</v>
      </c>
      <c r="AM368" s="67">
        <f t="shared" si="83"/>
        <v>0</v>
      </c>
      <c r="AN368" s="27"/>
      <c r="AO368" s="26"/>
      <c r="AP368" s="27"/>
      <c r="AQ368" s="26"/>
      <c r="AR368" s="27"/>
      <c r="AS368" s="26"/>
      <c r="AT368" s="27"/>
      <c r="AU368" s="26"/>
      <c r="AV368" s="64">
        <f t="shared" si="84"/>
        <v>0</v>
      </c>
      <c r="AW368" s="70">
        <f t="shared" si="85"/>
        <v>0</v>
      </c>
      <c r="AX368" s="66">
        <f t="shared" si="86"/>
        <v>0</v>
      </c>
      <c r="AY368" s="71">
        <f t="shared" si="87"/>
        <v>0</v>
      </c>
      <c r="AZ368" s="72">
        <f t="shared" si="88"/>
        <v>208.27722222222224</v>
      </c>
      <c r="BA368" s="66">
        <f t="shared" si="89"/>
        <v>208.30444444444444</v>
      </c>
    </row>
    <row r="369" spans="1:53">
      <c r="A369" s="22" t="s">
        <v>391</v>
      </c>
      <c r="B369" s="32" t="s">
        <v>413</v>
      </c>
      <c r="C369" s="31"/>
      <c r="D369" s="30">
        <v>375726</v>
      </c>
      <c r="E369" s="30">
        <v>13</v>
      </c>
      <c r="F369" s="29" t="s">
        <v>75</v>
      </c>
      <c r="G369" s="16"/>
      <c r="H369" s="27"/>
      <c r="I369" s="26"/>
      <c r="J369" s="27"/>
      <c r="K369" s="26"/>
      <c r="L369" s="27"/>
      <c r="M369" s="26"/>
      <c r="N369" s="27"/>
      <c r="O369" s="26"/>
      <c r="P369" s="64">
        <f t="shared" si="72"/>
        <v>0</v>
      </c>
      <c r="Q369" s="65">
        <f t="shared" si="73"/>
        <v>0</v>
      </c>
      <c r="R369" s="66">
        <f t="shared" si="74"/>
        <v>0</v>
      </c>
      <c r="S369" s="67">
        <f t="shared" si="75"/>
        <v>0</v>
      </c>
      <c r="T369" s="27"/>
      <c r="U369" s="26"/>
      <c r="V369" s="64">
        <f t="shared" si="76"/>
        <v>0</v>
      </c>
      <c r="W369" s="68">
        <f t="shared" si="77"/>
        <v>0</v>
      </c>
      <c r="X369" s="27"/>
      <c r="Y369" s="26"/>
      <c r="Z369" s="27"/>
      <c r="AA369" s="26"/>
      <c r="AB369" s="27"/>
      <c r="AC369" s="26"/>
      <c r="AD369" s="27">
        <v>275178.5</v>
      </c>
      <c r="AE369" s="26">
        <v>267621</v>
      </c>
      <c r="AF369" s="64">
        <f t="shared" si="78"/>
        <v>275178.5</v>
      </c>
      <c r="AG369" s="65">
        <f t="shared" si="79"/>
        <v>305.75388888888887</v>
      </c>
      <c r="AH369" s="66">
        <f t="shared" si="80"/>
        <v>267621</v>
      </c>
      <c r="AI369" s="66">
        <f t="shared" si="81"/>
        <v>297.35666666666668</v>
      </c>
      <c r="AJ369" s="27"/>
      <c r="AK369" s="26"/>
      <c r="AL369" s="64">
        <f t="shared" si="82"/>
        <v>0</v>
      </c>
      <c r="AM369" s="67">
        <f t="shared" si="83"/>
        <v>0</v>
      </c>
      <c r="AN369" s="27"/>
      <c r="AO369" s="26"/>
      <c r="AP369" s="27"/>
      <c r="AQ369" s="26"/>
      <c r="AR369" s="27"/>
      <c r="AS369" s="26"/>
      <c r="AT369" s="27"/>
      <c r="AU369" s="26"/>
      <c r="AV369" s="64">
        <f t="shared" si="84"/>
        <v>0</v>
      </c>
      <c r="AW369" s="70">
        <f t="shared" si="85"/>
        <v>0</v>
      </c>
      <c r="AX369" s="66">
        <f t="shared" si="86"/>
        <v>0</v>
      </c>
      <c r="AY369" s="71">
        <f t="shared" si="87"/>
        <v>0</v>
      </c>
      <c r="AZ369" s="72">
        <f t="shared" si="88"/>
        <v>305.75388888888887</v>
      </c>
      <c r="BA369" s="66">
        <f t="shared" si="89"/>
        <v>297.35666666666668</v>
      </c>
    </row>
    <row r="370" spans="1:53">
      <c r="A370" s="22" t="s">
        <v>391</v>
      </c>
      <c r="B370" s="32" t="s">
        <v>414</v>
      </c>
      <c r="C370" s="31"/>
      <c r="D370" s="30">
        <v>375744</v>
      </c>
      <c r="E370" s="30">
        <v>13</v>
      </c>
      <c r="F370" s="29" t="s">
        <v>75</v>
      </c>
      <c r="G370" s="16"/>
      <c r="H370" s="27"/>
      <c r="I370" s="26"/>
      <c r="J370" s="27"/>
      <c r="K370" s="26"/>
      <c r="L370" s="27"/>
      <c r="M370" s="26"/>
      <c r="N370" s="27"/>
      <c r="O370" s="26"/>
      <c r="P370" s="64">
        <f t="shared" si="72"/>
        <v>0</v>
      </c>
      <c r="Q370" s="65">
        <f t="shared" si="73"/>
        <v>0</v>
      </c>
      <c r="R370" s="66">
        <f t="shared" si="74"/>
        <v>0</v>
      </c>
      <c r="S370" s="67">
        <f t="shared" si="75"/>
        <v>0</v>
      </c>
      <c r="T370" s="27"/>
      <c r="U370" s="26"/>
      <c r="V370" s="64">
        <f t="shared" si="76"/>
        <v>0</v>
      </c>
      <c r="W370" s="68">
        <f t="shared" si="77"/>
        <v>0</v>
      </c>
      <c r="X370" s="27"/>
      <c r="Y370" s="26"/>
      <c r="Z370" s="27"/>
      <c r="AA370" s="26"/>
      <c r="AB370" s="27"/>
      <c r="AC370" s="26"/>
      <c r="AD370" s="27">
        <v>211050.65</v>
      </c>
      <c r="AE370" s="109">
        <v>224299.5</v>
      </c>
      <c r="AF370" s="64">
        <f t="shared" si="78"/>
        <v>211050.65</v>
      </c>
      <c r="AG370" s="65">
        <f t="shared" si="79"/>
        <v>234.50072222222221</v>
      </c>
      <c r="AH370" s="66">
        <f t="shared" si="80"/>
        <v>224299.5</v>
      </c>
      <c r="AI370" s="66">
        <f t="shared" si="81"/>
        <v>249.22166666666666</v>
      </c>
      <c r="AJ370" s="27"/>
      <c r="AK370" s="26"/>
      <c r="AL370" s="64">
        <f t="shared" si="82"/>
        <v>0</v>
      </c>
      <c r="AM370" s="67">
        <f t="shared" si="83"/>
        <v>0</v>
      </c>
      <c r="AN370" s="27"/>
      <c r="AO370" s="26"/>
      <c r="AP370" s="27"/>
      <c r="AQ370" s="26"/>
      <c r="AR370" s="27"/>
      <c r="AS370" s="26"/>
      <c r="AT370" s="27"/>
      <c r="AU370" s="26"/>
      <c r="AV370" s="64">
        <f t="shared" si="84"/>
        <v>0</v>
      </c>
      <c r="AW370" s="70">
        <f t="shared" si="85"/>
        <v>0</v>
      </c>
      <c r="AX370" s="66">
        <f t="shared" si="86"/>
        <v>0</v>
      </c>
      <c r="AY370" s="71">
        <f t="shared" si="87"/>
        <v>0</v>
      </c>
      <c r="AZ370" s="72">
        <f t="shared" si="88"/>
        <v>234.50072222222221</v>
      </c>
      <c r="BA370" s="66">
        <f t="shared" si="89"/>
        <v>249.22166666666666</v>
      </c>
    </row>
    <row r="371" spans="1:53">
      <c r="A371" s="22" t="s">
        <v>391</v>
      </c>
      <c r="B371" s="32" t="s">
        <v>415</v>
      </c>
      <c r="C371" s="31"/>
      <c r="D371" s="30">
        <v>375753</v>
      </c>
      <c r="E371" s="30">
        <v>13</v>
      </c>
      <c r="F371" s="29" t="s">
        <v>75</v>
      </c>
      <c r="G371" s="16"/>
      <c r="H371" s="27"/>
      <c r="I371" s="26"/>
      <c r="J371" s="27"/>
      <c r="K371" s="26"/>
      <c r="L371" s="27"/>
      <c r="M371" s="26"/>
      <c r="N371" s="27"/>
      <c r="O371" s="26"/>
      <c r="P371" s="64">
        <f t="shared" si="72"/>
        <v>0</v>
      </c>
      <c r="Q371" s="65">
        <f t="shared" si="73"/>
        <v>0</v>
      </c>
      <c r="R371" s="66">
        <f t="shared" si="74"/>
        <v>0</v>
      </c>
      <c r="S371" s="67">
        <f t="shared" si="75"/>
        <v>0</v>
      </c>
      <c r="T371" s="27"/>
      <c r="U371" s="26"/>
      <c r="V371" s="64">
        <f t="shared" si="76"/>
        <v>0</v>
      </c>
      <c r="W371" s="68">
        <f t="shared" si="77"/>
        <v>0</v>
      </c>
      <c r="X371" s="27"/>
      <c r="Y371" s="26"/>
      <c r="Z371" s="27"/>
      <c r="AA371" s="26"/>
      <c r="AB371" s="27"/>
      <c r="AC371" s="26"/>
      <c r="AD371" s="27">
        <v>27897</v>
      </c>
      <c r="AE371" s="109">
        <v>12389</v>
      </c>
      <c r="AF371" s="64">
        <f t="shared" si="78"/>
        <v>27897</v>
      </c>
      <c r="AG371" s="65">
        <f t="shared" si="79"/>
        <v>30.996666666666666</v>
      </c>
      <c r="AH371" s="66">
        <f t="shared" si="80"/>
        <v>12389</v>
      </c>
      <c r="AI371" s="66">
        <f t="shared" si="81"/>
        <v>13.765555555555556</v>
      </c>
      <c r="AJ371" s="27"/>
      <c r="AK371" s="26"/>
      <c r="AL371" s="64">
        <f t="shared" si="82"/>
        <v>0</v>
      </c>
      <c r="AM371" s="67">
        <f t="shared" si="83"/>
        <v>0</v>
      </c>
      <c r="AN371" s="27"/>
      <c r="AO371" s="26"/>
      <c r="AP371" s="27"/>
      <c r="AQ371" s="26"/>
      <c r="AR371" s="27"/>
      <c r="AS371" s="26"/>
      <c r="AT371" s="27"/>
      <c r="AU371" s="26"/>
      <c r="AV371" s="64">
        <f t="shared" si="84"/>
        <v>0</v>
      </c>
      <c r="AW371" s="70">
        <f t="shared" si="85"/>
        <v>0</v>
      </c>
      <c r="AX371" s="66">
        <f t="shared" si="86"/>
        <v>0</v>
      </c>
      <c r="AY371" s="71">
        <f t="shared" si="87"/>
        <v>0</v>
      </c>
      <c r="AZ371" s="72">
        <f t="shared" si="88"/>
        <v>30.996666666666666</v>
      </c>
      <c r="BA371" s="66">
        <f t="shared" si="89"/>
        <v>13.765555555555556</v>
      </c>
    </row>
    <row r="372" spans="1:53">
      <c r="A372" s="22" t="s">
        <v>391</v>
      </c>
      <c r="B372" s="32" t="s">
        <v>416</v>
      </c>
      <c r="C372" s="31"/>
      <c r="D372" s="30">
        <v>405748</v>
      </c>
      <c r="E372" s="30">
        <v>13</v>
      </c>
      <c r="F372" s="29" t="s">
        <v>75</v>
      </c>
      <c r="G372" s="16"/>
      <c r="H372" s="27"/>
      <c r="I372" s="26"/>
      <c r="J372" s="27"/>
      <c r="K372" s="26"/>
      <c r="L372" s="27"/>
      <c r="M372" s="26"/>
      <c r="N372" s="27"/>
      <c r="O372" s="26"/>
      <c r="P372" s="64">
        <f t="shared" si="72"/>
        <v>0</v>
      </c>
      <c r="Q372" s="65">
        <f t="shared" si="73"/>
        <v>0</v>
      </c>
      <c r="R372" s="66">
        <f t="shared" si="74"/>
        <v>0</v>
      </c>
      <c r="S372" s="67">
        <f t="shared" si="75"/>
        <v>0</v>
      </c>
      <c r="T372" s="27"/>
      <c r="U372" s="26"/>
      <c r="V372" s="64">
        <f t="shared" si="76"/>
        <v>0</v>
      </c>
      <c r="W372" s="68">
        <f t="shared" si="77"/>
        <v>0</v>
      </c>
      <c r="X372" s="27"/>
      <c r="Y372" s="26"/>
      <c r="Z372" s="27"/>
      <c r="AA372" s="26"/>
      <c r="AB372" s="27"/>
      <c r="AC372" s="26"/>
      <c r="AD372" s="27">
        <v>74897.5</v>
      </c>
      <c r="AE372" s="26">
        <v>75476.5</v>
      </c>
      <c r="AF372" s="64">
        <f t="shared" si="78"/>
        <v>74897.5</v>
      </c>
      <c r="AG372" s="65">
        <f t="shared" si="79"/>
        <v>83.219444444444449</v>
      </c>
      <c r="AH372" s="66">
        <f t="shared" si="80"/>
        <v>75476.5</v>
      </c>
      <c r="AI372" s="66">
        <f t="shared" si="81"/>
        <v>83.862777777777779</v>
      </c>
      <c r="AJ372" s="27"/>
      <c r="AK372" s="26"/>
      <c r="AL372" s="64">
        <f t="shared" si="82"/>
        <v>0</v>
      </c>
      <c r="AM372" s="67">
        <f t="shared" si="83"/>
        <v>0</v>
      </c>
      <c r="AN372" s="27"/>
      <c r="AO372" s="26"/>
      <c r="AP372" s="27"/>
      <c r="AQ372" s="26"/>
      <c r="AR372" s="27"/>
      <c r="AS372" s="26"/>
      <c r="AT372" s="27"/>
      <c r="AU372" s="26"/>
      <c r="AV372" s="64">
        <f t="shared" si="84"/>
        <v>0</v>
      </c>
      <c r="AW372" s="70">
        <f t="shared" si="85"/>
        <v>0</v>
      </c>
      <c r="AX372" s="66">
        <f t="shared" si="86"/>
        <v>0</v>
      </c>
      <c r="AY372" s="71">
        <f t="shared" si="87"/>
        <v>0</v>
      </c>
      <c r="AZ372" s="72">
        <f t="shared" si="88"/>
        <v>83.219444444444449</v>
      </c>
      <c r="BA372" s="66">
        <f t="shared" si="89"/>
        <v>83.862777777777779</v>
      </c>
    </row>
    <row r="373" spans="1:53">
      <c r="A373" s="22" t="s">
        <v>391</v>
      </c>
      <c r="B373" s="32" t="s">
        <v>417</v>
      </c>
      <c r="C373" s="31"/>
      <c r="D373" s="30">
        <v>375762</v>
      </c>
      <c r="E373" s="30">
        <v>13</v>
      </c>
      <c r="F373" s="29" t="s">
        <v>75</v>
      </c>
      <c r="G373" s="16"/>
      <c r="H373" s="27"/>
      <c r="I373" s="26"/>
      <c r="J373" s="27"/>
      <c r="K373" s="26"/>
      <c r="L373" s="27"/>
      <c r="M373" s="26"/>
      <c r="N373" s="27"/>
      <c r="O373" s="26"/>
      <c r="P373" s="64">
        <f t="shared" si="72"/>
        <v>0</v>
      </c>
      <c r="Q373" s="65">
        <f t="shared" si="73"/>
        <v>0</v>
      </c>
      <c r="R373" s="66">
        <f t="shared" si="74"/>
        <v>0</v>
      </c>
      <c r="S373" s="67">
        <f t="shared" si="75"/>
        <v>0</v>
      </c>
      <c r="T373" s="27"/>
      <c r="U373" s="26"/>
      <c r="V373" s="64">
        <f t="shared" si="76"/>
        <v>0</v>
      </c>
      <c r="W373" s="68">
        <f t="shared" si="77"/>
        <v>0</v>
      </c>
      <c r="X373" s="27"/>
      <c r="Y373" s="26"/>
      <c r="Z373" s="27"/>
      <c r="AA373" s="26"/>
      <c r="AB373" s="27"/>
      <c r="AC373" s="26"/>
      <c r="AD373" s="27">
        <v>67477</v>
      </c>
      <c r="AE373" s="26">
        <v>70092.5</v>
      </c>
      <c r="AF373" s="64">
        <f t="shared" si="78"/>
        <v>67477</v>
      </c>
      <c r="AG373" s="65">
        <f t="shared" si="79"/>
        <v>74.974444444444444</v>
      </c>
      <c r="AH373" s="66">
        <f t="shared" si="80"/>
        <v>70092.5</v>
      </c>
      <c r="AI373" s="66">
        <f t="shared" si="81"/>
        <v>77.88055555555556</v>
      </c>
      <c r="AJ373" s="27"/>
      <c r="AK373" s="26"/>
      <c r="AL373" s="64">
        <f t="shared" si="82"/>
        <v>0</v>
      </c>
      <c r="AM373" s="67">
        <f t="shared" si="83"/>
        <v>0</v>
      </c>
      <c r="AN373" s="27"/>
      <c r="AO373" s="26"/>
      <c r="AP373" s="27"/>
      <c r="AQ373" s="26"/>
      <c r="AR373" s="27"/>
      <c r="AS373" s="26"/>
      <c r="AT373" s="27"/>
      <c r="AU373" s="26"/>
      <c r="AV373" s="64">
        <f t="shared" si="84"/>
        <v>0</v>
      </c>
      <c r="AW373" s="70">
        <f t="shared" si="85"/>
        <v>0</v>
      </c>
      <c r="AX373" s="66">
        <f t="shared" si="86"/>
        <v>0</v>
      </c>
      <c r="AY373" s="71">
        <f t="shared" si="87"/>
        <v>0</v>
      </c>
      <c r="AZ373" s="72">
        <f t="shared" si="88"/>
        <v>74.974444444444444</v>
      </c>
      <c r="BA373" s="66">
        <f t="shared" si="89"/>
        <v>77.88055555555556</v>
      </c>
    </row>
    <row r="374" spans="1:53">
      <c r="A374" s="22" t="s">
        <v>391</v>
      </c>
      <c r="B374" s="32" t="s">
        <v>418</v>
      </c>
      <c r="C374" s="31"/>
      <c r="D374" s="30">
        <v>365480</v>
      </c>
      <c r="E374" s="30">
        <v>13</v>
      </c>
      <c r="F374" s="29" t="s">
        <v>75</v>
      </c>
      <c r="G374" s="16"/>
      <c r="H374" s="27"/>
      <c r="I374" s="26"/>
      <c r="J374" s="27"/>
      <c r="K374" s="26"/>
      <c r="L374" s="27"/>
      <c r="M374" s="26"/>
      <c r="N374" s="27"/>
      <c r="O374" s="26"/>
      <c r="P374" s="64">
        <f t="shared" si="72"/>
        <v>0</v>
      </c>
      <c r="Q374" s="65">
        <f t="shared" si="73"/>
        <v>0</v>
      </c>
      <c r="R374" s="66">
        <f t="shared" si="74"/>
        <v>0</v>
      </c>
      <c r="S374" s="67">
        <f t="shared" si="75"/>
        <v>0</v>
      </c>
      <c r="T374" s="27"/>
      <c r="U374" s="26"/>
      <c r="V374" s="64">
        <f t="shared" si="76"/>
        <v>0</v>
      </c>
      <c r="W374" s="68">
        <f t="shared" si="77"/>
        <v>0</v>
      </c>
      <c r="X374" s="27"/>
      <c r="Y374" s="26"/>
      <c r="Z374" s="27"/>
      <c r="AA374" s="26"/>
      <c r="AB374" s="27"/>
      <c r="AC374" s="26"/>
      <c r="AD374" s="27">
        <v>527896.05000000005</v>
      </c>
      <c r="AE374" s="26">
        <v>522599.3</v>
      </c>
      <c r="AF374" s="64">
        <f t="shared" si="78"/>
        <v>527896.05000000005</v>
      </c>
      <c r="AG374" s="65">
        <f t="shared" si="79"/>
        <v>586.55116666666675</v>
      </c>
      <c r="AH374" s="66">
        <f t="shared" si="80"/>
        <v>522599.3</v>
      </c>
      <c r="AI374" s="66">
        <f t="shared" si="81"/>
        <v>580.66588888888884</v>
      </c>
      <c r="AJ374" s="27"/>
      <c r="AK374" s="26"/>
      <c r="AL374" s="64">
        <f t="shared" si="82"/>
        <v>0</v>
      </c>
      <c r="AM374" s="67">
        <f t="shared" si="83"/>
        <v>0</v>
      </c>
      <c r="AN374" s="27"/>
      <c r="AO374" s="26"/>
      <c r="AP374" s="27"/>
      <c r="AQ374" s="26"/>
      <c r="AR374" s="27"/>
      <c r="AS374" s="26"/>
      <c r="AT374" s="27"/>
      <c r="AU374" s="26"/>
      <c r="AV374" s="64">
        <f t="shared" si="84"/>
        <v>0</v>
      </c>
      <c r="AW374" s="70">
        <f t="shared" si="85"/>
        <v>0</v>
      </c>
      <c r="AX374" s="66">
        <f t="shared" si="86"/>
        <v>0</v>
      </c>
      <c r="AY374" s="71">
        <f t="shared" si="87"/>
        <v>0</v>
      </c>
      <c r="AZ374" s="72">
        <f t="shared" si="88"/>
        <v>586.55116666666675</v>
      </c>
      <c r="BA374" s="66">
        <f t="shared" si="89"/>
        <v>580.66588888888884</v>
      </c>
    </row>
    <row r="375" spans="1:53">
      <c r="A375" s="22" t="s">
        <v>391</v>
      </c>
      <c r="B375" s="32" t="s">
        <v>419</v>
      </c>
      <c r="C375" s="31"/>
      <c r="D375" s="30">
        <v>418320</v>
      </c>
      <c r="E375" s="30">
        <v>13</v>
      </c>
      <c r="F375" s="29" t="s">
        <v>75</v>
      </c>
      <c r="G375" s="16"/>
      <c r="H375" s="27"/>
      <c r="I375" s="26"/>
      <c r="J375" s="27"/>
      <c r="K375" s="26"/>
      <c r="L375" s="27"/>
      <c r="M375" s="26"/>
      <c r="N375" s="27"/>
      <c r="O375" s="26"/>
      <c r="P375" s="64">
        <f t="shared" si="72"/>
        <v>0</v>
      </c>
      <c r="Q375" s="65">
        <f t="shared" si="73"/>
        <v>0</v>
      </c>
      <c r="R375" s="66">
        <f t="shared" si="74"/>
        <v>0</v>
      </c>
      <c r="S375" s="67">
        <f t="shared" si="75"/>
        <v>0</v>
      </c>
      <c r="T375" s="27"/>
      <c r="U375" s="26"/>
      <c r="V375" s="64">
        <f t="shared" si="76"/>
        <v>0</v>
      </c>
      <c r="W375" s="68">
        <f t="shared" si="77"/>
        <v>0</v>
      </c>
      <c r="X375" s="27"/>
      <c r="Y375" s="26"/>
      <c r="Z375" s="27"/>
      <c r="AA375" s="26"/>
      <c r="AB375" s="27"/>
      <c r="AC375" s="26"/>
      <c r="AD375" s="27">
        <v>524868.5</v>
      </c>
      <c r="AE375" s="26">
        <v>502169.5</v>
      </c>
      <c r="AF375" s="64">
        <f t="shared" si="78"/>
        <v>524868.5</v>
      </c>
      <c r="AG375" s="65">
        <f t="shared" si="79"/>
        <v>583.1872222222222</v>
      </c>
      <c r="AH375" s="66">
        <f t="shared" si="80"/>
        <v>502169.5</v>
      </c>
      <c r="AI375" s="66">
        <f t="shared" si="81"/>
        <v>557.9661111111111</v>
      </c>
      <c r="AJ375" s="27"/>
      <c r="AK375" s="26"/>
      <c r="AL375" s="64">
        <f t="shared" si="82"/>
        <v>0</v>
      </c>
      <c r="AM375" s="67">
        <f t="shared" si="83"/>
        <v>0</v>
      </c>
      <c r="AN375" s="27"/>
      <c r="AO375" s="26"/>
      <c r="AP375" s="27"/>
      <c r="AQ375" s="26"/>
      <c r="AR375" s="27"/>
      <c r="AS375" s="26"/>
      <c r="AT375" s="27"/>
      <c r="AU375" s="26"/>
      <c r="AV375" s="64">
        <f t="shared" si="84"/>
        <v>0</v>
      </c>
      <c r="AW375" s="70">
        <f t="shared" si="85"/>
        <v>0</v>
      </c>
      <c r="AX375" s="66">
        <f t="shared" si="86"/>
        <v>0</v>
      </c>
      <c r="AY375" s="71">
        <f t="shared" si="87"/>
        <v>0</v>
      </c>
      <c r="AZ375" s="72">
        <f t="shared" si="88"/>
        <v>583.1872222222222</v>
      </c>
      <c r="BA375" s="66">
        <f t="shared" si="89"/>
        <v>557.9661111111111</v>
      </c>
    </row>
    <row r="376" spans="1:53">
      <c r="A376" s="22" t="s">
        <v>391</v>
      </c>
      <c r="B376" s="32" t="s">
        <v>420</v>
      </c>
      <c r="C376" s="31"/>
      <c r="D376" s="30">
        <v>431017</v>
      </c>
      <c r="E376" s="30">
        <v>13</v>
      </c>
      <c r="F376" s="29" t="s">
        <v>75</v>
      </c>
      <c r="G376" s="16"/>
      <c r="H376" s="27"/>
      <c r="I376" s="26"/>
      <c r="J376" s="27"/>
      <c r="K376" s="26"/>
      <c r="L376" s="27"/>
      <c r="M376" s="26"/>
      <c r="N376" s="27"/>
      <c r="O376" s="26"/>
      <c r="P376" s="64">
        <f t="shared" si="72"/>
        <v>0</v>
      </c>
      <c r="Q376" s="65">
        <f t="shared" si="73"/>
        <v>0</v>
      </c>
      <c r="R376" s="66">
        <f t="shared" si="74"/>
        <v>0</v>
      </c>
      <c r="S376" s="67">
        <f t="shared" si="75"/>
        <v>0</v>
      </c>
      <c r="T376" s="27"/>
      <c r="U376" s="26"/>
      <c r="V376" s="64">
        <f t="shared" si="76"/>
        <v>0</v>
      </c>
      <c r="W376" s="68">
        <f t="shared" si="77"/>
        <v>0</v>
      </c>
      <c r="X376" s="27"/>
      <c r="Y376" s="26"/>
      <c r="Z376" s="27"/>
      <c r="AA376" s="26"/>
      <c r="AB376" s="27"/>
      <c r="AC376" s="26"/>
      <c r="AD376" s="27">
        <v>370422.5</v>
      </c>
      <c r="AE376" s="109">
        <v>412916</v>
      </c>
      <c r="AF376" s="64">
        <f t="shared" si="78"/>
        <v>370422.5</v>
      </c>
      <c r="AG376" s="65">
        <f t="shared" si="79"/>
        <v>411.58055555555558</v>
      </c>
      <c r="AH376" s="66">
        <f t="shared" si="80"/>
        <v>412916</v>
      </c>
      <c r="AI376" s="66">
        <f t="shared" si="81"/>
        <v>458.79555555555555</v>
      </c>
      <c r="AJ376" s="27"/>
      <c r="AK376" s="26"/>
      <c r="AL376" s="64">
        <f t="shared" si="82"/>
        <v>0</v>
      </c>
      <c r="AM376" s="67">
        <f t="shared" si="83"/>
        <v>0</v>
      </c>
      <c r="AN376" s="27"/>
      <c r="AO376" s="26"/>
      <c r="AP376" s="27"/>
      <c r="AQ376" s="26"/>
      <c r="AR376" s="27"/>
      <c r="AS376" s="26"/>
      <c r="AT376" s="27"/>
      <c r="AU376" s="26"/>
      <c r="AV376" s="64">
        <f t="shared" si="84"/>
        <v>0</v>
      </c>
      <c r="AW376" s="70">
        <f t="shared" si="85"/>
        <v>0</v>
      </c>
      <c r="AX376" s="66">
        <f t="shared" si="86"/>
        <v>0</v>
      </c>
      <c r="AY376" s="71">
        <f t="shared" si="87"/>
        <v>0</v>
      </c>
      <c r="AZ376" s="72">
        <f t="shared" si="88"/>
        <v>411.58055555555558</v>
      </c>
      <c r="BA376" s="66">
        <f t="shared" si="89"/>
        <v>458.79555555555555</v>
      </c>
    </row>
    <row r="377" spans="1:53">
      <c r="A377" s="22" t="s">
        <v>391</v>
      </c>
      <c r="B377" s="171" t="s">
        <v>421</v>
      </c>
      <c r="C377" s="31"/>
      <c r="D377" s="30">
        <v>248606</v>
      </c>
      <c r="E377" s="30">
        <v>13</v>
      </c>
      <c r="F377" s="29" t="s">
        <v>75</v>
      </c>
      <c r="G377" s="16"/>
      <c r="H377" s="27"/>
      <c r="I377" s="26"/>
      <c r="J377" s="27"/>
      <c r="K377" s="26"/>
      <c r="L377" s="27"/>
      <c r="M377" s="26"/>
      <c r="N377" s="27"/>
      <c r="O377" s="26"/>
      <c r="P377" s="64">
        <f t="shared" si="72"/>
        <v>0</v>
      </c>
      <c r="Q377" s="65">
        <f t="shared" si="73"/>
        <v>0</v>
      </c>
      <c r="R377" s="66">
        <f t="shared" si="74"/>
        <v>0</v>
      </c>
      <c r="S377" s="67">
        <f t="shared" si="75"/>
        <v>0</v>
      </c>
      <c r="T377" s="27"/>
      <c r="U377" s="26"/>
      <c r="V377" s="64">
        <f t="shared" si="76"/>
        <v>0</v>
      </c>
      <c r="W377" s="68">
        <f t="shared" si="77"/>
        <v>0</v>
      </c>
      <c r="X377" s="27"/>
      <c r="Y377" s="26"/>
      <c r="Z377" s="27"/>
      <c r="AA377" s="26"/>
      <c r="AB377" s="27"/>
      <c r="AC377" s="26"/>
      <c r="AD377" s="27">
        <v>909019.3</v>
      </c>
      <c r="AE377" s="26">
        <v>890686.25</v>
      </c>
      <c r="AF377" s="64">
        <f t="shared" si="78"/>
        <v>909019.3</v>
      </c>
      <c r="AG377" s="65">
        <f t="shared" si="79"/>
        <v>1010.0214444444445</v>
      </c>
      <c r="AH377" s="66">
        <f t="shared" si="80"/>
        <v>890686.25</v>
      </c>
      <c r="AI377" s="66">
        <f t="shared" si="81"/>
        <v>989.65138888888885</v>
      </c>
      <c r="AJ377" s="27"/>
      <c r="AK377" s="26"/>
      <c r="AL377" s="64">
        <f t="shared" si="82"/>
        <v>0</v>
      </c>
      <c r="AM377" s="67">
        <f t="shared" si="83"/>
        <v>0</v>
      </c>
      <c r="AN377" s="27"/>
      <c r="AO377" s="26"/>
      <c r="AP377" s="27"/>
      <c r="AQ377" s="26"/>
      <c r="AR377" s="27"/>
      <c r="AS377" s="26"/>
      <c r="AT377" s="27"/>
      <c r="AU377" s="26"/>
      <c r="AV377" s="64">
        <f t="shared" si="84"/>
        <v>0</v>
      </c>
      <c r="AW377" s="70">
        <f t="shared" si="85"/>
        <v>0</v>
      </c>
      <c r="AX377" s="66">
        <f t="shared" si="86"/>
        <v>0</v>
      </c>
      <c r="AY377" s="71">
        <f t="shared" si="87"/>
        <v>0</v>
      </c>
      <c r="AZ377" s="72">
        <f t="shared" si="88"/>
        <v>1010.0214444444445</v>
      </c>
      <c r="BA377" s="66">
        <f t="shared" si="89"/>
        <v>989.65138888888885</v>
      </c>
    </row>
    <row r="378" spans="1:53">
      <c r="A378" s="22" t="s">
        <v>391</v>
      </c>
      <c r="B378" s="32" t="s">
        <v>422</v>
      </c>
      <c r="C378" s="31"/>
      <c r="D378" s="30">
        <v>420459</v>
      </c>
      <c r="E378" s="30">
        <v>13</v>
      </c>
      <c r="F378" s="29" t="s">
        <v>75</v>
      </c>
      <c r="G378" s="16"/>
      <c r="H378" s="27"/>
      <c r="I378" s="26"/>
      <c r="J378" s="27"/>
      <c r="K378" s="26"/>
      <c r="L378" s="27"/>
      <c r="M378" s="26"/>
      <c r="N378" s="27"/>
      <c r="O378" s="26"/>
      <c r="P378" s="64">
        <f t="shared" si="72"/>
        <v>0</v>
      </c>
      <c r="Q378" s="65">
        <f t="shared" si="73"/>
        <v>0</v>
      </c>
      <c r="R378" s="66">
        <f t="shared" si="74"/>
        <v>0</v>
      </c>
      <c r="S378" s="67">
        <f t="shared" si="75"/>
        <v>0</v>
      </c>
      <c r="T378" s="27"/>
      <c r="U378" s="26"/>
      <c r="V378" s="64">
        <f t="shared" si="76"/>
        <v>0</v>
      </c>
      <c r="W378" s="68">
        <f t="shared" si="77"/>
        <v>0</v>
      </c>
      <c r="X378" s="27"/>
      <c r="Y378" s="26"/>
      <c r="Z378" s="27"/>
      <c r="AA378" s="26"/>
      <c r="AB378" s="27"/>
      <c r="AC378" s="26"/>
      <c r="AD378" s="27">
        <v>262885</v>
      </c>
      <c r="AE378" s="26">
        <v>250430.5</v>
      </c>
      <c r="AF378" s="64">
        <f t="shared" si="78"/>
        <v>262885</v>
      </c>
      <c r="AG378" s="65">
        <f t="shared" si="79"/>
        <v>292.09444444444443</v>
      </c>
      <c r="AH378" s="66">
        <f t="shared" si="80"/>
        <v>250430.5</v>
      </c>
      <c r="AI378" s="66">
        <f t="shared" si="81"/>
        <v>278.25611111111112</v>
      </c>
      <c r="AJ378" s="27"/>
      <c r="AK378" s="26"/>
      <c r="AL378" s="64">
        <f t="shared" si="82"/>
        <v>0</v>
      </c>
      <c r="AM378" s="67">
        <f t="shared" si="83"/>
        <v>0</v>
      </c>
      <c r="AN378" s="27"/>
      <c r="AO378" s="26"/>
      <c r="AP378" s="27"/>
      <c r="AQ378" s="26"/>
      <c r="AR378" s="27"/>
      <c r="AS378" s="26"/>
      <c r="AT378" s="27"/>
      <c r="AU378" s="26"/>
      <c r="AV378" s="64">
        <f t="shared" si="84"/>
        <v>0</v>
      </c>
      <c r="AW378" s="70">
        <f t="shared" si="85"/>
        <v>0</v>
      </c>
      <c r="AX378" s="66">
        <f t="shared" si="86"/>
        <v>0</v>
      </c>
      <c r="AY378" s="71">
        <f t="shared" si="87"/>
        <v>0</v>
      </c>
      <c r="AZ378" s="72">
        <f t="shared" si="88"/>
        <v>292.09444444444443</v>
      </c>
      <c r="BA378" s="66">
        <f t="shared" si="89"/>
        <v>278.25611111111112</v>
      </c>
    </row>
    <row r="379" spans="1:53">
      <c r="A379" s="22" t="s">
        <v>391</v>
      </c>
      <c r="B379" s="32" t="s">
        <v>423</v>
      </c>
      <c r="C379" s="31"/>
      <c r="D379" s="173">
        <v>456560</v>
      </c>
      <c r="E379" s="30">
        <v>13</v>
      </c>
      <c r="F379" s="29" t="s">
        <v>75</v>
      </c>
      <c r="G379" s="16"/>
      <c r="H379" s="27"/>
      <c r="I379" s="26"/>
      <c r="J379" s="27"/>
      <c r="K379" s="26"/>
      <c r="L379" s="27"/>
      <c r="M379" s="26"/>
      <c r="N379" s="27"/>
      <c r="O379" s="26"/>
      <c r="P379" s="64">
        <f t="shared" si="72"/>
        <v>0</v>
      </c>
      <c r="Q379" s="65">
        <f t="shared" si="73"/>
        <v>0</v>
      </c>
      <c r="R379" s="66">
        <f t="shared" si="74"/>
        <v>0</v>
      </c>
      <c r="S379" s="67">
        <f t="shared" si="75"/>
        <v>0</v>
      </c>
      <c r="T379" s="27"/>
      <c r="U379" s="26"/>
      <c r="V379" s="64">
        <f t="shared" si="76"/>
        <v>0</v>
      </c>
      <c r="W379" s="68">
        <f t="shared" si="77"/>
        <v>0</v>
      </c>
      <c r="X379" s="27"/>
      <c r="Y379" s="26"/>
      <c r="Z379" s="27"/>
      <c r="AA379" s="26"/>
      <c r="AB379" s="27"/>
      <c r="AC379" s="26"/>
      <c r="AD379" s="27">
        <v>144973.75</v>
      </c>
      <c r="AE379" s="109">
        <v>183925.5</v>
      </c>
      <c r="AF379" s="64">
        <f t="shared" si="78"/>
        <v>144973.75</v>
      </c>
      <c r="AG379" s="65">
        <f t="shared" si="79"/>
        <v>161.08194444444445</v>
      </c>
      <c r="AH379" s="66">
        <f t="shared" si="80"/>
        <v>183925.5</v>
      </c>
      <c r="AI379" s="66">
        <f t="shared" si="81"/>
        <v>204.36166666666668</v>
      </c>
      <c r="AJ379" s="27"/>
      <c r="AK379" s="26"/>
      <c r="AL379" s="64">
        <f t="shared" si="82"/>
        <v>0</v>
      </c>
      <c r="AM379" s="67">
        <f t="shared" si="83"/>
        <v>0</v>
      </c>
      <c r="AN379" s="27"/>
      <c r="AO379" s="26"/>
      <c r="AP379" s="27"/>
      <c r="AQ379" s="26"/>
      <c r="AR379" s="27"/>
      <c r="AS379" s="26"/>
      <c r="AT379" s="27"/>
      <c r="AU379" s="26"/>
      <c r="AV379" s="64">
        <f t="shared" si="84"/>
        <v>0</v>
      </c>
      <c r="AW379" s="70">
        <f t="shared" si="85"/>
        <v>0</v>
      </c>
      <c r="AX379" s="66">
        <f t="shared" si="86"/>
        <v>0</v>
      </c>
      <c r="AY379" s="71">
        <f t="shared" si="87"/>
        <v>0</v>
      </c>
      <c r="AZ379" s="72">
        <f t="shared" si="88"/>
        <v>161.08194444444445</v>
      </c>
      <c r="BA379" s="66">
        <f t="shared" si="89"/>
        <v>204.36166666666668</v>
      </c>
    </row>
    <row r="380" spans="1:53">
      <c r="A380" s="22" t="s">
        <v>391</v>
      </c>
      <c r="B380" s="32" t="s">
        <v>424</v>
      </c>
      <c r="C380" s="31"/>
      <c r="D380" s="30">
        <v>432074</v>
      </c>
      <c r="E380" s="30">
        <v>13</v>
      </c>
      <c r="F380" s="29" t="s">
        <v>75</v>
      </c>
      <c r="G380" s="16"/>
      <c r="H380" s="27"/>
      <c r="I380" s="26"/>
      <c r="J380" s="27"/>
      <c r="K380" s="26"/>
      <c r="L380" s="27"/>
      <c r="M380" s="26"/>
      <c r="N380" s="27"/>
      <c r="O380" s="26"/>
      <c r="P380" s="64">
        <f t="shared" si="72"/>
        <v>0</v>
      </c>
      <c r="Q380" s="65">
        <f t="shared" si="73"/>
        <v>0</v>
      </c>
      <c r="R380" s="66">
        <f t="shared" si="74"/>
        <v>0</v>
      </c>
      <c r="S380" s="67">
        <f t="shared" si="75"/>
        <v>0</v>
      </c>
      <c r="T380" s="27"/>
      <c r="U380" s="26"/>
      <c r="V380" s="64">
        <f t="shared" si="76"/>
        <v>0</v>
      </c>
      <c r="W380" s="68">
        <f t="shared" si="77"/>
        <v>0</v>
      </c>
      <c r="X380" s="27"/>
      <c r="Y380" s="26"/>
      <c r="Z380" s="27"/>
      <c r="AA380" s="26"/>
      <c r="AB380" s="27"/>
      <c r="AC380" s="26"/>
      <c r="AD380" s="27">
        <v>158667</v>
      </c>
      <c r="AE380" s="26">
        <v>151896.09</v>
      </c>
      <c r="AF380" s="64">
        <f t="shared" si="78"/>
        <v>158667</v>
      </c>
      <c r="AG380" s="65">
        <f t="shared" si="79"/>
        <v>176.29666666666665</v>
      </c>
      <c r="AH380" s="66">
        <f t="shared" si="80"/>
        <v>151896.09</v>
      </c>
      <c r="AI380" s="66">
        <f t="shared" si="81"/>
        <v>168.77343333333332</v>
      </c>
      <c r="AJ380" s="27"/>
      <c r="AK380" s="26"/>
      <c r="AL380" s="64">
        <f t="shared" si="82"/>
        <v>0</v>
      </c>
      <c r="AM380" s="67">
        <f t="shared" si="83"/>
        <v>0</v>
      </c>
      <c r="AN380" s="27"/>
      <c r="AO380" s="26"/>
      <c r="AP380" s="27"/>
      <c r="AQ380" s="26"/>
      <c r="AR380" s="27"/>
      <c r="AS380" s="26"/>
      <c r="AT380" s="27"/>
      <c r="AU380" s="26"/>
      <c r="AV380" s="64">
        <f t="shared" si="84"/>
        <v>0</v>
      </c>
      <c r="AW380" s="70">
        <f t="shared" si="85"/>
        <v>0</v>
      </c>
      <c r="AX380" s="66">
        <f t="shared" si="86"/>
        <v>0</v>
      </c>
      <c r="AY380" s="71">
        <f t="shared" si="87"/>
        <v>0</v>
      </c>
      <c r="AZ380" s="72">
        <f t="shared" si="88"/>
        <v>176.29666666666665</v>
      </c>
      <c r="BA380" s="66">
        <f t="shared" si="89"/>
        <v>168.77343333333332</v>
      </c>
    </row>
    <row r="381" spans="1:53">
      <c r="A381" s="22" t="s">
        <v>391</v>
      </c>
      <c r="B381" s="32" t="s">
        <v>425</v>
      </c>
      <c r="C381" s="31"/>
      <c r="D381" s="30">
        <v>418339</v>
      </c>
      <c r="E381" s="30">
        <v>13</v>
      </c>
      <c r="F381" s="29" t="s">
        <v>75</v>
      </c>
      <c r="G381" s="16"/>
      <c r="H381" s="27"/>
      <c r="I381" s="26"/>
      <c r="J381" s="27"/>
      <c r="K381" s="26"/>
      <c r="L381" s="27"/>
      <c r="M381" s="26"/>
      <c r="N381" s="27"/>
      <c r="O381" s="26"/>
      <c r="P381" s="64">
        <f t="shared" si="72"/>
        <v>0</v>
      </c>
      <c r="Q381" s="65">
        <f t="shared" si="73"/>
        <v>0</v>
      </c>
      <c r="R381" s="66">
        <f t="shared" si="74"/>
        <v>0</v>
      </c>
      <c r="S381" s="67">
        <f t="shared" si="75"/>
        <v>0</v>
      </c>
      <c r="T381" s="27"/>
      <c r="U381" s="26"/>
      <c r="V381" s="64">
        <f t="shared" si="76"/>
        <v>0</v>
      </c>
      <c r="W381" s="68">
        <f t="shared" si="77"/>
        <v>0</v>
      </c>
      <c r="X381" s="27"/>
      <c r="Y381" s="26"/>
      <c r="Z381" s="27"/>
      <c r="AA381" s="26"/>
      <c r="AB381" s="27"/>
      <c r="AC381" s="26"/>
      <c r="AD381" s="27">
        <v>288306.5</v>
      </c>
      <c r="AE381" s="109">
        <v>303960.5</v>
      </c>
      <c r="AF381" s="64">
        <f t="shared" si="78"/>
        <v>288306.5</v>
      </c>
      <c r="AG381" s="65">
        <f t="shared" si="79"/>
        <v>320.34055555555557</v>
      </c>
      <c r="AH381" s="66">
        <f t="shared" si="80"/>
        <v>303960.5</v>
      </c>
      <c r="AI381" s="66">
        <f t="shared" si="81"/>
        <v>337.73388888888888</v>
      </c>
      <c r="AJ381" s="27"/>
      <c r="AK381" s="26"/>
      <c r="AL381" s="64">
        <f t="shared" si="82"/>
        <v>0</v>
      </c>
      <c r="AM381" s="67">
        <f t="shared" si="83"/>
        <v>0</v>
      </c>
      <c r="AN381" s="27"/>
      <c r="AO381" s="26"/>
      <c r="AP381" s="27"/>
      <c r="AQ381" s="26"/>
      <c r="AR381" s="27"/>
      <c r="AS381" s="26"/>
      <c r="AT381" s="27"/>
      <c r="AU381" s="26"/>
      <c r="AV381" s="64">
        <f t="shared" si="84"/>
        <v>0</v>
      </c>
      <c r="AW381" s="70">
        <f t="shared" si="85"/>
        <v>0</v>
      </c>
      <c r="AX381" s="66">
        <f t="shared" si="86"/>
        <v>0</v>
      </c>
      <c r="AY381" s="71">
        <f t="shared" si="87"/>
        <v>0</v>
      </c>
      <c r="AZ381" s="72">
        <f t="shared" si="88"/>
        <v>320.34055555555557</v>
      </c>
      <c r="BA381" s="66">
        <f t="shared" si="89"/>
        <v>337.73388888888888</v>
      </c>
    </row>
    <row r="382" spans="1:53">
      <c r="A382" s="22" t="s">
        <v>391</v>
      </c>
      <c r="B382" s="32" t="s">
        <v>426</v>
      </c>
      <c r="C382" s="31"/>
      <c r="D382" s="30">
        <v>366623</v>
      </c>
      <c r="E382" s="30">
        <v>13</v>
      </c>
      <c r="F382" s="29" t="s">
        <v>75</v>
      </c>
      <c r="G382" s="16"/>
      <c r="H382" s="27"/>
      <c r="I382" s="26"/>
      <c r="J382" s="27"/>
      <c r="K382" s="26"/>
      <c r="L382" s="27"/>
      <c r="M382" s="26"/>
      <c r="N382" s="27"/>
      <c r="O382" s="26"/>
      <c r="P382" s="64">
        <f t="shared" si="72"/>
        <v>0</v>
      </c>
      <c r="Q382" s="65">
        <f t="shared" si="73"/>
        <v>0</v>
      </c>
      <c r="R382" s="66">
        <f t="shared" si="74"/>
        <v>0</v>
      </c>
      <c r="S382" s="67">
        <f t="shared" si="75"/>
        <v>0</v>
      </c>
      <c r="T382" s="27"/>
      <c r="U382" s="26"/>
      <c r="V382" s="64">
        <f t="shared" si="76"/>
        <v>0</v>
      </c>
      <c r="W382" s="68">
        <f t="shared" si="77"/>
        <v>0</v>
      </c>
      <c r="X382" s="27"/>
      <c r="Y382" s="26"/>
      <c r="Z382" s="27"/>
      <c r="AA382" s="26"/>
      <c r="AB382" s="27"/>
      <c r="AC382" s="26"/>
      <c r="AD382" s="27">
        <v>129689.25</v>
      </c>
      <c r="AE382" s="109">
        <v>113955.25</v>
      </c>
      <c r="AF382" s="64">
        <f t="shared" si="78"/>
        <v>129689.25</v>
      </c>
      <c r="AG382" s="65">
        <f t="shared" si="79"/>
        <v>144.09916666666666</v>
      </c>
      <c r="AH382" s="66">
        <f t="shared" si="80"/>
        <v>113955.25</v>
      </c>
      <c r="AI382" s="66">
        <f t="shared" si="81"/>
        <v>126.61694444444444</v>
      </c>
      <c r="AJ382" s="27"/>
      <c r="AK382" s="26"/>
      <c r="AL382" s="64">
        <f t="shared" si="82"/>
        <v>0</v>
      </c>
      <c r="AM382" s="67">
        <f t="shared" si="83"/>
        <v>0</v>
      </c>
      <c r="AN382" s="27"/>
      <c r="AO382" s="26"/>
      <c r="AP382" s="27"/>
      <c r="AQ382" s="26"/>
      <c r="AR382" s="27"/>
      <c r="AS382" s="26"/>
      <c r="AT382" s="27"/>
      <c r="AU382" s="26"/>
      <c r="AV382" s="64">
        <f t="shared" si="84"/>
        <v>0</v>
      </c>
      <c r="AW382" s="70">
        <f t="shared" si="85"/>
        <v>0</v>
      </c>
      <c r="AX382" s="66">
        <f t="shared" si="86"/>
        <v>0</v>
      </c>
      <c r="AY382" s="71">
        <f t="shared" si="87"/>
        <v>0</v>
      </c>
      <c r="AZ382" s="72">
        <f t="shared" si="88"/>
        <v>144.09916666666666</v>
      </c>
      <c r="BA382" s="66">
        <f t="shared" si="89"/>
        <v>126.61694444444444</v>
      </c>
    </row>
    <row r="383" spans="1:53">
      <c r="A383" s="22" t="s">
        <v>391</v>
      </c>
      <c r="B383" s="32" t="s">
        <v>427</v>
      </c>
      <c r="C383" s="31"/>
      <c r="D383" s="30">
        <v>407601</v>
      </c>
      <c r="E383" s="30">
        <v>13</v>
      </c>
      <c r="F383" s="29" t="s">
        <v>75</v>
      </c>
      <c r="G383" s="16"/>
      <c r="H383" s="27"/>
      <c r="I383" s="26"/>
      <c r="J383" s="27"/>
      <c r="K383" s="26"/>
      <c r="L383" s="27"/>
      <c r="M383" s="26"/>
      <c r="N383" s="27"/>
      <c r="O383" s="26"/>
      <c r="P383" s="64">
        <f t="shared" si="72"/>
        <v>0</v>
      </c>
      <c r="Q383" s="65">
        <f t="shared" si="73"/>
        <v>0</v>
      </c>
      <c r="R383" s="66">
        <f t="shared" si="74"/>
        <v>0</v>
      </c>
      <c r="S383" s="67">
        <f t="shared" si="75"/>
        <v>0</v>
      </c>
      <c r="T383" s="27"/>
      <c r="U383" s="26"/>
      <c r="V383" s="64">
        <f t="shared" si="76"/>
        <v>0</v>
      </c>
      <c r="W383" s="68">
        <f t="shared" si="77"/>
        <v>0</v>
      </c>
      <c r="X383" s="27"/>
      <c r="Y383" s="26"/>
      <c r="Z383" s="27"/>
      <c r="AA383" s="26"/>
      <c r="AB383" s="27"/>
      <c r="AC383" s="26"/>
      <c r="AD383" s="27">
        <v>78132.5</v>
      </c>
      <c r="AE383" s="26">
        <v>79680.5</v>
      </c>
      <c r="AF383" s="64">
        <f t="shared" si="78"/>
        <v>78132.5</v>
      </c>
      <c r="AG383" s="65">
        <f t="shared" si="79"/>
        <v>86.813888888888883</v>
      </c>
      <c r="AH383" s="66">
        <f t="shared" si="80"/>
        <v>79680.5</v>
      </c>
      <c r="AI383" s="66">
        <f t="shared" si="81"/>
        <v>88.533888888888896</v>
      </c>
      <c r="AJ383" s="27"/>
      <c r="AK383" s="26"/>
      <c r="AL383" s="64">
        <f t="shared" si="82"/>
        <v>0</v>
      </c>
      <c r="AM383" s="67">
        <f t="shared" si="83"/>
        <v>0</v>
      </c>
      <c r="AN383" s="27"/>
      <c r="AO383" s="26"/>
      <c r="AP383" s="27"/>
      <c r="AQ383" s="26"/>
      <c r="AR383" s="27"/>
      <c r="AS383" s="26"/>
      <c r="AT383" s="27"/>
      <c r="AU383" s="26"/>
      <c r="AV383" s="64">
        <f t="shared" si="84"/>
        <v>0</v>
      </c>
      <c r="AW383" s="70">
        <f t="shared" si="85"/>
        <v>0</v>
      </c>
      <c r="AX383" s="66">
        <f t="shared" si="86"/>
        <v>0</v>
      </c>
      <c r="AY383" s="71">
        <f t="shared" si="87"/>
        <v>0</v>
      </c>
      <c r="AZ383" s="72">
        <f t="shared" si="88"/>
        <v>86.813888888888883</v>
      </c>
      <c r="BA383" s="66">
        <f t="shared" si="89"/>
        <v>88.533888888888896</v>
      </c>
    </row>
    <row r="384" spans="1:53">
      <c r="A384" s="22" t="s">
        <v>391</v>
      </c>
      <c r="B384" s="32" t="s">
        <v>428</v>
      </c>
      <c r="C384" s="31"/>
      <c r="D384" s="30">
        <v>364627</v>
      </c>
      <c r="E384" s="30">
        <v>13</v>
      </c>
      <c r="F384" s="29" t="s">
        <v>75</v>
      </c>
      <c r="G384" s="16"/>
      <c r="H384" s="27"/>
      <c r="I384" s="26"/>
      <c r="J384" s="27"/>
      <c r="K384" s="26"/>
      <c r="L384" s="27"/>
      <c r="M384" s="26"/>
      <c r="N384" s="27"/>
      <c r="O384" s="26"/>
      <c r="P384" s="64">
        <f t="shared" si="72"/>
        <v>0</v>
      </c>
      <c r="Q384" s="65">
        <f t="shared" si="73"/>
        <v>0</v>
      </c>
      <c r="R384" s="66">
        <f t="shared" si="74"/>
        <v>0</v>
      </c>
      <c r="S384" s="67">
        <f t="shared" si="75"/>
        <v>0</v>
      </c>
      <c r="T384" s="27"/>
      <c r="U384" s="26"/>
      <c r="V384" s="64">
        <f t="shared" si="76"/>
        <v>0</v>
      </c>
      <c r="W384" s="68">
        <f t="shared" si="77"/>
        <v>0</v>
      </c>
      <c r="X384" s="27"/>
      <c r="Y384" s="26"/>
      <c r="Z384" s="27"/>
      <c r="AA384" s="26"/>
      <c r="AB384" s="27"/>
      <c r="AC384" s="26"/>
      <c r="AD384" s="27">
        <v>320423.09999999998</v>
      </c>
      <c r="AE384" s="109">
        <v>300410</v>
      </c>
      <c r="AF384" s="64">
        <f t="shared" si="78"/>
        <v>320423.09999999998</v>
      </c>
      <c r="AG384" s="65">
        <f t="shared" si="79"/>
        <v>356.02566666666667</v>
      </c>
      <c r="AH384" s="66">
        <f t="shared" si="80"/>
        <v>300410</v>
      </c>
      <c r="AI384" s="66">
        <f t="shared" si="81"/>
        <v>333.78888888888889</v>
      </c>
      <c r="AJ384" s="27"/>
      <c r="AK384" s="26"/>
      <c r="AL384" s="64">
        <f t="shared" si="82"/>
        <v>0</v>
      </c>
      <c r="AM384" s="67">
        <f t="shared" si="83"/>
        <v>0</v>
      </c>
      <c r="AN384" s="27"/>
      <c r="AO384" s="26"/>
      <c r="AP384" s="27"/>
      <c r="AQ384" s="26"/>
      <c r="AR384" s="27"/>
      <c r="AS384" s="26"/>
      <c r="AT384" s="27"/>
      <c r="AU384" s="26"/>
      <c r="AV384" s="64">
        <f t="shared" si="84"/>
        <v>0</v>
      </c>
      <c r="AW384" s="70">
        <f t="shared" si="85"/>
        <v>0</v>
      </c>
      <c r="AX384" s="66">
        <f t="shared" si="86"/>
        <v>0</v>
      </c>
      <c r="AY384" s="71">
        <f t="shared" si="87"/>
        <v>0</v>
      </c>
      <c r="AZ384" s="72">
        <f t="shared" si="88"/>
        <v>356.02566666666667</v>
      </c>
      <c r="BA384" s="66">
        <f t="shared" si="89"/>
        <v>333.78888888888889</v>
      </c>
    </row>
    <row r="385" spans="1:53">
      <c r="A385" s="22" t="s">
        <v>391</v>
      </c>
      <c r="B385" s="32" t="s">
        <v>429</v>
      </c>
      <c r="C385" s="31"/>
      <c r="D385" s="30">
        <v>206905</v>
      </c>
      <c r="E385" s="30">
        <v>13</v>
      </c>
      <c r="F385" s="29" t="s">
        <v>75</v>
      </c>
      <c r="G385" s="16"/>
      <c r="H385" s="27"/>
      <c r="I385" s="26"/>
      <c r="J385" s="27"/>
      <c r="K385" s="26"/>
      <c r="L385" s="27"/>
      <c r="M385" s="26"/>
      <c r="N385" s="27"/>
      <c r="O385" s="26"/>
      <c r="P385" s="64">
        <f t="shared" si="72"/>
        <v>0</v>
      </c>
      <c r="Q385" s="65">
        <f t="shared" si="73"/>
        <v>0</v>
      </c>
      <c r="R385" s="66">
        <f t="shared" si="74"/>
        <v>0</v>
      </c>
      <c r="S385" s="67">
        <f t="shared" si="75"/>
        <v>0</v>
      </c>
      <c r="T385" s="27"/>
      <c r="U385" s="26"/>
      <c r="V385" s="64">
        <f t="shared" si="76"/>
        <v>0</v>
      </c>
      <c r="W385" s="68">
        <f t="shared" si="77"/>
        <v>0</v>
      </c>
      <c r="X385" s="27"/>
      <c r="Y385" s="26"/>
      <c r="Z385" s="27"/>
      <c r="AA385" s="26"/>
      <c r="AB385" s="27"/>
      <c r="AC385" s="26"/>
      <c r="AD385" s="27">
        <v>167886</v>
      </c>
      <c r="AE385" s="109">
        <v>185379</v>
      </c>
      <c r="AF385" s="64">
        <f t="shared" si="78"/>
        <v>167886</v>
      </c>
      <c r="AG385" s="65">
        <f t="shared" si="79"/>
        <v>186.54</v>
      </c>
      <c r="AH385" s="66">
        <f t="shared" si="80"/>
        <v>185379</v>
      </c>
      <c r="AI385" s="66">
        <f t="shared" si="81"/>
        <v>205.97666666666666</v>
      </c>
      <c r="AJ385" s="27"/>
      <c r="AK385" s="26"/>
      <c r="AL385" s="64">
        <f t="shared" si="82"/>
        <v>0</v>
      </c>
      <c r="AM385" s="67">
        <f t="shared" si="83"/>
        <v>0</v>
      </c>
      <c r="AN385" s="27"/>
      <c r="AO385" s="26"/>
      <c r="AP385" s="27"/>
      <c r="AQ385" s="26"/>
      <c r="AR385" s="27"/>
      <c r="AS385" s="26"/>
      <c r="AT385" s="27"/>
      <c r="AU385" s="26"/>
      <c r="AV385" s="64">
        <f t="shared" si="84"/>
        <v>0</v>
      </c>
      <c r="AW385" s="70">
        <f t="shared" si="85"/>
        <v>0</v>
      </c>
      <c r="AX385" s="66">
        <f t="shared" si="86"/>
        <v>0</v>
      </c>
      <c r="AY385" s="71">
        <f t="shared" si="87"/>
        <v>0</v>
      </c>
      <c r="AZ385" s="72">
        <f t="shared" si="88"/>
        <v>186.54</v>
      </c>
      <c r="BA385" s="66">
        <f t="shared" si="89"/>
        <v>205.97666666666666</v>
      </c>
    </row>
    <row r="386" spans="1:53">
      <c r="A386" s="22" t="s">
        <v>391</v>
      </c>
      <c r="B386" s="32" t="s">
        <v>430</v>
      </c>
      <c r="C386" s="31"/>
      <c r="D386" s="30">
        <v>250993</v>
      </c>
      <c r="E386" s="30">
        <v>13</v>
      </c>
      <c r="F386" s="29" t="s">
        <v>75</v>
      </c>
      <c r="G386" s="16"/>
      <c r="H386" s="27"/>
      <c r="I386" s="26"/>
      <c r="J386" s="27"/>
      <c r="K386" s="26"/>
      <c r="L386" s="27"/>
      <c r="M386" s="26"/>
      <c r="N386" s="27"/>
      <c r="O386" s="26"/>
      <c r="P386" s="64">
        <f t="shared" ref="P386:P481" si="90">SUM(H386,J386,L386,N386)</f>
        <v>0</v>
      </c>
      <c r="Q386" s="65">
        <f t="shared" ref="Q386:Q481" si="91">+P386/30</f>
        <v>0</v>
      </c>
      <c r="R386" s="66">
        <f t="shared" ref="R386:R481" si="92">SUM(I386,K386,M386,O386)</f>
        <v>0</v>
      </c>
      <c r="S386" s="67">
        <f t="shared" ref="S386:S481" si="93">+R386/30</f>
        <v>0</v>
      </c>
      <c r="T386" s="27"/>
      <c r="U386" s="26"/>
      <c r="V386" s="64">
        <f t="shared" ref="V386:V481" si="94">IF(ISBLANK(T386),0,P386)</f>
        <v>0</v>
      </c>
      <c r="W386" s="68">
        <f t="shared" ref="W386:W481" si="95">IF(ISBLANK(U386),0,R386)</f>
        <v>0</v>
      </c>
      <c r="X386" s="27"/>
      <c r="Y386" s="26"/>
      <c r="Z386" s="27"/>
      <c r="AA386" s="26"/>
      <c r="AB386" s="27"/>
      <c r="AC386" s="26"/>
      <c r="AD386" s="27">
        <v>291348.40000000002</v>
      </c>
      <c r="AE386" s="26">
        <v>283312.95</v>
      </c>
      <c r="AF386" s="64">
        <f t="shared" ref="AF386:AF481" si="96">SUM(X386,Z386,AB386,AD386)</f>
        <v>291348.40000000002</v>
      </c>
      <c r="AG386" s="65">
        <f t="shared" ref="AG386:AG481" si="97">+AF386/900</f>
        <v>323.72044444444447</v>
      </c>
      <c r="AH386" s="66">
        <f t="shared" ref="AH386:AH478" si="98">SUM(Y386,AA386,AC386,AE386)</f>
        <v>283312.95</v>
      </c>
      <c r="AI386" s="66">
        <f t="shared" ref="AI386:AI481" si="99">+AH386/900</f>
        <v>314.79216666666667</v>
      </c>
      <c r="AJ386" s="27"/>
      <c r="AK386" s="26"/>
      <c r="AL386" s="64">
        <f t="shared" ref="AL386:AL481" si="100">IF(ISBLANK(AJ386),0,AF386)</f>
        <v>0</v>
      </c>
      <c r="AM386" s="67">
        <f t="shared" ref="AM386:AM481" si="101">IF(ISBLANK(AK386),0,AH386)</f>
        <v>0</v>
      </c>
      <c r="AN386" s="27"/>
      <c r="AO386" s="26"/>
      <c r="AP386" s="27"/>
      <c r="AQ386" s="26"/>
      <c r="AR386" s="27"/>
      <c r="AS386" s="26"/>
      <c r="AT386" s="27"/>
      <c r="AU386" s="26"/>
      <c r="AV386" s="64">
        <f t="shared" ref="AV386:AV481" si="102">SUM(AN386,AP386,AR386,AT386)</f>
        <v>0</v>
      </c>
      <c r="AW386" s="70">
        <f t="shared" ref="AW386:AW481" si="103">+AV386/24</f>
        <v>0</v>
      </c>
      <c r="AX386" s="66">
        <f t="shared" ref="AX386:AX481" si="104">SUM(AO386,AQ386,AS386,AU386)</f>
        <v>0</v>
      </c>
      <c r="AY386" s="71">
        <f t="shared" ref="AY386:AY481" si="105">+AX386/24</f>
        <v>0</v>
      </c>
      <c r="AZ386" s="72">
        <f t="shared" ref="AZ386:AZ481" si="106">SUM(Q386,AG386,AW386)</f>
        <v>323.72044444444447</v>
      </c>
      <c r="BA386" s="66">
        <f t="shared" ref="BA386:BA481" si="107">SUM(S386,AI386,AY386)</f>
        <v>314.79216666666667</v>
      </c>
    </row>
    <row r="387" spans="1:53">
      <c r="A387" s="22" t="s">
        <v>391</v>
      </c>
      <c r="B387" s="32" t="s">
        <v>431</v>
      </c>
      <c r="C387" s="31"/>
      <c r="D387" s="30">
        <v>365198</v>
      </c>
      <c r="E387" s="30">
        <v>13</v>
      </c>
      <c r="F387" s="29" t="s">
        <v>75</v>
      </c>
      <c r="G387" s="16"/>
      <c r="H387" s="27"/>
      <c r="I387" s="26"/>
      <c r="J387" s="27"/>
      <c r="K387" s="26"/>
      <c r="L387" s="27"/>
      <c r="M387" s="26"/>
      <c r="N387" s="27"/>
      <c r="O387" s="26"/>
      <c r="P387" s="64">
        <f t="shared" si="90"/>
        <v>0</v>
      </c>
      <c r="Q387" s="65">
        <f t="shared" si="91"/>
        <v>0</v>
      </c>
      <c r="R387" s="66">
        <f t="shared" si="92"/>
        <v>0</v>
      </c>
      <c r="S387" s="67">
        <f t="shared" si="93"/>
        <v>0</v>
      </c>
      <c r="T387" s="27"/>
      <c r="U387" s="26"/>
      <c r="V387" s="64">
        <f t="shared" si="94"/>
        <v>0</v>
      </c>
      <c r="W387" s="68">
        <f t="shared" si="95"/>
        <v>0</v>
      </c>
      <c r="X387" s="27"/>
      <c r="Y387" s="26"/>
      <c r="Z387" s="27"/>
      <c r="AA387" s="26"/>
      <c r="AB387" s="27"/>
      <c r="AC387" s="26"/>
      <c r="AD387" s="27">
        <v>428926.95</v>
      </c>
      <c r="AE387" s="109">
        <v>451570.24</v>
      </c>
      <c r="AF387" s="64">
        <f t="shared" si="96"/>
        <v>428926.95</v>
      </c>
      <c r="AG387" s="65">
        <f t="shared" si="97"/>
        <v>476.58550000000002</v>
      </c>
      <c r="AH387" s="66">
        <f t="shared" si="98"/>
        <v>451570.24</v>
      </c>
      <c r="AI387" s="66">
        <f t="shared" si="99"/>
        <v>501.74471111111109</v>
      </c>
      <c r="AJ387" s="27"/>
      <c r="AK387" s="26"/>
      <c r="AL387" s="64">
        <f t="shared" si="100"/>
        <v>0</v>
      </c>
      <c r="AM387" s="67">
        <f t="shared" si="101"/>
        <v>0</v>
      </c>
      <c r="AN387" s="27"/>
      <c r="AO387" s="26"/>
      <c r="AP387" s="27"/>
      <c r="AQ387" s="26"/>
      <c r="AR387" s="27"/>
      <c r="AS387" s="26"/>
      <c r="AT387" s="27"/>
      <c r="AU387" s="26"/>
      <c r="AV387" s="64">
        <f t="shared" si="102"/>
        <v>0</v>
      </c>
      <c r="AW387" s="70">
        <f t="shared" si="103"/>
        <v>0</v>
      </c>
      <c r="AX387" s="66">
        <f t="shared" si="104"/>
        <v>0</v>
      </c>
      <c r="AY387" s="71">
        <f t="shared" si="105"/>
        <v>0</v>
      </c>
      <c r="AZ387" s="72">
        <f t="shared" si="106"/>
        <v>476.58550000000002</v>
      </c>
      <c r="BA387" s="66">
        <f t="shared" si="107"/>
        <v>501.74471111111109</v>
      </c>
    </row>
    <row r="388" spans="1:53">
      <c r="A388" s="22" t="s">
        <v>391</v>
      </c>
      <c r="B388" s="32" t="s">
        <v>432</v>
      </c>
      <c r="C388" s="31"/>
      <c r="D388" s="30">
        <v>368364</v>
      </c>
      <c r="E388" s="30">
        <v>13</v>
      </c>
      <c r="F388" s="29" t="s">
        <v>75</v>
      </c>
      <c r="G388" s="16"/>
      <c r="H388" s="27"/>
      <c r="I388" s="26"/>
      <c r="J388" s="27"/>
      <c r="K388" s="26"/>
      <c r="L388" s="27"/>
      <c r="M388" s="26"/>
      <c r="N388" s="27"/>
      <c r="O388" s="26"/>
      <c r="P388" s="64">
        <f t="shared" si="90"/>
        <v>0</v>
      </c>
      <c r="Q388" s="65">
        <f t="shared" si="91"/>
        <v>0</v>
      </c>
      <c r="R388" s="66">
        <f t="shared" si="92"/>
        <v>0</v>
      </c>
      <c r="S388" s="67">
        <f t="shared" si="93"/>
        <v>0</v>
      </c>
      <c r="T388" s="27"/>
      <c r="U388" s="26"/>
      <c r="V388" s="64">
        <f t="shared" si="94"/>
        <v>0</v>
      </c>
      <c r="W388" s="68">
        <f t="shared" si="95"/>
        <v>0</v>
      </c>
      <c r="X388" s="27"/>
      <c r="Y388" s="26"/>
      <c r="Z388" s="27"/>
      <c r="AA388" s="26"/>
      <c r="AB388" s="27"/>
      <c r="AC388" s="26"/>
      <c r="AD388" s="27">
        <v>216640.45</v>
      </c>
      <c r="AE388" s="26">
        <v>209462.02</v>
      </c>
      <c r="AF388" s="64">
        <f t="shared" si="96"/>
        <v>216640.45</v>
      </c>
      <c r="AG388" s="65">
        <f t="shared" si="97"/>
        <v>240.71161111111113</v>
      </c>
      <c r="AH388" s="66">
        <f t="shared" si="98"/>
        <v>209462.02</v>
      </c>
      <c r="AI388" s="66">
        <f t="shared" si="99"/>
        <v>232.73557777777776</v>
      </c>
      <c r="AJ388" s="27"/>
      <c r="AK388" s="26"/>
      <c r="AL388" s="64">
        <f t="shared" si="100"/>
        <v>0</v>
      </c>
      <c r="AM388" s="67">
        <f t="shared" si="101"/>
        <v>0</v>
      </c>
      <c r="AN388" s="27"/>
      <c r="AO388" s="26"/>
      <c r="AP388" s="27"/>
      <c r="AQ388" s="26"/>
      <c r="AR388" s="27"/>
      <c r="AS388" s="26"/>
      <c r="AT388" s="27"/>
      <c r="AU388" s="26"/>
      <c r="AV388" s="64">
        <f t="shared" si="102"/>
        <v>0</v>
      </c>
      <c r="AW388" s="70">
        <f t="shared" si="103"/>
        <v>0</v>
      </c>
      <c r="AX388" s="66">
        <f t="shared" si="104"/>
        <v>0</v>
      </c>
      <c r="AY388" s="71">
        <f t="shared" si="105"/>
        <v>0</v>
      </c>
      <c r="AZ388" s="72">
        <f t="shared" si="106"/>
        <v>240.71161111111113</v>
      </c>
      <c r="BA388" s="66">
        <f t="shared" si="107"/>
        <v>232.73557777777776</v>
      </c>
    </row>
    <row r="389" spans="1:53">
      <c r="A389" s="22" t="s">
        <v>391</v>
      </c>
      <c r="B389" s="32" t="s">
        <v>433</v>
      </c>
      <c r="C389" s="31"/>
      <c r="D389" s="30">
        <v>418287</v>
      </c>
      <c r="E389" s="30">
        <v>13</v>
      </c>
      <c r="F389" s="29" t="s">
        <v>75</v>
      </c>
      <c r="G389" s="16"/>
      <c r="H389" s="27"/>
      <c r="I389" s="26"/>
      <c r="J389" s="27"/>
      <c r="K389" s="26"/>
      <c r="L389" s="27"/>
      <c r="M389" s="26"/>
      <c r="N389" s="27"/>
      <c r="O389" s="26"/>
      <c r="P389" s="64">
        <f t="shared" si="90"/>
        <v>0</v>
      </c>
      <c r="Q389" s="65">
        <f t="shared" si="91"/>
        <v>0</v>
      </c>
      <c r="R389" s="66">
        <f t="shared" si="92"/>
        <v>0</v>
      </c>
      <c r="S389" s="67">
        <f t="shared" si="93"/>
        <v>0</v>
      </c>
      <c r="T389" s="27"/>
      <c r="U389" s="26"/>
      <c r="V389" s="64">
        <f t="shared" si="94"/>
        <v>0</v>
      </c>
      <c r="W389" s="68">
        <f t="shared" si="95"/>
        <v>0</v>
      </c>
      <c r="X389" s="27"/>
      <c r="Y389" s="26"/>
      <c r="Z389" s="27"/>
      <c r="AA389" s="26"/>
      <c r="AB389" s="27"/>
      <c r="AC389" s="26"/>
      <c r="AD389" s="27">
        <v>353226.5</v>
      </c>
      <c r="AE389" s="26">
        <v>346046</v>
      </c>
      <c r="AF389" s="64">
        <f t="shared" si="96"/>
        <v>353226.5</v>
      </c>
      <c r="AG389" s="65">
        <f t="shared" si="97"/>
        <v>392.47388888888889</v>
      </c>
      <c r="AH389" s="66">
        <f t="shared" si="98"/>
        <v>346046</v>
      </c>
      <c r="AI389" s="66">
        <f t="shared" si="99"/>
        <v>384.49555555555554</v>
      </c>
      <c r="AJ389" s="27"/>
      <c r="AK389" s="26"/>
      <c r="AL389" s="64">
        <f t="shared" si="100"/>
        <v>0</v>
      </c>
      <c r="AM389" s="67">
        <f t="shared" si="101"/>
        <v>0</v>
      </c>
      <c r="AN389" s="27"/>
      <c r="AO389" s="26"/>
      <c r="AP389" s="27"/>
      <c r="AQ389" s="26"/>
      <c r="AR389" s="27"/>
      <c r="AS389" s="26"/>
      <c r="AT389" s="27"/>
      <c r="AU389" s="26"/>
      <c r="AV389" s="64">
        <f t="shared" si="102"/>
        <v>0</v>
      </c>
      <c r="AW389" s="70">
        <f t="shared" si="103"/>
        <v>0</v>
      </c>
      <c r="AX389" s="66">
        <f t="shared" si="104"/>
        <v>0</v>
      </c>
      <c r="AY389" s="71">
        <f t="shared" si="105"/>
        <v>0</v>
      </c>
      <c r="AZ389" s="72">
        <f t="shared" si="106"/>
        <v>392.47388888888889</v>
      </c>
      <c r="BA389" s="66">
        <f t="shared" si="107"/>
        <v>384.49555555555554</v>
      </c>
    </row>
    <row r="390" spans="1:53">
      <c r="A390" s="22" t="s">
        <v>391</v>
      </c>
      <c r="B390" s="32" t="s">
        <v>434</v>
      </c>
      <c r="C390" s="31"/>
      <c r="D390" s="30">
        <v>207607</v>
      </c>
      <c r="E390" s="30">
        <v>13</v>
      </c>
      <c r="F390" s="29" t="s">
        <v>75</v>
      </c>
      <c r="G390" s="16"/>
      <c r="H390" s="27"/>
      <c r="I390" s="26"/>
      <c r="J390" s="27"/>
      <c r="K390" s="26"/>
      <c r="L390" s="27"/>
      <c r="M390" s="26"/>
      <c r="N390" s="27"/>
      <c r="O390" s="26"/>
      <c r="P390" s="64">
        <f t="shared" si="90"/>
        <v>0</v>
      </c>
      <c r="Q390" s="65">
        <f t="shared" si="91"/>
        <v>0</v>
      </c>
      <c r="R390" s="66">
        <f t="shared" si="92"/>
        <v>0</v>
      </c>
      <c r="S390" s="67">
        <f t="shared" si="93"/>
        <v>0</v>
      </c>
      <c r="T390" s="27"/>
      <c r="U390" s="26"/>
      <c r="V390" s="64">
        <f t="shared" si="94"/>
        <v>0</v>
      </c>
      <c r="W390" s="68">
        <f t="shared" si="95"/>
        <v>0</v>
      </c>
      <c r="X390" s="27"/>
      <c r="Y390" s="26"/>
      <c r="Z390" s="27"/>
      <c r="AA390" s="26"/>
      <c r="AB390" s="27"/>
      <c r="AC390" s="26"/>
      <c r="AD390" s="27">
        <v>391456</v>
      </c>
      <c r="AE390" s="109">
        <v>314665.5</v>
      </c>
      <c r="AF390" s="64">
        <f t="shared" si="96"/>
        <v>391456</v>
      </c>
      <c r="AG390" s="65">
        <f t="shared" si="97"/>
        <v>434.95111111111112</v>
      </c>
      <c r="AH390" s="66">
        <f t="shared" si="98"/>
        <v>314665.5</v>
      </c>
      <c r="AI390" s="66">
        <f t="shared" si="99"/>
        <v>349.62833333333333</v>
      </c>
      <c r="AJ390" s="27"/>
      <c r="AK390" s="26"/>
      <c r="AL390" s="64">
        <f t="shared" si="100"/>
        <v>0</v>
      </c>
      <c r="AM390" s="67">
        <f t="shared" si="101"/>
        <v>0</v>
      </c>
      <c r="AN390" s="27"/>
      <c r="AO390" s="26"/>
      <c r="AP390" s="27"/>
      <c r="AQ390" s="26"/>
      <c r="AR390" s="27"/>
      <c r="AS390" s="26"/>
      <c r="AT390" s="27"/>
      <c r="AU390" s="26"/>
      <c r="AV390" s="64">
        <f t="shared" si="102"/>
        <v>0</v>
      </c>
      <c r="AW390" s="70">
        <f t="shared" si="103"/>
        <v>0</v>
      </c>
      <c r="AX390" s="66">
        <f t="shared" si="104"/>
        <v>0</v>
      </c>
      <c r="AY390" s="71">
        <f t="shared" si="105"/>
        <v>0</v>
      </c>
      <c r="AZ390" s="72">
        <f t="shared" si="106"/>
        <v>434.95111111111112</v>
      </c>
      <c r="BA390" s="66">
        <f t="shared" si="107"/>
        <v>349.62833333333333</v>
      </c>
    </row>
    <row r="391" spans="1:53">
      <c r="A391" s="22" t="s">
        <v>391</v>
      </c>
      <c r="B391" s="32" t="s">
        <v>435</v>
      </c>
      <c r="C391" s="31"/>
      <c r="D391" s="30">
        <v>261393</v>
      </c>
      <c r="E391" s="30">
        <v>13</v>
      </c>
      <c r="F391" s="29" t="s">
        <v>75</v>
      </c>
      <c r="G391" s="16"/>
      <c r="H391" s="27"/>
      <c r="I391" s="26"/>
      <c r="J391" s="27"/>
      <c r="K391" s="26"/>
      <c r="L391" s="27"/>
      <c r="M391" s="26"/>
      <c r="N391" s="27"/>
      <c r="O391" s="26"/>
      <c r="P391" s="64">
        <f t="shared" si="90"/>
        <v>0</v>
      </c>
      <c r="Q391" s="65">
        <f t="shared" si="91"/>
        <v>0</v>
      </c>
      <c r="R391" s="66">
        <f t="shared" si="92"/>
        <v>0</v>
      </c>
      <c r="S391" s="67">
        <f t="shared" si="93"/>
        <v>0</v>
      </c>
      <c r="T391" s="27"/>
      <c r="U391" s="26"/>
      <c r="V391" s="64">
        <f t="shared" si="94"/>
        <v>0</v>
      </c>
      <c r="W391" s="68">
        <f t="shared" si="95"/>
        <v>0</v>
      </c>
      <c r="X391" s="27"/>
      <c r="Y391" s="26"/>
      <c r="Z391" s="27"/>
      <c r="AA391" s="26"/>
      <c r="AB391" s="27"/>
      <c r="AC391" s="26"/>
      <c r="AD391" s="27">
        <v>682564.63</v>
      </c>
      <c r="AE391" s="109">
        <v>631291.13</v>
      </c>
      <c r="AF391" s="64">
        <f t="shared" si="96"/>
        <v>682564.63</v>
      </c>
      <c r="AG391" s="65">
        <f t="shared" si="97"/>
        <v>758.40514444444443</v>
      </c>
      <c r="AH391" s="66">
        <f t="shared" si="98"/>
        <v>631291.13</v>
      </c>
      <c r="AI391" s="66">
        <f t="shared" si="99"/>
        <v>701.43458888888892</v>
      </c>
      <c r="AJ391" s="27"/>
      <c r="AK391" s="26"/>
      <c r="AL391" s="64">
        <f t="shared" si="100"/>
        <v>0</v>
      </c>
      <c r="AM391" s="67">
        <f t="shared" si="101"/>
        <v>0</v>
      </c>
      <c r="AN391" s="27"/>
      <c r="AO391" s="26"/>
      <c r="AP391" s="27"/>
      <c r="AQ391" s="26"/>
      <c r="AR391" s="27"/>
      <c r="AS391" s="26"/>
      <c r="AT391" s="27"/>
      <c r="AU391" s="26"/>
      <c r="AV391" s="64">
        <f t="shared" si="102"/>
        <v>0</v>
      </c>
      <c r="AW391" s="70">
        <f t="shared" si="103"/>
        <v>0</v>
      </c>
      <c r="AX391" s="66">
        <f t="shared" si="104"/>
        <v>0</v>
      </c>
      <c r="AY391" s="71">
        <f t="shared" si="105"/>
        <v>0</v>
      </c>
      <c r="AZ391" s="72">
        <f t="shared" si="106"/>
        <v>758.40514444444443</v>
      </c>
      <c r="BA391" s="66">
        <f t="shared" si="107"/>
        <v>701.43458888888892</v>
      </c>
    </row>
    <row r="392" spans="1:53">
      <c r="A392" s="22" t="s">
        <v>391</v>
      </c>
      <c r="B392" s="174" t="s">
        <v>436</v>
      </c>
      <c r="C392" s="31"/>
      <c r="D392" s="175">
        <v>482264</v>
      </c>
      <c r="E392" s="30">
        <v>13</v>
      </c>
      <c r="F392" s="29" t="s">
        <v>75</v>
      </c>
      <c r="G392" s="16"/>
      <c r="H392" s="27"/>
      <c r="I392" s="26"/>
      <c r="J392" s="27"/>
      <c r="K392" s="26"/>
      <c r="L392" s="27"/>
      <c r="M392" s="26"/>
      <c r="N392" s="27"/>
      <c r="O392" s="26"/>
      <c r="P392" s="64">
        <f t="shared" si="90"/>
        <v>0</v>
      </c>
      <c r="Q392" s="65">
        <f t="shared" si="91"/>
        <v>0</v>
      </c>
      <c r="R392" s="66">
        <f t="shared" si="92"/>
        <v>0</v>
      </c>
      <c r="S392" s="67">
        <f t="shared" si="93"/>
        <v>0</v>
      </c>
      <c r="T392" s="27"/>
      <c r="U392" s="26"/>
      <c r="V392" s="64">
        <f t="shared" si="94"/>
        <v>0</v>
      </c>
      <c r="W392" s="68">
        <f t="shared" si="95"/>
        <v>0</v>
      </c>
      <c r="X392" s="27"/>
      <c r="Y392" s="26"/>
      <c r="Z392" s="27"/>
      <c r="AA392" s="26"/>
      <c r="AB392" s="27"/>
      <c r="AC392" s="26"/>
      <c r="AD392" s="27">
        <v>186104</v>
      </c>
      <c r="AE392" s="109">
        <v>224409.5</v>
      </c>
      <c r="AF392" s="64">
        <f t="shared" si="96"/>
        <v>186104</v>
      </c>
      <c r="AG392" s="65">
        <f t="shared" si="97"/>
        <v>206.78222222222223</v>
      </c>
      <c r="AH392" s="66">
        <f t="shared" si="98"/>
        <v>224409.5</v>
      </c>
      <c r="AI392" s="66">
        <f t="shared" si="99"/>
        <v>249.3438888888889</v>
      </c>
      <c r="AJ392" s="27"/>
      <c r="AK392" s="26"/>
      <c r="AL392" s="64">
        <f t="shared" si="100"/>
        <v>0</v>
      </c>
      <c r="AM392" s="67">
        <f t="shared" si="101"/>
        <v>0</v>
      </c>
      <c r="AN392" s="27"/>
      <c r="AO392" s="26"/>
      <c r="AP392" s="27"/>
      <c r="AQ392" s="26"/>
      <c r="AR392" s="27"/>
      <c r="AS392" s="26"/>
      <c r="AT392" s="27"/>
      <c r="AU392" s="26"/>
      <c r="AV392" s="64">
        <f t="shared" si="102"/>
        <v>0</v>
      </c>
      <c r="AW392" s="70">
        <f t="shared" si="103"/>
        <v>0</v>
      </c>
      <c r="AX392" s="66">
        <f t="shared" si="104"/>
        <v>0</v>
      </c>
      <c r="AY392" s="71">
        <f t="shared" si="105"/>
        <v>0</v>
      </c>
      <c r="AZ392" s="72">
        <f t="shared" si="106"/>
        <v>206.78222222222223</v>
      </c>
      <c r="BA392" s="66">
        <f t="shared" si="107"/>
        <v>249.3438888888889</v>
      </c>
    </row>
    <row r="393" spans="1:53">
      <c r="A393" s="22" t="s">
        <v>391</v>
      </c>
      <c r="B393" s="32" t="s">
        <v>437</v>
      </c>
      <c r="C393" s="31"/>
      <c r="D393" s="30">
        <v>261384</v>
      </c>
      <c r="E393" s="30">
        <v>13</v>
      </c>
      <c r="F393" s="29" t="s">
        <v>75</v>
      </c>
      <c r="G393" s="16"/>
      <c r="H393" s="27"/>
      <c r="I393" s="26"/>
      <c r="J393" s="27"/>
      <c r="K393" s="26"/>
      <c r="L393" s="27"/>
      <c r="M393" s="26"/>
      <c r="N393" s="27"/>
      <c r="O393" s="26"/>
      <c r="P393" s="64">
        <f t="shared" si="90"/>
        <v>0</v>
      </c>
      <c r="Q393" s="65">
        <f t="shared" si="91"/>
        <v>0</v>
      </c>
      <c r="R393" s="66">
        <f t="shared" si="92"/>
        <v>0</v>
      </c>
      <c r="S393" s="67">
        <f t="shared" si="93"/>
        <v>0</v>
      </c>
      <c r="T393" s="27"/>
      <c r="U393" s="26"/>
      <c r="V393" s="64">
        <f t="shared" si="94"/>
        <v>0</v>
      </c>
      <c r="W393" s="68">
        <f t="shared" si="95"/>
        <v>0</v>
      </c>
      <c r="X393" s="27"/>
      <c r="Y393" s="26"/>
      <c r="Z393" s="27"/>
      <c r="AA393" s="26"/>
      <c r="AB393" s="27"/>
      <c r="AC393" s="26"/>
      <c r="AD393" s="27">
        <v>322709</v>
      </c>
      <c r="AE393" s="109">
        <v>412088</v>
      </c>
      <c r="AF393" s="64">
        <f t="shared" si="96"/>
        <v>322709</v>
      </c>
      <c r="AG393" s="65">
        <f t="shared" si="97"/>
        <v>358.56555555555553</v>
      </c>
      <c r="AH393" s="66">
        <f t="shared" si="98"/>
        <v>412088</v>
      </c>
      <c r="AI393" s="66">
        <f t="shared" si="99"/>
        <v>457.87555555555554</v>
      </c>
      <c r="AJ393" s="27"/>
      <c r="AK393" s="26"/>
      <c r="AL393" s="64">
        <f t="shared" si="100"/>
        <v>0</v>
      </c>
      <c r="AM393" s="67">
        <f t="shared" si="101"/>
        <v>0</v>
      </c>
      <c r="AN393" s="27"/>
      <c r="AO393" s="26"/>
      <c r="AP393" s="27"/>
      <c r="AQ393" s="26"/>
      <c r="AR393" s="27"/>
      <c r="AS393" s="26"/>
      <c r="AT393" s="27"/>
      <c r="AU393" s="26"/>
      <c r="AV393" s="64">
        <f t="shared" si="102"/>
        <v>0</v>
      </c>
      <c r="AW393" s="70">
        <f t="shared" si="103"/>
        <v>0</v>
      </c>
      <c r="AX393" s="66">
        <f t="shared" si="104"/>
        <v>0</v>
      </c>
      <c r="AY393" s="71">
        <f t="shared" si="105"/>
        <v>0</v>
      </c>
      <c r="AZ393" s="72">
        <f t="shared" si="106"/>
        <v>358.56555555555553</v>
      </c>
      <c r="BA393" s="66">
        <f t="shared" si="107"/>
        <v>457.87555555555554</v>
      </c>
    </row>
    <row r="394" spans="1:53">
      <c r="A394" s="22" t="s">
        <v>391</v>
      </c>
      <c r="B394" s="174" t="s">
        <v>438</v>
      </c>
      <c r="C394" s="31"/>
      <c r="D394" s="175">
        <v>482273</v>
      </c>
      <c r="E394" s="30">
        <v>13</v>
      </c>
      <c r="F394" s="29" t="s">
        <v>75</v>
      </c>
      <c r="G394" s="16"/>
      <c r="H394" s="27"/>
      <c r="I394" s="26"/>
      <c r="J394" s="27"/>
      <c r="K394" s="26"/>
      <c r="L394" s="27"/>
      <c r="M394" s="26"/>
      <c r="N394" s="27"/>
      <c r="O394" s="26"/>
      <c r="P394" s="64">
        <f t="shared" si="90"/>
        <v>0</v>
      </c>
      <c r="Q394" s="65">
        <f t="shared" si="91"/>
        <v>0</v>
      </c>
      <c r="R394" s="66">
        <f t="shared" si="92"/>
        <v>0</v>
      </c>
      <c r="S394" s="67">
        <f t="shared" si="93"/>
        <v>0</v>
      </c>
      <c r="T394" s="27"/>
      <c r="U394" s="26"/>
      <c r="V394" s="64">
        <f t="shared" si="94"/>
        <v>0</v>
      </c>
      <c r="W394" s="68">
        <f t="shared" si="95"/>
        <v>0</v>
      </c>
      <c r="X394" s="27"/>
      <c r="Y394" s="26"/>
      <c r="Z394" s="27"/>
      <c r="AA394" s="26"/>
      <c r="AB394" s="27"/>
      <c r="AC394" s="26"/>
      <c r="AD394" s="27">
        <v>100815</v>
      </c>
      <c r="AE394" s="109">
        <v>114435</v>
      </c>
      <c r="AF394" s="64">
        <f t="shared" si="96"/>
        <v>100815</v>
      </c>
      <c r="AG394" s="65">
        <f t="shared" si="97"/>
        <v>112.01666666666667</v>
      </c>
      <c r="AH394" s="66">
        <f t="shared" si="98"/>
        <v>114435</v>
      </c>
      <c r="AI394" s="66">
        <f t="shared" si="99"/>
        <v>127.15</v>
      </c>
      <c r="AJ394" s="27"/>
      <c r="AK394" s="26"/>
      <c r="AL394" s="64">
        <f t="shared" si="100"/>
        <v>0</v>
      </c>
      <c r="AM394" s="67">
        <f t="shared" si="101"/>
        <v>0</v>
      </c>
      <c r="AN394" s="27"/>
      <c r="AO394" s="26"/>
      <c r="AP394" s="27"/>
      <c r="AQ394" s="26"/>
      <c r="AR394" s="27"/>
      <c r="AS394" s="26"/>
      <c r="AT394" s="27"/>
      <c r="AU394" s="26"/>
      <c r="AV394" s="64">
        <f t="shared" si="102"/>
        <v>0</v>
      </c>
      <c r="AW394" s="70">
        <f t="shared" si="103"/>
        <v>0</v>
      </c>
      <c r="AX394" s="66">
        <f t="shared" si="104"/>
        <v>0</v>
      </c>
      <c r="AY394" s="71">
        <f t="shared" si="105"/>
        <v>0</v>
      </c>
      <c r="AZ394" s="72">
        <f t="shared" si="106"/>
        <v>112.01666666666667</v>
      </c>
      <c r="BA394" s="66">
        <f t="shared" si="107"/>
        <v>127.15</v>
      </c>
    </row>
    <row r="395" spans="1:53">
      <c r="A395" s="22" t="s">
        <v>391</v>
      </c>
      <c r="B395" s="32" t="s">
        <v>439</v>
      </c>
      <c r="C395" s="31"/>
      <c r="D395" s="30">
        <v>418357</v>
      </c>
      <c r="E395" s="30">
        <v>13</v>
      </c>
      <c r="F395" s="29" t="s">
        <v>75</v>
      </c>
      <c r="G395" s="16"/>
      <c r="H395" s="27"/>
      <c r="I395" s="26"/>
      <c r="J395" s="27"/>
      <c r="K395" s="26"/>
      <c r="L395" s="27"/>
      <c r="M395" s="26"/>
      <c r="N395" s="27"/>
      <c r="O395" s="26"/>
      <c r="P395" s="64">
        <f t="shared" si="90"/>
        <v>0</v>
      </c>
      <c r="Q395" s="65">
        <f t="shared" si="91"/>
        <v>0</v>
      </c>
      <c r="R395" s="66">
        <f t="shared" si="92"/>
        <v>0</v>
      </c>
      <c r="S395" s="67">
        <f t="shared" si="93"/>
        <v>0</v>
      </c>
      <c r="T395" s="27"/>
      <c r="U395" s="26"/>
      <c r="V395" s="64">
        <f t="shared" si="94"/>
        <v>0</v>
      </c>
      <c r="W395" s="68">
        <f t="shared" si="95"/>
        <v>0</v>
      </c>
      <c r="X395" s="27"/>
      <c r="Y395" s="26"/>
      <c r="Z395" s="27"/>
      <c r="AA395" s="26"/>
      <c r="AB395" s="27"/>
      <c r="AC395" s="26"/>
      <c r="AD395" s="27">
        <v>139335.5</v>
      </c>
      <c r="AE395" s="109">
        <v>127814.75</v>
      </c>
      <c r="AF395" s="64">
        <f t="shared" si="96"/>
        <v>139335.5</v>
      </c>
      <c r="AG395" s="65">
        <f t="shared" si="97"/>
        <v>154.81722222222223</v>
      </c>
      <c r="AH395" s="66">
        <f t="shared" si="98"/>
        <v>127814.75</v>
      </c>
      <c r="AI395" s="66">
        <f t="shared" si="99"/>
        <v>142.01638888888888</v>
      </c>
      <c r="AJ395" s="27"/>
      <c r="AK395" s="26"/>
      <c r="AL395" s="64">
        <f t="shared" si="100"/>
        <v>0</v>
      </c>
      <c r="AM395" s="67">
        <f t="shared" si="101"/>
        <v>0</v>
      </c>
      <c r="AN395" s="27"/>
      <c r="AO395" s="26"/>
      <c r="AP395" s="27"/>
      <c r="AQ395" s="26"/>
      <c r="AR395" s="27"/>
      <c r="AS395" s="26"/>
      <c r="AT395" s="27"/>
      <c r="AU395" s="26"/>
      <c r="AV395" s="64">
        <f t="shared" si="102"/>
        <v>0</v>
      </c>
      <c r="AW395" s="70">
        <f t="shared" si="103"/>
        <v>0</v>
      </c>
      <c r="AX395" s="66">
        <f t="shared" si="104"/>
        <v>0</v>
      </c>
      <c r="AY395" s="71">
        <f t="shared" si="105"/>
        <v>0</v>
      </c>
      <c r="AZ395" s="72">
        <f t="shared" si="106"/>
        <v>154.81722222222223</v>
      </c>
      <c r="BA395" s="66">
        <f t="shared" si="107"/>
        <v>142.01638888888888</v>
      </c>
    </row>
    <row r="396" spans="1:53">
      <c r="A396" s="22" t="s">
        <v>391</v>
      </c>
      <c r="B396" s="32" t="s">
        <v>440</v>
      </c>
      <c r="C396" s="31"/>
      <c r="D396" s="30">
        <v>418302</v>
      </c>
      <c r="E396" s="30">
        <v>13</v>
      </c>
      <c r="F396" s="29" t="s">
        <v>75</v>
      </c>
      <c r="G396" s="16"/>
      <c r="H396" s="27"/>
      <c r="I396" s="26"/>
      <c r="J396" s="27"/>
      <c r="K396" s="26"/>
      <c r="L396" s="27"/>
      <c r="M396" s="26"/>
      <c r="N396" s="27"/>
      <c r="O396" s="26"/>
      <c r="P396" s="64">
        <f t="shared" si="90"/>
        <v>0</v>
      </c>
      <c r="Q396" s="65">
        <f t="shared" si="91"/>
        <v>0</v>
      </c>
      <c r="R396" s="66">
        <f t="shared" si="92"/>
        <v>0</v>
      </c>
      <c r="S396" s="67">
        <f t="shared" si="93"/>
        <v>0</v>
      </c>
      <c r="T396" s="27"/>
      <c r="U396" s="26"/>
      <c r="V396" s="64">
        <f t="shared" si="94"/>
        <v>0</v>
      </c>
      <c r="W396" s="68">
        <f t="shared" si="95"/>
        <v>0</v>
      </c>
      <c r="X396" s="27"/>
      <c r="Y396" s="26"/>
      <c r="Z396" s="27"/>
      <c r="AA396" s="26"/>
      <c r="AB396" s="27"/>
      <c r="AC396" s="26"/>
      <c r="AD396" s="27">
        <v>348534.5</v>
      </c>
      <c r="AE396" s="26">
        <v>353266</v>
      </c>
      <c r="AF396" s="64">
        <f t="shared" si="96"/>
        <v>348534.5</v>
      </c>
      <c r="AG396" s="65">
        <f t="shared" si="97"/>
        <v>387.26055555555558</v>
      </c>
      <c r="AH396" s="66">
        <f t="shared" si="98"/>
        <v>353266</v>
      </c>
      <c r="AI396" s="66">
        <f t="shared" si="99"/>
        <v>392.51777777777778</v>
      </c>
      <c r="AJ396" s="27"/>
      <c r="AK396" s="26"/>
      <c r="AL396" s="64">
        <f t="shared" si="100"/>
        <v>0</v>
      </c>
      <c r="AM396" s="67">
        <f t="shared" si="101"/>
        <v>0</v>
      </c>
      <c r="AN396" s="27"/>
      <c r="AO396" s="26"/>
      <c r="AP396" s="27"/>
      <c r="AQ396" s="26"/>
      <c r="AR396" s="27"/>
      <c r="AS396" s="26"/>
      <c r="AT396" s="27"/>
      <c r="AU396" s="26"/>
      <c r="AV396" s="64">
        <f t="shared" si="102"/>
        <v>0</v>
      </c>
      <c r="AW396" s="70">
        <f t="shared" si="103"/>
        <v>0</v>
      </c>
      <c r="AX396" s="66">
        <f t="shared" si="104"/>
        <v>0</v>
      </c>
      <c r="AY396" s="71">
        <f t="shared" si="105"/>
        <v>0</v>
      </c>
      <c r="AZ396" s="72">
        <f t="shared" si="106"/>
        <v>387.26055555555558</v>
      </c>
      <c r="BA396" s="66">
        <f t="shared" si="107"/>
        <v>392.51777777777778</v>
      </c>
    </row>
    <row r="397" spans="1:53" s="54" customFormat="1" ht="13.5" customHeight="1">
      <c r="A397" s="148" t="s">
        <v>391</v>
      </c>
      <c r="B397" s="104" t="s">
        <v>441</v>
      </c>
      <c r="C397" s="105"/>
      <c r="D397" s="106">
        <v>207388</v>
      </c>
      <c r="E397" s="106">
        <v>1</v>
      </c>
      <c r="F397" s="29" t="s">
        <v>75</v>
      </c>
      <c r="G397" s="16" t="s">
        <v>75</v>
      </c>
      <c r="H397" s="27"/>
      <c r="I397" s="26"/>
      <c r="J397" s="27">
        <v>274208</v>
      </c>
      <c r="K397" s="26">
        <v>281320</v>
      </c>
      <c r="L397" s="27">
        <v>32539</v>
      </c>
      <c r="M397" s="26">
        <v>31989</v>
      </c>
      <c r="N397" s="27">
        <v>304054</v>
      </c>
      <c r="O397" s="109">
        <v>287936</v>
      </c>
      <c r="P397" s="64">
        <f t="shared" si="90"/>
        <v>610801</v>
      </c>
      <c r="Q397" s="65">
        <f t="shared" si="91"/>
        <v>20360.033333333333</v>
      </c>
      <c r="R397" s="66">
        <f t="shared" si="92"/>
        <v>601245</v>
      </c>
      <c r="S397" s="67">
        <f t="shared" si="93"/>
        <v>20041.5</v>
      </c>
      <c r="T397" s="27">
        <v>754</v>
      </c>
      <c r="U397" s="109">
        <v>851</v>
      </c>
      <c r="V397" s="64">
        <f t="shared" si="94"/>
        <v>610801</v>
      </c>
      <c r="W397" s="68">
        <f t="shared" si="95"/>
        <v>601245</v>
      </c>
      <c r="X397" s="27"/>
      <c r="Y397" s="26"/>
      <c r="Z397" s="27"/>
      <c r="AA397" s="26"/>
      <c r="AB397" s="27"/>
      <c r="AC397" s="26"/>
      <c r="AD397" s="27"/>
      <c r="AE397" s="26"/>
      <c r="AF397" s="64">
        <f t="shared" si="96"/>
        <v>0</v>
      </c>
      <c r="AG397" s="65">
        <f t="shared" si="97"/>
        <v>0</v>
      </c>
      <c r="AH397" s="66">
        <f t="shared" si="98"/>
        <v>0</v>
      </c>
      <c r="AI397" s="66">
        <f t="shared" si="99"/>
        <v>0</v>
      </c>
      <c r="AJ397" s="27"/>
      <c r="AK397" s="26"/>
      <c r="AL397" s="64">
        <f t="shared" si="100"/>
        <v>0</v>
      </c>
      <c r="AM397" s="67">
        <f t="shared" si="101"/>
        <v>0</v>
      </c>
      <c r="AN397" s="27"/>
      <c r="AO397" s="26"/>
      <c r="AP397" s="27">
        <v>42695</v>
      </c>
      <c r="AQ397" s="109">
        <v>47377</v>
      </c>
      <c r="AR397" s="27">
        <v>21003</v>
      </c>
      <c r="AS397" s="26">
        <v>21563</v>
      </c>
      <c r="AT397" s="27">
        <v>44174</v>
      </c>
      <c r="AU397" s="109">
        <v>33814</v>
      </c>
      <c r="AV397" s="64">
        <f t="shared" si="102"/>
        <v>107872</v>
      </c>
      <c r="AW397" s="70">
        <f t="shared" si="103"/>
        <v>4494.666666666667</v>
      </c>
      <c r="AX397" s="66">
        <f t="shared" si="104"/>
        <v>102754</v>
      </c>
      <c r="AY397" s="71">
        <f t="shared" si="105"/>
        <v>4281.416666666667</v>
      </c>
      <c r="AZ397" s="72">
        <f t="shared" si="106"/>
        <v>24854.7</v>
      </c>
      <c r="BA397" s="66">
        <f t="shared" si="107"/>
        <v>24322.916666666668</v>
      </c>
    </row>
    <row r="398" spans="1:53">
      <c r="A398" s="148" t="s">
        <v>391</v>
      </c>
      <c r="B398" s="104" t="s">
        <v>442</v>
      </c>
      <c r="C398" s="105"/>
      <c r="D398" s="106">
        <v>207500</v>
      </c>
      <c r="E398" s="106">
        <v>1</v>
      </c>
      <c r="F398" s="29" t="s">
        <v>75</v>
      </c>
      <c r="G398" s="16" t="s">
        <v>75</v>
      </c>
      <c r="H398" s="27"/>
      <c r="I398" s="26"/>
      <c r="J398" s="27">
        <v>256575</v>
      </c>
      <c r="K398" s="26">
        <v>259722</v>
      </c>
      <c r="L398" s="27">
        <v>46493</v>
      </c>
      <c r="M398" s="26">
        <v>46910</v>
      </c>
      <c r="N398" s="27">
        <v>286914</v>
      </c>
      <c r="O398" s="26">
        <v>291381</v>
      </c>
      <c r="P398" s="64">
        <f t="shared" si="90"/>
        <v>589982</v>
      </c>
      <c r="Q398" s="65">
        <f t="shared" si="91"/>
        <v>19666.066666666666</v>
      </c>
      <c r="R398" s="66">
        <f t="shared" si="92"/>
        <v>598013</v>
      </c>
      <c r="S398" s="67">
        <f t="shared" si="93"/>
        <v>19933.766666666666</v>
      </c>
      <c r="T398" s="27">
        <v>1165</v>
      </c>
      <c r="U398" s="109">
        <v>1936</v>
      </c>
      <c r="V398" s="64">
        <f t="shared" si="94"/>
        <v>589982</v>
      </c>
      <c r="W398" s="68">
        <f t="shared" si="95"/>
        <v>598013</v>
      </c>
      <c r="X398" s="27"/>
      <c r="Y398" s="26"/>
      <c r="Z398" s="27"/>
      <c r="AA398" s="26"/>
      <c r="AB398" s="27"/>
      <c r="AC398" s="26"/>
      <c r="AD398" s="27"/>
      <c r="AE398" s="26"/>
      <c r="AF398" s="64">
        <f t="shared" si="96"/>
        <v>0</v>
      </c>
      <c r="AG398" s="65">
        <f t="shared" si="97"/>
        <v>0</v>
      </c>
      <c r="AH398" s="66">
        <f t="shared" si="98"/>
        <v>0</v>
      </c>
      <c r="AI398" s="66">
        <f t="shared" si="99"/>
        <v>0</v>
      </c>
      <c r="AJ398" s="27"/>
      <c r="AK398" s="26"/>
      <c r="AL398" s="64">
        <f t="shared" si="100"/>
        <v>0</v>
      </c>
      <c r="AM398" s="67">
        <f t="shared" si="101"/>
        <v>0</v>
      </c>
      <c r="AN398" s="27"/>
      <c r="AO398" s="26"/>
      <c r="AP398" s="27">
        <v>56328</v>
      </c>
      <c r="AQ398" s="26">
        <v>56551</v>
      </c>
      <c r="AR398" s="27">
        <v>16555</v>
      </c>
      <c r="AS398" s="26">
        <v>17373</v>
      </c>
      <c r="AT398" s="27">
        <v>56588</v>
      </c>
      <c r="AU398" s="26">
        <v>58930</v>
      </c>
      <c r="AV398" s="64">
        <f t="shared" si="102"/>
        <v>129471</v>
      </c>
      <c r="AW398" s="70">
        <f t="shared" si="103"/>
        <v>5394.625</v>
      </c>
      <c r="AX398" s="66">
        <f t="shared" si="104"/>
        <v>132854</v>
      </c>
      <c r="AY398" s="71">
        <f t="shared" si="105"/>
        <v>5535.583333333333</v>
      </c>
      <c r="AZ398" s="72">
        <f t="shared" si="106"/>
        <v>25060.691666666666</v>
      </c>
      <c r="BA398" s="66">
        <f t="shared" si="107"/>
        <v>25469.35</v>
      </c>
    </row>
    <row r="399" spans="1:53">
      <c r="A399" s="148" t="s">
        <v>391</v>
      </c>
      <c r="B399" s="104" t="s">
        <v>443</v>
      </c>
      <c r="C399" s="105"/>
      <c r="D399" s="106">
        <v>207263</v>
      </c>
      <c r="E399" s="106">
        <v>3</v>
      </c>
      <c r="F399" s="29" t="s">
        <v>75</v>
      </c>
      <c r="G399" s="16" t="s">
        <v>75</v>
      </c>
      <c r="H399" s="27"/>
      <c r="I399" s="26"/>
      <c r="J399" s="27">
        <v>76132</v>
      </c>
      <c r="K399" s="26">
        <v>75370</v>
      </c>
      <c r="L399" s="27">
        <v>12459</v>
      </c>
      <c r="M399" s="109">
        <v>11663</v>
      </c>
      <c r="N399" s="27">
        <v>82479</v>
      </c>
      <c r="O399" s="26">
        <v>81044</v>
      </c>
      <c r="P399" s="64">
        <f t="shared" si="90"/>
        <v>171070</v>
      </c>
      <c r="Q399" s="65">
        <f t="shared" si="91"/>
        <v>5702.333333333333</v>
      </c>
      <c r="R399" s="66">
        <f t="shared" si="92"/>
        <v>168077</v>
      </c>
      <c r="S399" s="67">
        <f t="shared" si="93"/>
        <v>5602.5666666666666</v>
      </c>
      <c r="T399" s="27">
        <v>2068</v>
      </c>
      <c r="U399" s="109">
        <v>2411</v>
      </c>
      <c r="V399" s="64">
        <f t="shared" si="94"/>
        <v>171070</v>
      </c>
      <c r="W399" s="68">
        <f t="shared" si="95"/>
        <v>168077</v>
      </c>
      <c r="X399" s="27"/>
      <c r="Y399" s="26"/>
      <c r="Z399" s="27"/>
      <c r="AA399" s="26"/>
      <c r="AB399" s="27"/>
      <c r="AC399" s="26"/>
      <c r="AD399" s="27"/>
      <c r="AE399" s="26"/>
      <c r="AF399" s="64">
        <f t="shared" si="96"/>
        <v>0</v>
      </c>
      <c r="AG399" s="65">
        <f t="shared" si="97"/>
        <v>0</v>
      </c>
      <c r="AH399" s="66">
        <f t="shared" si="98"/>
        <v>0</v>
      </c>
      <c r="AI399" s="66">
        <f t="shared" si="99"/>
        <v>0</v>
      </c>
      <c r="AJ399" s="27"/>
      <c r="AK399" s="26"/>
      <c r="AL399" s="64">
        <f t="shared" si="100"/>
        <v>0</v>
      </c>
      <c r="AM399" s="67">
        <f t="shared" si="101"/>
        <v>0</v>
      </c>
      <c r="AN399" s="27"/>
      <c r="AO399" s="26"/>
      <c r="AP399" s="27">
        <v>8732</v>
      </c>
      <c r="AQ399" s="26">
        <v>8798</v>
      </c>
      <c r="AR399" s="27">
        <v>3876</v>
      </c>
      <c r="AS399" s="109">
        <v>3640</v>
      </c>
      <c r="AT399" s="27">
        <v>9190</v>
      </c>
      <c r="AU399" s="26">
        <v>8968</v>
      </c>
      <c r="AV399" s="64">
        <f t="shared" si="102"/>
        <v>21798</v>
      </c>
      <c r="AW399" s="70">
        <f t="shared" si="103"/>
        <v>908.25</v>
      </c>
      <c r="AX399" s="66">
        <f t="shared" si="104"/>
        <v>21406</v>
      </c>
      <c r="AY399" s="71">
        <f t="shared" si="105"/>
        <v>891.91666666666663</v>
      </c>
      <c r="AZ399" s="72">
        <f t="shared" si="106"/>
        <v>6610.583333333333</v>
      </c>
      <c r="BA399" s="66">
        <f t="shared" si="107"/>
        <v>6494.4833333333336</v>
      </c>
    </row>
    <row r="400" spans="1:53">
      <c r="A400" s="148" t="s">
        <v>391</v>
      </c>
      <c r="B400" s="104" t="s">
        <v>444</v>
      </c>
      <c r="C400" s="105"/>
      <c r="D400" s="106">
        <v>206941</v>
      </c>
      <c r="E400" s="106">
        <v>3</v>
      </c>
      <c r="F400" s="29" t="s">
        <v>75</v>
      </c>
      <c r="G400" s="16" t="s">
        <v>75</v>
      </c>
      <c r="H400" s="27"/>
      <c r="I400" s="26"/>
      <c r="J400" s="27">
        <v>161996</v>
      </c>
      <c r="K400" s="26">
        <v>159934</v>
      </c>
      <c r="L400" s="27">
        <v>27169</v>
      </c>
      <c r="M400" s="26">
        <v>26968</v>
      </c>
      <c r="N400" s="27">
        <v>177623</v>
      </c>
      <c r="O400" s="26">
        <v>174660</v>
      </c>
      <c r="P400" s="64">
        <f t="shared" si="90"/>
        <v>366788</v>
      </c>
      <c r="Q400" s="65">
        <f t="shared" si="91"/>
        <v>12226.266666666666</v>
      </c>
      <c r="R400" s="66">
        <f t="shared" si="92"/>
        <v>361562</v>
      </c>
      <c r="S400" s="67">
        <f t="shared" si="93"/>
        <v>12052.066666666668</v>
      </c>
      <c r="T400" s="27">
        <v>3975</v>
      </c>
      <c r="U400" s="109">
        <v>4903</v>
      </c>
      <c r="V400" s="64">
        <f t="shared" si="94"/>
        <v>366788</v>
      </c>
      <c r="W400" s="68">
        <f t="shared" si="95"/>
        <v>361562</v>
      </c>
      <c r="X400" s="27"/>
      <c r="Y400" s="26"/>
      <c r="Z400" s="27"/>
      <c r="AA400" s="26"/>
      <c r="AB400" s="27"/>
      <c r="AC400" s="26"/>
      <c r="AD400" s="27"/>
      <c r="AE400" s="26"/>
      <c r="AF400" s="64">
        <f t="shared" si="96"/>
        <v>0</v>
      </c>
      <c r="AG400" s="65">
        <f t="shared" si="97"/>
        <v>0</v>
      </c>
      <c r="AH400" s="66">
        <f t="shared" si="98"/>
        <v>0</v>
      </c>
      <c r="AI400" s="66">
        <f t="shared" si="99"/>
        <v>0</v>
      </c>
      <c r="AJ400" s="27"/>
      <c r="AK400" s="26"/>
      <c r="AL400" s="64">
        <f t="shared" si="100"/>
        <v>0</v>
      </c>
      <c r="AM400" s="67">
        <f t="shared" si="101"/>
        <v>0</v>
      </c>
      <c r="AN400" s="27"/>
      <c r="AO400" s="26"/>
      <c r="AP400" s="27">
        <v>11593</v>
      </c>
      <c r="AQ400" s="26">
        <v>11270</v>
      </c>
      <c r="AR400" s="27">
        <v>3878</v>
      </c>
      <c r="AS400" s="26">
        <v>3739</v>
      </c>
      <c r="AT400" s="27">
        <v>11908</v>
      </c>
      <c r="AU400" s="109">
        <v>10839</v>
      </c>
      <c r="AV400" s="64">
        <f t="shared" si="102"/>
        <v>27379</v>
      </c>
      <c r="AW400" s="70">
        <f t="shared" si="103"/>
        <v>1140.7916666666667</v>
      </c>
      <c r="AX400" s="66">
        <f t="shared" si="104"/>
        <v>25848</v>
      </c>
      <c r="AY400" s="71">
        <f t="shared" si="105"/>
        <v>1077</v>
      </c>
      <c r="AZ400" s="72">
        <f t="shared" si="106"/>
        <v>13367.058333333332</v>
      </c>
      <c r="BA400" s="66">
        <f t="shared" si="107"/>
        <v>13129.066666666668</v>
      </c>
    </row>
    <row r="401" spans="1:53">
      <c r="A401" s="148" t="s">
        <v>391</v>
      </c>
      <c r="B401" s="104" t="s">
        <v>445</v>
      </c>
      <c r="C401" s="176"/>
      <c r="D401" s="106">
        <v>207847</v>
      </c>
      <c r="E401" s="106">
        <v>4</v>
      </c>
      <c r="F401" s="29" t="s">
        <v>75</v>
      </c>
      <c r="G401" s="16" t="s">
        <v>75</v>
      </c>
      <c r="H401" s="27"/>
      <c r="I401" s="26"/>
      <c r="J401" s="27">
        <v>37732</v>
      </c>
      <c r="K401" s="109">
        <v>35727</v>
      </c>
      <c r="L401" s="27">
        <v>6455</v>
      </c>
      <c r="M401" s="26">
        <v>6497</v>
      </c>
      <c r="N401" s="27">
        <v>40150</v>
      </c>
      <c r="O401" s="26">
        <v>38937</v>
      </c>
      <c r="P401" s="64">
        <f t="shared" si="90"/>
        <v>84337</v>
      </c>
      <c r="Q401" s="65">
        <f t="shared" si="91"/>
        <v>2811.2333333333331</v>
      </c>
      <c r="R401" s="66">
        <f t="shared" si="92"/>
        <v>81161</v>
      </c>
      <c r="S401" s="67">
        <f t="shared" si="93"/>
        <v>2705.3666666666668</v>
      </c>
      <c r="T401" s="27">
        <v>1557</v>
      </c>
      <c r="U401" s="109">
        <v>1837</v>
      </c>
      <c r="V401" s="64">
        <f t="shared" si="94"/>
        <v>84337</v>
      </c>
      <c r="W401" s="68">
        <f t="shared" si="95"/>
        <v>81161</v>
      </c>
      <c r="X401" s="27"/>
      <c r="Y401" s="26"/>
      <c r="Z401" s="27"/>
      <c r="AA401" s="26"/>
      <c r="AB401" s="27"/>
      <c r="AC401" s="26"/>
      <c r="AD401" s="27"/>
      <c r="AE401" s="26"/>
      <c r="AF401" s="64">
        <f t="shared" si="96"/>
        <v>0</v>
      </c>
      <c r="AG401" s="65">
        <f t="shared" si="97"/>
        <v>0</v>
      </c>
      <c r="AH401" s="66">
        <f t="shared" si="98"/>
        <v>0</v>
      </c>
      <c r="AI401" s="66">
        <f t="shared" si="99"/>
        <v>0</v>
      </c>
      <c r="AJ401" s="27"/>
      <c r="AK401" s="26"/>
      <c r="AL401" s="64">
        <f t="shared" si="100"/>
        <v>0</v>
      </c>
      <c r="AM401" s="67">
        <f t="shared" si="101"/>
        <v>0</v>
      </c>
      <c r="AN401" s="27"/>
      <c r="AO401" s="26"/>
      <c r="AP401" s="27">
        <v>2906</v>
      </c>
      <c r="AQ401" s="109">
        <v>3302</v>
      </c>
      <c r="AR401" s="27">
        <v>1395</v>
      </c>
      <c r="AS401" s="26">
        <v>1458</v>
      </c>
      <c r="AT401" s="27">
        <v>3557</v>
      </c>
      <c r="AU401" s="109">
        <v>3828</v>
      </c>
      <c r="AV401" s="64">
        <f t="shared" si="102"/>
        <v>7858</v>
      </c>
      <c r="AW401" s="70">
        <f t="shared" si="103"/>
        <v>327.41666666666669</v>
      </c>
      <c r="AX401" s="66">
        <f t="shared" si="104"/>
        <v>8588</v>
      </c>
      <c r="AY401" s="71">
        <f t="shared" si="105"/>
        <v>357.83333333333331</v>
      </c>
      <c r="AZ401" s="72">
        <f t="shared" si="106"/>
        <v>3138.6499999999996</v>
      </c>
      <c r="BA401" s="66">
        <f t="shared" si="107"/>
        <v>3063.2000000000003</v>
      </c>
    </row>
    <row r="402" spans="1:53">
      <c r="A402" s="148" t="s">
        <v>391</v>
      </c>
      <c r="B402" s="104" t="s">
        <v>446</v>
      </c>
      <c r="C402" s="105"/>
      <c r="D402" s="106">
        <v>206914</v>
      </c>
      <c r="E402" s="106">
        <v>5</v>
      </c>
      <c r="F402" s="29" t="s">
        <v>75</v>
      </c>
      <c r="G402" s="16" t="s">
        <v>75</v>
      </c>
      <c r="H402" s="27"/>
      <c r="I402" s="26"/>
      <c r="J402" s="27">
        <v>50766</v>
      </c>
      <c r="K402" s="26">
        <v>49123</v>
      </c>
      <c r="L402" s="27">
        <v>8739</v>
      </c>
      <c r="M402" s="109">
        <v>8130</v>
      </c>
      <c r="N402" s="27">
        <v>54264</v>
      </c>
      <c r="O402" s="109">
        <v>51517</v>
      </c>
      <c r="P402" s="64">
        <f t="shared" si="90"/>
        <v>113769</v>
      </c>
      <c r="Q402" s="65">
        <f t="shared" si="91"/>
        <v>3792.3</v>
      </c>
      <c r="R402" s="66">
        <f t="shared" si="92"/>
        <v>108770</v>
      </c>
      <c r="S402" s="67">
        <f t="shared" si="93"/>
        <v>3625.6666666666665</v>
      </c>
      <c r="T402" s="27">
        <v>2952</v>
      </c>
      <c r="U402" s="109">
        <v>2980</v>
      </c>
      <c r="V402" s="64">
        <f t="shared" si="94"/>
        <v>113769</v>
      </c>
      <c r="W402" s="68">
        <f t="shared" si="95"/>
        <v>108770</v>
      </c>
      <c r="X402" s="27"/>
      <c r="Y402" s="26"/>
      <c r="Z402" s="27"/>
      <c r="AA402" s="26"/>
      <c r="AB402" s="27"/>
      <c r="AC402" s="26"/>
      <c r="AD402" s="27"/>
      <c r="AE402" s="26"/>
      <c r="AF402" s="64">
        <f t="shared" si="96"/>
        <v>0</v>
      </c>
      <c r="AG402" s="65">
        <f t="shared" si="97"/>
        <v>0</v>
      </c>
      <c r="AH402" s="66">
        <f t="shared" si="98"/>
        <v>0</v>
      </c>
      <c r="AI402" s="66">
        <f t="shared" si="99"/>
        <v>0</v>
      </c>
      <c r="AJ402" s="27"/>
      <c r="AK402" s="26"/>
      <c r="AL402" s="64">
        <f t="shared" si="100"/>
        <v>0</v>
      </c>
      <c r="AM402" s="67">
        <f t="shared" si="101"/>
        <v>0</v>
      </c>
      <c r="AN402" s="27"/>
      <c r="AO402" s="26"/>
      <c r="AP402" s="27">
        <v>2833</v>
      </c>
      <c r="AQ402" s="26">
        <v>2704</v>
      </c>
      <c r="AR402" s="27">
        <v>1046</v>
      </c>
      <c r="AS402" s="26">
        <v>1018</v>
      </c>
      <c r="AT402" s="27">
        <v>2786</v>
      </c>
      <c r="AU402" s="109">
        <v>2523</v>
      </c>
      <c r="AV402" s="64">
        <f t="shared" si="102"/>
        <v>6665</v>
      </c>
      <c r="AW402" s="70">
        <f t="shared" si="103"/>
        <v>277.70833333333331</v>
      </c>
      <c r="AX402" s="66">
        <f t="shared" si="104"/>
        <v>6245</v>
      </c>
      <c r="AY402" s="71">
        <f t="shared" si="105"/>
        <v>260.20833333333331</v>
      </c>
      <c r="AZ402" s="72">
        <f t="shared" si="106"/>
        <v>4070.0083333333337</v>
      </c>
      <c r="BA402" s="66">
        <f t="shared" si="107"/>
        <v>3885.875</v>
      </c>
    </row>
    <row r="403" spans="1:53">
      <c r="A403" s="148" t="s">
        <v>391</v>
      </c>
      <c r="B403" s="104" t="s">
        <v>447</v>
      </c>
      <c r="C403" s="105"/>
      <c r="D403" s="106">
        <v>207041</v>
      </c>
      <c r="E403" s="106">
        <v>5</v>
      </c>
      <c r="F403" s="29" t="s">
        <v>75</v>
      </c>
      <c r="G403" s="16" t="s">
        <v>75</v>
      </c>
      <c r="H403" s="27"/>
      <c r="I403" s="26"/>
      <c r="J403" s="27">
        <v>44217</v>
      </c>
      <c r="K403" s="109">
        <v>58630</v>
      </c>
      <c r="L403" s="27">
        <v>6519</v>
      </c>
      <c r="M403" s="109">
        <v>5815</v>
      </c>
      <c r="N403" s="27">
        <v>48395</v>
      </c>
      <c r="O403" s="109">
        <v>44593</v>
      </c>
      <c r="P403" s="64">
        <f t="shared" si="90"/>
        <v>99131</v>
      </c>
      <c r="Q403" s="65">
        <f t="shared" si="91"/>
        <v>3304.3666666666668</v>
      </c>
      <c r="R403" s="66">
        <f t="shared" si="92"/>
        <v>109038</v>
      </c>
      <c r="S403" s="67">
        <f t="shared" si="93"/>
        <v>3634.6</v>
      </c>
      <c r="T403" s="27">
        <v>1260</v>
      </c>
      <c r="U403" s="109">
        <v>1451</v>
      </c>
      <c r="V403" s="64">
        <f t="shared" si="94"/>
        <v>99131</v>
      </c>
      <c r="W403" s="68">
        <f t="shared" si="95"/>
        <v>109038</v>
      </c>
      <c r="X403" s="27"/>
      <c r="Y403" s="26"/>
      <c r="Z403" s="27"/>
      <c r="AA403" s="26"/>
      <c r="AB403" s="27"/>
      <c r="AC403" s="26"/>
      <c r="AD403" s="27"/>
      <c r="AE403" s="26"/>
      <c r="AF403" s="64">
        <f t="shared" si="96"/>
        <v>0</v>
      </c>
      <c r="AG403" s="65">
        <f t="shared" si="97"/>
        <v>0</v>
      </c>
      <c r="AH403" s="66">
        <f t="shared" si="98"/>
        <v>0</v>
      </c>
      <c r="AI403" s="66">
        <f t="shared" si="99"/>
        <v>0</v>
      </c>
      <c r="AJ403" s="27"/>
      <c r="AK403" s="26"/>
      <c r="AL403" s="64">
        <f t="shared" si="100"/>
        <v>0</v>
      </c>
      <c r="AM403" s="67">
        <f t="shared" si="101"/>
        <v>0</v>
      </c>
      <c r="AN403" s="27"/>
      <c r="AO403" s="26"/>
      <c r="AP403" s="27">
        <v>4764</v>
      </c>
      <c r="AQ403" s="109">
        <v>5941</v>
      </c>
      <c r="AR403" s="27">
        <v>2752</v>
      </c>
      <c r="AS403" s="26">
        <v>2758</v>
      </c>
      <c r="AT403" s="27">
        <v>4765</v>
      </c>
      <c r="AU403" s="26">
        <v>4812</v>
      </c>
      <c r="AV403" s="64">
        <f t="shared" si="102"/>
        <v>12281</v>
      </c>
      <c r="AW403" s="70">
        <f t="shared" si="103"/>
        <v>511.70833333333331</v>
      </c>
      <c r="AX403" s="66">
        <f t="shared" si="104"/>
        <v>13511</v>
      </c>
      <c r="AY403" s="71">
        <f t="shared" si="105"/>
        <v>562.95833333333337</v>
      </c>
      <c r="AZ403" s="72">
        <f t="shared" si="106"/>
        <v>3816.0750000000003</v>
      </c>
      <c r="BA403" s="66">
        <f t="shared" si="107"/>
        <v>4197.5583333333334</v>
      </c>
    </row>
    <row r="404" spans="1:53">
      <c r="A404" s="148" t="s">
        <v>391</v>
      </c>
      <c r="B404" s="104" t="s">
        <v>448</v>
      </c>
      <c r="C404" s="105"/>
      <c r="D404" s="106">
        <v>207209</v>
      </c>
      <c r="E404" s="106">
        <v>5</v>
      </c>
      <c r="F404" s="29" t="s">
        <v>75</v>
      </c>
      <c r="G404" s="16" t="s">
        <v>75</v>
      </c>
      <c r="H404" s="27"/>
      <c r="I404" s="26"/>
      <c r="J404" s="27">
        <v>24409</v>
      </c>
      <c r="K404" s="109">
        <v>25649</v>
      </c>
      <c r="L404" s="27">
        <v>2351</v>
      </c>
      <c r="M404" s="109">
        <v>2587</v>
      </c>
      <c r="N404" s="27">
        <v>30045</v>
      </c>
      <c r="O404" s="26">
        <v>28928</v>
      </c>
      <c r="P404" s="64">
        <f t="shared" si="90"/>
        <v>56805</v>
      </c>
      <c r="Q404" s="65">
        <f t="shared" si="91"/>
        <v>1893.5</v>
      </c>
      <c r="R404" s="66">
        <f t="shared" si="92"/>
        <v>57164</v>
      </c>
      <c r="S404" s="67">
        <f t="shared" si="93"/>
        <v>1905.4666666666667</v>
      </c>
      <c r="T404" s="27">
        <v>20</v>
      </c>
      <c r="U404" s="109">
        <v>28</v>
      </c>
      <c r="V404" s="64">
        <f t="shared" si="94"/>
        <v>56805</v>
      </c>
      <c r="W404" s="68">
        <f t="shared" si="95"/>
        <v>57164</v>
      </c>
      <c r="X404" s="27"/>
      <c r="Y404" s="26"/>
      <c r="Z404" s="27"/>
      <c r="AA404" s="26"/>
      <c r="AB404" s="27"/>
      <c r="AC404" s="26"/>
      <c r="AD404" s="27"/>
      <c r="AE404" s="26"/>
      <c r="AF404" s="64">
        <f t="shared" si="96"/>
        <v>0</v>
      </c>
      <c r="AG404" s="65">
        <f t="shared" si="97"/>
        <v>0</v>
      </c>
      <c r="AH404" s="66">
        <f t="shared" si="98"/>
        <v>0</v>
      </c>
      <c r="AI404" s="66">
        <f t="shared" si="99"/>
        <v>0</v>
      </c>
      <c r="AJ404" s="27"/>
      <c r="AK404" s="26"/>
      <c r="AL404" s="64">
        <f t="shared" si="100"/>
        <v>0</v>
      </c>
      <c r="AM404" s="67">
        <f t="shared" si="101"/>
        <v>0</v>
      </c>
      <c r="AN404" s="27"/>
      <c r="AO404" s="26"/>
      <c r="AP404" s="27">
        <v>3082</v>
      </c>
      <c r="AQ404" s="109">
        <v>2533</v>
      </c>
      <c r="AR404" s="27">
        <v>1183</v>
      </c>
      <c r="AS404" s="109">
        <v>1462</v>
      </c>
      <c r="AT404" s="27">
        <v>2868</v>
      </c>
      <c r="AU404" s="26">
        <v>2985</v>
      </c>
      <c r="AV404" s="64">
        <f t="shared" si="102"/>
        <v>7133</v>
      </c>
      <c r="AW404" s="70">
        <f t="shared" si="103"/>
        <v>297.20833333333331</v>
      </c>
      <c r="AX404" s="66">
        <f t="shared" si="104"/>
        <v>6980</v>
      </c>
      <c r="AY404" s="71">
        <f t="shared" si="105"/>
        <v>290.83333333333331</v>
      </c>
      <c r="AZ404" s="72">
        <f t="shared" si="106"/>
        <v>2190.7083333333335</v>
      </c>
      <c r="BA404" s="66">
        <f t="shared" si="107"/>
        <v>2196.3000000000002</v>
      </c>
    </row>
    <row r="405" spans="1:53">
      <c r="A405" s="148" t="s">
        <v>391</v>
      </c>
      <c r="B405" s="104" t="s">
        <v>449</v>
      </c>
      <c r="C405" s="105"/>
      <c r="D405" s="106">
        <v>207306</v>
      </c>
      <c r="E405" s="106">
        <v>5</v>
      </c>
      <c r="F405" s="29" t="s">
        <v>75</v>
      </c>
      <c r="G405" s="16" t="s">
        <v>75</v>
      </c>
      <c r="H405" s="27"/>
      <c r="I405" s="26"/>
      <c r="J405" s="27">
        <v>23062</v>
      </c>
      <c r="K405" s="26">
        <v>22148</v>
      </c>
      <c r="L405" s="27">
        <v>3313</v>
      </c>
      <c r="M405" s="109">
        <v>3058</v>
      </c>
      <c r="N405" s="27">
        <v>24792</v>
      </c>
      <c r="O405" s="26">
        <v>25516</v>
      </c>
      <c r="P405" s="64">
        <f t="shared" si="90"/>
        <v>51167</v>
      </c>
      <c r="Q405" s="65">
        <f t="shared" si="91"/>
        <v>1705.5666666666666</v>
      </c>
      <c r="R405" s="66">
        <f t="shared" si="92"/>
        <v>50722</v>
      </c>
      <c r="S405" s="67">
        <f t="shared" si="93"/>
        <v>1690.7333333333333</v>
      </c>
      <c r="T405" s="27">
        <v>765</v>
      </c>
      <c r="U405" s="109">
        <v>931</v>
      </c>
      <c r="V405" s="64">
        <f t="shared" si="94"/>
        <v>51167</v>
      </c>
      <c r="W405" s="68">
        <f t="shared" si="95"/>
        <v>50722</v>
      </c>
      <c r="X405" s="27"/>
      <c r="Y405" s="26"/>
      <c r="Z405" s="27"/>
      <c r="AA405" s="26"/>
      <c r="AB405" s="27"/>
      <c r="AC405" s="26"/>
      <c r="AD405" s="27"/>
      <c r="AE405" s="26"/>
      <c r="AF405" s="64">
        <f t="shared" si="96"/>
        <v>0</v>
      </c>
      <c r="AG405" s="65">
        <f t="shared" si="97"/>
        <v>0</v>
      </c>
      <c r="AH405" s="66">
        <f t="shared" si="98"/>
        <v>0</v>
      </c>
      <c r="AI405" s="66">
        <f t="shared" si="99"/>
        <v>0</v>
      </c>
      <c r="AJ405" s="27"/>
      <c r="AK405" s="26"/>
      <c r="AL405" s="64">
        <f t="shared" si="100"/>
        <v>0</v>
      </c>
      <c r="AM405" s="67">
        <f t="shared" si="101"/>
        <v>0</v>
      </c>
      <c r="AN405" s="27"/>
      <c r="AO405" s="26"/>
      <c r="AP405" s="27">
        <v>932</v>
      </c>
      <c r="AQ405" s="109">
        <v>1057</v>
      </c>
      <c r="AR405" s="27">
        <v>662</v>
      </c>
      <c r="AS405" s="109">
        <v>867</v>
      </c>
      <c r="AT405" s="27">
        <v>1002</v>
      </c>
      <c r="AU405" s="26">
        <v>985</v>
      </c>
      <c r="AV405" s="64">
        <f t="shared" si="102"/>
        <v>2596</v>
      </c>
      <c r="AW405" s="70">
        <f t="shared" si="103"/>
        <v>108.16666666666667</v>
      </c>
      <c r="AX405" s="66">
        <f t="shared" si="104"/>
        <v>2909</v>
      </c>
      <c r="AY405" s="71">
        <f t="shared" si="105"/>
        <v>121.20833333333333</v>
      </c>
      <c r="AZ405" s="72">
        <f t="shared" si="106"/>
        <v>1813.7333333333333</v>
      </c>
      <c r="BA405" s="66">
        <f t="shared" si="107"/>
        <v>1811.9416666666666</v>
      </c>
    </row>
    <row r="406" spans="1:53" ht="15">
      <c r="A406" s="148" t="s">
        <v>391</v>
      </c>
      <c r="B406" s="104" t="s">
        <v>450</v>
      </c>
      <c r="C406" s="689" t="s">
        <v>977</v>
      </c>
      <c r="D406" s="106">
        <v>207865</v>
      </c>
      <c r="E406" s="106">
        <v>5</v>
      </c>
      <c r="F406" s="29" t="s">
        <v>75</v>
      </c>
      <c r="G406" s="16" t="s">
        <v>75</v>
      </c>
      <c r="H406" s="27"/>
      <c r="I406" s="26"/>
      <c r="J406" s="27">
        <v>51752</v>
      </c>
      <c r="K406" s="26">
        <v>54102</v>
      </c>
      <c r="L406" s="27">
        <v>7880</v>
      </c>
      <c r="M406" s="109">
        <v>8728</v>
      </c>
      <c r="N406" s="27">
        <v>58726</v>
      </c>
      <c r="O406" s="26">
        <v>61005</v>
      </c>
      <c r="P406" s="64">
        <f t="shared" si="90"/>
        <v>118358</v>
      </c>
      <c r="Q406" s="65">
        <f t="shared" si="91"/>
        <v>3945.2666666666669</v>
      </c>
      <c r="R406" s="66">
        <f t="shared" si="92"/>
        <v>123835</v>
      </c>
      <c r="S406" s="67">
        <f t="shared" si="93"/>
        <v>4127.833333333333</v>
      </c>
      <c r="T406" s="27">
        <v>1838</v>
      </c>
      <c r="U406" s="109">
        <v>2408</v>
      </c>
      <c r="V406" s="64">
        <f t="shared" si="94"/>
        <v>118358</v>
      </c>
      <c r="W406" s="68">
        <f t="shared" si="95"/>
        <v>123835</v>
      </c>
      <c r="X406" s="27"/>
      <c r="Y406" s="26"/>
      <c r="Z406" s="27"/>
      <c r="AA406" s="26"/>
      <c r="AB406" s="27"/>
      <c r="AC406" s="26"/>
      <c r="AD406" s="27"/>
      <c r="AE406" s="26"/>
      <c r="AF406" s="64">
        <f t="shared" si="96"/>
        <v>0</v>
      </c>
      <c r="AG406" s="65">
        <f t="shared" si="97"/>
        <v>0</v>
      </c>
      <c r="AH406" s="66">
        <f t="shared" si="98"/>
        <v>0</v>
      </c>
      <c r="AI406" s="66">
        <f t="shared" si="99"/>
        <v>0</v>
      </c>
      <c r="AJ406" s="27"/>
      <c r="AK406" s="26"/>
      <c r="AL406" s="64">
        <f t="shared" si="100"/>
        <v>0</v>
      </c>
      <c r="AM406" s="67">
        <f t="shared" si="101"/>
        <v>0</v>
      </c>
      <c r="AN406" s="27"/>
      <c r="AO406" s="26"/>
      <c r="AP406" s="27">
        <v>5456</v>
      </c>
      <c r="AQ406" s="26">
        <v>5632</v>
      </c>
      <c r="AR406" s="27">
        <v>2039</v>
      </c>
      <c r="AS406" s="109">
        <v>2360</v>
      </c>
      <c r="AT406" s="27">
        <v>5206</v>
      </c>
      <c r="AU406" s="109">
        <v>5705</v>
      </c>
      <c r="AV406" s="64">
        <f t="shared" si="102"/>
        <v>12701</v>
      </c>
      <c r="AW406" s="70">
        <f t="shared" si="103"/>
        <v>529.20833333333337</v>
      </c>
      <c r="AX406" s="66">
        <f t="shared" si="104"/>
        <v>13697</v>
      </c>
      <c r="AY406" s="71">
        <f t="shared" si="105"/>
        <v>570.70833333333337</v>
      </c>
      <c r="AZ406" s="72">
        <f t="shared" si="106"/>
        <v>4474.4750000000004</v>
      </c>
      <c r="BA406" s="66">
        <f t="shared" si="107"/>
        <v>4698.5416666666661</v>
      </c>
    </row>
    <row r="407" spans="1:53">
      <c r="A407" s="148" t="s">
        <v>391</v>
      </c>
      <c r="B407" s="104" t="s">
        <v>451</v>
      </c>
      <c r="C407" s="105"/>
      <c r="D407" s="106">
        <v>207351</v>
      </c>
      <c r="E407" s="106">
        <v>6</v>
      </c>
      <c r="F407" s="29" t="s">
        <v>75</v>
      </c>
      <c r="G407" s="16" t="s">
        <v>75</v>
      </c>
      <c r="H407" s="27"/>
      <c r="I407" s="26"/>
      <c r="J407" s="27">
        <v>14454</v>
      </c>
      <c r="K407" s="26">
        <v>14358</v>
      </c>
      <c r="L407" s="27">
        <v>1498</v>
      </c>
      <c r="M407" s="26">
        <v>1455</v>
      </c>
      <c r="N407" s="27">
        <v>15779</v>
      </c>
      <c r="O407" s="26">
        <v>15231</v>
      </c>
      <c r="P407" s="64">
        <f t="shared" si="90"/>
        <v>31731</v>
      </c>
      <c r="Q407" s="65">
        <f t="shared" si="91"/>
        <v>1057.7</v>
      </c>
      <c r="R407" s="66">
        <f t="shared" si="92"/>
        <v>31044</v>
      </c>
      <c r="S407" s="67">
        <f t="shared" si="93"/>
        <v>1034.8</v>
      </c>
      <c r="T407" s="27">
        <v>1283</v>
      </c>
      <c r="U407" s="109">
        <v>1112</v>
      </c>
      <c r="V407" s="64">
        <f t="shared" si="94"/>
        <v>31731</v>
      </c>
      <c r="W407" s="68">
        <f t="shared" si="95"/>
        <v>31044</v>
      </c>
      <c r="X407" s="27"/>
      <c r="Y407" s="26"/>
      <c r="Z407" s="27"/>
      <c r="AA407" s="26"/>
      <c r="AB407" s="27"/>
      <c r="AC407" s="26"/>
      <c r="AD407" s="27"/>
      <c r="AE407" s="26"/>
      <c r="AF407" s="64">
        <f t="shared" si="96"/>
        <v>0</v>
      </c>
      <c r="AG407" s="65">
        <f t="shared" si="97"/>
        <v>0</v>
      </c>
      <c r="AH407" s="66">
        <f t="shared" si="98"/>
        <v>0</v>
      </c>
      <c r="AI407" s="66">
        <f t="shared" si="99"/>
        <v>0</v>
      </c>
      <c r="AJ407" s="27"/>
      <c r="AK407" s="26"/>
      <c r="AL407" s="64">
        <f t="shared" si="100"/>
        <v>0</v>
      </c>
      <c r="AM407" s="67">
        <f t="shared" si="101"/>
        <v>0</v>
      </c>
      <c r="AN407" s="27"/>
      <c r="AO407" s="26"/>
      <c r="AP407" s="27"/>
      <c r="AQ407" s="26"/>
      <c r="AR407" s="27"/>
      <c r="AS407" s="26"/>
      <c r="AT407" s="27"/>
      <c r="AU407" s="26"/>
      <c r="AV407" s="64">
        <f t="shared" si="102"/>
        <v>0</v>
      </c>
      <c r="AW407" s="70">
        <f t="shared" si="103"/>
        <v>0</v>
      </c>
      <c r="AX407" s="66">
        <f t="shared" si="104"/>
        <v>0</v>
      </c>
      <c r="AY407" s="71">
        <f t="shared" si="105"/>
        <v>0</v>
      </c>
      <c r="AZ407" s="72">
        <f t="shared" si="106"/>
        <v>1057.7</v>
      </c>
      <c r="BA407" s="66">
        <f t="shared" si="107"/>
        <v>1034.8</v>
      </c>
    </row>
    <row r="408" spans="1:53">
      <c r="A408" s="148" t="s">
        <v>391</v>
      </c>
      <c r="B408" s="104" t="s">
        <v>452</v>
      </c>
      <c r="C408" s="105"/>
      <c r="D408" s="106">
        <v>207661</v>
      </c>
      <c r="E408" s="177">
        <v>6</v>
      </c>
      <c r="F408" s="29" t="s">
        <v>75</v>
      </c>
      <c r="G408" s="16" t="s">
        <v>75</v>
      </c>
      <c r="H408" s="27"/>
      <c r="I408" s="26"/>
      <c r="J408" s="27">
        <v>38946</v>
      </c>
      <c r="K408" s="26">
        <v>39525</v>
      </c>
      <c r="L408" s="27">
        <v>5428</v>
      </c>
      <c r="M408" s="26">
        <v>5316</v>
      </c>
      <c r="N408" s="27">
        <v>43945</v>
      </c>
      <c r="O408" s="26">
        <v>42037</v>
      </c>
      <c r="P408" s="64">
        <f t="shared" si="90"/>
        <v>88319</v>
      </c>
      <c r="Q408" s="65">
        <f t="shared" si="91"/>
        <v>2943.9666666666667</v>
      </c>
      <c r="R408" s="66">
        <f t="shared" si="92"/>
        <v>86878</v>
      </c>
      <c r="S408" s="67">
        <f t="shared" si="93"/>
        <v>2895.9333333333334</v>
      </c>
      <c r="T408" s="27">
        <v>3029</v>
      </c>
      <c r="U408" s="109">
        <v>3343</v>
      </c>
      <c r="V408" s="64">
        <f t="shared" si="94"/>
        <v>88319</v>
      </c>
      <c r="W408" s="68">
        <f t="shared" si="95"/>
        <v>86878</v>
      </c>
      <c r="X408" s="27"/>
      <c r="Y408" s="26"/>
      <c r="Z408" s="27"/>
      <c r="AA408" s="26"/>
      <c r="AB408" s="27"/>
      <c r="AC408" s="26"/>
      <c r="AD408" s="27"/>
      <c r="AE408" s="26"/>
      <c r="AF408" s="64">
        <f t="shared" si="96"/>
        <v>0</v>
      </c>
      <c r="AG408" s="65">
        <f t="shared" si="97"/>
        <v>0</v>
      </c>
      <c r="AH408" s="66">
        <f t="shared" si="98"/>
        <v>0</v>
      </c>
      <c r="AI408" s="66">
        <f t="shared" si="99"/>
        <v>0</v>
      </c>
      <c r="AJ408" s="27"/>
      <c r="AK408" s="26"/>
      <c r="AL408" s="64">
        <f t="shared" si="100"/>
        <v>0</v>
      </c>
      <c r="AM408" s="67">
        <f t="shared" si="101"/>
        <v>0</v>
      </c>
      <c r="AN408" s="27"/>
      <c r="AO408" s="26"/>
      <c r="AP408" s="27">
        <v>90</v>
      </c>
      <c r="AQ408" s="109">
        <v>246</v>
      </c>
      <c r="AR408" s="27">
        <v>24</v>
      </c>
      <c r="AS408" s="109">
        <v>0</v>
      </c>
      <c r="AT408" s="27">
        <v>147</v>
      </c>
      <c r="AU408" s="109">
        <v>228</v>
      </c>
      <c r="AV408" s="64">
        <f t="shared" si="102"/>
        <v>261</v>
      </c>
      <c r="AW408" s="70">
        <f t="shared" si="103"/>
        <v>10.875</v>
      </c>
      <c r="AX408" s="66">
        <f t="shared" si="104"/>
        <v>474</v>
      </c>
      <c r="AY408" s="71">
        <f t="shared" si="105"/>
        <v>19.75</v>
      </c>
      <c r="AZ408" s="72">
        <f t="shared" si="106"/>
        <v>2954.8416666666667</v>
      </c>
      <c r="BA408" s="66">
        <f t="shared" si="107"/>
        <v>2915.6833333333334</v>
      </c>
    </row>
    <row r="409" spans="1:53">
      <c r="A409" s="148" t="s">
        <v>391</v>
      </c>
      <c r="B409" s="104" t="s">
        <v>453</v>
      </c>
      <c r="C409" s="105"/>
      <c r="D409" s="106">
        <v>207722</v>
      </c>
      <c r="E409" s="106">
        <v>6</v>
      </c>
      <c r="F409" s="29" t="s">
        <v>75</v>
      </c>
      <c r="G409" s="16" t="s">
        <v>75</v>
      </c>
      <c r="H409" s="27"/>
      <c r="I409" s="26"/>
      <c r="J409" s="27">
        <v>10419</v>
      </c>
      <c r="K409" s="26">
        <v>10522</v>
      </c>
      <c r="L409" s="27">
        <v>3426</v>
      </c>
      <c r="M409" s="26">
        <v>3350</v>
      </c>
      <c r="N409" s="27">
        <v>12134</v>
      </c>
      <c r="O409" s="26">
        <v>11727</v>
      </c>
      <c r="P409" s="64">
        <f t="shared" si="90"/>
        <v>25979</v>
      </c>
      <c r="Q409" s="65">
        <f t="shared" si="91"/>
        <v>865.9666666666667</v>
      </c>
      <c r="R409" s="66">
        <f t="shared" si="92"/>
        <v>25599</v>
      </c>
      <c r="S409" s="67">
        <f t="shared" si="93"/>
        <v>853.3</v>
      </c>
      <c r="T409" s="27">
        <v>105</v>
      </c>
      <c r="U409" s="109">
        <v>64</v>
      </c>
      <c r="V409" s="64">
        <f t="shared" si="94"/>
        <v>25979</v>
      </c>
      <c r="W409" s="68">
        <f t="shared" si="95"/>
        <v>25599</v>
      </c>
      <c r="X409" s="27"/>
      <c r="Y409" s="26"/>
      <c r="Z409" s="27"/>
      <c r="AA409" s="26"/>
      <c r="AB409" s="27"/>
      <c r="AC409" s="26"/>
      <c r="AD409" s="27"/>
      <c r="AE409" s="26"/>
      <c r="AF409" s="64">
        <f t="shared" si="96"/>
        <v>0</v>
      </c>
      <c r="AG409" s="65">
        <f t="shared" si="97"/>
        <v>0</v>
      </c>
      <c r="AH409" s="66">
        <f t="shared" si="98"/>
        <v>0</v>
      </c>
      <c r="AI409" s="66">
        <f t="shared" si="99"/>
        <v>0</v>
      </c>
      <c r="AJ409" s="27"/>
      <c r="AK409" s="26"/>
      <c r="AL409" s="64">
        <f t="shared" si="100"/>
        <v>0</v>
      </c>
      <c r="AM409" s="67">
        <f t="shared" si="101"/>
        <v>0</v>
      </c>
      <c r="AN409" s="27"/>
      <c r="AO409" s="26"/>
      <c r="AP409" s="27"/>
      <c r="AQ409" s="26"/>
      <c r="AR409" s="27"/>
      <c r="AS409" s="26"/>
      <c r="AT409" s="27"/>
      <c r="AU409" s="26"/>
      <c r="AV409" s="64">
        <f t="shared" si="102"/>
        <v>0</v>
      </c>
      <c r="AW409" s="70">
        <f t="shared" si="103"/>
        <v>0</v>
      </c>
      <c r="AX409" s="66">
        <f t="shared" si="104"/>
        <v>0</v>
      </c>
      <c r="AY409" s="71">
        <f t="shared" si="105"/>
        <v>0</v>
      </c>
      <c r="AZ409" s="72">
        <f t="shared" si="106"/>
        <v>865.9666666666667</v>
      </c>
      <c r="BA409" s="66">
        <f t="shared" si="107"/>
        <v>853.3</v>
      </c>
    </row>
    <row r="410" spans="1:53">
      <c r="A410" s="148" t="s">
        <v>391</v>
      </c>
      <c r="B410" s="104" t="s">
        <v>454</v>
      </c>
      <c r="C410" s="105"/>
      <c r="D410" s="106">
        <v>207564</v>
      </c>
      <c r="E410" s="106">
        <v>7</v>
      </c>
      <c r="F410" s="29" t="s">
        <v>75</v>
      </c>
      <c r="G410" s="16" t="s">
        <v>75</v>
      </c>
      <c r="H410" s="27"/>
      <c r="I410" s="26"/>
      <c r="J410" s="27">
        <v>31082</v>
      </c>
      <c r="K410" s="109">
        <v>26044</v>
      </c>
      <c r="L410" s="27">
        <v>21058</v>
      </c>
      <c r="M410" s="109">
        <v>18548</v>
      </c>
      <c r="N410" s="27">
        <v>30300</v>
      </c>
      <c r="O410" s="109">
        <v>28104</v>
      </c>
      <c r="P410" s="64">
        <f t="shared" si="90"/>
        <v>82440</v>
      </c>
      <c r="Q410" s="65">
        <f t="shared" si="91"/>
        <v>2748</v>
      </c>
      <c r="R410" s="66">
        <f t="shared" si="92"/>
        <v>72696</v>
      </c>
      <c r="S410" s="67">
        <f t="shared" si="93"/>
        <v>2423.1999999999998</v>
      </c>
      <c r="T410" s="27">
        <v>1912</v>
      </c>
      <c r="U410" s="109">
        <v>2762</v>
      </c>
      <c r="V410" s="64">
        <f t="shared" si="94"/>
        <v>82440</v>
      </c>
      <c r="W410" s="68">
        <f t="shared" si="95"/>
        <v>72696</v>
      </c>
      <c r="X410" s="27"/>
      <c r="Y410" s="26"/>
      <c r="Z410" s="27"/>
      <c r="AA410" s="26"/>
      <c r="AB410" s="27"/>
      <c r="AC410" s="26"/>
      <c r="AD410" s="27"/>
      <c r="AE410" s="26"/>
      <c r="AF410" s="64">
        <f t="shared" si="96"/>
        <v>0</v>
      </c>
      <c r="AG410" s="65">
        <f t="shared" si="97"/>
        <v>0</v>
      </c>
      <c r="AH410" s="66">
        <f t="shared" si="98"/>
        <v>0</v>
      </c>
      <c r="AI410" s="66">
        <f t="shared" si="99"/>
        <v>0</v>
      </c>
      <c r="AJ410" s="27"/>
      <c r="AK410" s="26"/>
      <c r="AL410" s="64">
        <f t="shared" si="100"/>
        <v>0</v>
      </c>
      <c r="AM410" s="67">
        <f t="shared" si="101"/>
        <v>0</v>
      </c>
      <c r="AN410" s="27"/>
      <c r="AO410" s="26"/>
      <c r="AP410" s="27"/>
      <c r="AQ410" s="26"/>
      <c r="AR410" s="27"/>
      <c r="AS410" s="26"/>
      <c r="AT410" s="27"/>
      <c r="AU410" s="26"/>
      <c r="AV410" s="64">
        <f t="shared" si="102"/>
        <v>0</v>
      </c>
      <c r="AW410" s="70">
        <f t="shared" si="103"/>
        <v>0</v>
      </c>
      <c r="AX410" s="66">
        <f t="shared" si="104"/>
        <v>0</v>
      </c>
      <c r="AY410" s="71">
        <f t="shared" si="105"/>
        <v>0</v>
      </c>
      <c r="AZ410" s="72">
        <f t="shared" si="106"/>
        <v>2748</v>
      </c>
      <c r="BA410" s="66">
        <f t="shared" si="107"/>
        <v>2423.1999999999998</v>
      </c>
    </row>
    <row r="411" spans="1:53">
      <c r="A411" s="148" t="s">
        <v>391</v>
      </c>
      <c r="B411" s="104" t="s">
        <v>455</v>
      </c>
      <c r="C411" s="105"/>
      <c r="D411" s="106">
        <v>207397</v>
      </c>
      <c r="E411" s="106">
        <v>7</v>
      </c>
      <c r="F411" s="29" t="s">
        <v>75</v>
      </c>
      <c r="G411" s="16" t="s">
        <v>75</v>
      </c>
      <c r="H411" s="27"/>
      <c r="I411" s="26"/>
      <c r="J411" s="27">
        <v>51692</v>
      </c>
      <c r="K411" s="109">
        <v>48384</v>
      </c>
      <c r="L411" s="27">
        <v>13199</v>
      </c>
      <c r="M411" s="109">
        <v>14629</v>
      </c>
      <c r="N411" s="27">
        <v>52100</v>
      </c>
      <c r="O411" s="109">
        <v>65212</v>
      </c>
      <c r="P411" s="64">
        <f t="shared" si="90"/>
        <v>116991</v>
      </c>
      <c r="Q411" s="65">
        <f t="shared" si="91"/>
        <v>3899.7</v>
      </c>
      <c r="R411" s="66">
        <f t="shared" si="92"/>
        <v>128225</v>
      </c>
      <c r="S411" s="67">
        <f t="shared" si="93"/>
        <v>4274.166666666667</v>
      </c>
      <c r="T411" s="27">
        <v>5299</v>
      </c>
      <c r="U411" s="109">
        <v>3203</v>
      </c>
      <c r="V411" s="64">
        <f t="shared" si="94"/>
        <v>116991</v>
      </c>
      <c r="W411" s="68">
        <f t="shared" si="95"/>
        <v>128225</v>
      </c>
      <c r="X411" s="27"/>
      <c r="Y411" s="26"/>
      <c r="Z411" s="27"/>
      <c r="AA411" s="26"/>
      <c r="AB411" s="27"/>
      <c r="AC411" s="26"/>
      <c r="AD411" s="27"/>
      <c r="AE411" s="26"/>
      <c r="AF411" s="64">
        <f t="shared" si="96"/>
        <v>0</v>
      </c>
      <c r="AG411" s="65">
        <f t="shared" si="97"/>
        <v>0</v>
      </c>
      <c r="AH411" s="66">
        <f t="shared" si="98"/>
        <v>0</v>
      </c>
      <c r="AI411" s="66">
        <f t="shared" si="99"/>
        <v>0</v>
      </c>
      <c r="AJ411" s="27"/>
      <c r="AK411" s="26"/>
      <c r="AL411" s="64">
        <f t="shared" si="100"/>
        <v>0</v>
      </c>
      <c r="AM411" s="67">
        <f t="shared" si="101"/>
        <v>0</v>
      </c>
      <c r="AN411" s="27"/>
      <c r="AO411" s="26"/>
      <c r="AP411" s="27"/>
      <c r="AQ411" s="26"/>
      <c r="AR411" s="27"/>
      <c r="AS411" s="26"/>
      <c r="AT411" s="27"/>
      <c r="AU411" s="26"/>
      <c r="AV411" s="64">
        <f t="shared" si="102"/>
        <v>0</v>
      </c>
      <c r="AW411" s="70">
        <f t="shared" si="103"/>
        <v>0</v>
      </c>
      <c r="AX411" s="66">
        <f t="shared" si="104"/>
        <v>0</v>
      </c>
      <c r="AY411" s="71">
        <f t="shared" si="105"/>
        <v>0</v>
      </c>
      <c r="AZ411" s="72">
        <f t="shared" si="106"/>
        <v>3899.7</v>
      </c>
      <c r="BA411" s="66">
        <f t="shared" si="107"/>
        <v>4274.166666666667</v>
      </c>
    </row>
    <row r="412" spans="1:53">
      <c r="A412" s="148" t="s">
        <v>391</v>
      </c>
      <c r="B412" s="111" t="s">
        <v>456</v>
      </c>
      <c r="C412" s="105"/>
      <c r="D412" s="106">
        <v>207449</v>
      </c>
      <c r="E412" s="106">
        <v>8</v>
      </c>
      <c r="F412" s="29" t="s">
        <v>75</v>
      </c>
      <c r="G412" s="16" t="s">
        <v>75</v>
      </c>
      <c r="H412" s="27"/>
      <c r="I412" s="26"/>
      <c r="J412" s="27">
        <v>109037</v>
      </c>
      <c r="K412" s="26">
        <v>107329</v>
      </c>
      <c r="L412" s="27">
        <v>29565</v>
      </c>
      <c r="M412" s="26">
        <v>28958</v>
      </c>
      <c r="N412" s="27">
        <v>117407</v>
      </c>
      <c r="O412" s="26">
        <v>112181</v>
      </c>
      <c r="P412" s="64">
        <f t="shared" si="90"/>
        <v>256009</v>
      </c>
      <c r="Q412" s="65">
        <f t="shared" si="91"/>
        <v>8533.6333333333332</v>
      </c>
      <c r="R412" s="66">
        <f t="shared" si="92"/>
        <v>248468</v>
      </c>
      <c r="S412" s="67">
        <f t="shared" si="93"/>
        <v>8282.2666666666664</v>
      </c>
      <c r="T412" s="27">
        <v>10565</v>
      </c>
      <c r="U412" s="109">
        <v>12769</v>
      </c>
      <c r="V412" s="64">
        <f t="shared" si="94"/>
        <v>256009</v>
      </c>
      <c r="W412" s="68">
        <f t="shared" si="95"/>
        <v>248468</v>
      </c>
      <c r="X412" s="27"/>
      <c r="Y412" s="26"/>
      <c r="Z412" s="27"/>
      <c r="AA412" s="26"/>
      <c r="AB412" s="27"/>
      <c r="AC412" s="26"/>
      <c r="AD412" s="27"/>
      <c r="AE412" s="26"/>
      <c r="AF412" s="64">
        <f t="shared" si="96"/>
        <v>0</v>
      </c>
      <c r="AG412" s="65">
        <f t="shared" si="97"/>
        <v>0</v>
      </c>
      <c r="AH412" s="66">
        <f t="shared" si="98"/>
        <v>0</v>
      </c>
      <c r="AI412" s="66">
        <f t="shared" si="99"/>
        <v>0</v>
      </c>
      <c r="AJ412" s="27"/>
      <c r="AK412" s="26"/>
      <c r="AL412" s="64">
        <f t="shared" si="100"/>
        <v>0</v>
      </c>
      <c r="AM412" s="67">
        <f t="shared" si="101"/>
        <v>0</v>
      </c>
      <c r="AN412" s="27"/>
      <c r="AO412" s="26"/>
      <c r="AP412" s="27"/>
      <c r="AQ412" s="26"/>
      <c r="AR412" s="27"/>
      <c r="AS412" s="26"/>
      <c r="AT412" s="27"/>
      <c r="AU412" s="26"/>
      <c r="AV412" s="64">
        <f t="shared" si="102"/>
        <v>0</v>
      </c>
      <c r="AW412" s="70">
        <f t="shared" si="103"/>
        <v>0</v>
      </c>
      <c r="AX412" s="66">
        <f t="shared" si="104"/>
        <v>0</v>
      </c>
      <c r="AY412" s="71">
        <f t="shared" si="105"/>
        <v>0</v>
      </c>
      <c r="AZ412" s="72">
        <f t="shared" si="106"/>
        <v>8533.6333333333332</v>
      </c>
      <c r="BA412" s="66">
        <f t="shared" si="107"/>
        <v>8282.2666666666664</v>
      </c>
    </row>
    <row r="413" spans="1:53">
      <c r="A413" s="148" t="s">
        <v>391</v>
      </c>
      <c r="B413" s="104" t="s">
        <v>457</v>
      </c>
      <c r="C413" s="105"/>
      <c r="D413" s="106">
        <v>207935</v>
      </c>
      <c r="E413" s="106">
        <v>8</v>
      </c>
      <c r="F413" s="29" t="s">
        <v>75</v>
      </c>
      <c r="G413" s="16" t="s">
        <v>75</v>
      </c>
      <c r="H413" s="27"/>
      <c r="I413" s="26"/>
      <c r="J413" s="27">
        <v>141385</v>
      </c>
      <c r="K413" s="26">
        <v>135135</v>
      </c>
      <c r="L413" s="27">
        <v>36977</v>
      </c>
      <c r="M413" s="26">
        <v>35451</v>
      </c>
      <c r="N413" s="27">
        <v>145935</v>
      </c>
      <c r="O413" s="26">
        <v>144627</v>
      </c>
      <c r="P413" s="64">
        <f t="shared" si="90"/>
        <v>324297</v>
      </c>
      <c r="Q413" s="65">
        <f t="shared" si="91"/>
        <v>10809.9</v>
      </c>
      <c r="R413" s="66">
        <f t="shared" si="92"/>
        <v>315213</v>
      </c>
      <c r="S413" s="67">
        <f t="shared" si="93"/>
        <v>10507.1</v>
      </c>
      <c r="T413" s="27">
        <v>18169</v>
      </c>
      <c r="U413" s="109">
        <v>17982</v>
      </c>
      <c r="V413" s="64">
        <f t="shared" si="94"/>
        <v>324297</v>
      </c>
      <c r="W413" s="68">
        <f t="shared" si="95"/>
        <v>315213</v>
      </c>
      <c r="X413" s="27"/>
      <c r="Y413" s="26"/>
      <c r="Z413" s="27"/>
      <c r="AA413" s="26"/>
      <c r="AB413" s="27"/>
      <c r="AC413" s="26"/>
      <c r="AD413" s="27"/>
      <c r="AE413" s="26"/>
      <c r="AF413" s="64">
        <f t="shared" si="96"/>
        <v>0</v>
      </c>
      <c r="AG413" s="65">
        <f t="shared" si="97"/>
        <v>0</v>
      </c>
      <c r="AH413" s="66">
        <f t="shared" si="98"/>
        <v>0</v>
      </c>
      <c r="AI413" s="66">
        <f t="shared" si="99"/>
        <v>0</v>
      </c>
      <c r="AJ413" s="27"/>
      <c r="AK413" s="26"/>
      <c r="AL413" s="64">
        <f t="shared" si="100"/>
        <v>0</v>
      </c>
      <c r="AM413" s="67">
        <f t="shared" si="101"/>
        <v>0</v>
      </c>
      <c r="AN413" s="27"/>
      <c r="AO413" s="26"/>
      <c r="AP413" s="27"/>
      <c r="AQ413" s="26"/>
      <c r="AR413" s="27"/>
      <c r="AS413" s="26"/>
      <c r="AT413" s="27"/>
      <c r="AU413" s="26"/>
      <c r="AV413" s="64">
        <f t="shared" si="102"/>
        <v>0</v>
      </c>
      <c r="AW413" s="70">
        <f t="shared" si="103"/>
        <v>0</v>
      </c>
      <c r="AX413" s="66">
        <f t="shared" si="104"/>
        <v>0</v>
      </c>
      <c r="AY413" s="71">
        <f t="shared" si="105"/>
        <v>0</v>
      </c>
      <c r="AZ413" s="72">
        <f t="shared" si="106"/>
        <v>10809.9</v>
      </c>
      <c r="BA413" s="66">
        <f t="shared" si="107"/>
        <v>10507.1</v>
      </c>
    </row>
    <row r="414" spans="1:53">
      <c r="A414" s="148" t="s">
        <v>391</v>
      </c>
      <c r="B414" s="111" t="s">
        <v>458</v>
      </c>
      <c r="C414" s="105"/>
      <c r="D414" s="106">
        <v>207281</v>
      </c>
      <c r="E414" s="106">
        <v>9</v>
      </c>
      <c r="F414" s="29" t="s">
        <v>75</v>
      </c>
      <c r="G414" s="16" t="s">
        <v>75</v>
      </c>
      <c r="H414" s="27"/>
      <c r="I414" s="26"/>
      <c r="J414" s="27">
        <v>41313</v>
      </c>
      <c r="K414" s="26">
        <v>40720</v>
      </c>
      <c r="L414" s="27">
        <v>6873</v>
      </c>
      <c r="M414" s="109">
        <v>7364</v>
      </c>
      <c r="N414" s="27">
        <v>43735</v>
      </c>
      <c r="O414" s="26">
        <v>42552</v>
      </c>
      <c r="P414" s="64">
        <f t="shared" si="90"/>
        <v>91921</v>
      </c>
      <c r="Q414" s="65">
        <f t="shared" si="91"/>
        <v>3064.0333333333333</v>
      </c>
      <c r="R414" s="66">
        <f t="shared" si="92"/>
        <v>90636</v>
      </c>
      <c r="S414" s="67">
        <f t="shared" si="93"/>
        <v>3021.2</v>
      </c>
      <c r="T414" s="27">
        <v>2276</v>
      </c>
      <c r="U414" s="109">
        <v>3182</v>
      </c>
      <c r="V414" s="64">
        <f t="shared" si="94"/>
        <v>91921</v>
      </c>
      <c r="W414" s="68">
        <f t="shared" si="95"/>
        <v>90636</v>
      </c>
      <c r="X414" s="27"/>
      <c r="Y414" s="26"/>
      <c r="Z414" s="27"/>
      <c r="AA414" s="26"/>
      <c r="AB414" s="27"/>
      <c r="AC414" s="26"/>
      <c r="AD414" s="27"/>
      <c r="AE414" s="26"/>
      <c r="AF414" s="64">
        <f t="shared" si="96"/>
        <v>0</v>
      </c>
      <c r="AG414" s="65">
        <f t="shared" si="97"/>
        <v>0</v>
      </c>
      <c r="AH414" s="66">
        <f t="shared" si="98"/>
        <v>0</v>
      </c>
      <c r="AI414" s="66">
        <f t="shared" si="99"/>
        <v>0</v>
      </c>
      <c r="AJ414" s="27"/>
      <c r="AK414" s="26"/>
      <c r="AL414" s="64">
        <f t="shared" si="100"/>
        <v>0</v>
      </c>
      <c r="AM414" s="67">
        <f t="shared" si="101"/>
        <v>0</v>
      </c>
      <c r="AN414" s="27"/>
      <c r="AO414" s="26"/>
      <c r="AP414" s="27"/>
      <c r="AQ414" s="26"/>
      <c r="AR414" s="27"/>
      <c r="AS414" s="26"/>
      <c r="AT414" s="27"/>
      <c r="AU414" s="26"/>
      <c r="AV414" s="64">
        <f t="shared" si="102"/>
        <v>0</v>
      </c>
      <c r="AW414" s="70">
        <f t="shared" si="103"/>
        <v>0</v>
      </c>
      <c r="AX414" s="66">
        <f t="shared" si="104"/>
        <v>0</v>
      </c>
      <c r="AY414" s="71">
        <f t="shared" si="105"/>
        <v>0</v>
      </c>
      <c r="AZ414" s="72">
        <f t="shared" si="106"/>
        <v>3064.0333333333333</v>
      </c>
      <c r="BA414" s="66">
        <f t="shared" si="107"/>
        <v>3021.2</v>
      </c>
    </row>
    <row r="415" spans="1:53">
      <c r="A415" s="148" t="s">
        <v>391</v>
      </c>
      <c r="B415" s="104" t="s">
        <v>459</v>
      </c>
      <c r="C415" s="176"/>
      <c r="D415" s="106">
        <v>207670</v>
      </c>
      <c r="E415" s="113">
        <v>9</v>
      </c>
      <c r="F415" s="29" t="s">
        <v>75</v>
      </c>
      <c r="G415" s="16" t="s">
        <v>75</v>
      </c>
      <c r="H415" s="27"/>
      <c r="I415" s="26"/>
      <c r="J415" s="27">
        <v>54325</v>
      </c>
      <c r="K415" s="26">
        <v>55106</v>
      </c>
      <c r="L415" s="27">
        <v>12374</v>
      </c>
      <c r="M415" s="26">
        <v>12981</v>
      </c>
      <c r="N415" s="27">
        <v>60460</v>
      </c>
      <c r="O415" s="26">
        <v>63206</v>
      </c>
      <c r="P415" s="64">
        <f t="shared" si="90"/>
        <v>127159</v>
      </c>
      <c r="Q415" s="65">
        <f t="shared" si="91"/>
        <v>4238.6333333333332</v>
      </c>
      <c r="R415" s="66">
        <f t="shared" si="92"/>
        <v>131293</v>
      </c>
      <c r="S415" s="67">
        <f t="shared" si="93"/>
        <v>4376.4333333333334</v>
      </c>
      <c r="T415" s="27">
        <v>3358</v>
      </c>
      <c r="U415" s="109">
        <v>4165</v>
      </c>
      <c r="V415" s="64">
        <f t="shared" si="94"/>
        <v>127159</v>
      </c>
      <c r="W415" s="68">
        <f t="shared" si="95"/>
        <v>131293</v>
      </c>
      <c r="X415" s="27"/>
      <c r="Y415" s="26"/>
      <c r="Z415" s="27"/>
      <c r="AA415" s="26"/>
      <c r="AB415" s="27"/>
      <c r="AC415" s="26"/>
      <c r="AD415" s="27"/>
      <c r="AE415" s="26"/>
      <c r="AF415" s="64">
        <f t="shared" si="96"/>
        <v>0</v>
      </c>
      <c r="AG415" s="65">
        <f t="shared" si="97"/>
        <v>0</v>
      </c>
      <c r="AH415" s="66">
        <f t="shared" si="98"/>
        <v>0</v>
      </c>
      <c r="AI415" s="66">
        <f t="shared" si="99"/>
        <v>0</v>
      </c>
      <c r="AJ415" s="27"/>
      <c r="AK415" s="26"/>
      <c r="AL415" s="64">
        <f t="shared" si="100"/>
        <v>0</v>
      </c>
      <c r="AM415" s="67">
        <f t="shared" si="101"/>
        <v>0</v>
      </c>
      <c r="AN415" s="27"/>
      <c r="AO415" s="26"/>
      <c r="AP415" s="27"/>
      <c r="AQ415" s="26"/>
      <c r="AR415" s="27"/>
      <c r="AS415" s="26"/>
      <c r="AT415" s="27"/>
      <c r="AU415" s="26"/>
      <c r="AV415" s="64">
        <f t="shared" si="102"/>
        <v>0</v>
      </c>
      <c r="AW415" s="70">
        <f t="shared" si="103"/>
        <v>0</v>
      </c>
      <c r="AX415" s="66">
        <f t="shared" si="104"/>
        <v>0</v>
      </c>
      <c r="AY415" s="71">
        <f t="shared" si="105"/>
        <v>0</v>
      </c>
      <c r="AZ415" s="72">
        <f t="shared" si="106"/>
        <v>4238.6333333333332</v>
      </c>
      <c r="BA415" s="66">
        <f t="shared" si="107"/>
        <v>4376.4333333333334</v>
      </c>
    </row>
    <row r="416" spans="1:53">
      <c r="A416" s="148" t="s">
        <v>391</v>
      </c>
      <c r="B416" s="104" t="s">
        <v>460</v>
      </c>
      <c r="C416" s="176"/>
      <c r="D416" s="106">
        <v>206923</v>
      </c>
      <c r="E416" s="113">
        <v>10</v>
      </c>
      <c r="F416" s="29" t="s">
        <v>75</v>
      </c>
      <c r="G416" s="16" t="s">
        <v>75</v>
      </c>
      <c r="H416" s="27"/>
      <c r="I416" s="26"/>
      <c r="J416" s="27">
        <v>22334</v>
      </c>
      <c r="K416" s="26">
        <v>22215</v>
      </c>
      <c r="L416" s="27">
        <v>3711</v>
      </c>
      <c r="M416" s="109">
        <v>3162</v>
      </c>
      <c r="N416" s="27">
        <v>25461</v>
      </c>
      <c r="O416" s="109">
        <v>23948</v>
      </c>
      <c r="P416" s="64">
        <f t="shared" si="90"/>
        <v>51506</v>
      </c>
      <c r="Q416" s="65">
        <f t="shared" si="91"/>
        <v>1716.8666666666666</v>
      </c>
      <c r="R416" s="66">
        <f t="shared" si="92"/>
        <v>49325</v>
      </c>
      <c r="S416" s="67">
        <f t="shared" si="93"/>
        <v>1644.1666666666667</v>
      </c>
      <c r="T416" s="27">
        <v>2944</v>
      </c>
      <c r="U416" s="109">
        <v>3270</v>
      </c>
      <c r="V416" s="64">
        <f t="shared" si="94"/>
        <v>51506</v>
      </c>
      <c r="W416" s="68">
        <f t="shared" si="95"/>
        <v>49325</v>
      </c>
      <c r="X416" s="27"/>
      <c r="Y416" s="26"/>
      <c r="Z416" s="27"/>
      <c r="AA416" s="26"/>
      <c r="AB416" s="27"/>
      <c r="AC416" s="26"/>
      <c r="AD416" s="27"/>
      <c r="AE416" s="26"/>
      <c r="AF416" s="64">
        <f t="shared" si="96"/>
        <v>0</v>
      </c>
      <c r="AG416" s="65">
        <f t="shared" si="97"/>
        <v>0</v>
      </c>
      <c r="AH416" s="66">
        <f t="shared" si="98"/>
        <v>0</v>
      </c>
      <c r="AI416" s="66">
        <f t="shared" si="99"/>
        <v>0</v>
      </c>
      <c r="AJ416" s="27"/>
      <c r="AK416" s="26"/>
      <c r="AL416" s="64">
        <f t="shared" si="100"/>
        <v>0</v>
      </c>
      <c r="AM416" s="67">
        <f t="shared" si="101"/>
        <v>0</v>
      </c>
      <c r="AN416" s="27"/>
      <c r="AO416" s="26"/>
      <c r="AP416" s="27"/>
      <c r="AQ416" s="26"/>
      <c r="AR416" s="27"/>
      <c r="AS416" s="26"/>
      <c r="AT416" s="27"/>
      <c r="AU416" s="26"/>
      <c r="AV416" s="64">
        <f t="shared" si="102"/>
        <v>0</v>
      </c>
      <c r="AW416" s="70">
        <f t="shared" si="103"/>
        <v>0</v>
      </c>
      <c r="AX416" s="66">
        <f t="shared" si="104"/>
        <v>0</v>
      </c>
      <c r="AY416" s="71">
        <f t="shared" si="105"/>
        <v>0</v>
      </c>
      <c r="AZ416" s="72">
        <f t="shared" si="106"/>
        <v>1716.8666666666666</v>
      </c>
      <c r="BA416" s="66">
        <f t="shared" si="107"/>
        <v>1644.1666666666667</v>
      </c>
    </row>
    <row r="417" spans="1:53">
      <c r="A417" s="148" t="s">
        <v>391</v>
      </c>
      <c r="B417" s="104" t="s">
        <v>461</v>
      </c>
      <c r="C417" s="105"/>
      <c r="D417" s="106">
        <v>206996</v>
      </c>
      <c r="E417" s="106">
        <v>10</v>
      </c>
      <c r="F417" s="29" t="s">
        <v>75</v>
      </c>
      <c r="G417" s="16" t="s">
        <v>75</v>
      </c>
      <c r="H417" s="27"/>
      <c r="I417" s="26"/>
      <c r="J417" s="27">
        <v>22353</v>
      </c>
      <c r="K417" s="26">
        <v>22172</v>
      </c>
      <c r="L417" s="27">
        <v>3663</v>
      </c>
      <c r="M417" s="26">
        <v>3685</v>
      </c>
      <c r="N417" s="27">
        <v>25050</v>
      </c>
      <c r="O417" s="26">
        <v>25333</v>
      </c>
      <c r="P417" s="64">
        <f t="shared" si="90"/>
        <v>51066</v>
      </c>
      <c r="Q417" s="65">
        <f t="shared" si="91"/>
        <v>1702.2</v>
      </c>
      <c r="R417" s="66">
        <f t="shared" si="92"/>
        <v>51190</v>
      </c>
      <c r="S417" s="67">
        <f t="shared" si="93"/>
        <v>1706.3333333333333</v>
      </c>
      <c r="T417" s="27">
        <v>2341</v>
      </c>
      <c r="U417" s="109">
        <v>4220</v>
      </c>
      <c r="V417" s="64">
        <f t="shared" si="94"/>
        <v>51066</v>
      </c>
      <c r="W417" s="68">
        <f t="shared" si="95"/>
        <v>51190</v>
      </c>
      <c r="X417" s="27"/>
      <c r="Y417" s="26"/>
      <c r="Z417" s="27"/>
      <c r="AA417" s="26"/>
      <c r="AB417" s="27"/>
      <c r="AC417" s="26"/>
      <c r="AD417" s="27"/>
      <c r="AE417" s="26"/>
      <c r="AF417" s="64">
        <f t="shared" si="96"/>
        <v>0</v>
      </c>
      <c r="AG417" s="65">
        <f t="shared" si="97"/>
        <v>0</v>
      </c>
      <c r="AH417" s="66">
        <f t="shared" si="98"/>
        <v>0</v>
      </c>
      <c r="AI417" s="66">
        <f t="shared" si="99"/>
        <v>0</v>
      </c>
      <c r="AJ417" s="27"/>
      <c r="AK417" s="26"/>
      <c r="AL417" s="64">
        <f t="shared" si="100"/>
        <v>0</v>
      </c>
      <c r="AM417" s="67">
        <f t="shared" si="101"/>
        <v>0</v>
      </c>
      <c r="AN417" s="27"/>
      <c r="AO417" s="26"/>
      <c r="AP417" s="27"/>
      <c r="AQ417" s="26"/>
      <c r="AR417" s="27"/>
      <c r="AS417" s="26"/>
      <c r="AT417" s="27"/>
      <c r="AU417" s="26"/>
      <c r="AV417" s="64">
        <f t="shared" si="102"/>
        <v>0</v>
      </c>
      <c r="AW417" s="70">
        <f t="shared" si="103"/>
        <v>0</v>
      </c>
      <c r="AX417" s="66">
        <f t="shared" si="104"/>
        <v>0</v>
      </c>
      <c r="AY417" s="71">
        <f t="shared" si="105"/>
        <v>0</v>
      </c>
      <c r="AZ417" s="72">
        <f t="shared" si="106"/>
        <v>1702.2</v>
      </c>
      <c r="BA417" s="66">
        <f t="shared" si="107"/>
        <v>1706.3333333333333</v>
      </c>
    </row>
    <row r="418" spans="1:53">
      <c r="A418" s="148" t="s">
        <v>391</v>
      </c>
      <c r="B418" s="104" t="s">
        <v>462</v>
      </c>
      <c r="C418" s="105"/>
      <c r="D418" s="106">
        <v>207050</v>
      </c>
      <c r="E418" s="106">
        <v>10</v>
      </c>
      <c r="F418" s="29" t="s">
        <v>75</v>
      </c>
      <c r="G418" s="16" t="s">
        <v>75</v>
      </c>
      <c r="H418" s="27"/>
      <c r="I418" s="26"/>
      <c r="J418" s="27">
        <v>15420</v>
      </c>
      <c r="K418" s="26">
        <v>15203</v>
      </c>
      <c r="L418" s="27">
        <v>2479</v>
      </c>
      <c r="M418" s="26">
        <v>2516</v>
      </c>
      <c r="N418" s="27">
        <v>16667</v>
      </c>
      <c r="O418" s="26">
        <v>16583</v>
      </c>
      <c r="P418" s="64">
        <f t="shared" si="90"/>
        <v>34566</v>
      </c>
      <c r="Q418" s="65">
        <f t="shared" si="91"/>
        <v>1152.2</v>
      </c>
      <c r="R418" s="66">
        <f t="shared" si="92"/>
        <v>34302</v>
      </c>
      <c r="S418" s="67">
        <f t="shared" si="93"/>
        <v>1143.4000000000001</v>
      </c>
      <c r="T418" s="27">
        <v>3309</v>
      </c>
      <c r="U418" s="109">
        <v>4191</v>
      </c>
      <c r="V418" s="64">
        <f t="shared" si="94"/>
        <v>34566</v>
      </c>
      <c r="W418" s="68">
        <f t="shared" si="95"/>
        <v>34302</v>
      </c>
      <c r="X418" s="27"/>
      <c r="Y418" s="26"/>
      <c r="Z418" s="27"/>
      <c r="AA418" s="26"/>
      <c r="AB418" s="27"/>
      <c r="AC418" s="26"/>
      <c r="AD418" s="27"/>
      <c r="AE418" s="26"/>
      <c r="AF418" s="64">
        <f t="shared" si="96"/>
        <v>0</v>
      </c>
      <c r="AG418" s="65">
        <f t="shared" si="97"/>
        <v>0</v>
      </c>
      <c r="AH418" s="66">
        <f t="shared" si="98"/>
        <v>0</v>
      </c>
      <c r="AI418" s="66">
        <f t="shared" si="99"/>
        <v>0</v>
      </c>
      <c r="AJ418" s="27"/>
      <c r="AK418" s="26"/>
      <c r="AL418" s="64">
        <f t="shared" si="100"/>
        <v>0</v>
      </c>
      <c r="AM418" s="67">
        <f t="shared" si="101"/>
        <v>0</v>
      </c>
      <c r="AN418" s="27"/>
      <c r="AO418" s="26"/>
      <c r="AP418" s="27"/>
      <c r="AQ418" s="26"/>
      <c r="AR418" s="27"/>
      <c r="AS418" s="26"/>
      <c r="AT418" s="27"/>
      <c r="AU418" s="26"/>
      <c r="AV418" s="64">
        <f t="shared" si="102"/>
        <v>0</v>
      </c>
      <c r="AW418" s="70">
        <f t="shared" si="103"/>
        <v>0</v>
      </c>
      <c r="AX418" s="66">
        <f t="shared" si="104"/>
        <v>0</v>
      </c>
      <c r="AY418" s="71">
        <f t="shared" si="105"/>
        <v>0</v>
      </c>
      <c r="AZ418" s="72">
        <f t="shared" si="106"/>
        <v>1152.2</v>
      </c>
      <c r="BA418" s="66">
        <f t="shared" si="107"/>
        <v>1143.4000000000001</v>
      </c>
    </row>
    <row r="419" spans="1:53">
      <c r="A419" s="148" t="s">
        <v>391</v>
      </c>
      <c r="B419" s="104" t="s">
        <v>463</v>
      </c>
      <c r="C419" s="105"/>
      <c r="D419" s="106">
        <v>207236</v>
      </c>
      <c r="E419" s="106">
        <v>10</v>
      </c>
      <c r="F419" s="29" t="s">
        <v>75</v>
      </c>
      <c r="G419" s="16" t="s">
        <v>75</v>
      </c>
      <c r="H419" s="27"/>
      <c r="I419" s="26"/>
      <c r="J419" s="27">
        <v>20969</v>
      </c>
      <c r="K419" s="26">
        <v>20127</v>
      </c>
      <c r="L419" s="27">
        <v>3362</v>
      </c>
      <c r="M419" s="26">
        <v>3283</v>
      </c>
      <c r="N419" s="27">
        <v>23249</v>
      </c>
      <c r="O419" s="26">
        <v>24104</v>
      </c>
      <c r="P419" s="64">
        <f t="shared" si="90"/>
        <v>47580</v>
      </c>
      <c r="Q419" s="65">
        <f t="shared" si="91"/>
        <v>1586</v>
      </c>
      <c r="R419" s="66">
        <f t="shared" si="92"/>
        <v>47514</v>
      </c>
      <c r="S419" s="67">
        <f t="shared" si="93"/>
        <v>1583.8</v>
      </c>
      <c r="T419" s="27">
        <v>4719</v>
      </c>
      <c r="U419" s="109">
        <v>4920</v>
      </c>
      <c r="V419" s="64">
        <f t="shared" si="94"/>
        <v>47580</v>
      </c>
      <c r="W419" s="68">
        <f t="shared" si="95"/>
        <v>47514</v>
      </c>
      <c r="X419" s="27"/>
      <c r="Y419" s="26"/>
      <c r="Z419" s="27"/>
      <c r="AA419" s="26"/>
      <c r="AB419" s="27"/>
      <c r="AC419" s="26"/>
      <c r="AD419" s="27"/>
      <c r="AE419" s="26"/>
      <c r="AF419" s="64">
        <f t="shared" si="96"/>
        <v>0</v>
      </c>
      <c r="AG419" s="65">
        <f t="shared" si="97"/>
        <v>0</v>
      </c>
      <c r="AH419" s="66">
        <f t="shared" si="98"/>
        <v>0</v>
      </c>
      <c r="AI419" s="66">
        <f t="shared" si="99"/>
        <v>0</v>
      </c>
      <c r="AJ419" s="27"/>
      <c r="AK419" s="26"/>
      <c r="AL419" s="64">
        <f t="shared" si="100"/>
        <v>0</v>
      </c>
      <c r="AM419" s="67">
        <f t="shared" si="101"/>
        <v>0</v>
      </c>
      <c r="AN419" s="27"/>
      <c r="AO419" s="26"/>
      <c r="AP419" s="27"/>
      <c r="AQ419" s="26"/>
      <c r="AR419" s="27"/>
      <c r="AS419" s="26"/>
      <c r="AT419" s="27"/>
      <c r="AU419" s="26"/>
      <c r="AV419" s="64">
        <f t="shared" si="102"/>
        <v>0</v>
      </c>
      <c r="AW419" s="70">
        <f t="shared" si="103"/>
        <v>0</v>
      </c>
      <c r="AX419" s="66">
        <f t="shared" si="104"/>
        <v>0</v>
      </c>
      <c r="AY419" s="71">
        <f t="shared" si="105"/>
        <v>0</v>
      </c>
      <c r="AZ419" s="72">
        <f t="shared" si="106"/>
        <v>1586</v>
      </c>
      <c r="BA419" s="66">
        <f t="shared" si="107"/>
        <v>1583.8</v>
      </c>
    </row>
    <row r="420" spans="1:53">
      <c r="A420" s="148" t="s">
        <v>391</v>
      </c>
      <c r="B420" s="104" t="s">
        <v>464</v>
      </c>
      <c r="C420" s="105"/>
      <c r="D420" s="106">
        <v>207290</v>
      </c>
      <c r="E420" s="106">
        <v>10</v>
      </c>
      <c r="F420" s="29" t="s">
        <v>75</v>
      </c>
      <c r="G420" s="16" t="s">
        <v>75</v>
      </c>
      <c r="H420" s="27"/>
      <c r="I420" s="26"/>
      <c r="J420" s="27">
        <v>23924</v>
      </c>
      <c r="K420" s="26">
        <v>22914</v>
      </c>
      <c r="L420" s="27">
        <v>3378</v>
      </c>
      <c r="M420" s="26">
        <v>3335</v>
      </c>
      <c r="N420" s="27">
        <v>26505</v>
      </c>
      <c r="O420" s="26">
        <v>26287</v>
      </c>
      <c r="P420" s="64">
        <f t="shared" si="90"/>
        <v>53807</v>
      </c>
      <c r="Q420" s="65">
        <f t="shared" si="91"/>
        <v>1793.5666666666666</v>
      </c>
      <c r="R420" s="66">
        <f t="shared" si="92"/>
        <v>52536</v>
      </c>
      <c r="S420" s="67">
        <f t="shared" si="93"/>
        <v>1751.2</v>
      </c>
      <c r="T420" s="27">
        <v>2571</v>
      </c>
      <c r="U420" s="109">
        <v>2853</v>
      </c>
      <c r="V420" s="64">
        <f t="shared" si="94"/>
        <v>53807</v>
      </c>
      <c r="W420" s="68">
        <f t="shared" si="95"/>
        <v>52536</v>
      </c>
      <c r="X420" s="27"/>
      <c r="Y420" s="26"/>
      <c r="Z420" s="27"/>
      <c r="AA420" s="26"/>
      <c r="AB420" s="27"/>
      <c r="AC420" s="26"/>
      <c r="AD420" s="27"/>
      <c r="AE420" s="26"/>
      <c r="AF420" s="64">
        <f t="shared" si="96"/>
        <v>0</v>
      </c>
      <c r="AG420" s="65">
        <f t="shared" si="97"/>
        <v>0</v>
      </c>
      <c r="AH420" s="66">
        <f t="shared" si="98"/>
        <v>0</v>
      </c>
      <c r="AI420" s="66">
        <f t="shared" si="99"/>
        <v>0</v>
      </c>
      <c r="AJ420" s="27"/>
      <c r="AK420" s="26"/>
      <c r="AL420" s="64">
        <f t="shared" si="100"/>
        <v>0</v>
      </c>
      <c r="AM420" s="67">
        <f t="shared" si="101"/>
        <v>0</v>
      </c>
      <c r="AN420" s="27"/>
      <c r="AO420" s="26"/>
      <c r="AP420" s="27"/>
      <c r="AQ420" s="26"/>
      <c r="AR420" s="27"/>
      <c r="AS420" s="26"/>
      <c r="AT420" s="27"/>
      <c r="AU420" s="26"/>
      <c r="AV420" s="64">
        <f t="shared" si="102"/>
        <v>0</v>
      </c>
      <c r="AW420" s="70">
        <f t="shared" si="103"/>
        <v>0</v>
      </c>
      <c r="AX420" s="66">
        <f t="shared" si="104"/>
        <v>0</v>
      </c>
      <c r="AY420" s="71">
        <f t="shared" si="105"/>
        <v>0</v>
      </c>
      <c r="AZ420" s="72">
        <f t="shared" si="106"/>
        <v>1793.5666666666666</v>
      </c>
      <c r="BA420" s="66">
        <f t="shared" si="107"/>
        <v>1751.2</v>
      </c>
    </row>
    <row r="421" spans="1:53">
      <c r="A421" s="148" t="s">
        <v>391</v>
      </c>
      <c r="B421" s="104" t="s">
        <v>465</v>
      </c>
      <c r="C421" s="105"/>
      <c r="D421" s="106">
        <v>207069</v>
      </c>
      <c r="E421" s="106">
        <v>10</v>
      </c>
      <c r="F421" s="29" t="s">
        <v>75</v>
      </c>
      <c r="G421" s="16" t="s">
        <v>75</v>
      </c>
      <c r="H421" s="27"/>
      <c r="I421" s="26"/>
      <c r="J421" s="27">
        <v>17561</v>
      </c>
      <c r="K421" s="26">
        <v>16757</v>
      </c>
      <c r="L421" s="27">
        <v>3449</v>
      </c>
      <c r="M421" s="26">
        <v>3566</v>
      </c>
      <c r="N421" s="27">
        <v>18503</v>
      </c>
      <c r="O421" s="26">
        <v>18782</v>
      </c>
      <c r="P421" s="64">
        <f t="shared" si="90"/>
        <v>39513</v>
      </c>
      <c r="Q421" s="65">
        <f t="shared" si="91"/>
        <v>1317.1</v>
      </c>
      <c r="R421" s="66">
        <f t="shared" si="92"/>
        <v>39105</v>
      </c>
      <c r="S421" s="67">
        <f t="shared" si="93"/>
        <v>1303.5</v>
      </c>
      <c r="T421" s="27">
        <v>10130</v>
      </c>
      <c r="U421" s="109">
        <v>11314</v>
      </c>
      <c r="V421" s="64">
        <f t="shared" si="94"/>
        <v>39513</v>
      </c>
      <c r="W421" s="68">
        <f t="shared" si="95"/>
        <v>39105</v>
      </c>
      <c r="X421" s="27"/>
      <c r="Y421" s="26"/>
      <c r="Z421" s="27"/>
      <c r="AA421" s="26"/>
      <c r="AB421" s="27"/>
      <c r="AC421" s="26"/>
      <c r="AD421" s="27"/>
      <c r="AE421" s="26"/>
      <c r="AF421" s="64">
        <f t="shared" si="96"/>
        <v>0</v>
      </c>
      <c r="AG421" s="65">
        <f t="shared" si="97"/>
        <v>0</v>
      </c>
      <c r="AH421" s="66">
        <f t="shared" si="98"/>
        <v>0</v>
      </c>
      <c r="AI421" s="66">
        <f t="shared" si="99"/>
        <v>0</v>
      </c>
      <c r="AJ421" s="27"/>
      <c r="AK421" s="26"/>
      <c r="AL421" s="64">
        <f t="shared" si="100"/>
        <v>0</v>
      </c>
      <c r="AM421" s="67">
        <f t="shared" si="101"/>
        <v>0</v>
      </c>
      <c r="AN421" s="27"/>
      <c r="AO421" s="26"/>
      <c r="AP421" s="27"/>
      <c r="AQ421" s="26"/>
      <c r="AR421" s="27"/>
      <c r="AS421" s="26"/>
      <c r="AT421" s="27"/>
      <c r="AU421" s="26"/>
      <c r="AV421" s="64">
        <f t="shared" si="102"/>
        <v>0</v>
      </c>
      <c r="AW421" s="70">
        <f t="shared" si="103"/>
        <v>0</v>
      </c>
      <c r="AX421" s="66">
        <f t="shared" si="104"/>
        <v>0</v>
      </c>
      <c r="AY421" s="71">
        <f t="shared" si="105"/>
        <v>0</v>
      </c>
      <c r="AZ421" s="72">
        <f t="shared" si="106"/>
        <v>1317.1</v>
      </c>
      <c r="BA421" s="66">
        <f t="shared" si="107"/>
        <v>1303.5</v>
      </c>
    </row>
    <row r="422" spans="1:53">
      <c r="A422" s="148" t="s">
        <v>391</v>
      </c>
      <c r="B422" s="104" t="s">
        <v>466</v>
      </c>
      <c r="C422" s="105"/>
      <c r="D422" s="106">
        <v>207740</v>
      </c>
      <c r="E422" s="106">
        <v>10</v>
      </c>
      <c r="F422" s="29" t="s">
        <v>75</v>
      </c>
      <c r="G422" s="16" t="s">
        <v>75</v>
      </c>
      <c r="H422" s="27"/>
      <c r="I422" s="26"/>
      <c r="J422" s="27">
        <v>19542</v>
      </c>
      <c r="K422" s="109">
        <v>17699</v>
      </c>
      <c r="L422" s="27">
        <v>2664</v>
      </c>
      <c r="M422" s="109">
        <v>5144</v>
      </c>
      <c r="N422" s="27">
        <v>19000</v>
      </c>
      <c r="O422" s="26">
        <v>18337</v>
      </c>
      <c r="P422" s="64">
        <f t="shared" si="90"/>
        <v>41206</v>
      </c>
      <c r="Q422" s="65">
        <f t="shared" si="91"/>
        <v>1373.5333333333333</v>
      </c>
      <c r="R422" s="66">
        <f t="shared" si="92"/>
        <v>41180</v>
      </c>
      <c r="S422" s="67">
        <f t="shared" si="93"/>
        <v>1372.6666666666667</v>
      </c>
      <c r="T422" s="27">
        <v>3197</v>
      </c>
      <c r="U422" s="109">
        <v>3530</v>
      </c>
      <c r="V422" s="64">
        <f t="shared" si="94"/>
        <v>41206</v>
      </c>
      <c r="W422" s="68">
        <f t="shared" si="95"/>
        <v>41180</v>
      </c>
      <c r="X422" s="27"/>
      <c r="Y422" s="26"/>
      <c r="Z422" s="27"/>
      <c r="AA422" s="26"/>
      <c r="AB422" s="27"/>
      <c r="AC422" s="26"/>
      <c r="AD422" s="27"/>
      <c r="AE422" s="26"/>
      <c r="AF422" s="64">
        <f t="shared" si="96"/>
        <v>0</v>
      </c>
      <c r="AG422" s="65">
        <f t="shared" si="97"/>
        <v>0</v>
      </c>
      <c r="AH422" s="66">
        <f t="shared" si="98"/>
        <v>0</v>
      </c>
      <c r="AI422" s="66">
        <f t="shared" si="99"/>
        <v>0</v>
      </c>
      <c r="AJ422" s="27"/>
      <c r="AK422" s="26"/>
      <c r="AL422" s="64">
        <f t="shared" si="100"/>
        <v>0</v>
      </c>
      <c r="AM422" s="67">
        <f t="shared" si="101"/>
        <v>0</v>
      </c>
      <c r="AN422" s="27"/>
      <c r="AO422" s="26"/>
      <c r="AP422" s="27"/>
      <c r="AQ422" s="26"/>
      <c r="AR422" s="27"/>
      <c r="AS422" s="26"/>
      <c r="AT422" s="27"/>
      <c r="AU422" s="26"/>
      <c r="AV422" s="64">
        <f t="shared" si="102"/>
        <v>0</v>
      </c>
      <c r="AW422" s="70">
        <f t="shared" si="103"/>
        <v>0</v>
      </c>
      <c r="AX422" s="66">
        <f t="shared" si="104"/>
        <v>0</v>
      </c>
      <c r="AY422" s="71">
        <f t="shared" si="105"/>
        <v>0</v>
      </c>
      <c r="AZ422" s="72">
        <f t="shared" si="106"/>
        <v>1373.5333333333333</v>
      </c>
      <c r="BA422" s="66">
        <f t="shared" si="107"/>
        <v>1372.6666666666667</v>
      </c>
    </row>
    <row r="423" spans="1:53">
      <c r="A423" s="148" t="s">
        <v>391</v>
      </c>
      <c r="B423" s="104" t="s">
        <v>467</v>
      </c>
      <c r="C423" s="105"/>
      <c r="D423" s="106">
        <v>208035</v>
      </c>
      <c r="E423" s="106">
        <v>10</v>
      </c>
      <c r="F423" s="29" t="s">
        <v>75</v>
      </c>
      <c r="G423" s="16" t="s">
        <v>75</v>
      </c>
      <c r="H423" s="27"/>
      <c r="I423" s="26"/>
      <c r="J423" s="27">
        <v>12667</v>
      </c>
      <c r="K423" s="26">
        <v>12444</v>
      </c>
      <c r="L423" s="27">
        <v>2553</v>
      </c>
      <c r="M423" s="26">
        <v>2589</v>
      </c>
      <c r="N423" s="27">
        <v>12924</v>
      </c>
      <c r="O423" s="26">
        <v>13555</v>
      </c>
      <c r="P423" s="64">
        <f t="shared" si="90"/>
        <v>28144</v>
      </c>
      <c r="Q423" s="65">
        <f t="shared" si="91"/>
        <v>938.13333333333333</v>
      </c>
      <c r="R423" s="66">
        <f t="shared" si="92"/>
        <v>28588</v>
      </c>
      <c r="S423" s="67">
        <f t="shared" si="93"/>
        <v>952.93333333333328</v>
      </c>
      <c r="T423" s="27">
        <v>2168</v>
      </c>
      <c r="U423" s="109">
        <v>2180</v>
      </c>
      <c r="V423" s="64">
        <f t="shared" si="94"/>
        <v>28144</v>
      </c>
      <c r="W423" s="68">
        <f t="shared" si="95"/>
        <v>28588</v>
      </c>
      <c r="X423" s="27"/>
      <c r="Y423" s="26"/>
      <c r="Z423" s="27"/>
      <c r="AA423" s="26"/>
      <c r="AB423" s="27"/>
      <c r="AC423" s="26"/>
      <c r="AD423" s="27"/>
      <c r="AE423" s="26"/>
      <c r="AF423" s="64">
        <f t="shared" si="96"/>
        <v>0</v>
      </c>
      <c r="AG423" s="65">
        <f t="shared" si="97"/>
        <v>0</v>
      </c>
      <c r="AH423" s="66">
        <f t="shared" si="98"/>
        <v>0</v>
      </c>
      <c r="AI423" s="66">
        <f t="shared" si="99"/>
        <v>0</v>
      </c>
      <c r="AJ423" s="27"/>
      <c r="AK423" s="26"/>
      <c r="AL423" s="64">
        <f t="shared" si="100"/>
        <v>0</v>
      </c>
      <c r="AM423" s="67">
        <f t="shared" si="101"/>
        <v>0</v>
      </c>
      <c r="AN423" s="27"/>
      <c r="AO423" s="26"/>
      <c r="AP423" s="27"/>
      <c r="AQ423" s="26"/>
      <c r="AR423" s="27"/>
      <c r="AS423" s="26"/>
      <c r="AT423" s="27"/>
      <c r="AU423" s="26"/>
      <c r="AV423" s="64">
        <f t="shared" si="102"/>
        <v>0</v>
      </c>
      <c r="AW423" s="70">
        <f t="shared" si="103"/>
        <v>0</v>
      </c>
      <c r="AX423" s="66">
        <f t="shared" si="104"/>
        <v>0</v>
      </c>
      <c r="AY423" s="71">
        <f t="shared" si="105"/>
        <v>0</v>
      </c>
      <c r="AZ423" s="72">
        <f t="shared" si="106"/>
        <v>938.13333333333333</v>
      </c>
      <c r="BA423" s="66">
        <f t="shared" si="107"/>
        <v>952.93333333333328</v>
      </c>
    </row>
    <row r="424" spans="1:53" s="54" customFormat="1" ht="13.5" customHeight="1">
      <c r="A424" s="197" t="s">
        <v>606</v>
      </c>
      <c r="B424" s="198" t="s">
        <v>607</v>
      </c>
      <c r="C424" s="700"/>
      <c r="D424" s="200">
        <v>217882</v>
      </c>
      <c r="E424" s="200">
        <v>1</v>
      </c>
      <c r="F424" s="29" t="s">
        <v>75</v>
      </c>
      <c r="G424" s="16" t="s">
        <v>75</v>
      </c>
      <c r="H424" s="27"/>
      <c r="I424" s="26"/>
      <c r="J424" s="27">
        <v>239314</v>
      </c>
      <c r="K424" s="26">
        <v>249718</v>
      </c>
      <c r="L424" s="27">
        <v>30561</v>
      </c>
      <c r="M424" s="26">
        <v>31216</v>
      </c>
      <c r="N424" s="27">
        <v>270799</v>
      </c>
      <c r="O424" s="109">
        <v>297709</v>
      </c>
      <c r="P424" s="64">
        <f t="shared" si="90"/>
        <v>540674</v>
      </c>
      <c r="Q424" s="65">
        <f t="shared" si="91"/>
        <v>18022.466666666667</v>
      </c>
      <c r="R424" s="66">
        <f t="shared" si="92"/>
        <v>578643</v>
      </c>
      <c r="S424" s="67">
        <f t="shared" si="93"/>
        <v>19288.099999999999</v>
      </c>
      <c r="T424" s="27">
        <v>690</v>
      </c>
      <c r="U424" s="109">
        <v>874</v>
      </c>
      <c r="V424" s="64">
        <f t="shared" si="94"/>
        <v>540674</v>
      </c>
      <c r="W424" s="68">
        <f t="shared" si="95"/>
        <v>578643</v>
      </c>
      <c r="X424" s="27"/>
      <c r="Y424" s="26"/>
      <c r="Z424" s="27"/>
      <c r="AA424" s="26"/>
      <c r="AB424" s="27"/>
      <c r="AC424" s="26"/>
      <c r="AD424" s="27"/>
      <c r="AE424" s="26"/>
      <c r="AF424" s="64">
        <f t="shared" si="96"/>
        <v>0</v>
      </c>
      <c r="AG424" s="65">
        <f t="shared" si="97"/>
        <v>0</v>
      </c>
      <c r="AH424" s="66">
        <f t="shared" si="98"/>
        <v>0</v>
      </c>
      <c r="AI424" s="66">
        <f t="shared" si="99"/>
        <v>0</v>
      </c>
      <c r="AJ424" s="27"/>
      <c r="AK424" s="26"/>
      <c r="AL424" s="64">
        <f t="shared" si="100"/>
        <v>0</v>
      </c>
      <c r="AM424" s="67">
        <f t="shared" si="101"/>
        <v>0</v>
      </c>
      <c r="AN424" s="27"/>
      <c r="AO424" s="26"/>
      <c r="AP424" s="27">
        <v>35979</v>
      </c>
      <c r="AQ424" s="26">
        <v>37136</v>
      </c>
      <c r="AR424" s="27">
        <v>14891</v>
      </c>
      <c r="AS424" s="26">
        <v>15460</v>
      </c>
      <c r="AT424" s="27">
        <v>38794</v>
      </c>
      <c r="AU424" s="26">
        <v>39395</v>
      </c>
      <c r="AV424" s="64">
        <f t="shared" si="102"/>
        <v>89664</v>
      </c>
      <c r="AW424" s="70">
        <f t="shared" si="103"/>
        <v>3736</v>
      </c>
      <c r="AX424" s="66">
        <f t="shared" si="104"/>
        <v>91991</v>
      </c>
      <c r="AY424" s="71">
        <f t="shared" si="105"/>
        <v>3832.9583333333335</v>
      </c>
      <c r="AZ424" s="72">
        <f t="shared" si="106"/>
        <v>21758.466666666667</v>
      </c>
      <c r="BA424" s="66">
        <f t="shared" si="107"/>
        <v>23121.058333333331</v>
      </c>
    </row>
    <row r="425" spans="1:53" ht="15">
      <c r="A425" s="197" t="s">
        <v>606</v>
      </c>
      <c r="B425" s="198" t="s">
        <v>608</v>
      </c>
      <c r="C425" s="700"/>
      <c r="D425" s="200">
        <v>218663</v>
      </c>
      <c r="E425" s="200">
        <v>1</v>
      </c>
      <c r="F425" s="29" t="s">
        <v>75</v>
      </c>
      <c r="G425" s="16" t="s">
        <v>75</v>
      </c>
      <c r="H425" s="27"/>
      <c r="I425" s="26"/>
      <c r="J425" s="27">
        <v>340004</v>
      </c>
      <c r="K425" s="26">
        <v>345197</v>
      </c>
      <c r="L425" s="27">
        <v>37254</v>
      </c>
      <c r="M425" s="26">
        <v>37690</v>
      </c>
      <c r="N425" s="27">
        <v>376645</v>
      </c>
      <c r="O425" s="26">
        <v>378270</v>
      </c>
      <c r="P425" s="64">
        <f t="shared" si="90"/>
        <v>753903</v>
      </c>
      <c r="Q425" s="65">
        <f t="shared" si="91"/>
        <v>25130.1</v>
      </c>
      <c r="R425" s="66">
        <f t="shared" si="92"/>
        <v>761157</v>
      </c>
      <c r="S425" s="67">
        <f t="shared" si="93"/>
        <v>25371.9</v>
      </c>
      <c r="T425" s="27"/>
      <c r="U425" s="26"/>
      <c r="V425" s="64">
        <f t="shared" si="94"/>
        <v>0</v>
      </c>
      <c r="W425" s="68">
        <f t="shared" si="95"/>
        <v>0</v>
      </c>
      <c r="X425" s="27"/>
      <c r="Y425" s="26"/>
      <c r="Z425" s="27"/>
      <c r="AA425" s="26"/>
      <c r="AB425" s="27"/>
      <c r="AC425" s="26"/>
      <c r="AD425" s="27"/>
      <c r="AE425" s="26"/>
      <c r="AF425" s="64">
        <f t="shared" si="96"/>
        <v>0</v>
      </c>
      <c r="AG425" s="65">
        <f t="shared" si="97"/>
        <v>0</v>
      </c>
      <c r="AH425" s="66">
        <f t="shared" si="98"/>
        <v>0</v>
      </c>
      <c r="AI425" s="66">
        <f t="shared" si="99"/>
        <v>0</v>
      </c>
      <c r="AJ425" s="27"/>
      <c r="AK425" s="26"/>
      <c r="AL425" s="64">
        <f t="shared" si="100"/>
        <v>0</v>
      </c>
      <c r="AM425" s="67">
        <f t="shared" si="101"/>
        <v>0</v>
      </c>
      <c r="AN425" s="27"/>
      <c r="AO425" s="26"/>
      <c r="AP425" s="27">
        <v>48232</v>
      </c>
      <c r="AQ425" s="26">
        <v>49351</v>
      </c>
      <c r="AR425" s="27">
        <v>20466</v>
      </c>
      <c r="AS425" s="109">
        <v>19001</v>
      </c>
      <c r="AT425" s="27">
        <v>51432</v>
      </c>
      <c r="AU425" s="26">
        <v>51370</v>
      </c>
      <c r="AV425" s="64">
        <f t="shared" si="102"/>
        <v>120130</v>
      </c>
      <c r="AW425" s="70">
        <f t="shared" si="103"/>
        <v>5005.416666666667</v>
      </c>
      <c r="AX425" s="66">
        <f t="shared" si="104"/>
        <v>119722</v>
      </c>
      <c r="AY425" s="71">
        <f t="shared" si="105"/>
        <v>4988.416666666667</v>
      </c>
      <c r="AZ425" s="72">
        <f t="shared" si="106"/>
        <v>30135.516666666666</v>
      </c>
      <c r="BA425" s="66">
        <f t="shared" si="107"/>
        <v>30360.316666666669</v>
      </c>
    </row>
    <row r="426" spans="1:53" ht="15">
      <c r="A426" s="197" t="s">
        <v>606</v>
      </c>
      <c r="B426" s="198" t="s">
        <v>609</v>
      </c>
      <c r="C426" s="700"/>
      <c r="D426" s="200">
        <v>217819</v>
      </c>
      <c r="E426" s="200">
        <v>3</v>
      </c>
      <c r="F426" s="29" t="s">
        <v>75</v>
      </c>
      <c r="G426" s="16" t="s">
        <v>75</v>
      </c>
      <c r="H426" s="27"/>
      <c r="I426" s="26"/>
      <c r="J426" s="27">
        <v>141190</v>
      </c>
      <c r="K426" s="26">
        <v>138626</v>
      </c>
      <c r="L426" s="27">
        <v>15224</v>
      </c>
      <c r="M426" s="109">
        <v>16172</v>
      </c>
      <c r="N426" s="27">
        <v>148699</v>
      </c>
      <c r="O426" s="26">
        <v>147628</v>
      </c>
      <c r="P426" s="64">
        <f t="shared" si="90"/>
        <v>305113</v>
      </c>
      <c r="Q426" s="65">
        <f t="shared" si="91"/>
        <v>10170.433333333332</v>
      </c>
      <c r="R426" s="66">
        <f t="shared" si="92"/>
        <v>302426</v>
      </c>
      <c r="S426" s="67">
        <f t="shared" si="93"/>
        <v>10080.866666666667</v>
      </c>
      <c r="T426" s="27">
        <v>687</v>
      </c>
      <c r="U426" s="109">
        <v>829</v>
      </c>
      <c r="V426" s="64">
        <f t="shared" si="94"/>
        <v>305113</v>
      </c>
      <c r="W426" s="68">
        <f t="shared" si="95"/>
        <v>302426</v>
      </c>
      <c r="X426" s="27"/>
      <c r="Y426" s="26"/>
      <c r="Z426" s="27"/>
      <c r="AA426" s="26"/>
      <c r="AB426" s="27"/>
      <c r="AC426" s="26"/>
      <c r="AD426" s="27"/>
      <c r="AE426" s="26"/>
      <c r="AF426" s="64">
        <f t="shared" si="96"/>
        <v>0</v>
      </c>
      <c r="AG426" s="65">
        <f t="shared" si="97"/>
        <v>0</v>
      </c>
      <c r="AH426" s="66">
        <f t="shared" si="98"/>
        <v>0</v>
      </c>
      <c r="AI426" s="66">
        <f t="shared" si="99"/>
        <v>0</v>
      </c>
      <c r="AJ426" s="27"/>
      <c r="AK426" s="26"/>
      <c r="AL426" s="64">
        <f t="shared" si="100"/>
        <v>0</v>
      </c>
      <c r="AM426" s="67">
        <f t="shared" si="101"/>
        <v>0</v>
      </c>
      <c r="AN426" s="27"/>
      <c r="AO426" s="26"/>
      <c r="AP426" s="27">
        <v>6067</v>
      </c>
      <c r="AQ426" s="109">
        <v>5699</v>
      </c>
      <c r="AR426" s="27">
        <v>3342</v>
      </c>
      <c r="AS426" s="109">
        <v>3614</v>
      </c>
      <c r="AT426" s="27">
        <v>5416</v>
      </c>
      <c r="AU426" s="109">
        <v>4982</v>
      </c>
      <c r="AV426" s="64">
        <f t="shared" si="102"/>
        <v>14825</v>
      </c>
      <c r="AW426" s="70">
        <f t="shared" si="103"/>
        <v>617.70833333333337</v>
      </c>
      <c r="AX426" s="66">
        <f t="shared" si="104"/>
        <v>14295</v>
      </c>
      <c r="AY426" s="71">
        <f t="shared" si="105"/>
        <v>595.625</v>
      </c>
      <c r="AZ426" s="72">
        <f t="shared" si="106"/>
        <v>10788.141666666666</v>
      </c>
      <c r="BA426" s="66">
        <f t="shared" si="107"/>
        <v>10676.491666666667</v>
      </c>
    </row>
    <row r="427" spans="1:53" ht="15">
      <c r="A427" s="197" t="s">
        <v>606</v>
      </c>
      <c r="B427" s="198" t="s">
        <v>610</v>
      </c>
      <c r="C427" s="700"/>
      <c r="D427" s="200">
        <v>217864</v>
      </c>
      <c r="E427" s="200">
        <v>3</v>
      </c>
      <c r="F427" s="29" t="s">
        <v>75</v>
      </c>
      <c r="G427" s="16" t="s">
        <v>75</v>
      </c>
      <c r="H427" s="27"/>
      <c r="I427" s="26"/>
      <c r="J427" s="27">
        <v>44310</v>
      </c>
      <c r="K427" s="26">
        <v>43142</v>
      </c>
      <c r="L427" s="27">
        <v>5527</v>
      </c>
      <c r="M427" s="109">
        <v>6427</v>
      </c>
      <c r="N427" s="27">
        <v>45731</v>
      </c>
      <c r="O427" s="26">
        <v>46226</v>
      </c>
      <c r="P427" s="64">
        <f t="shared" si="90"/>
        <v>95568</v>
      </c>
      <c r="Q427" s="65">
        <f t="shared" si="91"/>
        <v>3185.6</v>
      </c>
      <c r="R427" s="66">
        <f t="shared" si="92"/>
        <v>95795</v>
      </c>
      <c r="S427" s="67">
        <f t="shared" si="93"/>
        <v>3193.1666666666665</v>
      </c>
      <c r="T427" s="27">
        <v>207</v>
      </c>
      <c r="U427" s="109">
        <v>180</v>
      </c>
      <c r="V427" s="64">
        <f t="shared" si="94"/>
        <v>95568</v>
      </c>
      <c r="W427" s="68">
        <f t="shared" si="95"/>
        <v>95795</v>
      </c>
      <c r="X427" s="27"/>
      <c r="Y427" s="26"/>
      <c r="Z427" s="27"/>
      <c r="AA427" s="26"/>
      <c r="AB427" s="27"/>
      <c r="AC427" s="26"/>
      <c r="AD427" s="27"/>
      <c r="AE427" s="26"/>
      <c r="AF427" s="64">
        <f t="shared" si="96"/>
        <v>0</v>
      </c>
      <c r="AG427" s="65">
        <f t="shared" si="97"/>
        <v>0</v>
      </c>
      <c r="AH427" s="66">
        <f t="shared" si="98"/>
        <v>0</v>
      </c>
      <c r="AI427" s="66">
        <f t="shared" si="99"/>
        <v>0</v>
      </c>
      <c r="AJ427" s="27"/>
      <c r="AK427" s="26"/>
      <c r="AL427" s="64">
        <f t="shared" si="100"/>
        <v>0</v>
      </c>
      <c r="AM427" s="67">
        <f t="shared" si="101"/>
        <v>0</v>
      </c>
      <c r="AN427" s="27"/>
      <c r="AO427" s="26"/>
      <c r="AP427" s="27">
        <v>4763</v>
      </c>
      <c r="AQ427" s="26">
        <v>4755</v>
      </c>
      <c r="AR427" s="27">
        <v>3989</v>
      </c>
      <c r="AS427" s="26">
        <v>3998</v>
      </c>
      <c r="AT427" s="27">
        <v>5104</v>
      </c>
      <c r="AU427" s="26">
        <v>4982</v>
      </c>
      <c r="AV427" s="64">
        <f t="shared" si="102"/>
        <v>13856</v>
      </c>
      <c r="AW427" s="70">
        <f t="shared" si="103"/>
        <v>577.33333333333337</v>
      </c>
      <c r="AX427" s="66">
        <f t="shared" si="104"/>
        <v>13735</v>
      </c>
      <c r="AY427" s="71">
        <f t="shared" si="105"/>
        <v>572.29166666666663</v>
      </c>
      <c r="AZ427" s="72">
        <f t="shared" si="106"/>
        <v>3762.9333333333334</v>
      </c>
      <c r="BA427" s="66">
        <f t="shared" si="107"/>
        <v>3765.458333333333</v>
      </c>
    </row>
    <row r="428" spans="1:53" ht="15">
      <c r="A428" s="197" t="s">
        <v>606</v>
      </c>
      <c r="B428" s="198" t="s">
        <v>611</v>
      </c>
      <c r="C428" s="700"/>
      <c r="D428" s="200">
        <v>218964</v>
      </c>
      <c r="E428" s="200">
        <v>3</v>
      </c>
      <c r="F428" s="29" t="s">
        <v>75</v>
      </c>
      <c r="G428" s="16" t="s">
        <v>75</v>
      </c>
      <c r="H428" s="27"/>
      <c r="I428" s="26"/>
      <c r="J428" s="27">
        <v>66279</v>
      </c>
      <c r="K428" s="26">
        <v>67438</v>
      </c>
      <c r="L428" s="27">
        <v>5191.5</v>
      </c>
      <c r="M428" s="109">
        <v>5520</v>
      </c>
      <c r="N428" s="27">
        <v>72321</v>
      </c>
      <c r="O428" s="26">
        <v>72433</v>
      </c>
      <c r="P428" s="64">
        <f t="shared" si="90"/>
        <v>143791.5</v>
      </c>
      <c r="Q428" s="65">
        <f t="shared" si="91"/>
        <v>4793.05</v>
      </c>
      <c r="R428" s="66">
        <f t="shared" si="92"/>
        <v>145391</v>
      </c>
      <c r="S428" s="67">
        <f t="shared" si="93"/>
        <v>4846.3666666666668</v>
      </c>
      <c r="T428" s="27">
        <v>1260</v>
      </c>
      <c r="U428" s="109">
        <v>1512</v>
      </c>
      <c r="V428" s="64">
        <f t="shared" si="94"/>
        <v>143791.5</v>
      </c>
      <c r="W428" s="68">
        <f t="shared" si="95"/>
        <v>145391</v>
      </c>
      <c r="X428" s="27"/>
      <c r="Y428" s="26"/>
      <c r="Z428" s="27"/>
      <c r="AA428" s="26"/>
      <c r="AB428" s="27"/>
      <c r="AC428" s="26"/>
      <c r="AD428" s="27"/>
      <c r="AE428" s="26"/>
      <c r="AF428" s="64">
        <f t="shared" si="96"/>
        <v>0</v>
      </c>
      <c r="AG428" s="65">
        <f t="shared" si="97"/>
        <v>0</v>
      </c>
      <c r="AH428" s="66">
        <f t="shared" si="98"/>
        <v>0</v>
      </c>
      <c r="AI428" s="66">
        <f t="shared" si="99"/>
        <v>0</v>
      </c>
      <c r="AJ428" s="27"/>
      <c r="AK428" s="26"/>
      <c r="AL428" s="64">
        <f t="shared" si="100"/>
        <v>0</v>
      </c>
      <c r="AM428" s="67">
        <f t="shared" si="101"/>
        <v>0</v>
      </c>
      <c r="AN428" s="27"/>
      <c r="AO428" s="26"/>
      <c r="AP428" s="27">
        <v>6069.5</v>
      </c>
      <c r="AQ428" s="26">
        <v>6045.5</v>
      </c>
      <c r="AR428" s="27">
        <v>3245</v>
      </c>
      <c r="AS428" s="109">
        <v>2781</v>
      </c>
      <c r="AT428" s="27">
        <v>6676</v>
      </c>
      <c r="AU428" s="26">
        <v>6695.5</v>
      </c>
      <c r="AV428" s="64">
        <f t="shared" si="102"/>
        <v>15990.5</v>
      </c>
      <c r="AW428" s="70">
        <f t="shared" si="103"/>
        <v>666.27083333333337</v>
      </c>
      <c r="AX428" s="66">
        <f t="shared" si="104"/>
        <v>15522</v>
      </c>
      <c r="AY428" s="71">
        <f t="shared" si="105"/>
        <v>646.75</v>
      </c>
      <c r="AZ428" s="72">
        <f t="shared" si="106"/>
        <v>5459.3208333333332</v>
      </c>
      <c r="BA428" s="66">
        <f t="shared" si="107"/>
        <v>5493.1166666666668</v>
      </c>
    </row>
    <row r="429" spans="1:53" ht="15">
      <c r="A429" s="197" t="s">
        <v>606</v>
      </c>
      <c r="B429" s="198" t="s">
        <v>612</v>
      </c>
      <c r="C429" s="700" t="s">
        <v>988</v>
      </c>
      <c r="D429" s="200">
        <v>218724</v>
      </c>
      <c r="E429" s="200">
        <v>5</v>
      </c>
      <c r="F429" s="29" t="s">
        <v>75</v>
      </c>
      <c r="G429" s="16" t="s">
        <v>75</v>
      </c>
      <c r="H429" s="27"/>
      <c r="I429" s="26"/>
      <c r="J429" s="27">
        <v>121612</v>
      </c>
      <c r="K429" s="109">
        <v>128073</v>
      </c>
      <c r="L429" s="27">
        <v>13272</v>
      </c>
      <c r="M429" s="109">
        <v>15949</v>
      </c>
      <c r="N429" s="27">
        <v>141528</v>
      </c>
      <c r="O429" s="26">
        <v>143019</v>
      </c>
      <c r="P429" s="64">
        <f t="shared" si="90"/>
        <v>276412</v>
      </c>
      <c r="Q429" s="65">
        <f t="shared" si="91"/>
        <v>9213.7333333333336</v>
      </c>
      <c r="R429" s="66">
        <f t="shared" si="92"/>
        <v>287041</v>
      </c>
      <c r="S429" s="67">
        <f t="shared" si="93"/>
        <v>9568.0333333333328</v>
      </c>
      <c r="T429" s="27"/>
      <c r="U429" s="26"/>
      <c r="V429" s="64">
        <f t="shared" si="94"/>
        <v>0</v>
      </c>
      <c r="W429" s="68">
        <f t="shared" si="95"/>
        <v>0</v>
      </c>
      <c r="X429" s="27"/>
      <c r="Y429" s="26"/>
      <c r="Z429" s="27"/>
      <c r="AA429" s="26"/>
      <c r="AB429" s="27"/>
      <c r="AC429" s="26"/>
      <c r="AD429" s="27"/>
      <c r="AE429" s="26"/>
      <c r="AF429" s="64">
        <f t="shared" si="96"/>
        <v>0</v>
      </c>
      <c r="AG429" s="65">
        <f t="shared" si="97"/>
        <v>0</v>
      </c>
      <c r="AH429" s="66">
        <f t="shared" si="98"/>
        <v>0</v>
      </c>
      <c r="AI429" s="66">
        <f t="shared" si="99"/>
        <v>0</v>
      </c>
      <c r="AJ429" s="27"/>
      <c r="AK429" s="26"/>
      <c r="AL429" s="64">
        <f t="shared" si="100"/>
        <v>0</v>
      </c>
      <c r="AM429" s="67">
        <f t="shared" si="101"/>
        <v>0</v>
      </c>
      <c r="AN429" s="27"/>
      <c r="AO429" s="26"/>
      <c r="AP429" s="27">
        <v>3667</v>
      </c>
      <c r="AQ429" s="109">
        <v>3962</v>
      </c>
      <c r="AR429" s="27">
        <v>4237</v>
      </c>
      <c r="AS429" s="109">
        <v>4725</v>
      </c>
      <c r="AT429" s="27">
        <v>4101</v>
      </c>
      <c r="AU429" s="109">
        <v>4792</v>
      </c>
      <c r="AV429" s="64">
        <f t="shared" si="102"/>
        <v>12005</v>
      </c>
      <c r="AW429" s="70">
        <f t="shared" si="103"/>
        <v>500.20833333333331</v>
      </c>
      <c r="AX429" s="66">
        <f t="shared" si="104"/>
        <v>13479</v>
      </c>
      <c r="AY429" s="71">
        <f t="shared" si="105"/>
        <v>561.625</v>
      </c>
      <c r="AZ429" s="72">
        <f t="shared" si="106"/>
        <v>9713.9416666666675</v>
      </c>
      <c r="BA429" s="66">
        <f t="shared" si="107"/>
        <v>10129.658333333333</v>
      </c>
    </row>
    <row r="430" spans="1:53" ht="15">
      <c r="A430" s="197" t="s">
        <v>606</v>
      </c>
      <c r="B430" s="198" t="s">
        <v>613</v>
      </c>
      <c r="C430" s="700"/>
      <c r="D430" s="200">
        <v>218061</v>
      </c>
      <c r="E430" s="200">
        <v>5</v>
      </c>
      <c r="F430" s="29" t="s">
        <v>75</v>
      </c>
      <c r="G430" s="16" t="s">
        <v>75</v>
      </c>
      <c r="H430" s="27"/>
      <c r="I430" s="26"/>
      <c r="J430" s="27">
        <v>44475</v>
      </c>
      <c r="K430" s="26">
        <v>43948</v>
      </c>
      <c r="L430" s="27">
        <v>2832</v>
      </c>
      <c r="M430" s="109">
        <v>3377</v>
      </c>
      <c r="N430" s="27">
        <v>48855</v>
      </c>
      <c r="O430" s="26">
        <v>48000</v>
      </c>
      <c r="P430" s="64">
        <f t="shared" si="90"/>
        <v>96162</v>
      </c>
      <c r="Q430" s="65">
        <f t="shared" si="91"/>
        <v>3205.4</v>
      </c>
      <c r="R430" s="66">
        <f t="shared" si="92"/>
        <v>95325</v>
      </c>
      <c r="S430" s="67">
        <f t="shared" si="93"/>
        <v>3177.5</v>
      </c>
      <c r="T430" s="27">
        <v>1050</v>
      </c>
      <c r="U430" s="109">
        <v>951</v>
      </c>
      <c r="V430" s="64">
        <f t="shared" si="94"/>
        <v>96162</v>
      </c>
      <c r="W430" s="68">
        <f t="shared" si="95"/>
        <v>95325</v>
      </c>
      <c r="X430" s="27"/>
      <c r="Y430" s="26"/>
      <c r="Z430" s="27"/>
      <c r="AA430" s="26"/>
      <c r="AB430" s="27"/>
      <c r="AC430" s="26"/>
      <c r="AD430" s="27"/>
      <c r="AE430" s="26"/>
      <c r="AF430" s="64">
        <f t="shared" si="96"/>
        <v>0</v>
      </c>
      <c r="AG430" s="65">
        <f t="shared" si="97"/>
        <v>0</v>
      </c>
      <c r="AH430" s="66">
        <f t="shared" si="98"/>
        <v>0</v>
      </c>
      <c r="AI430" s="66">
        <f t="shared" si="99"/>
        <v>0</v>
      </c>
      <c r="AJ430" s="27"/>
      <c r="AK430" s="26"/>
      <c r="AL430" s="64">
        <f t="shared" si="100"/>
        <v>0</v>
      </c>
      <c r="AM430" s="67">
        <f t="shared" si="101"/>
        <v>0</v>
      </c>
      <c r="AN430" s="27"/>
      <c r="AO430" s="26"/>
      <c r="AP430" s="27">
        <v>2462</v>
      </c>
      <c r="AQ430" s="109">
        <v>2143</v>
      </c>
      <c r="AR430" s="27">
        <v>2136</v>
      </c>
      <c r="AS430" s="26">
        <v>2117</v>
      </c>
      <c r="AT430" s="27">
        <v>2162</v>
      </c>
      <c r="AU430" s="26">
        <v>2070</v>
      </c>
      <c r="AV430" s="64">
        <f t="shared" si="102"/>
        <v>6760</v>
      </c>
      <c r="AW430" s="70">
        <f t="shared" si="103"/>
        <v>281.66666666666669</v>
      </c>
      <c r="AX430" s="66">
        <f t="shared" si="104"/>
        <v>6330</v>
      </c>
      <c r="AY430" s="71">
        <f t="shared" si="105"/>
        <v>263.75</v>
      </c>
      <c r="AZ430" s="72">
        <f t="shared" si="106"/>
        <v>3487.0666666666666</v>
      </c>
      <c r="BA430" s="66">
        <f t="shared" si="107"/>
        <v>3441.25</v>
      </c>
    </row>
    <row r="431" spans="1:53" ht="15">
      <c r="A431" s="197" t="s">
        <v>606</v>
      </c>
      <c r="B431" s="198" t="s">
        <v>614</v>
      </c>
      <c r="C431" s="700"/>
      <c r="D431" s="200">
        <v>218733</v>
      </c>
      <c r="E431" s="200">
        <v>5</v>
      </c>
      <c r="F431" s="29" t="s">
        <v>75</v>
      </c>
      <c r="G431" s="16" t="s">
        <v>75</v>
      </c>
      <c r="H431" s="27"/>
      <c r="I431" s="26"/>
      <c r="J431" s="27">
        <v>36666</v>
      </c>
      <c r="K431" s="109">
        <v>31804</v>
      </c>
      <c r="L431" s="27">
        <v>2592</v>
      </c>
      <c r="M431" s="109">
        <v>2150</v>
      </c>
      <c r="N431" s="27">
        <v>36978</v>
      </c>
      <c r="O431" s="26">
        <v>36099</v>
      </c>
      <c r="P431" s="64">
        <f t="shared" si="90"/>
        <v>76236</v>
      </c>
      <c r="Q431" s="65">
        <f t="shared" si="91"/>
        <v>2541.1999999999998</v>
      </c>
      <c r="R431" s="66">
        <f t="shared" si="92"/>
        <v>70053</v>
      </c>
      <c r="S431" s="67">
        <f t="shared" si="93"/>
        <v>2335.1</v>
      </c>
      <c r="T431" s="27">
        <v>1929</v>
      </c>
      <c r="U431" s="109"/>
      <c r="V431" s="64">
        <f t="shared" si="94"/>
        <v>76236</v>
      </c>
      <c r="W431" s="68">
        <f t="shared" si="95"/>
        <v>0</v>
      </c>
      <c r="X431" s="27"/>
      <c r="Y431" s="26"/>
      <c r="Z431" s="27"/>
      <c r="AA431" s="26"/>
      <c r="AB431" s="27"/>
      <c r="AC431" s="26"/>
      <c r="AD431" s="27"/>
      <c r="AE431" s="26"/>
      <c r="AF431" s="64">
        <f t="shared" si="96"/>
        <v>0</v>
      </c>
      <c r="AG431" s="65">
        <f t="shared" si="97"/>
        <v>0</v>
      </c>
      <c r="AH431" s="66">
        <f t="shared" si="98"/>
        <v>0</v>
      </c>
      <c r="AI431" s="66">
        <f t="shared" si="99"/>
        <v>0</v>
      </c>
      <c r="AJ431" s="27"/>
      <c r="AK431" s="26"/>
      <c r="AL431" s="64">
        <f t="shared" si="100"/>
        <v>0</v>
      </c>
      <c r="AM431" s="67">
        <f t="shared" si="101"/>
        <v>0</v>
      </c>
      <c r="AN431" s="27"/>
      <c r="AO431" s="26"/>
      <c r="AP431" s="27">
        <v>3257</v>
      </c>
      <c r="AQ431" s="109">
        <v>2787</v>
      </c>
      <c r="AR431" s="27">
        <v>1331</v>
      </c>
      <c r="AS431" s="109">
        <v>1113</v>
      </c>
      <c r="AT431" s="27">
        <v>3083</v>
      </c>
      <c r="AU431" s="109">
        <v>2834</v>
      </c>
      <c r="AV431" s="64">
        <f t="shared" si="102"/>
        <v>7671</v>
      </c>
      <c r="AW431" s="70">
        <f t="shared" si="103"/>
        <v>319.625</v>
      </c>
      <c r="AX431" s="66">
        <f t="shared" si="104"/>
        <v>6734</v>
      </c>
      <c r="AY431" s="71">
        <f t="shared" si="105"/>
        <v>280.58333333333331</v>
      </c>
      <c r="AZ431" s="72">
        <f t="shared" si="106"/>
        <v>2860.8249999999998</v>
      </c>
      <c r="BA431" s="66">
        <f t="shared" si="107"/>
        <v>2615.6833333333334</v>
      </c>
    </row>
    <row r="432" spans="1:53" ht="15">
      <c r="A432" s="197" t="s">
        <v>606</v>
      </c>
      <c r="B432" s="198" t="s">
        <v>615</v>
      </c>
      <c r="C432" s="700"/>
      <c r="D432" s="200">
        <v>218229</v>
      </c>
      <c r="E432" s="200">
        <v>6</v>
      </c>
      <c r="F432" s="29" t="s">
        <v>75</v>
      </c>
      <c r="G432" s="16" t="s">
        <v>75</v>
      </c>
      <c r="H432" s="27"/>
      <c r="I432" s="26"/>
      <c r="J432" s="27">
        <v>34809</v>
      </c>
      <c r="K432" s="26">
        <v>34343.5</v>
      </c>
      <c r="L432" s="27">
        <v>3332</v>
      </c>
      <c r="M432" s="109">
        <v>2970</v>
      </c>
      <c r="N432" s="27">
        <v>38071.5</v>
      </c>
      <c r="O432" s="26">
        <v>39426</v>
      </c>
      <c r="P432" s="64">
        <f t="shared" si="90"/>
        <v>76212.5</v>
      </c>
      <c r="Q432" s="65">
        <f t="shared" si="91"/>
        <v>2540.4166666666665</v>
      </c>
      <c r="R432" s="66">
        <f t="shared" si="92"/>
        <v>76739.5</v>
      </c>
      <c r="S432" s="67">
        <f t="shared" si="93"/>
        <v>2557.9833333333331</v>
      </c>
      <c r="T432" s="27">
        <v>173</v>
      </c>
      <c r="U432" s="109">
        <v>162</v>
      </c>
      <c r="V432" s="64">
        <f t="shared" si="94"/>
        <v>76212.5</v>
      </c>
      <c r="W432" s="68">
        <f t="shared" si="95"/>
        <v>76739.5</v>
      </c>
      <c r="X432" s="27"/>
      <c r="Y432" s="26"/>
      <c r="Z432" s="27"/>
      <c r="AA432" s="26"/>
      <c r="AB432" s="27"/>
      <c r="AC432" s="26"/>
      <c r="AD432" s="27"/>
      <c r="AE432" s="26"/>
      <c r="AF432" s="64">
        <f t="shared" si="96"/>
        <v>0</v>
      </c>
      <c r="AG432" s="65">
        <f t="shared" si="97"/>
        <v>0</v>
      </c>
      <c r="AH432" s="66">
        <f t="shared" si="98"/>
        <v>0</v>
      </c>
      <c r="AI432" s="66">
        <f t="shared" si="99"/>
        <v>0</v>
      </c>
      <c r="AJ432" s="27"/>
      <c r="AK432" s="26"/>
      <c r="AL432" s="64">
        <f t="shared" si="100"/>
        <v>0</v>
      </c>
      <c r="AM432" s="67">
        <f t="shared" si="101"/>
        <v>0</v>
      </c>
      <c r="AN432" s="27"/>
      <c r="AO432" s="26"/>
      <c r="AP432" s="27">
        <v>387</v>
      </c>
      <c r="AQ432" s="109">
        <v>285</v>
      </c>
      <c r="AR432" s="27">
        <v>564</v>
      </c>
      <c r="AS432" s="109">
        <v>430</v>
      </c>
      <c r="AT432" s="27">
        <v>159</v>
      </c>
      <c r="AU432" s="109">
        <v>168</v>
      </c>
      <c r="AV432" s="64">
        <f t="shared" si="102"/>
        <v>1110</v>
      </c>
      <c r="AW432" s="70">
        <f t="shared" si="103"/>
        <v>46.25</v>
      </c>
      <c r="AX432" s="66">
        <f t="shared" si="104"/>
        <v>883</v>
      </c>
      <c r="AY432" s="71">
        <f t="shared" si="105"/>
        <v>36.791666666666664</v>
      </c>
      <c r="AZ432" s="72">
        <f t="shared" si="106"/>
        <v>2586.6666666666665</v>
      </c>
      <c r="BA432" s="66">
        <f t="shared" si="107"/>
        <v>2594.7749999999996</v>
      </c>
    </row>
    <row r="433" spans="1:53" ht="15">
      <c r="A433" s="197" t="s">
        <v>606</v>
      </c>
      <c r="B433" s="198" t="s">
        <v>616</v>
      </c>
      <c r="C433" s="700"/>
      <c r="D433" s="200">
        <v>218645</v>
      </c>
      <c r="E433" s="200">
        <v>6</v>
      </c>
      <c r="F433" s="29" t="s">
        <v>75</v>
      </c>
      <c r="G433" s="16" t="s">
        <v>75</v>
      </c>
      <c r="H433" s="27"/>
      <c r="I433" s="26"/>
      <c r="J433" s="27">
        <v>38537</v>
      </c>
      <c r="K433" s="26">
        <v>40089</v>
      </c>
      <c r="L433" s="27">
        <v>5543</v>
      </c>
      <c r="M433" s="109">
        <v>5511</v>
      </c>
      <c r="N433" s="27">
        <v>44039</v>
      </c>
      <c r="O433" s="26">
        <v>44441</v>
      </c>
      <c r="P433" s="64">
        <f t="shared" si="90"/>
        <v>88119</v>
      </c>
      <c r="Q433" s="65">
        <f t="shared" si="91"/>
        <v>2937.3</v>
      </c>
      <c r="R433" s="66">
        <f t="shared" si="92"/>
        <v>90041</v>
      </c>
      <c r="S433" s="67">
        <f t="shared" si="93"/>
        <v>3001.3666666666668</v>
      </c>
      <c r="T433" s="27"/>
      <c r="U433" s="26"/>
      <c r="V433" s="64">
        <f t="shared" si="94"/>
        <v>0</v>
      </c>
      <c r="W433" s="68">
        <f t="shared" si="95"/>
        <v>0</v>
      </c>
      <c r="X433" s="27"/>
      <c r="Y433" s="26"/>
      <c r="Z433" s="27"/>
      <c r="AA433" s="26"/>
      <c r="AB433" s="27"/>
      <c r="AC433" s="26"/>
      <c r="AD433" s="27"/>
      <c r="AE433" s="26"/>
      <c r="AF433" s="64">
        <f t="shared" si="96"/>
        <v>0</v>
      </c>
      <c r="AG433" s="65">
        <f t="shared" si="97"/>
        <v>0</v>
      </c>
      <c r="AH433" s="66">
        <f t="shared" si="98"/>
        <v>0</v>
      </c>
      <c r="AI433" s="66">
        <f t="shared" si="99"/>
        <v>0</v>
      </c>
      <c r="AJ433" s="27"/>
      <c r="AK433" s="26"/>
      <c r="AL433" s="64">
        <f t="shared" si="100"/>
        <v>0</v>
      </c>
      <c r="AM433" s="67">
        <f t="shared" si="101"/>
        <v>0</v>
      </c>
      <c r="AN433" s="27"/>
      <c r="AO433" s="26"/>
      <c r="AP433" s="27">
        <v>916</v>
      </c>
      <c r="AQ433" s="109">
        <v>1453</v>
      </c>
      <c r="AR433" s="27">
        <v>990</v>
      </c>
      <c r="AS433" s="26">
        <v>944</v>
      </c>
      <c r="AT433" s="27">
        <v>598</v>
      </c>
      <c r="AU433" s="109">
        <v>796</v>
      </c>
      <c r="AV433" s="64">
        <f t="shared" si="102"/>
        <v>2504</v>
      </c>
      <c r="AW433" s="70">
        <f t="shared" si="103"/>
        <v>104.33333333333333</v>
      </c>
      <c r="AX433" s="66">
        <f t="shared" si="104"/>
        <v>3193</v>
      </c>
      <c r="AY433" s="71">
        <f t="shared" si="105"/>
        <v>133.04166666666666</v>
      </c>
      <c r="AZ433" s="72">
        <f t="shared" si="106"/>
        <v>3041.6333333333337</v>
      </c>
      <c r="BA433" s="66">
        <f t="shared" si="107"/>
        <v>3134.4083333333333</v>
      </c>
    </row>
    <row r="434" spans="1:53" ht="15">
      <c r="A434" s="197" t="s">
        <v>606</v>
      </c>
      <c r="B434" s="206" t="s">
        <v>617</v>
      </c>
      <c r="C434" s="700"/>
      <c r="D434" s="200">
        <v>218654</v>
      </c>
      <c r="E434" s="200">
        <v>6</v>
      </c>
      <c r="F434" s="29" t="s">
        <v>75</v>
      </c>
      <c r="G434" s="16" t="s">
        <v>75</v>
      </c>
      <c r="H434" s="27"/>
      <c r="I434" s="26"/>
      <c r="J434" s="27">
        <v>22425</v>
      </c>
      <c r="K434" s="109">
        <v>24459</v>
      </c>
      <c r="L434" s="27">
        <v>2413</v>
      </c>
      <c r="M434" s="109">
        <v>2349</v>
      </c>
      <c r="N434" s="27">
        <v>27210</v>
      </c>
      <c r="O434" s="26">
        <v>27501</v>
      </c>
      <c r="P434" s="64">
        <f t="shared" si="90"/>
        <v>52048</v>
      </c>
      <c r="Q434" s="65">
        <f t="shared" si="91"/>
        <v>1734.9333333333334</v>
      </c>
      <c r="R434" s="66">
        <f t="shared" si="92"/>
        <v>54309</v>
      </c>
      <c r="S434" s="67">
        <f t="shared" si="93"/>
        <v>1810.3</v>
      </c>
      <c r="T434" s="27"/>
      <c r="U434" s="26"/>
      <c r="V434" s="64">
        <f t="shared" si="94"/>
        <v>0</v>
      </c>
      <c r="W434" s="68">
        <f t="shared" si="95"/>
        <v>0</v>
      </c>
      <c r="X434" s="27"/>
      <c r="Y434" s="26"/>
      <c r="Z434" s="27"/>
      <c r="AA434" s="26"/>
      <c r="AB434" s="27"/>
      <c r="AC434" s="26"/>
      <c r="AD434" s="27"/>
      <c r="AE434" s="26"/>
      <c r="AF434" s="64">
        <f t="shared" si="96"/>
        <v>0</v>
      </c>
      <c r="AG434" s="65">
        <f t="shared" si="97"/>
        <v>0</v>
      </c>
      <c r="AH434" s="66">
        <f t="shared" si="98"/>
        <v>0</v>
      </c>
      <c r="AI434" s="66">
        <f t="shared" si="99"/>
        <v>0</v>
      </c>
      <c r="AJ434" s="27"/>
      <c r="AK434" s="26"/>
      <c r="AL434" s="64">
        <f t="shared" si="100"/>
        <v>0</v>
      </c>
      <c r="AM434" s="67">
        <f t="shared" si="101"/>
        <v>0</v>
      </c>
      <c r="AN434" s="27"/>
      <c r="AO434" s="26"/>
      <c r="AP434" s="27">
        <v>0</v>
      </c>
      <c r="AQ434" s="26">
        <v>0</v>
      </c>
      <c r="AR434" s="27">
        <v>0</v>
      </c>
      <c r="AS434" s="26">
        <v>0</v>
      </c>
      <c r="AT434" s="27">
        <v>0</v>
      </c>
      <c r="AU434" s="26">
        <v>0</v>
      </c>
      <c r="AV434" s="64">
        <f t="shared" si="102"/>
        <v>0</v>
      </c>
      <c r="AW434" s="70">
        <f t="shared" si="103"/>
        <v>0</v>
      </c>
      <c r="AX434" s="66">
        <f t="shared" si="104"/>
        <v>0</v>
      </c>
      <c r="AY434" s="71">
        <f t="shared" si="105"/>
        <v>0</v>
      </c>
      <c r="AZ434" s="72">
        <f t="shared" si="106"/>
        <v>1734.9333333333334</v>
      </c>
      <c r="BA434" s="66">
        <f t="shared" si="107"/>
        <v>1810.3</v>
      </c>
    </row>
    <row r="435" spans="1:53" ht="15">
      <c r="A435" s="197" t="s">
        <v>606</v>
      </c>
      <c r="B435" s="198" t="s">
        <v>618</v>
      </c>
      <c r="C435" s="700"/>
      <c r="D435" s="200">
        <v>218742</v>
      </c>
      <c r="E435" s="200">
        <v>6</v>
      </c>
      <c r="F435" s="29" t="s">
        <v>75</v>
      </c>
      <c r="G435" s="16" t="s">
        <v>75</v>
      </c>
      <c r="H435" s="27"/>
      <c r="I435" s="26"/>
      <c r="J435" s="27">
        <v>65967</v>
      </c>
      <c r="K435" s="26">
        <v>68625</v>
      </c>
      <c r="L435" s="27">
        <v>9713</v>
      </c>
      <c r="M435" s="109">
        <v>10023</v>
      </c>
      <c r="N435" s="27">
        <v>74337</v>
      </c>
      <c r="O435" s="109">
        <v>70310</v>
      </c>
      <c r="P435" s="64">
        <f t="shared" si="90"/>
        <v>150017</v>
      </c>
      <c r="Q435" s="65">
        <f t="shared" si="91"/>
        <v>5000.5666666666666</v>
      </c>
      <c r="R435" s="66">
        <f t="shared" si="92"/>
        <v>148958</v>
      </c>
      <c r="S435" s="67">
        <f t="shared" si="93"/>
        <v>4965.2666666666664</v>
      </c>
      <c r="T435" s="27"/>
      <c r="U435" s="26"/>
      <c r="V435" s="64">
        <f t="shared" si="94"/>
        <v>0</v>
      </c>
      <c r="W435" s="68">
        <f t="shared" si="95"/>
        <v>0</v>
      </c>
      <c r="X435" s="27"/>
      <c r="Y435" s="26"/>
      <c r="Z435" s="27"/>
      <c r="AA435" s="26"/>
      <c r="AB435" s="27"/>
      <c r="AC435" s="26"/>
      <c r="AD435" s="27"/>
      <c r="AE435" s="26"/>
      <c r="AF435" s="64">
        <f t="shared" si="96"/>
        <v>0</v>
      </c>
      <c r="AG435" s="65">
        <f t="shared" si="97"/>
        <v>0</v>
      </c>
      <c r="AH435" s="66">
        <f t="shared" si="98"/>
        <v>0</v>
      </c>
      <c r="AI435" s="66">
        <f t="shared" si="99"/>
        <v>0</v>
      </c>
      <c r="AJ435" s="27"/>
      <c r="AK435" s="26"/>
      <c r="AL435" s="64">
        <f t="shared" si="100"/>
        <v>0</v>
      </c>
      <c r="AM435" s="67">
        <f t="shared" si="101"/>
        <v>0</v>
      </c>
      <c r="AN435" s="27"/>
      <c r="AO435" s="26"/>
      <c r="AP435" s="27">
        <v>804</v>
      </c>
      <c r="AQ435" s="109">
        <v>1166</v>
      </c>
      <c r="AR435" s="27">
        <v>1158</v>
      </c>
      <c r="AS435" s="109">
        <v>1078</v>
      </c>
      <c r="AT435" s="27">
        <v>1100</v>
      </c>
      <c r="AU435" s="109">
        <v>899</v>
      </c>
      <c r="AV435" s="64">
        <f t="shared" si="102"/>
        <v>3062</v>
      </c>
      <c r="AW435" s="70">
        <f t="shared" si="103"/>
        <v>127.58333333333333</v>
      </c>
      <c r="AX435" s="66">
        <f t="shared" si="104"/>
        <v>3143</v>
      </c>
      <c r="AY435" s="71">
        <f t="shared" si="105"/>
        <v>130.95833333333334</v>
      </c>
      <c r="AZ435" s="72">
        <f t="shared" si="106"/>
        <v>5128.1499999999996</v>
      </c>
      <c r="BA435" s="66">
        <f t="shared" si="107"/>
        <v>5096.2249999999995</v>
      </c>
    </row>
    <row r="436" spans="1:53" ht="15">
      <c r="A436" s="197" t="s">
        <v>606</v>
      </c>
      <c r="B436" s="212" t="s">
        <v>619</v>
      </c>
      <c r="C436" s="700" t="s">
        <v>966</v>
      </c>
      <c r="D436" s="200">
        <v>218025</v>
      </c>
      <c r="E436" s="200">
        <v>8</v>
      </c>
      <c r="F436" s="29" t="s">
        <v>75</v>
      </c>
      <c r="G436" s="16" t="s">
        <v>75</v>
      </c>
      <c r="H436" s="27"/>
      <c r="I436" s="26"/>
      <c r="J436" s="27">
        <v>58176.65</v>
      </c>
      <c r="K436" s="109">
        <v>50990</v>
      </c>
      <c r="L436" s="27">
        <v>21463.31</v>
      </c>
      <c r="M436" s="109">
        <v>16855</v>
      </c>
      <c r="N436" s="27">
        <v>64642.23</v>
      </c>
      <c r="O436" s="109">
        <v>55237</v>
      </c>
      <c r="P436" s="64">
        <f t="shared" si="90"/>
        <v>144282.19</v>
      </c>
      <c r="Q436" s="65">
        <f t="shared" si="91"/>
        <v>4809.4063333333334</v>
      </c>
      <c r="R436" s="66">
        <f t="shared" si="92"/>
        <v>123082</v>
      </c>
      <c r="S436" s="67">
        <f t="shared" si="93"/>
        <v>4102.7333333333336</v>
      </c>
      <c r="T436" s="27">
        <v>5648</v>
      </c>
      <c r="U436" s="109">
        <v>11951</v>
      </c>
      <c r="V436" s="64">
        <f t="shared" si="94"/>
        <v>144282.19</v>
      </c>
      <c r="W436" s="68">
        <f t="shared" si="95"/>
        <v>123082</v>
      </c>
      <c r="X436" s="27"/>
      <c r="Y436" s="26"/>
      <c r="Z436" s="27"/>
      <c r="AA436" s="26"/>
      <c r="AB436" s="27"/>
      <c r="AC436" s="26"/>
      <c r="AD436" s="27"/>
      <c r="AE436" s="26"/>
      <c r="AF436" s="64">
        <f t="shared" si="96"/>
        <v>0</v>
      </c>
      <c r="AG436" s="65">
        <f t="shared" si="97"/>
        <v>0</v>
      </c>
      <c r="AH436" s="66">
        <f t="shared" si="98"/>
        <v>0</v>
      </c>
      <c r="AI436" s="66">
        <f t="shared" si="99"/>
        <v>0</v>
      </c>
      <c r="AJ436" s="27"/>
      <c r="AK436" s="26"/>
      <c r="AL436" s="64">
        <f t="shared" si="100"/>
        <v>0</v>
      </c>
      <c r="AM436" s="67">
        <f t="shared" si="101"/>
        <v>0</v>
      </c>
      <c r="AN436" s="27"/>
      <c r="AO436" s="26"/>
      <c r="AP436" s="27">
        <v>0</v>
      </c>
      <c r="AQ436" s="26"/>
      <c r="AR436" s="27">
        <v>0</v>
      </c>
      <c r="AS436" s="26"/>
      <c r="AT436" s="27">
        <v>0</v>
      </c>
      <c r="AU436" s="26"/>
      <c r="AV436" s="64">
        <f t="shared" si="102"/>
        <v>0</v>
      </c>
      <c r="AW436" s="70">
        <f t="shared" si="103"/>
        <v>0</v>
      </c>
      <c r="AX436" s="66">
        <f t="shared" si="104"/>
        <v>0</v>
      </c>
      <c r="AY436" s="71">
        <f t="shared" si="105"/>
        <v>0</v>
      </c>
      <c r="AZ436" s="72">
        <f t="shared" si="106"/>
        <v>4809.4063333333334</v>
      </c>
      <c r="BA436" s="66">
        <f t="shared" si="107"/>
        <v>4102.7333333333336</v>
      </c>
    </row>
    <row r="437" spans="1:53" ht="15">
      <c r="A437" s="197" t="s">
        <v>606</v>
      </c>
      <c r="B437" s="198" t="s">
        <v>620</v>
      </c>
      <c r="C437" s="700"/>
      <c r="D437" s="200">
        <v>218113</v>
      </c>
      <c r="E437" s="200">
        <v>8</v>
      </c>
      <c r="F437" s="29" t="s">
        <v>75</v>
      </c>
      <c r="G437" s="16" t="s">
        <v>75</v>
      </c>
      <c r="H437" s="27"/>
      <c r="I437" s="26"/>
      <c r="J437" s="27">
        <v>111501.59</v>
      </c>
      <c r="K437" s="109">
        <v>95418</v>
      </c>
      <c r="L437" s="27">
        <v>44371.67</v>
      </c>
      <c r="M437" s="109">
        <v>35233</v>
      </c>
      <c r="N437" s="27">
        <v>121373.02</v>
      </c>
      <c r="O437" s="109">
        <v>111039</v>
      </c>
      <c r="P437" s="64">
        <f t="shared" si="90"/>
        <v>277246.28000000003</v>
      </c>
      <c r="Q437" s="65">
        <f t="shared" si="91"/>
        <v>9241.5426666666681</v>
      </c>
      <c r="R437" s="66">
        <f t="shared" si="92"/>
        <v>241690</v>
      </c>
      <c r="S437" s="67">
        <f t="shared" si="93"/>
        <v>8056.333333333333</v>
      </c>
      <c r="T437" s="27">
        <v>10990</v>
      </c>
      <c r="U437" s="26">
        <v>11328</v>
      </c>
      <c r="V437" s="64">
        <f t="shared" si="94"/>
        <v>277246.28000000003</v>
      </c>
      <c r="W437" s="68">
        <f t="shared" si="95"/>
        <v>241690</v>
      </c>
      <c r="X437" s="27"/>
      <c r="Y437" s="26"/>
      <c r="Z437" s="27"/>
      <c r="AA437" s="26"/>
      <c r="AB437" s="27"/>
      <c r="AC437" s="26"/>
      <c r="AD437" s="27"/>
      <c r="AE437" s="26"/>
      <c r="AF437" s="64">
        <f t="shared" si="96"/>
        <v>0</v>
      </c>
      <c r="AG437" s="65">
        <f t="shared" si="97"/>
        <v>0</v>
      </c>
      <c r="AH437" s="66">
        <f t="shared" si="98"/>
        <v>0</v>
      </c>
      <c r="AI437" s="66">
        <f t="shared" si="99"/>
        <v>0</v>
      </c>
      <c r="AJ437" s="27"/>
      <c r="AK437" s="26"/>
      <c r="AL437" s="64">
        <f t="shared" si="100"/>
        <v>0</v>
      </c>
      <c r="AM437" s="67">
        <f t="shared" si="101"/>
        <v>0</v>
      </c>
      <c r="AN437" s="27"/>
      <c r="AO437" s="26"/>
      <c r="AP437" s="27">
        <v>0</v>
      </c>
      <c r="AQ437" s="26"/>
      <c r="AR437" s="27">
        <v>0</v>
      </c>
      <c r="AS437" s="26"/>
      <c r="AT437" s="27">
        <v>0</v>
      </c>
      <c r="AU437" s="26"/>
      <c r="AV437" s="64">
        <f t="shared" si="102"/>
        <v>0</v>
      </c>
      <c r="AW437" s="70">
        <f t="shared" si="103"/>
        <v>0</v>
      </c>
      <c r="AX437" s="66">
        <f t="shared" si="104"/>
        <v>0</v>
      </c>
      <c r="AY437" s="71">
        <f t="shared" si="105"/>
        <v>0</v>
      </c>
      <c r="AZ437" s="72">
        <f t="shared" si="106"/>
        <v>9241.5426666666681</v>
      </c>
      <c r="BA437" s="66">
        <f t="shared" si="107"/>
        <v>8056.333333333333</v>
      </c>
    </row>
    <row r="438" spans="1:53" ht="15">
      <c r="A438" s="197" t="s">
        <v>606</v>
      </c>
      <c r="B438" s="212" t="s">
        <v>621</v>
      </c>
      <c r="C438" s="700"/>
      <c r="D438" s="200">
        <v>218140</v>
      </c>
      <c r="E438" s="200">
        <v>8</v>
      </c>
      <c r="F438" s="29" t="s">
        <v>75</v>
      </c>
      <c r="G438" s="16" t="s">
        <v>75</v>
      </c>
      <c r="H438" s="27"/>
      <c r="I438" s="26"/>
      <c r="J438" s="27">
        <v>71191.490000000005</v>
      </c>
      <c r="K438" s="109">
        <v>65329</v>
      </c>
      <c r="L438" s="27">
        <v>24157.759999999998</v>
      </c>
      <c r="M438" s="109">
        <v>22549</v>
      </c>
      <c r="N438" s="27">
        <v>70838.5</v>
      </c>
      <c r="O438" s="26">
        <v>69667</v>
      </c>
      <c r="P438" s="64">
        <f t="shared" si="90"/>
        <v>166187.75</v>
      </c>
      <c r="Q438" s="65">
        <f t="shared" si="91"/>
        <v>5539.5916666666662</v>
      </c>
      <c r="R438" s="66">
        <f t="shared" si="92"/>
        <v>157545</v>
      </c>
      <c r="S438" s="67">
        <f t="shared" si="93"/>
        <v>5251.5</v>
      </c>
      <c r="T438" s="27">
        <v>7748</v>
      </c>
      <c r="U438" s="109">
        <v>7028</v>
      </c>
      <c r="V438" s="64">
        <f t="shared" si="94"/>
        <v>166187.75</v>
      </c>
      <c r="W438" s="68">
        <f t="shared" si="95"/>
        <v>157545</v>
      </c>
      <c r="X438" s="27"/>
      <c r="Y438" s="26"/>
      <c r="Z438" s="27"/>
      <c r="AA438" s="26"/>
      <c r="AB438" s="27"/>
      <c r="AC438" s="26"/>
      <c r="AD438" s="27"/>
      <c r="AE438" s="26"/>
      <c r="AF438" s="64">
        <f t="shared" si="96"/>
        <v>0</v>
      </c>
      <c r="AG438" s="65">
        <f t="shared" si="97"/>
        <v>0</v>
      </c>
      <c r="AH438" s="66">
        <f t="shared" si="98"/>
        <v>0</v>
      </c>
      <c r="AI438" s="66">
        <f t="shared" si="99"/>
        <v>0</v>
      </c>
      <c r="AJ438" s="27"/>
      <c r="AK438" s="26"/>
      <c r="AL438" s="64">
        <f t="shared" si="100"/>
        <v>0</v>
      </c>
      <c r="AM438" s="67">
        <f t="shared" si="101"/>
        <v>0</v>
      </c>
      <c r="AN438" s="27"/>
      <c r="AO438" s="26"/>
      <c r="AP438" s="27">
        <v>0</v>
      </c>
      <c r="AQ438" s="26"/>
      <c r="AR438" s="27">
        <v>0</v>
      </c>
      <c r="AS438" s="26"/>
      <c r="AT438" s="27">
        <v>0</v>
      </c>
      <c r="AU438" s="26"/>
      <c r="AV438" s="64">
        <f t="shared" si="102"/>
        <v>0</v>
      </c>
      <c r="AW438" s="70">
        <f t="shared" si="103"/>
        <v>0</v>
      </c>
      <c r="AX438" s="66">
        <f t="shared" si="104"/>
        <v>0</v>
      </c>
      <c r="AY438" s="71">
        <f t="shared" si="105"/>
        <v>0</v>
      </c>
      <c r="AZ438" s="72">
        <f t="shared" si="106"/>
        <v>5539.5916666666662</v>
      </c>
      <c r="BA438" s="66">
        <f t="shared" si="107"/>
        <v>5251.5</v>
      </c>
    </row>
    <row r="439" spans="1:53" ht="15">
      <c r="A439" s="197" t="s">
        <v>606</v>
      </c>
      <c r="B439" s="198" t="s">
        <v>622</v>
      </c>
      <c r="C439" s="700"/>
      <c r="D439" s="200">
        <v>218353</v>
      </c>
      <c r="E439" s="200">
        <v>8</v>
      </c>
      <c r="F439" s="29" t="s">
        <v>75</v>
      </c>
      <c r="G439" s="16" t="s">
        <v>75</v>
      </c>
      <c r="H439" s="27"/>
      <c r="I439" s="26"/>
      <c r="J439" s="27">
        <v>104991.03999999999</v>
      </c>
      <c r="K439" s="109">
        <v>97322</v>
      </c>
      <c r="L439" s="27">
        <v>45845.77</v>
      </c>
      <c r="M439" s="109">
        <v>35612</v>
      </c>
      <c r="N439" s="27">
        <v>122986.38</v>
      </c>
      <c r="O439" s="109">
        <v>107242</v>
      </c>
      <c r="P439" s="64">
        <f t="shared" si="90"/>
        <v>273823.19</v>
      </c>
      <c r="Q439" s="65">
        <f t="shared" si="91"/>
        <v>9127.4396666666671</v>
      </c>
      <c r="R439" s="66">
        <f t="shared" si="92"/>
        <v>240176</v>
      </c>
      <c r="S439" s="67">
        <f t="shared" si="93"/>
        <v>8005.8666666666668</v>
      </c>
      <c r="T439" s="27">
        <v>2773</v>
      </c>
      <c r="U439" s="109">
        <v>4368</v>
      </c>
      <c r="V439" s="64">
        <f t="shared" si="94"/>
        <v>273823.19</v>
      </c>
      <c r="W439" s="68">
        <f t="shared" si="95"/>
        <v>240176</v>
      </c>
      <c r="X439" s="27"/>
      <c r="Y439" s="26"/>
      <c r="Z439" s="27"/>
      <c r="AA439" s="26"/>
      <c r="AB439" s="27"/>
      <c r="AC439" s="26"/>
      <c r="AD439" s="27"/>
      <c r="AE439" s="26"/>
      <c r="AF439" s="64">
        <f t="shared" si="96"/>
        <v>0</v>
      </c>
      <c r="AG439" s="65">
        <f t="shared" si="97"/>
        <v>0</v>
      </c>
      <c r="AH439" s="66">
        <f t="shared" si="98"/>
        <v>0</v>
      </c>
      <c r="AI439" s="66">
        <f t="shared" si="99"/>
        <v>0</v>
      </c>
      <c r="AJ439" s="27"/>
      <c r="AK439" s="26"/>
      <c r="AL439" s="64">
        <f t="shared" si="100"/>
        <v>0</v>
      </c>
      <c r="AM439" s="67">
        <f t="shared" si="101"/>
        <v>0</v>
      </c>
      <c r="AN439" s="27"/>
      <c r="AO439" s="26"/>
      <c r="AP439" s="27">
        <v>0</v>
      </c>
      <c r="AQ439" s="26"/>
      <c r="AR439" s="27">
        <v>0</v>
      </c>
      <c r="AS439" s="26"/>
      <c r="AT439" s="27">
        <v>0</v>
      </c>
      <c r="AU439" s="26"/>
      <c r="AV439" s="64">
        <f t="shared" si="102"/>
        <v>0</v>
      </c>
      <c r="AW439" s="70">
        <f t="shared" si="103"/>
        <v>0</v>
      </c>
      <c r="AX439" s="66">
        <f t="shared" si="104"/>
        <v>0</v>
      </c>
      <c r="AY439" s="71">
        <f t="shared" si="105"/>
        <v>0</v>
      </c>
      <c r="AZ439" s="72">
        <f t="shared" si="106"/>
        <v>9127.4396666666671</v>
      </c>
      <c r="BA439" s="66">
        <f t="shared" si="107"/>
        <v>8005.8666666666668</v>
      </c>
    </row>
    <row r="440" spans="1:53" ht="15">
      <c r="A440" s="197" t="s">
        <v>606</v>
      </c>
      <c r="B440" s="212" t="s">
        <v>623</v>
      </c>
      <c r="C440" s="703" t="s">
        <v>989</v>
      </c>
      <c r="D440" s="200">
        <v>218520</v>
      </c>
      <c r="E440" s="210">
        <v>9</v>
      </c>
      <c r="F440" s="29" t="s">
        <v>75</v>
      </c>
      <c r="G440" s="16" t="s">
        <v>75</v>
      </c>
      <c r="H440" s="27"/>
      <c r="I440" s="26"/>
      <c r="J440" s="27">
        <v>53621.7</v>
      </c>
      <c r="K440" s="109">
        <v>44204</v>
      </c>
      <c r="L440" s="27">
        <v>21821.42</v>
      </c>
      <c r="M440" s="109">
        <v>17696</v>
      </c>
      <c r="N440" s="27">
        <v>54750.71</v>
      </c>
      <c r="O440" s="109">
        <v>45821</v>
      </c>
      <c r="P440" s="64">
        <f t="shared" si="90"/>
        <v>130193.82999999999</v>
      </c>
      <c r="Q440" s="65">
        <f t="shared" si="91"/>
        <v>4339.7943333333333</v>
      </c>
      <c r="R440" s="66">
        <f t="shared" si="92"/>
        <v>107721</v>
      </c>
      <c r="S440" s="67">
        <f t="shared" si="93"/>
        <v>3590.7</v>
      </c>
      <c r="T440" s="27">
        <v>10490</v>
      </c>
      <c r="U440" s="26">
        <v>10243</v>
      </c>
      <c r="V440" s="64">
        <f t="shared" si="94"/>
        <v>130193.82999999999</v>
      </c>
      <c r="W440" s="68">
        <f t="shared" si="95"/>
        <v>107721</v>
      </c>
      <c r="X440" s="27"/>
      <c r="Y440" s="26"/>
      <c r="Z440" s="27"/>
      <c r="AA440" s="26"/>
      <c r="AB440" s="27"/>
      <c r="AC440" s="26"/>
      <c r="AD440" s="27"/>
      <c r="AE440" s="26"/>
      <c r="AF440" s="64">
        <f t="shared" si="96"/>
        <v>0</v>
      </c>
      <c r="AG440" s="65">
        <f t="shared" si="97"/>
        <v>0</v>
      </c>
      <c r="AH440" s="66">
        <f t="shared" si="98"/>
        <v>0</v>
      </c>
      <c r="AI440" s="66">
        <f t="shared" si="99"/>
        <v>0</v>
      </c>
      <c r="AJ440" s="27"/>
      <c r="AK440" s="26"/>
      <c r="AL440" s="64">
        <f t="shared" si="100"/>
        <v>0</v>
      </c>
      <c r="AM440" s="67">
        <f t="shared" si="101"/>
        <v>0</v>
      </c>
      <c r="AN440" s="27"/>
      <c r="AO440" s="26"/>
      <c r="AP440" s="27">
        <v>0</v>
      </c>
      <c r="AQ440" s="26"/>
      <c r="AR440" s="27">
        <v>0</v>
      </c>
      <c r="AS440" s="26"/>
      <c r="AT440" s="27">
        <v>0</v>
      </c>
      <c r="AU440" s="26"/>
      <c r="AV440" s="64">
        <f t="shared" si="102"/>
        <v>0</v>
      </c>
      <c r="AW440" s="70">
        <f t="shared" si="103"/>
        <v>0</v>
      </c>
      <c r="AX440" s="66">
        <f t="shared" si="104"/>
        <v>0</v>
      </c>
      <c r="AY440" s="71">
        <f t="shared" si="105"/>
        <v>0</v>
      </c>
      <c r="AZ440" s="72">
        <f t="shared" si="106"/>
        <v>4339.7943333333333</v>
      </c>
      <c r="BA440" s="66">
        <f t="shared" si="107"/>
        <v>3590.7</v>
      </c>
    </row>
    <row r="441" spans="1:53" ht="15">
      <c r="A441" s="197" t="s">
        <v>606</v>
      </c>
      <c r="B441" s="198" t="s">
        <v>624</v>
      </c>
      <c r="C441" s="700" t="s">
        <v>985</v>
      </c>
      <c r="D441" s="200">
        <v>218885</v>
      </c>
      <c r="E441" s="200">
        <v>8</v>
      </c>
      <c r="F441" s="29" t="s">
        <v>75</v>
      </c>
      <c r="G441" s="16" t="s">
        <v>75</v>
      </c>
      <c r="H441" s="27"/>
      <c r="I441" s="26"/>
      <c r="J441" s="27">
        <v>65636.63</v>
      </c>
      <c r="K441" s="109">
        <v>60464</v>
      </c>
      <c r="L441" s="27">
        <v>20882.349999999999</v>
      </c>
      <c r="M441" s="109">
        <v>18445</v>
      </c>
      <c r="N441" s="27">
        <v>70375.72</v>
      </c>
      <c r="O441" s="109">
        <v>66776</v>
      </c>
      <c r="P441" s="64">
        <f t="shared" si="90"/>
        <v>156894.70000000001</v>
      </c>
      <c r="Q441" s="65">
        <f t="shared" si="91"/>
        <v>5229.8233333333337</v>
      </c>
      <c r="R441" s="66">
        <f t="shared" si="92"/>
        <v>145685</v>
      </c>
      <c r="S441" s="67">
        <f t="shared" si="93"/>
        <v>4856.166666666667</v>
      </c>
      <c r="T441" s="27">
        <v>7531</v>
      </c>
      <c r="U441" s="26">
        <v>7592</v>
      </c>
      <c r="V441" s="64">
        <f t="shared" si="94"/>
        <v>156894.70000000001</v>
      </c>
      <c r="W441" s="68">
        <f t="shared" si="95"/>
        <v>145685</v>
      </c>
      <c r="X441" s="27"/>
      <c r="Y441" s="26"/>
      <c r="Z441" s="27"/>
      <c r="AA441" s="26"/>
      <c r="AB441" s="27"/>
      <c r="AC441" s="26"/>
      <c r="AD441" s="27"/>
      <c r="AE441" s="26"/>
      <c r="AF441" s="64">
        <f t="shared" si="96"/>
        <v>0</v>
      </c>
      <c r="AG441" s="65">
        <f t="shared" si="97"/>
        <v>0</v>
      </c>
      <c r="AH441" s="66">
        <f t="shared" si="98"/>
        <v>0</v>
      </c>
      <c r="AI441" s="66">
        <f t="shared" si="99"/>
        <v>0</v>
      </c>
      <c r="AJ441" s="27"/>
      <c r="AK441" s="26"/>
      <c r="AL441" s="64">
        <f t="shared" si="100"/>
        <v>0</v>
      </c>
      <c r="AM441" s="67">
        <f t="shared" si="101"/>
        <v>0</v>
      </c>
      <c r="AN441" s="27"/>
      <c r="AO441" s="26"/>
      <c r="AP441" s="27">
        <v>0</v>
      </c>
      <c r="AQ441" s="26"/>
      <c r="AR441" s="27">
        <v>0</v>
      </c>
      <c r="AS441" s="26"/>
      <c r="AT441" s="27">
        <v>0</v>
      </c>
      <c r="AU441" s="26"/>
      <c r="AV441" s="64">
        <f t="shared" si="102"/>
        <v>0</v>
      </c>
      <c r="AW441" s="70">
        <f t="shared" si="103"/>
        <v>0</v>
      </c>
      <c r="AX441" s="66">
        <f t="shared" si="104"/>
        <v>0</v>
      </c>
      <c r="AY441" s="71">
        <f t="shared" si="105"/>
        <v>0</v>
      </c>
      <c r="AZ441" s="72">
        <f t="shared" si="106"/>
        <v>5229.8233333333337</v>
      </c>
      <c r="BA441" s="66">
        <f t="shared" si="107"/>
        <v>4856.166666666667</v>
      </c>
    </row>
    <row r="442" spans="1:53" ht="15">
      <c r="A442" s="197" t="s">
        <v>606</v>
      </c>
      <c r="B442" s="198" t="s">
        <v>625</v>
      </c>
      <c r="C442" s="700"/>
      <c r="D442" s="200">
        <v>218894</v>
      </c>
      <c r="E442" s="200">
        <v>8</v>
      </c>
      <c r="F442" s="29" t="s">
        <v>75</v>
      </c>
      <c r="G442" s="16" t="s">
        <v>75</v>
      </c>
      <c r="H442" s="27"/>
      <c r="I442" s="26"/>
      <c r="J442" s="27">
        <v>151197.64000000001</v>
      </c>
      <c r="K442" s="109">
        <v>127097</v>
      </c>
      <c r="L442" s="27">
        <v>59262.51</v>
      </c>
      <c r="M442" s="109">
        <v>49303</v>
      </c>
      <c r="N442" s="27">
        <v>149345.73000000001</v>
      </c>
      <c r="O442" s="109">
        <v>124205</v>
      </c>
      <c r="P442" s="64">
        <f t="shared" si="90"/>
        <v>359805.88</v>
      </c>
      <c r="Q442" s="65">
        <f t="shared" si="91"/>
        <v>11993.529333333334</v>
      </c>
      <c r="R442" s="66">
        <f t="shared" si="92"/>
        <v>300605</v>
      </c>
      <c r="S442" s="67">
        <f t="shared" si="93"/>
        <v>10020.166666666666</v>
      </c>
      <c r="T442" s="27">
        <v>17691</v>
      </c>
      <c r="U442" s="109">
        <v>19071</v>
      </c>
      <c r="V442" s="64">
        <f t="shared" si="94"/>
        <v>359805.88</v>
      </c>
      <c r="W442" s="68">
        <f t="shared" si="95"/>
        <v>300605</v>
      </c>
      <c r="X442" s="27"/>
      <c r="Y442" s="26"/>
      <c r="Z442" s="27"/>
      <c r="AA442" s="26"/>
      <c r="AB442" s="27"/>
      <c r="AC442" s="26"/>
      <c r="AD442" s="27"/>
      <c r="AE442" s="26"/>
      <c r="AF442" s="64">
        <f t="shared" si="96"/>
        <v>0</v>
      </c>
      <c r="AG442" s="65">
        <f t="shared" si="97"/>
        <v>0</v>
      </c>
      <c r="AH442" s="66">
        <f t="shared" si="98"/>
        <v>0</v>
      </c>
      <c r="AI442" s="66">
        <f t="shared" si="99"/>
        <v>0</v>
      </c>
      <c r="AJ442" s="27"/>
      <c r="AK442" s="26"/>
      <c r="AL442" s="64">
        <f t="shared" si="100"/>
        <v>0</v>
      </c>
      <c r="AM442" s="67">
        <f t="shared" si="101"/>
        <v>0</v>
      </c>
      <c r="AN442" s="27"/>
      <c r="AO442" s="26"/>
      <c r="AP442" s="27">
        <v>0</v>
      </c>
      <c r="AQ442" s="26"/>
      <c r="AR442" s="27">
        <v>0</v>
      </c>
      <c r="AS442" s="26"/>
      <c r="AT442" s="27">
        <v>0</v>
      </c>
      <c r="AU442" s="26"/>
      <c r="AV442" s="64">
        <f t="shared" si="102"/>
        <v>0</v>
      </c>
      <c r="AW442" s="70">
        <f t="shared" si="103"/>
        <v>0</v>
      </c>
      <c r="AX442" s="66">
        <f t="shared" si="104"/>
        <v>0</v>
      </c>
      <c r="AY442" s="71">
        <f t="shared" si="105"/>
        <v>0</v>
      </c>
      <c r="AZ442" s="72">
        <f t="shared" si="106"/>
        <v>11993.529333333334</v>
      </c>
      <c r="BA442" s="66">
        <f t="shared" si="107"/>
        <v>10020.166666666666</v>
      </c>
    </row>
    <row r="443" spans="1:53" ht="15">
      <c r="A443" s="197" t="s">
        <v>606</v>
      </c>
      <c r="B443" s="198" t="s">
        <v>626</v>
      </c>
      <c r="C443" s="703" t="s">
        <v>964</v>
      </c>
      <c r="D443" s="200">
        <v>217615</v>
      </c>
      <c r="E443" s="210">
        <v>10</v>
      </c>
      <c r="F443" s="29" t="s">
        <v>75</v>
      </c>
      <c r="G443" s="16" t="s">
        <v>75</v>
      </c>
      <c r="H443" s="27"/>
      <c r="I443" s="26"/>
      <c r="J443" s="27">
        <v>21150.17</v>
      </c>
      <c r="K443" s="26">
        <v>21081</v>
      </c>
      <c r="L443" s="27">
        <v>8302.92</v>
      </c>
      <c r="M443" s="26">
        <v>8342</v>
      </c>
      <c r="N443" s="27">
        <v>22527.38</v>
      </c>
      <c r="O443" s="26">
        <v>22676</v>
      </c>
      <c r="P443" s="64">
        <f t="shared" si="90"/>
        <v>51980.47</v>
      </c>
      <c r="Q443" s="65">
        <f t="shared" si="91"/>
        <v>1732.6823333333334</v>
      </c>
      <c r="R443" s="66">
        <f t="shared" si="92"/>
        <v>52099</v>
      </c>
      <c r="S443" s="67">
        <f t="shared" si="93"/>
        <v>1736.6333333333334</v>
      </c>
      <c r="T443" s="27">
        <v>569</v>
      </c>
      <c r="U443" s="109">
        <v>701</v>
      </c>
      <c r="V443" s="64">
        <f t="shared" si="94"/>
        <v>51980.47</v>
      </c>
      <c r="W443" s="68">
        <f t="shared" si="95"/>
        <v>52099</v>
      </c>
      <c r="X443" s="27"/>
      <c r="Y443" s="26"/>
      <c r="Z443" s="27"/>
      <c r="AA443" s="26"/>
      <c r="AB443" s="27"/>
      <c r="AC443" s="26"/>
      <c r="AD443" s="27"/>
      <c r="AE443" s="26"/>
      <c r="AF443" s="64">
        <f t="shared" si="96"/>
        <v>0</v>
      </c>
      <c r="AG443" s="65">
        <f t="shared" si="97"/>
        <v>0</v>
      </c>
      <c r="AH443" s="66">
        <f t="shared" si="98"/>
        <v>0</v>
      </c>
      <c r="AI443" s="66">
        <f t="shared" si="99"/>
        <v>0</v>
      </c>
      <c r="AJ443" s="27"/>
      <c r="AK443" s="26"/>
      <c r="AL443" s="64">
        <f t="shared" si="100"/>
        <v>0</v>
      </c>
      <c r="AM443" s="67">
        <f t="shared" si="101"/>
        <v>0</v>
      </c>
      <c r="AN443" s="27"/>
      <c r="AO443" s="26"/>
      <c r="AP443" s="27">
        <v>0</v>
      </c>
      <c r="AQ443" s="26"/>
      <c r="AR443" s="27">
        <v>0</v>
      </c>
      <c r="AS443" s="26"/>
      <c r="AT443" s="27">
        <v>0</v>
      </c>
      <c r="AU443" s="26"/>
      <c r="AV443" s="64">
        <f t="shared" si="102"/>
        <v>0</v>
      </c>
      <c r="AW443" s="70">
        <f t="shared" si="103"/>
        <v>0</v>
      </c>
      <c r="AX443" s="66">
        <f t="shared" si="104"/>
        <v>0</v>
      </c>
      <c r="AY443" s="71">
        <f t="shared" si="105"/>
        <v>0</v>
      </c>
      <c r="AZ443" s="72">
        <f t="shared" si="106"/>
        <v>1732.6823333333334</v>
      </c>
      <c r="BA443" s="66">
        <f t="shared" si="107"/>
        <v>1736.6333333333334</v>
      </c>
    </row>
    <row r="444" spans="1:53" ht="15">
      <c r="A444" s="197" t="s">
        <v>606</v>
      </c>
      <c r="B444" s="198" t="s">
        <v>627</v>
      </c>
      <c r="C444" s="700"/>
      <c r="D444" s="200">
        <v>218858</v>
      </c>
      <c r="E444" s="200">
        <v>9</v>
      </c>
      <c r="F444" s="29" t="s">
        <v>75</v>
      </c>
      <c r="G444" s="16" t="s">
        <v>75</v>
      </c>
      <c r="H444" s="27"/>
      <c r="I444" s="26"/>
      <c r="J444" s="27">
        <v>32469.7</v>
      </c>
      <c r="K444" s="109">
        <v>29471</v>
      </c>
      <c r="L444" s="27">
        <v>13541.67</v>
      </c>
      <c r="M444" s="109">
        <v>12304</v>
      </c>
      <c r="N444" s="27">
        <v>34476.5</v>
      </c>
      <c r="O444" s="109">
        <v>32453</v>
      </c>
      <c r="P444" s="64">
        <f t="shared" si="90"/>
        <v>80487.87</v>
      </c>
      <c r="Q444" s="65">
        <f t="shared" si="91"/>
        <v>2682.9289999999996</v>
      </c>
      <c r="R444" s="66">
        <f t="shared" si="92"/>
        <v>74228</v>
      </c>
      <c r="S444" s="67">
        <f t="shared" si="93"/>
        <v>2474.2666666666669</v>
      </c>
      <c r="T444" s="27">
        <v>6579</v>
      </c>
      <c r="U444" s="109">
        <v>8032</v>
      </c>
      <c r="V444" s="64">
        <f t="shared" si="94"/>
        <v>80487.87</v>
      </c>
      <c r="W444" s="68">
        <f t="shared" si="95"/>
        <v>74228</v>
      </c>
      <c r="X444" s="27"/>
      <c r="Y444" s="26"/>
      <c r="Z444" s="27"/>
      <c r="AA444" s="26"/>
      <c r="AB444" s="27"/>
      <c r="AC444" s="26"/>
      <c r="AD444" s="27"/>
      <c r="AE444" s="26"/>
      <c r="AF444" s="64">
        <f t="shared" si="96"/>
        <v>0</v>
      </c>
      <c r="AG444" s="65">
        <f t="shared" si="97"/>
        <v>0</v>
      </c>
      <c r="AH444" s="66">
        <f t="shared" si="98"/>
        <v>0</v>
      </c>
      <c r="AI444" s="66">
        <f t="shared" si="99"/>
        <v>0</v>
      </c>
      <c r="AJ444" s="27"/>
      <c r="AK444" s="26"/>
      <c r="AL444" s="64">
        <f t="shared" si="100"/>
        <v>0</v>
      </c>
      <c r="AM444" s="67">
        <f t="shared" si="101"/>
        <v>0</v>
      </c>
      <c r="AN444" s="27"/>
      <c r="AO444" s="26"/>
      <c r="AP444" s="27">
        <v>0</v>
      </c>
      <c r="AQ444" s="26"/>
      <c r="AR444" s="27">
        <v>0</v>
      </c>
      <c r="AS444" s="26"/>
      <c r="AT444" s="27">
        <v>0</v>
      </c>
      <c r="AU444" s="26"/>
      <c r="AV444" s="64">
        <f t="shared" si="102"/>
        <v>0</v>
      </c>
      <c r="AW444" s="70">
        <f t="shared" si="103"/>
        <v>0</v>
      </c>
      <c r="AX444" s="66">
        <f t="shared" si="104"/>
        <v>0</v>
      </c>
      <c r="AY444" s="71">
        <f t="shared" si="105"/>
        <v>0</v>
      </c>
      <c r="AZ444" s="72">
        <f t="shared" si="106"/>
        <v>2682.9289999999996</v>
      </c>
      <c r="BA444" s="66">
        <f t="shared" si="107"/>
        <v>2474.2666666666669</v>
      </c>
    </row>
    <row r="445" spans="1:53" ht="15">
      <c r="A445" s="197" t="s">
        <v>606</v>
      </c>
      <c r="B445" s="198" t="s">
        <v>628</v>
      </c>
      <c r="C445" s="700" t="s">
        <v>982</v>
      </c>
      <c r="D445" s="200">
        <v>218487</v>
      </c>
      <c r="E445" s="200">
        <v>9</v>
      </c>
      <c r="F445" s="29" t="s">
        <v>75</v>
      </c>
      <c r="G445" s="16" t="s">
        <v>75</v>
      </c>
      <c r="H445" s="27"/>
      <c r="I445" s="26"/>
      <c r="J445" s="27">
        <v>26273.74</v>
      </c>
      <c r="K445" s="109">
        <v>22972</v>
      </c>
      <c r="L445" s="27">
        <v>9018.7999999999993</v>
      </c>
      <c r="M445" s="109">
        <v>8564</v>
      </c>
      <c r="N445" s="27">
        <v>27182.560000000001</v>
      </c>
      <c r="O445" s="109">
        <v>24954</v>
      </c>
      <c r="P445" s="64">
        <f t="shared" si="90"/>
        <v>62475.100000000006</v>
      </c>
      <c r="Q445" s="65">
        <f t="shared" si="91"/>
        <v>2082.5033333333336</v>
      </c>
      <c r="R445" s="66">
        <f t="shared" si="92"/>
        <v>56490</v>
      </c>
      <c r="S445" s="67">
        <f t="shared" si="93"/>
        <v>1883</v>
      </c>
      <c r="T445" s="27">
        <v>7028</v>
      </c>
      <c r="U445" s="26">
        <v>7237</v>
      </c>
      <c r="V445" s="64">
        <f t="shared" si="94"/>
        <v>62475.100000000006</v>
      </c>
      <c r="W445" s="68">
        <f t="shared" si="95"/>
        <v>56490</v>
      </c>
      <c r="X445" s="27"/>
      <c r="Y445" s="26"/>
      <c r="Z445" s="27"/>
      <c r="AA445" s="26"/>
      <c r="AB445" s="27"/>
      <c r="AC445" s="26"/>
      <c r="AD445" s="27"/>
      <c r="AE445" s="26"/>
      <c r="AF445" s="64">
        <f t="shared" si="96"/>
        <v>0</v>
      </c>
      <c r="AG445" s="65">
        <f t="shared" si="97"/>
        <v>0</v>
      </c>
      <c r="AH445" s="66">
        <f t="shared" si="98"/>
        <v>0</v>
      </c>
      <c r="AI445" s="66">
        <f t="shared" si="99"/>
        <v>0</v>
      </c>
      <c r="AJ445" s="27"/>
      <c r="AK445" s="26"/>
      <c r="AL445" s="64">
        <f t="shared" si="100"/>
        <v>0</v>
      </c>
      <c r="AM445" s="67">
        <f t="shared" si="101"/>
        <v>0</v>
      </c>
      <c r="AN445" s="27"/>
      <c r="AO445" s="26"/>
      <c r="AP445" s="27">
        <v>0</v>
      </c>
      <c r="AQ445" s="26"/>
      <c r="AR445" s="27">
        <v>0</v>
      </c>
      <c r="AS445" s="26"/>
      <c r="AT445" s="27">
        <v>0</v>
      </c>
      <c r="AU445" s="26"/>
      <c r="AV445" s="64">
        <f t="shared" si="102"/>
        <v>0</v>
      </c>
      <c r="AW445" s="70">
        <f t="shared" si="103"/>
        <v>0</v>
      </c>
      <c r="AX445" s="66">
        <f t="shared" si="104"/>
        <v>0</v>
      </c>
      <c r="AY445" s="71">
        <f t="shared" si="105"/>
        <v>0</v>
      </c>
      <c r="AZ445" s="72">
        <f t="shared" si="106"/>
        <v>2082.5033333333336</v>
      </c>
      <c r="BA445" s="66">
        <f t="shared" si="107"/>
        <v>1883</v>
      </c>
    </row>
    <row r="446" spans="1:53" ht="15">
      <c r="A446" s="197" t="s">
        <v>606</v>
      </c>
      <c r="B446" s="212" t="s">
        <v>629</v>
      </c>
      <c r="C446" s="700"/>
      <c r="D446" s="200">
        <v>218830</v>
      </c>
      <c r="E446" s="200">
        <v>9</v>
      </c>
      <c r="F446" s="29" t="s">
        <v>75</v>
      </c>
      <c r="G446" s="16" t="s">
        <v>75</v>
      </c>
      <c r="H446" s="27"/>
      <c r="I446" s="26"/>
      <c r="J446" s="27">
        <v>48152.26</v>
      </c>
      <c r="K446" s="109">
        <v>43154</v>
      </c>
      <c r="L446" s="27">
        <v>15856.65</v>
      </c>
      <c r="M446" s="109">
        <v>13542</v>
      </c>
      <c r="N446" s="27">
        <v>48809.81</v>
      </c>
      <c r="O446" s="109">
        <v>45549</v>
      </c>
      <c r="P446" s="64">
        <f t="shared" si="90"/>
        <v>112818.72</v>
      </c>
      <c r="Q446" s="65">
        <f t="shared" si="91"/>
        <v>3760.6240000000003</v>
      </c>
      <c r="R446" s="66">
        <f t="shared" si="92"/>
        <v>102245</v>
      </c>
      <c r="S446" s="67">
        <f t="shared" si="93"/>
        <v>3408.1666666666665</v>
      </c>
      <c r="T446" s="27">
        <v>7202</v>
      </c>
      <c r="U446" s="109">
        <v>7810</v>
      </c>
      <c r="V446" s="64">
        <f t="shared" si="94"/>
        <v>112818.72</v>
      </c>
      <c r="W446" s="68">
        <f t="shared" si="95"/>
        <v>102245</v>
      </c>
      <c r="X446" s="27"/>
      <c r="Y446" s="26"/>
      <c r="Z446" s="27"/>
      <c r="AA446" s="26"/>
      <c r="AB446" s="27"/>
      <c r="AC446" s="26"/>
      <c r="AD446" s="27"/>
      <c r="AE446" s="26"/>
      <c r="AF446" s="64">
        <f t="shared" si="96"/>
        <v>0</v>
      </c>
      <c r="AG446" s="65">
        <f t="shared" si="97"/>
        <v>0</v>
      </c>
      <c r="AH446" s="66">
        <f t="shared" si="98"/>
        <v>0</v>
      </c>
      <c r="AI446" s="66">
        <f t="shared" si="99"/>
        <v>0</v>
      </c>
      <c r="AJ446" s="27"/>
      <c r="AK446" s="26"/>
      <c r="AL446" s="64">
        <f t="shared" si="100"/>
        <v>0</v>
      </c>
      <c r="AM446" s="67">
        <f t="shared" si="101"/>
        <v>0</v>
      </c>
      <c r="AN446" s="27"/>
      <c r="AO446" s="26"/>
      <c r="AP446" s="27">
        <v>0</v>
      </c>
      <c r="AQ446" s="26"/>
      <c r="AR446" s="27">
        <v>0</v>
      </c>
      <c r="AS446" s="26"/>
      <c r="AT446" s="27">
        <v>0</v>
      </c>
      <c r="AU446" s="26"/>
      <c r="AV446" s="64">
        <f t="shared" si="102"/>
        <v>0</v>
      </c>
      <c r="AW446" s="70">
        <f t="shared" si="103"/>
        <v>0</v>
      </c>
      <c r="AX446" s="66">
        <f t="shared" si="104"/>
        <v>0</v>
      </c>
      <c r="AY446" s="71">
        <f t="shared" si="105"/>
        <v>0</v>
      </c>
      <c r="AZ446" s="72">
        <f t="shared" si="106"/>
        <v>3760.6240000000003</v>
      </c>
      <c r="BA446" s="66">
        <f t="shared" si="107"/>
        <v>3408.1666666666665</v>
      </c>
    </row>
    <row r="447" spans="1:53">
      <c r="A447" s="197" t="s">
        <v>606</v>
      </c>
      <c r="B447" s="212" t="s">
        <v>630</v>
      </c>
      <c r="C447" s="213"/>
      <c r="D447" s="200">
        <v>218991</v>
      </c>
      <c r="E447" s="200">
        <v>9</v>
      </c>
      <c r="F447" s="29" t="s">
        <v>75</v>
      </c>
      <c r="G447" s="16" t="s">
        <v>75</v>
      </c>
      <c r="H447" s="27"/>
      <c r="I447" s="26"/>
      <c r="J447" s="27">
        <v>47903.6</v>
      </c>
      <c r="K447" s="109">
        <v>43127</v>
      </c>
      <c r="L447" s="27">
        <v>17984</v>
      </c>
      <c r="M447" s="109">
        <v>13993</v>
      </c>
      <c r="N447" s="27">
        <v>49795.06</v>
      </c>
      <c r="O447" s="109">
        <v>46434</v>
      </c>
      <c r="P447" s="64">
        <f t="shared" si="90"/>
        <v>115682.66</v>
      </c>
      <c r="Q447" s="65">
        <f t="shared" si="91"/>
        <v>3856.088666666667</v>
      </c>
      <c r="R447" s="66">
        <f t="shared" si="92"/>
        <v>103554</v>
      </c>
      <c r="S447" s="67">
        <f t="shared" si="93"/>
        <v>3451.8</v>
      </c>
      <c r="T447" s="27">
        <v>2893</v>
      </c>
      <c r="U447" s="26">
        <v>2950</v>
      </c>
      <c r="V447" s="64">
        <f t="shared" si="94"/>
        <v>115682.66</v>
      </c>
      <c r="W447" s="68">
        <f t="shared" si="95"/>
        <v>103554</v>
      </c>
      <c r="X447" s="27"/>
      <c r="Y447" s="26"/>
      <c r="Z447" s="27"/>
      <c r="AA447" s="26"/>
      <c r="AB447" s="27"/>
      <c r="AC447" s="26"/>
      <c r="AD447" s="27"/>
      <c r="AE447" s="26"/>
      <c r="AF447" s="64">
        <f t="shared" si="96"/>
        <v>0</v>
      </c>
      <c r="AG447" s="65">
        <f t="shared" si="97"/>
        <v>0</v>
      </c>
      <c r="AH447" s="66">
        <f t="shared" si="98"/>
        <v>0</v>
      </c>
      <c r="AI447" s="66">
        <f t="shared" si="99"/>
        <v>0</v>
      </c>
      <c r="AJ447" s="27"/>
      <c r="AK447" s="26"/>
      <c r="AL447" s="64">
        <f t="shared" si="100"/>
        <v>0</v>
      </c>
      <c r="AM447" s="67">
        <f t="shared" si="101"/>
        <v>0</v>
      </c>
      <c r="AN447" s="27"/>
      <c r="AO447" s="26"/>
      <c r="AP447" s="27">
        <v>0</v>
      </c>
      <c r="AQ447" s="26"/>
      <c r="AR447" s="27">
        <v>0</v>
      </c>
      <c r="AS447" s="26"/>
      <c r="AT447" s="27">
        <v>0</v>
      </c>
      <c r="AU447" s="26"/>
      <c r="AV447" s="64">
        <f t="shared" si="102"/>
        <v>0</v>
      </c>
      <c r="AW447" s="70">
        <f t="shared" si="103"/>
        <v>0</v>
      </c>
      <c r="AX447" s="66">
        <f t="shared" si="104"/>
        <v>0</v>
      </c>
      <c r="AY447" s="71">
        <f t="shared" si="105"/>
        <v>0</v>
      </c>
      <c r="AZ447" s="72">
        <f t="shared" si="106"/>
        <v>3856.088666666667</v>
      </c>
      <c r="BA447" s="66">
        <f t="shared" si="107"/>
        <v>3451.8</v>
      </c>
    </row>
    <row r="448" spans="1:53">
      <c r="A448" s="197" t="s">
        <v>606</v>
      </c>
      <c r="B448" s="198" t="s">
        <v>631</v>
      </c>
      <c r="C448" s="199"/>
      <c r="D448" s="200">
        <v>217989</v>
      </c>
      <c r="E448" s="200">
        <v>10</v>
      </c>
      <c r="F448" s="29" t="s">
        <v>75</v>
      </c>
      <c r="G448" s="16" t="s">
        <v>75</v>
      </c>
      <c r="H448" s="27"/>
      <c r="I448" s="26"/>
      <c r="J448" s="27">
        <v>15952.09</v>
      </c>
      <c r="K448" s="109">
        <v>10165</v>
      </c>
      <c r="L448" s="27">
        <v>9961.75</v>
      </c>
      <c r="M448" s="109">
        <v>3376</v>
      </c>
      <c r="N448" s="27">
        <v>11733.73</v>
      </c>
      <c r="O448" s="109">
        <v>7239</v>
      </c>
      <c r="P448" s="64">
        <f t="shared" si="90"/>
        <v>37647.57</v>
      </c>
      <c r="Q448" s="65">
        <f t="shared" si="91"/>
        <v>1254.9190000000001</v>
      </c>
      <c r="R448" s="66">
        <f t="shared" si="92"/>
        <v>20780</v>
      </c>
      <c r="S448" s="67">
        <f t="shared" si="93"/>
        <v>692.66666666666663</v>
      </c>
      <c r="T448" s="27">
        <v>319</v>
      </c>
      <c r="U448" s="109">
        <v>2212</v>
      </c>
      <c r="V448" s="64">
        <f t="shared" si="94"/>
        <v>37647.57</v>
      </c>
      <c r="W448" s="68">
        <f t="shared" si="95"/>
        <v>20780</v>
      </c>
      <c r="X448" s="27"/>
      <c r="Y448" s="26"/>
      <c r="Z448" s="27"/>
      <c r="AA448" s="26"/>
      <c r="AB448" s="27"/>
      <c r="AC448" s="26"/>
      <c r="AD448" s="27"/>
      <c r="AE448" s="26"/>
      <c r="AF448" s="64">
        <f t="shared" si="96"/>
        <v>0</v>
      </c>
      <c r="AG448" s="65">
        <f t="shared" si="97"/>
        <v>0</v>
      </c>
      <c r="AH448" s="66">
        <f t="shared" si="98"/>
        <v>0</v>
      </c>
      <c r="AI448" s="66">
        <f t="shared" si="99"/>
        <v>0</v>
      </c>
      <c r="AJ448" s="27"/>
      <c r="AK448" s="26"/>
      <c r="AL448" s="64">
        <f t="shared" si="100"/>
        <v>0</v>
      </c>
      <c r="AM448" s="67">
        <f t="shared" si="101"/>
        <v>0</v>
      </c>
      <c r="AN448" s="27"/>
      <c r="AO448" s="26"/>
      <c r="AP448" s="27">
        <v>0</v>
      </c>
      <c r="AQ448" s="26"/>
      <c r="AR448" s="27">
        <v>0</v>
      </c>
      <c r="AS448" s="26"/>
      <c r="AT448" s="27">
        <v>0</v>
      </c>
      <c r="AU448" s="26"/>
      <c r="AV448" s="64">
        <f t="shared" si="102"/>
        <v>0</v>
      </c>
      <c r="AW448" s="70">
        <f t="shared" si="103"/>
        <v>0</v>
      </c>
      <c r="AX448" s="66">
        <f t="shared" si="104"/>
        <v>0</v>
      </c>
      <c r="AY448" s="71">
        <f t="shared" si="105"/>
        <v>0</v>
      </c>
      <c r="AZ448" s="72">
        <f t="shared" si="106"/>
        <v>1254.9190000000001</v>
      </c>
      <c r="BA448" s="66">
        <f t="shared" si="107"/>
        <v>692.66666666666663</v>
      </c>
    </row>
    <row r="449" spans="1:53">
      <c r="A449" s="197" t="s">
        <v>606</v>
      </c>
      <c r="B449" s="198" t="s">
        <v>632</v>
      </c>
      <c r="C449" s="199"/>
      <c r="D449" s="200">
        <v>217837</v>
      </c>
      <c r="E449" s="200">
        <v>10</v>
      </c>
      <c r="F449" s="29" t="s">
        <v>75</v>
      </c>
      <c r="G449" s="16" t="s">
        <v>75</v>
      </c>
      <c r="H449" s="27"/>
      <c r="I449" s="26"/>
      <c r="J449" s="27">
        <v>10611.99</v>
      </c>
      <c r="K449" s="109">
        <v>9146</v>
      </c>
      <c r="L449" s="27">
        <v>5521.44</v>
      </c>
      <c r="M449" s="109">
        <v>3631</v>
      </c>
      <c r="N449" s="27">
        <v>13203.26</v>
      </c>
      <c r="O449" s="109">
        <v>9602</v>
      </c>
      <c r="P449" s="64">
        <f t="shared" si="90"/>
        <v>29336.690000000002</v>
      </c>
      <c r="Q449" s="65">
        <f t="shared" si="91"/>
        <v>977.8896666666667</v>
      </c>
      <c r="R449" s="66">
        <f t="shared" si="92"/>
        <v>22379</v>
      </c>
      <c r="S449" s="67">
        <f t="shared" si="93"/>
        <v>745.9666666666667</v>
      </c>
      <c r="T449" s="27">
        <v>1466</v>
      </c>
      <c r="U449" s="109">
        <v>1648</v>
      </c>
      <c r="V449" s="64">
        <f t="shared" si="94"/>
        <v>29336.690000000002</v>
      </c>
      <c r="W449" s="68">
        <f t="shared" si="95"/>
        <v>22379</v>
      </c>
      <c r="X449" s="27"/>
      <c r="Y449" s="26"/>
      <c r="Z449" s="27"/>
      <c r="AA449" s="26"/>
      <c r="AB449" s="27"/>
      <c r="AC449" s="26"/>
      <c r="AD449" s="27"/>
      <c r="AE449" s="26"/>
      <c r="AF449" s="64">
        <f t="shared" si="96"/>
        <v>0</v>
      </c>
      <c r="AG449" s="65">
        <f t="shared" si="97"/>
        <v>0</v>
      </c>
      <c r="AH449" s="66">
        <f t="shared" si="98"/>
        <v>0</v>
      </c>
      <c r="AI449" s="66">
        <f t="shared" si="99"/>
        <v>0</v>
      </c>
      <c r="AJ449" s="27"/>
      <c r="AK449" s="26"/>
      <c r="AL449" s="64">
        <f t="shared" si="100"/>
        <v>0</v>
      </c>
      <c r="AM449" s="67">
        <f t="shared" si="101"/>
        <v>0</v>
      </c>
      <c r="AN449" s="27"/>
      <c r="AO449" s="26"/>
      <c r="AP449" s="27">
        <v>0</v>
      </c>
      <c r="AQ449" s="26"/>
      <c r="AR449" s="27">
        <v>0</v>
      </c>
      <c r="AS449" s="26"/>
      <c r="AT449" s="27">
        <v>0</v>
      </c>
      <c r="AU449" s="26"/>
      <c r="AV449" s="64">
        <f t="shared" si="102"/>
        <v>0</v>
      </c>
      <c r="AW449" s="70">
        <f t="shared" si="103"/>
        <v>0</v>
      </c>
      <c r="AX449" s="66">
        <f t="shared" si="104"/>
        <v>0</v>
      </c>
      <c r="AY449" s="71">
        <f t="shared" si="105"/>
        <v>0</v>
      </c>
      <c r="AZ449" s="72">
        <f t="shared" si="106"/>
        <v>977.8896666666667</v>
      </c>
      <c r="BA449" s="66">
        <f t="shared" si="107"/>
        <v>745.9666666666667</v>
      </c>
    </row>
    <row r="450" spans="1:53">
      <c r="A450" s="197" t="s">
        <v>606</v>
      </c>
      <c r="B450" s="198" t="s">
        <v>633</v>
      </c>
      <c r="C450" s="199"/>
      <c r="D450" s="200">
        <v>217712</v>
      </c>
      <c r="E450" s="200">
        <v>10</v>
      </c>
      <c r="F450" s="29" t="s">
        <v>75</v>
      </c>
      <c r="G450" s="16" t="s">
        <v>75</v>
      </c>
      <c r="H450" s="27"/>
      <c r="I450" s="26"/>
      <c r="J450" s="27">
        <v>21166.22</v>
      </c>
      <c r="K450" s="26">
        <v>20267</v>
      </c>
      <c r="L450" s="27">
        <v>9369.8799999999992</v>
      </c>
      <c r="M450" s="109">
        <v>7570</v>
      </c>
      <c r="N450" s="27">
        <v>21721.15</v>
      </c>
      <c r="O450" s="109">
        <v>19420</v>
      </c>
      <c r="P450" s="64">
        <f t="shared" si="90"/>
        <v>52257.25</v>
      </c>
      <c r="Q450" s="65">
        <f t="shared" si="91"/>
        <v>1741.9083333333333</v>
      </c>
      <c r="R450" s="66">
        <f t="shared" si="92"/>
        <v>47257</v>
      </c>
      <c r="S450" s="67">
        <f t="shared" si="93"/>
        <v>1575.2333333333333</v>
      </c>
      <c r="T450" s="27">
        <v>4658</v>
      </c>
      <c r="U450" s="109">
        <v>5234</v>
      </c>
      <c r="V450" s="64">
        <f t="shared" si="94"/>
        <v>52257.25</v>
      </c>
      <c r="W450" s="68">
        <f t="shared" si="95"/>
        <v>47257</v>
      </c>
      <c r="X450" s="27"/>
      <c r="Y450" s="26"/>
      <c r="Z450" s="27"/>
      <c r="AA450" s="26"/>
      <c r="AB450" s="27"/>
      <c r="AC450" s="26"/>
      <c r="AD450" s="27"/>
      <c r="AE450" s="26"/>
      <c r="AF450" s="64">
        <f t="shared" si="96"/>
        <v>0</v>
      </c>
      <c r="AG450" s="65">
        <f t="shared" si="97"/>
        <v>0</v>
      </c>
      <c r="AH450" s="66">
        <f t="shared" si="98"/>
        <v>0</v>
      </c>
      <c r="AI450" s="66">
        <f t="shared" si="99"/>
        <v>0</v>
      </c>
      <c r="AJ450" s="27"/>
      <c r="AK450" s="26"/>
      <c r="AL450" s="64">
        <f t="shared" si="100"/>
        <v>0</v>
      </c>
      <c r="AM450" s="67">
        <f t="shared" si="101"/>
        <v>0</v>
      </c>
      <c r="AN450" s="27"/>
      <c r="AO450" s="26"/>
      <c r="AP450" s="27">
        <v>0</v>
      </c>
      <c r="AQ450" s="26"/>
      <c r="AR450" s="27">
        <v>0</v>
      </c>
      <c r="AS450" s="26"/>
      <c r="AT450" s="27">
        <v>0</v>
      </c>
      <c r="AU450" s="26"/>
      <c r="AV450" s="64">
        <f t="shared" si="102"/>
        <v>0</v>
      </c>
      <c r="AW450" s="70">
        <f t="shared" si="103"/>
        <v>0</v>
      </c>
      <c r="AX450" s="66">
        <f t="shared" si="104"/>
        <v>0</v>
      </c>
      <c r="AY450" s="71">
        <f t="shared" si="105"/>
        <v>0</v>
      </c>
      <c r="AZ450" s="72">
        <f t="shared" si="106"/>
        <v>1741.9083333333333</v>
      </c>
      <c r="BA450" s="66">
        <f t="shared" si="107"/>
        <v>1575.2333333333333</v>
      </c>
    </row>
    <row r="451" spans="1:53">
      <c r="A451" s="197" t="s">
        <v>606</v>
      </c>
      <c r="B451" s="198" t="s">
        <v>634</v>
      </c>
      <c r="C451" s="199"/>
      <c r="D451" s="200">
        <v>218672</v>
      </c>
      <c r="E451" s="200">
        <v>10</v>
      </c>
      <c r="F451" s="29" t="s">
        <v>75</v>
      </c>
      <c r="G451" s="16" t="s">
        <v>75</v>
      </c>
      <c r="H451" s="27"/>
      <c r="I451" s="26"/>
      <c r="J451" s="27">
        <v>13966</v>
      </c>
      <c r="K451" s="109">
        <v>15582</v>
      </c>
      <c r="L451" s="27">
        <v>1638</v>
      </c>
      <c r="M451" s="109">
        <v>1995</v>
      </c>
      <c r="N451" s="27">
        <v>17510</v>
      </c>
      <c r="O451" s="26">
        <v>17173</v>
      </c>
      <c r="P451" s="64">
        <f t="shared" si="90"/>
        <v>33114</v>
      </c>
      <c r="Q451" s="65">
        <f t="shared" si="91"/>
        <v>1103.8</v>
      </c>
      <c r="R451" s="66">
        <f t="shared" si="92"/>
        <v>34750</v>
      </c>
      <c r="S451" s="67">
        <f t="shared" si="93"/>
        <v>1158.3333333333333</v>
      </c>
      <c r="T451" s="27"/>
      <c r="U451" s="26"/>
      <c r="V451" s="64">
        <f t="shared" si="94"/>
        <v>0</v>
      </c>
      <c r="W451" s="68">
        <f t="shared" si="95"/>
        <v>0</v>
      </c>
      <c r="X451" s="27"/>
      <c r="Y451" s="26"/>
      <c r="Z451" s="27"/>
      <c r="AA451" s="26"/>
      <c r="AB451" s="27"/>
      <c r="AC451" s="26"/>
      <c r="AD451" s="27"/>
      <c r="AE451" s="26"/>
      <c r="AF451" s="64">
        <f t="shared" si="96"/>
        <v>0</v>
      </c>
      <c r="AG451" s="65">
        <f t="shared" si="97"/>
        <v>0</v>
      </c>
      <c r="AH451" s="66">
        <f t="shared" si="98"/>
        <v>0</v>
      </c>
      <c r="AI451" s="66">
        <f t="shared" si="99"/>
        <v>0</v>
      </c>
      <c r="AJ451" s="27"/>
      <c r="AK451" s="26"/>
      <c r="AL451" s="64">
        <f t="shared" si="100"/>
        <v>0</v>
      </c>
      <c r="AM451" s="67">
        <f t="shared" si="101"/>
        <v>0</v>
      </c>
      <c r="AN451" s="27"/>
      <c r="AO451" s="26"/>
      <c r="AP451" s="27">
        <v>0</v>
      </c>
      <c r="AQ451" s="26"/>
      <c r="AR451" s="27">
        <v>0</v>
      </c>
      <c r="AS451" s="26"/>
      <c r="AT451" s="27">
        <v>0</v>
      </c>
      <c r="AU451" s="26"/>
      <c r="AV451" s="64">
        <f t="shared" si="102"/>
        <v>0</v>
      </c>
      <c r="AW451" s="70">
        <f t="shared" si="103"/>
        <v>0</v>
      </c>
      <c r="AX451" s="66">
        <f t="shared" si="104"/>
        <v>0</v>
      </c>
      <c r="AY451" s="71">
        <f t="shared" si="105"/>
        <v>0</v>
      </c>
      <c r="AZ451" s="72">
        <f t="shared" si="106"/>
        <v>1103.8</v>
      </c>
      <c r="BA451" s="66">
        <f t="shared" si="107"/>
        <v>1158.3333333333333</v>
      </c>
    </row>
    <row r="452" spans="1:53">
      <c r="A452" s="197" t="s">
        <v>606</v>
      </c>
      <c r="B452" s="198" t="s">
        <v>635</v>
      </c>
      <c r="C452" s="199"/>
      <c r="D452" s="200">
        <v>218681</v>
      </c>
      <c r="E452" s="200">
        <v>10</v>
      </c>
      <c r="F452" s="29" t="s">
        <v>75</v>
      </c>
      <c r="G452" s="16" t="s">
        <v>75</v>
      </c>
      <c r="H452" s="27"/>
      <c r="I452" s="26"/>
      <c r="J452" s="27">
        <v>9445</v>
      </c>
      <c r="K452" s="26">
        <v>9390</v>
      </c>
      <c r="L452" s="27">
        <v>380</v>
      </c>
      <c r="M452" s="109">
        <v>394</v>
      </c>
      <c r="N452" s="27">
        <v>11179</v>
      </c>
      <c r="O452" s="26">
        <v>11238</v>
      </c>
      <c r="P452" s="64">
        <f t="shared" si="90"/>
        <v>21004</v>
      </c>
      <c r="Q452" s="65">
        <f t="shared" si="91"/>
        <v>700.13333333333333</v>
      </c>
      <c r="R452" s="66">
        <f t="shared" si="92"/>
        <v>21022</v>
      </c>
      <c r="S452" s="67">
        <f t="shared" si="93"/>
        <v>700.73333333333335</v>
      </c>
      <c r="T452" s="27"/>
      <c r="U452" s="26"/>
      <c r="V452" s="64">
        <f t="shared" si="94"/>
        <v>0</v>
      </c>
      <c r="W452" s="68">
        <f t="shared" si="95"/>
        <v>0</v>
      </c>
      <c r="X452" s="27"/>
      <c r="Y452" s="26"/>
      <c r="Z452" s="27"/>
      <c r="AA452" s="26"/>
      <c r="AB452" s="27"/>
      <c r="AC452" s="26"/>
      <c r="AD452" s="27"/>
      <c r="AE452" s="26"/>
      <c r="AF452" s="64">
        <f t="shared" si="96"/>
        <v>0</v>
      </c>
      <c r="AG452" s="65">
        <f t="shared" si="97"/>
        <v>0</v>
      </c>
      <c r="AH452" s="66">
        <f t="shared" si="98"/>
        <v>0</v>
      </c>
      <c r="AI452" s="66">
        <f t="shared" si="99"/>
        <v>0</v>
      </c>
      <c r="AJ452" s="27"/>
      <c r="AK452" s="26"/>
      <c r="AL452" s="64">
        <f t="shared" si="100"/>
        <v>0</v>
      </c>
      <c r="AM452" s="67">
        <f t="shared" si="101"/>
        <v>0</v>
      </c>
      <c r="AN452" s="27"/>
      <c r="AO452" s="26"/>
      <c r="AP452" s="27">
        <v>0</v>
      </c>
      <c r="AQ452" s="26"/>
      <c r="AR452" s="27">
        <v>0</v>
      </c>
      <c r="AS452" s="26"/>
      <c r="AT452" s="27">
        <v>0</v>
      </c>
      <c r="AU452" s="26"/>
      <c r="AV452" s="64">
        <f t="shared" si="102"/>
        <v>0</v>
      </c>
      <c r="AW452" s="70">
        <f t="shared" si="103"/>
        <v>0</v>
      </c>
      <c r="AX452" s="66">
        <f t="shared" si="104"/>
        <v>0</v>
      </c>
      <c r="AY452" s="71">
        <f t="shared" si="105"/>
        <v>0</v>
      </c>
      <c r="AZ452" s="72">
        <f t="shared" si="106"/>
        <v>700.13333333333333</v>
      </c>
      <c r="BA452" s="66">
        <f t="shared" si="107"/>
        <v>700.73333333333335</v>
      </c>
    </row>
    <row r="453" spans="1:53">
      <c r="A453" s="197" t="s">
        <v>606</v>
      </c>
      <c r="B453" s="198" t="s">
        <v>636</v>
      </c>
      <c r="C453" s="199"/>
      <c r="D453" s="200">
        <v>218690</v>
      </c>
      <c r="E453" s="200">
        <v>10</v>
      </c>
      <c r="F453" s="29" t="s">
        <v>75</v>
      </c>
      <c r="G453" s="16" t="s">
        <v>75</v>
      </c>
      <c r="H453" s="27"/>
      <c r="I453" s="26"/>
      <c r="J453" s="27">
        <v>9054</v>
      </c>
      <c r="K453" s="26">
        <v>8603</v>
      </c>
      <c r="L453" s="27">
        <v>1218</v>
      </c>
      <c r="M453" s="109">
        <v>1304</v>
      </c>
      <c r="N453" s="27">
        <v>9825</v>
      </c>
      <c r="O453" s="109">
        <v>8755</v>
      </c>
      <c r="P453" s="64">
        <f t="shared" si="90"/>
        <v>20097</v>
      </c>
      <c r="Q453" s="65">
        <f t="shared" si="91"/>
        <v>669.9</v>
      </c>
      <c r="R453" s="66">
        <f t="shared" si="92"/>
        <v>18662</v>
      </c>
      <c r="S453" s="67">
        <f t="shared" si="93"/>
        <v>622.06666666666672</v>
      </c>
      <c r="T453" s="27"/>
      <c r="U453" s="26"/>
      <c r="V453" s="64">
        <f t="shared" si="94"/>
        <v>0</v>
      </c>
      <c r="W453" s="68">
        <f t="shared" si="95"/>
        <v>0</v>
      </c>
      <c r="X453" s="27"/>
      <c r="Y453" s="26"/>
      <c r="Z453" s="27"/>
      <c r="AA453" s="26"/>
      <c r="AB453" s="27"/>
      <c r="AC453" s="26"/>
      <c r="AD453" s="27"/>
      <c r="AE453" s="26"/>
      <c r="AF453" s="64">
        <f t="shared" si="96"/>
        <v>0</v>
      </c>
      <c r="AG453" s="65">
        <f t="shared" si="97"/>
        <v>0</v>
      </c>
      <c r="AH453" s="66">
        <f t="shared" si="98"/>
        <v>0</v>
      </c>
      <c r="AI453" s="66">
        <f t="shared" si="99"/>
        <v>0</v>
      </c>
      <c r="AJ453" s="27"/>
      <c r="AK453" s="26"/>
      <c r="AL453" s="64">
        <f t="shared" si="100"/>
        <v>0</v>
      </c>
      <c r="AM453" s="67">
        <f t="shared" si="101"/>
        <v>0</v>
      </c>
      <c r="AN453" s="27"/>
      <c r="AO453" s="26"/>
      <c r="AP453" s="27">
        <v>0</v>
      </c>
      <c r="AQ453" s="26"/>
      <c r="AR453" s="27">
        <v>0</v>
      </c>
      <c r="AS453" s="26"/>
      <c r="AT453" s="27">
        <v>0</v>
      </c>
      <c r="AU453" s="26"/>
      <c r="AV453" s="64">
        <f t="shared" si="102"/>
        <v>0</v>
      </c>
      <c r="AW453" s="70">
        <f t="shared" si="103"/>
        <v>0</v>
      </c>
      <c r="AX453" s="66">
        <f t="shared" si="104"/>
        <v>0</v>
      </c>
      <c r="AY453" s="71">
        <f t="shared" si="105"/>
        <v>0</v>
      </c>
      <c r="AZ453" s="72">
        <f t="shared" si="106"/>
        <v>669.9</v>
      </c>
      <c r="BA453" s="66">
        <f t="shared" si="107"/>
        <v>622.06666666666672</v>
      </c>
    </row>
    <row r="454" spans="1:53">
      <c r="A454" s="197" t="s">
        <v>606</v>
      </c>
      <c r="B454" s="198" t="s">
        <v>637</v>
      </c>
      <c r="C454" s="199"/>
      <c r="D454" s="200">
        <v>218706</v>
      </c>
      <c r="E454" s="200">
        <v>10</v>
      </c>
      <c r="F454" s="29" t="s">
        <v>75</v>
      </c>
      <c r="G454" s="16" t="s">
        <v>75</v>
      </c>
      <c r="H454" s="27"/>
      <c r="I454" s="26"/>
      <c r="J454" s="27">
        <v>5366</v>
      </c>
      <c r="K454" s="109">
        <v>6532</v>
      </c>
      <c r="L454" s="27">
        <v>153</v>
      </c>
      <c r="M454" s="109">
        <v>200</v>
      </c>
      <c r="N454" s="27">
        <v>5003</v>
      </c>
      <c r="O454" s="109">
        <v>7383</v>
      </c>
      <c r="P454" s="64">
        <f t="shared" si="90"/>
        <v>10522</v>
      </c>
      <c r="Q454" s="65">
        <f t="shared" si="91"/>
        <v>350.73333333333335</v>
      </c>
      <c r="R454" s="66">
        <f t="shared" si="92"/>
        <v>14115</v>
      </c>
      <c r="S454" s="67">
        <f t="shared" si="93"/>
        <v>470.5</v>
      </c>
      <c r="T454" s="27"/>
      <c r="U454" s="26"/>
      <c r="V454" s="64">
        <f t="shared" si="94"/>
        <v>0</v>
      </c>
      <c r="W454" s="68">
        <f t="shared" si="95"/>
        <v>0</v>
      </c>
      <c r="X454" s="27"/>
      <c r="Y454" s="26"/>
      <c r="Z454" s="27"/>
      <c r="AA454" s="26"/>
      <c r="AB454" s="27"/>
      <c r="AC454" s="26"/>
      <c r="AD454" s="27"/>
      <c r="AE454" s="26"/>
      <c r="AF454" s="64">
        <f t="shared" si="96"/>
        <v>0</v>
      </c>
      <c r="AG454" s="65">
        <f t="shared" si="97"/>
        <v>0</v>
      </c>
      <c r="AH454" s="66">
        <f t="shared" si="98"/>
        <v>0</v>
      </c>
      <c r="AI454" s="66">
        <f t="shared" si="99"/>
        <v>0</v>
      </c>
      <c r="AJ454" s="27"/>
      <c r="AK454" s="26"/>
      <c r="AL454" s="64">
        <f t="shared" si="100"/>
        <v>0</v>
      </c>
      <c r="AM454" s="67">
        <f t="shared" si="101"/>
        <v>0</v>
      </c>
      <c r="AN454" s="27"/>
      <c r="AO454" s="26"/>
      <c r="AP454" s="27">
        <v>0</v>
      </c>
      <c r="AQ454" s="26"/>
      <c r="AR454" s="27">
        <v>0</v>
      </c>
      <c r="AS454" s="26"/>
      <c r="AT454" s="27">
        <v>0</v>
      </c>
      <c r="AU454" s="26"/>
      <c r="AV454" s="64">
        <f t="shared" si="102"/>
        <v>0</v>
      </c>
      <c r="AW454" s="70">
        <f t="shared" si="103"/>
        <v>0</v>
      </c>
      <c r="AX454" s="66">
        <f t="shared" si="104"/>
        <v>0</v>
      </c>
      <c r="AY454" s="71">
        <f t="shared" si="105"/>
        <v>0</v>
      </c>
      <c r="AZ454" s="72">
        <f t="shared" si="106"/>
        <v>350.73333333333335</v>
      </c>
      <c r="BA454" s="66">
        <f t="shared" si="107"/>
        <v>470.5</v>
      </c>
    </row>
    <row r="455" spans="1:53">
      <c r="A455" s="197" t="s">
        <v>606</v>
      </c>
      <c r="B455" s="198" t="s">
        <v>638</v>
      </c>
      <c r="C455" s="199"/>
      <c r="D455" s="200">
        <v>218955</v>
      </c>
      <c r="E455" s="200">
        <v>10</v>
      </c>
      <c r="F455" s="29" t="s">
        <v>75</v>
      </c>
      <c r="G455" s="16" t="s">
        <v>75</v>
      </c>
      <c r="H455" s="27"/>
      <c r="I455" s="26"/>
      <c r="J455" s="27">
        <v>5733.14</v>
      </c>
      <c r="K455" s="26">
        <v>5579</v>
      </c>
      <c r="L455" s="27">
        <v>2722.52</v>
      </c>
      <c r="M455" s="109">
        <v>2118</v>
      </c>
      <c r="N455" s="27">
        <v>6093.02</v>
      </c>
      <c r="O455" s="109">
        <v>5676</v>
      </c>
      <c r="P455" s="64">
        <f t="shared" si="90"/>
        <v>14548.68</v>
      </c>
      <c r="Q455" s="65">
        <f t="shared" si="91"/>
        <v>484.95600000000002</v>
      </c>
      <c r="R455" s="66">
        <f t="shared" si="92"/>
        <v>13373</v>
      </c>
      <c r="S455" s="67">
        <f t="shared" si="93"/>
        <v>445.76666666666665</v>
      </c>
      <c r="T455" s="27"/>
      <c r="U455" s="109">
        <v>3566</v>
      </c>
      <c r="V455" s="64">
        <f t="shared" si="94"/>
        <v>0</v>
      </c>
      <c r="W455" s="68">
        <f t="shared" si="95"/>
        <v>13373</v>
      </c>
      <c r="X455" s="27"/>
      <c r="Y455" s="26"/>
      <c r="Z455" s="27"/>
      <c r="AA455" s="26"/>
      <c r="AB455" s="27"/>
      <c r="AC455" s="26"/>
      <c r="AD455" s="27"/>
      <c r="AE455" s="26"/>
      <c r="AF455" s="64">
        <f t="shared" si="96"/>
        <v>0</v>
      </c>
      <c r="AG455" s="65">
        <f t="shared" si="97"/>
        <v>0</v>
      </c>
      <c r="AH455" s="66">
        <f t="shared" si="98"/>
        <v>0</v>
      </c>
      <c r="AI455" s="66">
        <f t="shared" si="99"/>
        <v>0</v>
      </c>
      <c r="AJ455" s="27"/>
      <c r="AK455" s="26"/>
      <c r="AL455" s="64">
        <f t="shared" si="100"/>
        <v>0</v>
      </c>
      <c r="AM455" s="67">
        <f t="shared" si="101"/>
        <v>0</v>
      </c>
      <c r="AN455" s="27"/>
      <c r="AO455" s="26"/>
      <c r="AP455" s="27">
        <v>0</v>
      </c>
      <c r="AQ455" s="26"/>
      <c r="AR455" s="27"/>
      <c r="AS455" s="26"/>
      <c r="AT455" s="27">
        <v>0</v>
      </c>
      <c r="AU455" s="26"/>
      <c r="AV455" s="64">
        <f t="shared" si="102"/>
        <v>0</v>
      </c>
      <c r="AW455" s="70">
        <f t="shared" si="103"/>
        <v>0</v>
      </c>
      <c r="AX455" s="66">
        <f t="shared" si="104"/>
        <v>0</v>
      </c>
      <c r="AY455" s="71">
        <f t="shared" si="105"/>
        <v>0</v>
      </c>
      <c r="AZ455" s="72">
        <f t="shared" si="106"/>
        <v>484.95600000000002</v>
      </c>
      <c r="BA455" s="66">
        <f t="shared" si="107"/>
        <v>445.76666666666665</v>
      </c>
    </row>
    <row r="456" spans="1:53" s="54" customFormat="1" ht="13.5" customHeight="1">
      <c r="A456" s="178" t="s">
        <v>468</v>
      </c>
      <c r="B456" s="179" t="s">
        <v>469</v>
      </c>
      <c r="C456" s="180"/>
      <c r="D456" s="181">
        <v>220862</v>
      </c>
      <c r="E456" s="181">
        <v>1</v>
      </c>
      <c r="F456" s="29" t="s">
        <v>75</v>
      </c>
      <c r="G456" s="16"/>
      <c r="H456" s="27"/>
      <c r="I456" s="26"/>
      <c r="J456" s="27">
        <v>192627</v>
      </c>
      <c r="K456" s="26">
        <v>188835</v>
      </c>
      <c r="L456" s="27">
        <v>24783</v>
      </c>
      <c r="M456" s="26">
        <v>25362</v>
      </c>
      <c r="N456" s="27">
        <v>203102</v>
      </c>
      <c r="O456" s="26">
        <v>211510</v>
      </c>
      <c r="P456" s="64">
        <f t="shared" si="90"/>
        <v>420512</v>
      </c>
      <c r="Q456" s="65">
        <f t="shared" si="91"/>
        <v>14017.066666666668</v>
      </c>
      <c r="R456" s="66">
        <f t="shared" si="92"/>
        <v>425707</v>
      </c>
      <c r="S456" s="67">
        <f t="shared" si="93"/>
        <v>14190.233333333334</v>
      </c>
      <c r="T456" s="27">
        <v>7128</v>
      </c>
      <c r="U456" s="26">
        <v>7127</v>
      </c>
      <c r="V456" s="64">
        <f t="shared" si="94"/>
        <v>420512</v>
      </c>
      <c r="W456" s="68">
        <f t="shared" si="95"/>
        <v>425707</v>
      </c>
      <c r="X456" s="27"/>
      <c r="Y456" s="26"/>
      <c r="Z456" s="27"/>
      <c r="AA456" s="26"/>
      <c r="AB456" s="27"/>
      <c r="AC456" s="26"/>
      <c r="AD456" s="27"/>
      <c r="AE456" s="26"/>
      <c r="AF456" s="64">
        <f t="shared" si="96"/>
        <v>0</v>
      </c>
      <c r="AG456" s="65">
        <f t="shared" si="97"/>
        <v>0</v>
      </c>
      <c r="AH456" s="66">
        <f t="shared" si="98"/>
        <v>0</v>
      </c>
      <c r="AI456" s="66">
        <f t="shared" si="99"/>
        <v>0</v>
      </c>
      <c r="AJ456" s="27"/>
      <c r="AK456" s="26"/>
      <c r="AL456" s="64">
        <f t="shared" si="100"/>
        <v>0</v>
      </c>
      <c r="AM456" s="67">
        <f t="shared" si="101"/>
        <v>0</v>
      </c>
      <c r="AN456" s="27"/>
      <c r="AO456" s="26"/>
      <c r="AP456" s="27">
        <v>29857</v>
      </c>
      <c r="AQ456" s="26">
        <v>29754</v>
      </c>
      <c r="AR456" s="27">
        <v>6677</v>
      </c>
      <c r="AS456" s="109">
        <v>7261</v>
      </c>
      <c r="AT456" s="27">
        <v>30863</v>
      </c>
      <c r="AU456" s="26">
        <v>31721</v>
      </c>
      <c r="AV456" s="64">
        <f t="shared" si="102"/>
        <v>67397</v>
      </c>
      <c r="AW456" s="70">
        <f t="shared" si="103"/>
        <v>2808.2083333333335</v>
      </c>
      <c r="AX456" s="66">
        <f t="shared" si="104"/>
        <v>68736</v>
      </c>
      <c r="AY456" s="71">
        <f t="shared" si="105"/>
        <v>2864</v>
      </c>
      <c r="AZ456" s="72">
        <f t="shared" si="106"/>
        <v>16825.275000000001</v>
      </c>
      <c r="BA456" s="66">
        <f t="shared" si="107"/>
        <v>17054.233333333334</v>
      </c>
    </row>
    <row r="457" spans="1:53">
      <c r="A457" s="178" t="s">
        <v>468</v>
      </c>
      <c r="B457" s="179" t="s">
        <v>470</v>
      </c>
      <c r="C457" s="180"/>
      <c r="D457" s="181">
        <v>221759</v>
      </c>
      <c r="E457" s="181">
        <v>1</v>
      </c>
      <c r="F457" s="29" t="s">
        <v>75</v>
      </c>
      <c r="G457" s="16"/>
      <c r="H457" s="27"/>
      <c r="I457" s="26"/>
      <c r="J457" s="27">
        <v>273543</v>
      </c>
      <c r="K457" s="26">
        <v>278726</v>
      </c>
      <c r="L457" s="27">
        <v>32679</v>
      </c>
      <c r="M457" s="26">
        <v>32936</v>
      </c>
      <c r="N457" s="27">
        <v>298997</v>
      </c>
      <c r="O457" s="26">
        <v>303627</v>
      </c>
      <c r="P457" s="64">
        <f t="shared" si="90"/>
        <v>605219</v>
      </c>
      <c r="Q457" s="65">
        <f t="shared" si="91"/>
        <v>20173.966666666667</v>
      </c>
      <c r="R457" s="66">
        <f t="shared" si="92"/>
        <v>615289</v>
      </c>
      <c r="S457" s="67">
        <f t="shared" si="93"/>
        <v>20509.633333333335</v>
      </c>
      <c r="T457" s="27">
        <v>108</v>
      </c>
      <c r="U457" s="109">
        <v>145</v>
      </c>
      <c r="V457" s="64">
        <f t="shared" si="94"/>
        <v>605219</v>
      </c>
      <c r="W457" s="68">
        <f t="shared" si="95"/>
        <v>615289</v>
      </c>
      <c r="X457" s="27"/>
      <c r="Y457" s="26"/>
      <c r="Z457" s="27"/>
      <c r="AA457" s="26"/>
      <c r="AB457" s="27"/>
      <c r="AC457" s="26"/>
      <c r="AD457" s="27"/>
      <c r="AE457" s="26"/>
      <c r="AF457" s="64">
        <f t="shared" si="96"/>
        <v>0</v>
      </c>
      <c r="AG457" s="65">
        <f t="shared" si="97"/>
        <v>0</v>
      </c>
      <c r="AH457" s="66">
        <f t="shared" si="98"/>
        <v>0</v>
      </c>
      <c r="AI457" s="66">
        <f t="shared" si="99"/>
        <v>0</v>
      </c>
      <c r="AJ457" s="27"/>
      <c r="AK457" s="26"/>
      <c r="AL457" s="64">
        <f t="shared" si="100"/>
        <v>0</v>
      </c>
      <c r="AM457" s="67">
        <f t="shared" si="101"/>
        <v>0</v>
      </c>
      <c r="AN457" s="27"/>
      <c r="AO457" s="26"/>
      <c r="AP457" s="27">
        <v>46459</v>
      </c>
      <c r="AQ457" s="26">
        <v>47593</v>
      </c>
      <c r="AR457" s="27">
        <v>16849</v>
      </c>
      <c r="AS457" s="26">
        <v>16180</v>
      </c>
      <c r="AT457" s="27">
        <v>51216</v>
      </c>
      <c r="AU457" s="26">
        <v>50168</v>
      </c>
      <c r="AV457" s="64">
        <f t="shared" si="102"/>
        <v>114524</v>
      </c>
      <c r="AW457" s="70">
        <f t="shared" si="103"/>
        <v>4771.833333333333</v>
      </c>
      <c r="AX457" s="66">
        <f t="shared" si="104"/>
        <v>113941</v>
      </c>
      <c r="AY457" s="71">
        <f t="shared" si="105"/>
        <v>4747.541666666667</v>
      </c>
      <c r="AZ457" s="72">
        <f t="shared" si="106"/>
        <v>24945.8</v>
      </c>
      <c r="BA457" s="66">
        <f t="shared" si="107"/>
        <v>25257.175000000003</v>
      </c>
    </row>
    <row r="458" spans="1:53">
      <c r="A458" s="178" t="s">
        <v>468</v>
      </c>
      <c r="B458" s="179" t="s">
        <v>471</v>
      </c>
      <c r="C458" s="182"/>
      <c r="D458" s="181">
        <v>220075</v>
      </c>
      <c r="E458" s="183">
        <v>2</v>
      </c>
      <c r="F458" s="29" t="s">
        <v>75</v>
      </c>
      <c r="G458" s="16"/>
      <c r="H458" s="27"/>
      <c r="I458" s="26"/>
      <c r="J458" s="27">
        <v>139935</v>
      </c>
      <c r="K458" s="26">
        <v>140826</v>
      </c>
      <c r="L458" s="27">
        <v>21399</v>
      </c>
      <c r="M458" s="109">
        <v>19131</v>
      </c>
      <c r="N458" s="27">
        <v>151606</v>
      </c>
      <c r="O458" s="26">
        <v>151190</v>
      </c>
      <c r="P458" s="64">
        <f t="shared" si="90"/>
        <v>312940</v>
      </c>
      <c r="Q458" s="65">
        <f t="shared" si="91"/>
        <v>10431.333333333334</v>
      </c>
      <c r="R458" s="66">
        <f t="shared" si="92"/>
        <v>311147</v>
      </c>
      <c r="S458" s="67">
        <f t="shared" si="93"/>
        <v>10371.566666666668</v>
      </c>
      <c r="T458" s="27">
        <v>1999</v>
      </c>
      <c r="U458" s="26">
        <v>1994</v>
      </c>
      <c r="V458" s="64">
        <f t="shared" si="94"/>
        <v>312940</v>
      </c>
      <c r="W458" s="68">
        <f t="shared" si="95"/>
        <v>311147</v>
      </c>
      <c r="X458" s="27"/>
      <c r="Y458" s="26"/>
      <c r="Z458" s="27"/>
      <c r="AA458" s="26"/>
      <c r="AB458" s="27"/>
      <c r="AC458" s="26"/>
      <c r="AD458" s="27"/>
      <c r="AE458" s="26"/>
      <c r="AF458" s="64">
        <f t="shared" si="96"/>
        <v>0</v>
      </c>
      <c r="AG458" s="65">
        <f t="shared" si="97"/>
        <v>0</v>
      </c>
      <c r="AH458" s="66">
        <f t="shared" si="98"/>
        <v>0</v>
      </c>
      <c r="AI458" s="66">
        <f t="shared" si="99"/>
        <v>0</v>
      </c>
      <c r="AJ458" s="27"/>
      <c r="AK458" s="26"/>
      <c r="AL458" s="64">
        <f t="shared" si="100"/>
        <v>0</v>
      </c>
      <c r="AM458" s="67">
        <f t="shared" si="101"/>
        <v>0</v>
      </c>
      <c r="AN458" s="27"/>
      <c r="AO458" s="26"/>
      <c r="AP458" s="27">
        <v>18358</v>
      </c>
      <c r="AQ458" s="26">
        <v>18902</v>
      </c>
      <c r="AR458" s="27">
        <v>8662</v>
      </c>
      <c r="AS458" s="26">
        <v>8854</v>
      </c>
      <c r="AT458" s="27">
        <v>19601</v>
      </c>
      <c r="AU458" s="26">
        <v>19538</v>
      </c>
      <c r="AV458" s="64">
        <f t="shared" si="102"/>
        <v>46621</v>
      </c>
      <c r="AW458" s="70">
        <f t="shared" si="103"/>
        <v>1942.5416666666667</v>
      </c>
      <c r="AX458" s="66">
        <f t="shared" si="104"/>
        <v>47294</v>
      </c>
      <c r="AY458" s="71">
        <f t="shared" si="105"/>
        <v>1970.5833333333333</v>
      </c>
      <c r="AZ458" s="72">
        <f t="shared" si="106"/>
        <v>12373.875</v>
      </c>
      <c r="BA458" s="66">
        <f t="shared" si="107"/>
        <v>12342.150000000001</v>
      </c>
    </row>
    <row r="459" spans="1:53">
      <c r="A459" s="178" t="s">
        <v>468</v>
      </c>
      <c r="B459" s="179" t="s">
        <v>472</v>
      </c>
      <c r="C459" s="182"/>
      <c r="D459" s="181">
        <v>221838</v>
      </c>
      <c r="E459" s="181">
        <v>2</v>
      </c>
      <c r="F459" s="29" t="s">
        <v>75</v>
      </c>
      <c r="G459" s="16"/>
      <c r="H459" s="27"/>
      <c r="I459" s="26"/>
      <c r="J459" s="27">
        <v>84198</v>
      </c>
      <c r="K459" s="26">
        <v>83833</v>
      </c>
      <c r="L459" s="27">
        <v>13081</v>
      </c>
      <c r="M459" s="26">
        <v>13400</v>
      </c>
      <c r="N459" s="27">
        <v>96959</v>
      </c>
      <c r="O459" s="26">
        <v>94189</v>
      </c>
      <c r="P459" s="64">
        <f t="shared" si="90"/>
        <v>194238</v>
      </c>
      <c r="Q459" s="65">
        <f t="shared" si="91"/>
        <v>6474.6</v>
      </c>
      <c r="R459" s="66">
        <f t="shared" si="92"/>
        <v>191422</v>
      </c>
      <c r="S459" s="67">
        <f t="shared" si="93"/>
        <v>6380.7333333333336</v>
      </c>
      <c r="T459" s="27"/>
      <c r="U459" s="26"/>
      <c r="V459" s="64">
        <f t="shared" si="94"/>
        <v>0</v>
      </c>
      <c r="W459" s="68">
        <f t="shared" si="95"/>
        <v>0</v>
      </c>
      <c r="X459" s="27"/>
      <c r="Y459" s="26"/>
      <c r="Z459" s="27"/>
      <c r="AA459" s="26"/>
      <c r="AB459" s="27"/>
      <c r="AC459" s="26"/>
      <c r="AD459" s="27"/>
      <c r="AE459" s="26"/>
      <c r="AF459" s="64">
        <f t="shared" si="96"/>
        <v>0</v>
      </c>
      <c r="AG459" s="65">
        <f t="shared" si="97"/>
        <v>0</v>
      </c>
      <c r="AH459" s="66">
        <f t="shared" si="98"/>
        <v>0</v>
      </c>
      <c r="AI459" s="66">
        <f t="shared" si="99"/>
        <v>0</v>
      </c>
      <c r="AJ459" s="27"/>
      <c r="AK459" s="26"/>
      <c r="AL459" s="64">
        <f t="shared" si="100"/>
        <v>0</v>
      </c>
      <c r="AM459" s="67">
        <f t="shared" si="101"/>
        <v>0</v>
      </c>
      <c r="AN459" s="27"/>
      <c r="AO459" s="26"/>
      <c r="AP459" s="27">
        <v>14252</v>
      </c>
      <c r="AQ459" s="109">
        <v>12934</v>
      </c>
      <c r="AR459" s="27">
        <v>5814</v>
      </c>
      <c r="AS459" s="109">
        <v>5341</v>
      </c>
      <c r="AT459" s="27">
        <v>14102</v>
      </c>
      <c r="AU459" s="109">
        <v>12748</v>
      </c>
      <c r="AV459" s="64">
        <f t="shared" si="102"/>
        <v>34168</v>
      </c>
      <c r="AW459" s="70">
        <f t="shared" si="103"/>
        <v>1423.6666666666667</v>
      </c>
      <c r="AX459" s="66">
        <f t="shared" si="104"/>
        <v>31023</v>
      </c>
      <c r="AY459" s="71">
        <f t="shared" si="105"/>
        <v>1292.625</v>
      </c>
      <c r="AZ459" s="72">
        <f t="shared" si="106"/>
        <v>7898.2666666666673</v>
      </c>
      <c r="BA459" s="66">
        <f t="shared" si="107"/>
        <v>7673.3583333333336</v>
      </c>
    </row>
    <row r="460" spans="1:53">
      <c r="A460" s="178" t="s">
        <v>468</v>
      </c>
      <c r="B460" s="179" t="s">
        <v>473</v>
      </c>
      <c r="C460" s="180"/>
      <c r="D460" s="181">
        <v>219602</v>
      </c>
      <c r="E460" s="181">
        <v>3</v>
      </c>
      <c r="F460" s="29" t="s">
        <v>75</v>
      </c>
      <c r="G460" s="16"/>
      <c r="H460" s="27"/>
      <c r="I460" s="26"/>
      <c r="J460" s="27">
        <v>101310</v>
      </c>
      <c r="K460" s="26">
        <v>105245</v>
      </c>
      <c r="L460" s="27">
        <v>19062</v>
      </c>
      <c r="M460" s="109">
        <v>17155</v>
      </c>
      <c r="N460" s="27">
        <v>114466</v>
      </c>
      <c r="O460" s="26">
        <v>119122</v>
      </c>
      <c r="P460" s="64">
        <f t="shared" si="90"/>
        <v>234838</v>
      </c>
      <c r="Q460" s="65">
        <f t="shared" si="91"/>
        <v>7827.9333333333334</v>
      </c>
      <c r="R460" s="66">
        <f t="shared" si="92"/>
        <v>241522</v>
      </c>
      <c r="S460" s="67">
        <f t="shared" si="93"/>
        <v>8050.7333333333336</v>
      </c>
      <c r="T460" s="27">
        <v>2464</v>
      </c>
      <c r="U460" s="109">
        <v>2838</v>
      </c>
      <c r="V460" s="64">
        <f t="shared" si="94"/>
        <v>234838</v>
      </c>
      <c r="W460" s="68">
        <f t="shared" si="95"/>
        <v>241522</v>
      </c>
      <c r="X460" s="27"/>
      <c r="Y460" s="26"/>
      <c r="Z460" s="27"/>
      <c r="AA460" s="26"/>
      <c r="AB460" s="27"/>
      <c r="AC460" s="26"/>
      <c r="AD460" s="27"/>
      <c r="AE460" s="26"/>
      <c r="AF460" s="64">
        <f t="shared" si="96"/>
        <v>0</v>
      </c>
      <c r="AG460" s="65">
        <f t="shared" si="97"/>
        <v>0</v>
      </c>
      <c r="AH460" s="66">
        <f t="shared" si="98"/>
        <v>0</v>
      </c>
      <c r="AI460" s="66">
        <f t="shared" si="99"/>
        <v>0</v>
      </c>
      <c r="AJ460" s="27"/>
      <c r="AK460" s="26"/>
      <c r="AL460" s="64">
        <f t="shared" si="100"/>
        <v>0</v>
      </c>
      <c r="AM460" s="67">
        <f t="shared" si="101"/>
        <v>0</v>
      </c>
      <c r="AN460" s="27"/>
      <c r="AO460" s="26"/>
      <c r="AP460" s="27">
        <v>5924</v>
      </c>
      <c r="AQ460" s="26">
        <v>6121</v>
      </c>
      <c r="AR460" s="27">
        <v>3007</v>
      </c>
      <c r="AS460" s="26">
        <v>2874</v>
      </c>
      <c r="AT460" s="27">
        <v>6589</v>
      </c>
      <c r="AU460" s="26">
        <v>6291</v>
      </c>
      <c r="AV460" s="64">
        <f t="shared" si="102"/>
        <v>15520</v>
      </c>
      <c r="AW460" s="70">
        <f t="shared" si="103"/>
        <v>646.66666666666663</v>
      </c>
      <c r="AX460" s="66">
        <f t="shared" si="104"/>
        <v>15286</v>
      </c>
      <c r="AY460" s="71">
        <f t="shared" si="105"/>
        <v>636.91666666666663</v>
      </c>
      <c r="AZ460" s="72">
        <f t="shared" si="106"/>
        <v>8474.6</v>
      </c>
      <c r="BA460" s="66">
        <f t="shared" si="107"/>
        <v>8687.65</v>
      </c>
    </row>
    <row r="461" spans="1:53" ht="15">
      <c r="A461" s="178" t="s">
        <v>468</v>
      </c>
      <c r="B461" s="179" t="s">
        <v>474</v>
      </c>
      <c r="C461" s="692" t="s">
        <v>976</v>
      </c>
      <c r="D461" s="181">
        <v>220978</v>
      </c>
      <c r="E461" s="181">
        <v>3</v>
      </c>
      <c r="F461" s="29" t="s">
        <v>75</v>
      </c>
      <c r="G461" s="16"/>
      <c r="H461" s="27"/>
      <c r="I461" s="26"/>
      <c r="J461" s="27">
        <v>238846</v>
      </c>
      <c r="K461" s="26">
        <v>233197</v>
      </c>
      <c r="L461" s="27">
        <v>38654</v>
      </c>
      <c r="M461" s="26">
        <v>38022</v>
      </c>
      <c r="N461" s="27">
        <v>255381</v>
      </c>
      <c r="O461" s="26">
        <v>252688</v>
      </c>
      <c r="P461" s="64">
        <f t="shared" si="90"/>
        <v>532881</v>
      </c>
      <c r="Q461" s="65">
        <f t="shared" si="91"/>
        <v>17762.7</v>
      </c>
      <c r="R461" s="66">
        <f t="shared" si="92"/>
        <v>523907</v>
      </c>
      <c r="S461" s="67">
        <f t="shared" si="93"/>
        <v>17463.566666666666</v>
      </c>
      <c r="T461" s="27">
        <v>2604</v>
      </c>
      <c r="U461" s="109">
        <v>5252</v>
      </c>
      <c r="V461" s="64">
        <f t="shared" si="94"/>
        <v>532881</v>
      </c>
      <c r="W461" s="68">
        <f t="shared" si="95"/>
        <v>523907</v>
      </c>
      <c r="X461" s="27"/>
      <c r="Y461" s="26"/>
      <c r="Z461" s="27"/>
      <c r="AA461" s="26"/>
      <c r="AB461" s="27"/>
      <c r="AC461" s="26"/>
      <c r="AD461" s="27"/>
      <c r="AE461" s="26"/>
      <c r="AF461" s="64">
        <f t="shared" si="96"/>
        <v>0</v>
      </c>
      <c r="AG461" s="65">
        <f t="shared" si="97"/>
        <v>0</v>
      </c>
      <c r="AH461" s="66">
        <f t="shared" si="98"/>
        <v>0</v>
      </c>
      <c r="AI461" s="66">
        <f t="shared" si="99"/>
        <v>0</v>
      </c>
      <c r="AJ461" s="27"/>
      <c r="AK461" s="26"/>
      <c r="AL461" s="64">
        <f t="shared" si="100"/>
        <v>0</v>
      </c>
      <c r="AM461" s="67">
        <f t="shared" si="101"/>
        <v>0</v>
      </c>
      <c r="AN461" s="27"/>
      <c r="AO461" s="26"/>
      <c r="AP461" s="27">
        <v>16255</v>
      </c>
      <c r="AQ461" s="26">
        <v>15722</v>
      </c>
      <c r="AR461" s="27">
        <v>7934</v>
      </c>
      <c r="AS461" s="109">
        <v>7510</v>
      </c>
      <c r="AT461" s="27">
        <v>16040</v>
      </c>
      <c r="AU461" s="26">
        <v>15977</v>
      </c>
      <c r="AV461" s="64">
        <f t="shared" si="102"/>
        <v>40229</v>
      </c>
      <c r="AW461" s="70">
        <f t="shared" si="103"/>
        <v>1676.2083333333333</v>
      </c>
      <c r="AX461" s="66">
        <f t="shared" si="104"/>
        <v>39209</v>
      </c>
      <c r="AY461" s="71">
        <f t="shared" si="105"/>
        <v>1633.7083333333333</v>
      </c>
      <c r="AZ461" s="72">
        <f t="shared" si="106"/>
        <v>19438.908333333333</v>
      </c>
      <c r="BA461" s="66">
        <f t="shared" si="107"/>
        <v>19097.274999999998</v>
      </c>
    </row>
    <row r="462" spans="1:53" ht="15">
      <c r="A462" s="178" t="s">
        <v>468</v>
      </c>
      <c r="B462" s="179" t="s">
        <v>475</v>
      </c>
      <c r="C462" s="692"/>
      <c r="D462" s="181">
        <v>221847</v>
      </c>
      <c r="E462" s="181">
        <v>3</v>
      </c>
      <c r="F462" s="29" t="s">
        <v>75</v>
      </c>
      <c r="G462" s="16"/>
      <c r="H462" s="27"/>
      <c r="I462" s="26"/>
      <c r="J462" s="27">
        <v>128227</v>
      </c>
      <c r="K462" s="26">
        <v>121917</v>
      </c>
      <c r="L462" s="27">
        <v>15869</v>
      </c>
      <c r="M462" s="109">
        <v>14200</v>
      </c>
      <c r="N462" s="27">
        <v>134398</v>
      </c>
      <c r="O462" s="26">
        <v>129601</v>
      </c>
      <c r="P462" s="64">
        <f t="shared" si="90"/>
        <v>278494</v>
      </c>
      <c r="Q462" s="65">
        <f t="shared" si="91"/>
        <v>9283.1333333333332</v>
      </c>
      <c r="R462" s="66">
        <f t="shared" si="92"/>
        <v>265718</v>
      </c>
      <c r="S462" s="67">
        <f t="shared" si="93"/>
        <v>8857.2666666666664</v>
      </c>
      <c r="T462" s="27">
        <v>540</v>
      </c>
      <c r="U462" s="109">
        <v>828</v>
      </c>
      <c r="V462" s="64">
        <f t="shared" si="94"/>
        <v>278494</v>
      </c>
      <c r="W462" s="68">
        <f t="shared" si="95"/>
        <v>265718</v>
      </c>
      <c r="X462" s="27"/>
      <c r="Y462" s="26"/>
      <c r="Z462" s="27"/>
      <c r="AA462" s="26"/>
      <c r="AB462" s="27"/>
      <c r="AC462" s="26"/>
      <c r="AD462" s="27"/>
      <c r="AE462" s="26"/>
      <c r="AF462" s="64">
        <f t="shared" si="96"/>
        <v>0</v>
      </c>
      <c r="AG462" s="65">
        <f t="shared" si="97"/>
        <v>0</v>
      </c>
      <c r="AH462" s="66">
        <f t="shared" si="98"/>
        <v>0</v>
      </c>
      <c r="AI462" s="66">
        <f t="shared" si="99"/>
        <v>0</v>
      </c>
      <c r="AJ462" s="27"/>
      <c r="AK462" s="26"/>
      <c r="AL462" s="64">
        <f t="shared" si="100"/>
        <v>0</v>
      </c>
      <c r="AM462" s="67">
        <f t="shared" si="101"/>
        <v>0</v>
      </c>
      <c r="AN462" s="27"/>
      <c r="AO462" s="26"/>
      <c r="AP462" s="27">
        <v>6803</v>
      </c>
      <c r="AQ462" s="109">
        <v>7345</v>
      </c>
      <c r="AR462" s="27">
        <v>3087</v>
      </c>
      <c r="AS462" s="26">
        <v>3125</v>
      </c>
      <c r="AT462" s="27">
        <v>7305</v>
      </c>
      <c r="AU462" s="109">
        <v>6819</v>
      </c>
      <c r="AV462" s="64">
        <f t="shared" si="102"/>
        <v>17195</v>
      </c>
      <c r="AW462" s="70">
        <f t="shared" si="103"/>
        <v>716.45833333333337</v>
      </c>
      <c r="AX462" s="66">
        <f t="shared" si="104"/>
        <v>17289</v>
      </c>
      <c r="AY462" s="71">
        <f t="shared" si="105"/>
        <v>720.375</v>
      </c>
      <c r="AZ462" s="72">
        <f t="shared" si="106"/>
        <v>9999.5916666666672</v>
      </c>
      <c r="BA462" s="66">
        <f t="shared" si="107"/>
        <v>9577.6416666666664</v>
      </c>
    </row>
    <row r="463" spans="1:53" ht="15">
      <c r="A463" s="178" t="s">
        <v>468</v>
      </c>
      <c r="B463" s="179" t="s">
        <v>476</v>
      </c>
      <c r="C463" s="692"/>
      <c r="D463" s="181">
        <v>221740</v>
      </c>
      <c r="E463" s="181">
        <v>3</v>
      </c>
      <c r="F463" s="29" t="s">
        <v>75</v>
      </c>
      <c r="G463" s="16"/>
      <c r="H463" s="27"/>
      <c r="I463" s="26"/>
      <c r="J463" s="27">
        <v>122831</v>
      </c>
      <c r="K463" s="26">
        <v>122748</v>
      </c>
      <c r="L463" s="27">
        <v>17827</v>
      </c>
      <c r="M463" s="109">
        <v>18865</v>
      </c>
      <c r="N463" s="27">
        <v>134957</v>
      </c>
      <c r="O463" s="26">
        <v>136347</v>
      </c>
      <c r="P463" s="64">
        <f t="shared" si="90"/>
        <v>275615</v>
      </c>
      <c r="Q463" s="65">
        <f t="shared" si="91"/>
        <v>9187.1666666666661</v>
      </c>
      <c r="R463" s="66">
        <f t="shared" si="92"/>
        <v>277960</v>
      </c>
      <c r="S463" s="67">
        <f t="shared" si="93"/>
        <v>9265.3333333333339</v>
      </c>
      <c r="T463" s="27">
        <v>128</v>
      </c>
      <c r="U463" s="109">
        <v>187</v>
      </c>
      <c r="V463" s="64">
        <f t="shared" si="94"/>
        <v>275615</v>
      </c>
      <c r="W463" s="68">
        <f t="shared" si="95"/>
        <v>277960</v>
      </c>
      <c r="X463" s="27"/>
      <c r="Y463" s="26"/>
      <c r="Z463" s="27"/>
      <c r="AA463" s="26"/>
      <c r="AB463" s="27"/>
      <c r="AC463" s="26"/>
      <c r="AD463" s="27"/>
      <c r="AE463" s="26"/>
      <c r="AF463" s="64">
        <f t="shared" si="96"/>
        <v>0</v>
      </c>
      <c r="AG463" s="65">
        <f t="shared" si="97"/>
        <v>0</v>
      </c>
      <c r="AH463" s="66">
        <f t="shared" si="98"/>
        <v>0</v>
      </c>
      <c r="AI463" s="66">
        <f t="shared" si="99"/>
        <v>0</v>
      </c>
      <c r="AJ463" s="27"/>
      <c r="AK463" s="26"/>
      <c r="AL463" s="64">
        <f t="shared" si="100"/>
        <v>0</v>
      </c>
      <c r="AM463" s="67">
        <f t="shared" si="101"/>
        <v>0</v>
      </c>
      <c r="AN463" s="27"/>
      <c r="AO463" s="26"/>
      <c r="AP463" s="27">
        <v>10023</v>
      </c>
      <c r="AQ463" s="26">
        <v>10059</v>
      </c>
      <c r="AR463" s="27">
        <v>4847</v>
      </c>
      <c r="AS463" s="109">
        <v>5250</v>
      </c>
      <c r="AT463" s="27">
        <v>10665</v>
      </c>
      <c r="AU463" s="109">
        <v>11274</v>
      </c>
      <c r="AV463" s="64">
        <f t="shared" si="102"/>
        <v>25535</v>
      </c>
      <c r="AW463" s="70">
        <f t="shared" si="103"/>
        <v>1063.9583333333333</v>
      </c>
      <c r="AX463" s="66">
        <f t="shared" si="104"/>
        <v>26583</v>
      </c>
      <c r="AY463" s="71">
        <f t="shared" si="105"/>
        <v>1107.625</v>
      </c>
      <c r="AZ463" s="72">
        <f t="shared" si="106"/>
        <v>10251.125</v>
      </c>
      <c r="BA463" s="66">
        <f t="shared" si="107"/>
        <v>10372.958333333334</v>
      </c>
    </row>
    <row r="464" spans="1:53" ht="15">
      <c r="A464" s="178" t="s">
        <v>468</v>
      </c>
      <c r="B464" s="179" t="s">
        <v>477</v>
      </c>
      <c r="C464" s="692"/>
      <c r="D464" s="181">
        <v>221768</v>
      </c>
      <c r="E464" s="181">
        <v>5</v>
      </c>
      <c r="F464" s="29" t="s">
        <v>75</v>
      </c>
      <c r="G464" s="16"/>
      <c r="H464" s="27"/>
      <c r="I464" s="26"/>
      <c r="J464" s="27">
        <v>83116</v>
      </c>
      <c r="K464" s="26">
        <v>79609</v>
      </c>
      <c r="L464" s="27">
        <v>10779</v>
      </c>
      <c r="M464" s="26">
        <v>10851</v>
      </c>
      <c r="N464" s="27">
        <v>86953</v>
      </c>
      <c r="O464" s="109">
        <v>81924</v>
      </c>
      <c r="P464" s="64">
        <f t="shared" si="90"/>
        <v>180848</v>
      </c>
      <c r="Q464" s="65">
        <f t="shared" si="91"/>
        <v>6028.2666666666664</v>
      </c>
      <c r="R464" s="66">
        <f t="shared" si="92"/>
        <v>172384</v>
      </c>
      <c r="S464" s="67">
        <f t="shared" si="93"/>
        <v>5746.1333333333332</v>
      </c>
      <c r="T464" s="27">
        <v>2288</v>
      </c>
      <c r="U464" s="109">
        <v>3863</v>
      </c>
      <c r="V464" s="64">
        <f t="shared" si="94"/>
        <v>180848</v>
      </c>
      <c r="W464" s="68">
        <f t="shared" si="95"/>
        <v>172384</v>
      </c>
      <c r="X464" s="27"/>
      <c r="Y464" s="26"/>
      <c r="Z464" s="27"/>
      <c r="AA464" s="26"/>
      <c r="AB464" s="27"/>
      <c r="AC464" s="26"/>
      <c r="AD464" s="27"/>
      <c r="AE464" s="26"/>
      <c r="AF464" s="64">
        <f t="shared" si="96"/>
        <v>0</v>
      </c>
      <c r="AG464" s="65">
        <f t="shared" si="97"/>
        <v>0</v>
      </c>
      <c r="AH464" s="66">
        <f t="shared" si="98"/>
        <v>0</v>
      </c>
      <c r="AI464" s="66">
        <f t="shared" si="99"/>
        <v>0</v>
      </c>
      <c r="AJ464" s="27"/>
      <c r="AK464" s="26"/>
      <c r="AL464" s="64">
        <f t="shared" si="100"/>
        <v>0</v>
      </c>
      <c r="AM464" s="67">
        <f t="shared" si="101"/>
        <v>0</v>
      </c>
      <c r="AN464" s="27"/>
      <c r="AO464" s="26"/>
      <c r="AP464" s="27">
        <v>2024</v>
      </c>
      <c r="AQ464" s="109">
        <v>2257</v>
      </c>
      <c r="AR464" s="27">
        <v>1582</v>
      </c>
      <c r="AS464" s="109">
        <v>1469</v>
      </c>
      <c r="AT464" s="27">
        <v>2307</v>
      </c>
      <c r="AU464" s="109">
        <v>2497</v>
      </c>
      <c r="AV464" s="64">
        <f t="shared" si="102"/>
        <v>5913</v>
      </c>
      <c r="AW464" s="70">
        <f t="shared" si="103"/>
        <v>246.375</v>
      </c>
      <c r="AX464" s="66">
        <f t="shared" si="104"/>
        <v>6223</v>
      </c>
      <c r="AY464" s="71">
        <f t="shared" si="105"/>
        <v>259.29166666666669</v>
      </c>
      <c r="AZ464" s="72">
        <f t="shared" si="106"/>
        <v>6274.6416666666664</v>
      </c>
      <c r="BA464" s="66">
        <f t="shared" si="107"/>
        <v>6005.4250000000002</v>
      </c>
    </row>
    <row r="465" spans="1:53" ht="15">
      <c r="A465" s="178" t="s">
        <v>468</v>
      </c>
      <c r="B465" s="179" t="s">
        <v>478</v>
      </c>
      <c r="C465" s="692"/>
      <c r="D465" s="181">
        <v>219824</v>
      </c>
      <c r="E465" s="181">
        <v>8</v>
      </c>
      <c r="F465" s="29" t="s">
        <v>75</v>
      </c>
      <c r="G465" s="16"/>
      <c r="H465" s="27"/>
      <c r="I465" s="26"/>
      <c r="J465" s="27">
        <v>79447</v>
      </c>
      <c r="K465" s="26">
        <v>76580</v>
      </c>
      <c r="L465" s="27">
        <v>15908</v>
      </c>
      <c r="M465" s="109">
        <v>13219</v>
      </c>
      <c r="N465" s="27">
        <v>92845</v>
      </c>
      <c r="O465" s="109">
        <v>86150</v>
      </c>
      <c r="P465" s="64">
        <f t="shared" si="90"/>
        <v>188200</v>
      </c>
      <c r="Q465" s="65">
        <f t="shared" si="91"/>
        <v>6273.333333333333</v>
      </c>
      <c r="R465" s="66">
        <f t="shared" si="92"/>
        <v>175949</v>
      </c>
      <c r="S465" s="67">
        <f t="shared" si="93"/>
        <v>5864.9666666666662</v>
      </c>
      <c r="T465" s="27">
        <v>13905</v>
      </c>
      <c r="U465" s="26">
        <v>13954</v>
      </c>
      <c r="V465" s="64">
        <f t="shared" si="94"/>
        <v>188200</v>
      </c>
      <c r="W465" s="68">
        <f t="shared" si="95"/>
        <v>175949</v>
      </c>
      <c r="X465" s="27"/>
      <c r="Y465" s="26"/>
      <c r="Z465" s="27"/>
      <c r="AA465" s="26"/>
      <c r="AB465" s="27"/>
      <c r="AC465" s="26"/>
      <c r="AD465" s="27"/>
      <c r="AE465" s="26"/>
      <c r="AF465" s="64">
        <f t="shared" si="96"/>
        <v>0</v>
      </c>
      <c r="AG465" s="65">
        <f t="shared" si="97"/>
        <v>0</v>
      </c>
      <c r="AH465" s="66">
        <f t="shared" si="98"/>
        <v>0</v>
      </c>
      <c r="AI465" s="66">
        <f t="shared" si="99"/>
        <v>0</v>
      </c>
      <c r="AJ465" s="27"/>
      <c r="AK465" s="26"/>
      <c r="AL465" s="64">
        <f t="shared" si="100"/>
        <v>0</v>
      </c>
      <c r="AM465" s="67">
        <f t="shared" si="101"/>
        <v>0</v>
      </c>
      <c r="AN465" s="27"/>
      <c r="AO465" s="26"/>
      <c r="AP465" s="27"/>
      <c r="AQ465" s="26"/>
      <c r="AR465" s="27"/>
      <c r="AS465" s="26"/>
      <c r="AT465" s="27"/>
      <c r="AU465" s="26"/>
      <c r="AV465" s="64">
        <f t="shared" si="102"/>
        <v>0</v>
      </c>
      <c r="AW465" s="70">
        <f t="shared" si="103"/>
        <v>0</v>
      </c>
      <c r="AX465" s="66">
        <f t="shared" si="104"/>
        <v>0</v>
      </c>
      <c r="AY465" s="71">
        <f t="shared" si="105"/>
        <v>0</v>
      </c>
      <c r="AZ465" s="72">
        <f t="shared" si="106"/>
        <v>6273.333333333333</v>
      </c>
      <c r="BA465" s="66">
        <f t="shared" si="107"/>
        <v>5864.9666666666662</v>
      </c>
    </row>
    <row r="466" spans="1:53" ht="15">
      <c r="A466" s="178" t="s">
        <v>468</v>
      </c>
      <c r="B466" s="179" t="s">
        <v>479</v>
      </c>
      <c r="C466" s="692"/>
      <c r="D466" s="181">
        <v>221184</v>
      </c>
      <c r="E466" s="181">
        <v>8</v>
      </c>
      <c r="F466" s="29" t="s">
        <v>75</v>
      </c>
      <c r="G466" s="16"/>
      <c r="H466" s="27"/>
      <c r="I466" s="26"/>
      <c r="J466" s="27">
        <v>86836</v>
      </c>
      <c r="K466" s="26">
        <v>84703</v>
      </c>
      <c r="L466" s="27">
        <v>18103</v>
      </c>
      <c r="M466" s="109">
        <v>15966</v>
      </c>
      <c r="N466" s="27">
        <v>94077</v>
      </c>
      <c r="O466" s="109">
        <v>83820</v>
      </c>
      <c r="P466" s="64">
        <f t="shared" si="90"/>
        <v>199016</v>
      </c>
      <c r="Q466" s="65">
        <f t="shared" si="91"/>
        <v>6633.8666666666668</v>
      </c>
      <c r="R466" s="66">
        <f t="shared" si="92"/>
        <v>184489</v>
      </c>
      <c r="S466" s="67">
        <f t="shared" si="93"/>
        <v>6149.6333333333332</v>
      </c>
      <c r="T466" s="27">
        <v>9553</v>
      </c>
      <c r="U466" s="26">
        <v>9255</v>
      </c>
      <c r="V466" s="64">
        <f t="shared" si="94"/>
        <v>199016</v>
      </c>
      <c r="W466" s="68">
        <f t="shared" si="95"/>
        <v>184489</v>
      </c>
      <c r="X466" s="27"/>
      <c r="Y466" s="26"/>
      <c r="Z466" s="27"/>
      <c r="AA466" s="26"/>
      <c r="AB466" s="27"/>
      <c r="AC466" s="26"/>
      <c r="AD466" s="27"/>
      <c r="AE466" s="26"/>
      <c r="AF466" s="64">
        <f t="shared" si="96"/>
        <v>0</v>
      </c>
      <c r="AG466" s="65">
        <f t="shared" si="97"/>
        <v>0</v>
      </c>
      <c r="AH466" s="66">
        <f t="shared" si="98"/>
        <v>0</v>
      </c>
      <c r="AI466" s="66">
        <f t="shared" si="99"/>
        <v>0</v>
      </c>
      <c r="AJ466" s="27"/>
      <c r="AK466" s="26"/>
      <c r="AL466" s="64">
        <f t="shared" si="100"/>
        <v>0</v>
      </c>
      <c r="AM466" s="67">
        <f t="shared" si="101"/>
        <v>0</v>
      </c>
      <c r="AN466" s="27"/>
      <c r="AO466" s="26"/>
      <c r="AP466" s="27"/>
      <c r="AQ466" s="26"/>
      <c r="AR466" s="27"/>
      <c r="AS466" s="26"/>
      <c r="AT466" s="27"/>
      <c r="AU466" s="26"/>
      <c r="AV466" s="64">
        <f t="shared" si="102"/>
        <v>0</v>
      </c>
      <c r="AW466" s="70">
        <f t="shared" si="103"/>
        <v>0</v>
      </c>
      <c r="AX466" s="66">
        <f t="shared" si="104"/>
        <v>0</v>
      </c>
      <c r="AY466" s="71">
        <f t="shared" si="105"/>
        <v>0</v>
      </c>
      <c r="AZ466" s="72">
        <f t="shared" si="106"/>
        <v>6633.8666666666668</v>
      </c>
      <c r="BA466" s="66">
        <f t="shared" si="107"/>
        <v>6149.6333333333332</v>
      </c>
    </row>
    <row r="467" spans="1:53" ht="15">
      <c r="A467" s="178" t="s">
        <v>468</v>
      </c>
      <c r="B467" s="179" t="s">
        <v>480</v>
      </c>
      <c r="C467" s="692"/>
      <c r="D467" s="181">
        <v>221643</v>
      </c>
      <c r="E467" s="181">
        <v>8</v>
      </c>
      <c r="F467" s="29" t="s">
        <v>75</v>
      </c>
      <c r="G467" s="16"/>
      <c r="H467" s="27"/>
      <c r="I467" s="26"/>
      <c r="J467" s="27">
        <v>89377</v>
      </c>
      <c r="K467" s="26">
        <v>88335</v>
      </c>
      <c r="L467" s="27">
        <v>18073</v>
      </c>
      <c r="M467" s="109">
        <v>16860</v>
      </c>
      <c r="N467" s="27">
        <v>101324</v>
      </c>
      <c r="O467" s="26">
        <v>99679</v>
      </c>
      <c r="P467" s="64">
        <f t="shared" si="90"/>
        <v>208774</v>
      </c>
      <c r="Q467" s="65">
        <f t="shared" si="91"/>
        <v>6959.1333333333332</v>
      </c>
      <c r="R467" s="66">
        <f t="shared" si="92"/>
        <v>204874</v>
      </c>
      <c r="S467" s="67">
        <f t="shared" si="93"/>
        <v>6829.1333333333332</v>
      </c>
      <c r="T467" s="27">
        <v>9438</v>
      </c>
      <c r="U467" s="26">
        <v>9883</v>
      </c>
      <c r="V467" s="64">
        <f t="shared" si="94"/>
        <v>208774</v>
      </c>
      <c r="W467" s="68">
        <f t="shared" si="95"/>
        <v>204874</v>
      </c>
      <c r="X467" s="27"/>
      <c r="Y467" s="26"/>
      <c r="Z467" s="27"/>
      <c r="AA467" s="26"/>
      <c r="AB467" s="27"/>
      <c r="AC467" s="26"/>
      <c r="AD467" s="27"/>
      <c r="AE467" s="26"/>
      <c r="AF467" s="64">
        <f t="shared" si="96"/>
        <v>0</v>
      </c>
      <c r="AG467" s="65">
        <f t="shared" si="97"/>
        <v>0</v>
      </c>
      <c r="AH467" s="66">
        <f t="shared" si="98"/>
        <v>0</v>
      </c>
      <c r="AI467" s="66">
        <f t="shared" si="99"/>
        <v>0</v>
      </c>
      <c r="AJ467" s="27"/>
      <c r="AK467" s="26"/>
      <c r="AL467" s="64">
        <f t="shared" si="100"/>
        <v>0</v>
      </c>
      <c r="AM467" s="67">
        <f t="shared" si="101"/>
        <v>0</v>
      </c>
      <c r="AN467" s="27"/>
      <c r="AO467" s="26"/>
      <c r="AP467" s="27"/>
      <c r="AQ467" s="26"/>
      <c r="AR467" s="27"/>
      <c r="AS467" s="26"/>
      <c r="AT467" s="27"/>
      <c r="AU467" s="26"/>
      <c r="AV467" s="64">
        <f t="shared" si="102"/>
        <v>0</v>
      </c>
      <c r="AW467" s="70">
        <f t="shared" si="103"/>
        <v>0</v>
      </c>
      <c r="AX467" s="66">
        <f t="shared" si="104"/>
        <v>0</v>
      </c>
      <c r="AY467" s="71">
        <f t="shared" si="105"/>
        <v>0</v>
      </c>
      <c r="AZ467" s="72">
        <f t="shared" si="106"/>
        <v>6959.1333333333332</v>
      </c>
      <c r="BA467" s="66">
        <f t="shared" si="107"/>
        <v>6829.1333333333332</v>
      </c>
    </row>
    <row r="468" spans="1:53" ht="15">
      <c r="A468" s="178" t="s">
        <v>468</v>
      </c>
      <c r="B468" s="179" t="s">
        <v>481</v>
      </c>
      <c r="C468" s="692"/>
      <c r="D468" s="181">
        <v>221485</v>
      </c>
      <c r="E468" s="181">
        <v>8</v>
      </c>
      <c r="F468" s="29" t="s">
        <v>75</v>
      </c>
      <c r="G468" s="16"/>
      <c r="H468" s="27"/>
      <c r="I468" s="26"/>
      <c r="J468" s="27">
        <v>83787</v>
      </c>
      <c r="K468" s="109">
        <v>72988</v>
      </c>
      <c r="L468" s="27">
        <v>20364</v>
      </c>
      <c r="M468" s="109">
        <v>17994</v>
      </c>
      <c r="N468" s="27">
        <v>92531</v>
      </c>
      <c r="O468" s="109">
        <v>84360</v>
      </c>
      <c r="P468" s="64">
        <f t="shared" si="90"/>
        <v>196682</v>
      </c>
      <c r="Q468" s="65">
        <f t="shared" si="91"/>
        <v>6556.0666666666666</v>
      </c>
      <c r="R468" s="66">
        <f t="shared" si="92"/>
        <v>175342</v>
      </c>
      <c r="S468" s="67">
        <f t="shared" si="93"/>
        <v>5844.7333333333336</v>
      </c>
      <c r="T468" s="27">
        <v>3609</v>
      </c>
      <c r="U468" s="26">
        <v>3550</v>
      </c>
      <c r="V468" s="64">
        <f t="shared" si="94"/>
        <v>196682</v>
      </c>
      <c r="W468" s="68">
        <f t="shared" si="95"/>
        <v>175342</v>
      </c>
      <c r="X468" s="27"/>
      <c r="Y468" s="26"/>
      <c r="Z468" s="27"/>
      <c r="AA468" s="26"/>
      <c r="AB468" s="27"/>
      <c r="AC468" s="26"/>
      <c r="AD468" s="27"/>
      <c r="AE468" s="26"/>
      <c r="AF468" s="64">
        <f t="shared" si="96"/>
        <v>0</v>
      </c>
      <c r="AG468" s="65">
        <f t="shared" si="97"/>
        <v>0</v>
      </c>
      <c r="AH468" s="66">
        <f t="shared" si="98"/>
        <v>0</v>
      </c>
      <c r="AI468" s="66">
        <f t="shared" si="99"/>
        <v>0</v>
      </c>
      <c r="AJ468" s="27"/>
      <c r="AK468" s="26"/>
      <c r="AL468" s="64">
        <f t="shared" si="100"/>
        <v>0</v>
      </c>
      <c r="AM468" s="67">
        <f t="shared" si="101"/>
        <v>0</v>
      </c>
      <c r="AN468" s="27"/>
      <c r="AO468" s="26"/>
      <c r="AP468" s="27"/>
      <c r="AQ468" s="26"/>
      <c r="AR468" s="27"/>
      <c r="AS468" s="26"/>
      <c r="AT468" s="27"/>
      <c r="AU468" s="26"/>
      <c r="AV468" s="64">
        <f t="shared" si="102"/>
        <v>0</v>
      </c>
      <c r="AW468" s="70">
        <f t="shared" si="103"/>
        <v>0</v>
      </c>
      <c r="AX468" s="66">
        <f t="shared" si="104"/>
        <v>0</v>
      </c>
      <c r="AY468" s="71">
        <f t="shared" si="105"/>
        <v>0</v>
      </c>
      <c r="AZ468" s="72">
        <f t="shared" si="106"/>
        <v>6556.0666666666666</v>
      </c>
      <c r="BA468" s="66">
        <f t="shared" si="107"/>
        <v>5844.7333333333336</v>
      </c>
    </row>
    <row r="469" spans="1:53" ht="15">
      <c r="A469" s="178" t="s">
        <v>468</v>
      </c>
      <c r="B469" s="179" t="s">
        <v>482</v>
      </c>
      <c r="C469" s="692"/>
      <c r="D469" s="181">
        <v>222053</v>
      </c>
      <c r="E469" s="181">
        <v>8</v>
      </c>
      <c r="F469" s="29" t="s">
        <v>75</v>
      </c>
      <c r="G469" s="16"/>
      <c r="H469" s="27"/>
      <c r="I469" s="26"/>
      <c r="J469" s="27">
        <v>63344</v>
      </c>
      <c r="K469" s="109">
        <v>68407</v>
      </c>
      <c r="L469" s="27">
        <v>13654</v>
      </c>
      <c r="M469" s="26">
        <v>13794</v>
      </c>
      <c r="N469" s="27">
        <v>81089</v>
      </c>
      <c r="O469" s="109">
        <v>88030</v>
      </c>
      <c r="P469" s="64">
        <f t="shared" si="90"/>
        <v>158087</v>
      </c>
      <c r="Q469" s="65">
        <f t="shared" si="91"/>
        <v>5269.5666666666666</v>
      </c>
      <c r="R469" s="66">
        <f t="shared" si="92"/>
        <v>170231</v>
      </c>
      <c r="S469" s="67">
        <f t="shared" si="93"/>
        <v>5674.3666666666668</v>
      </c>
      <c r="T469" s="27">
        <v>13767</v>
      </c>
      <c r="U469" s="109">
        <v>15299</v>
      </c>
      <c r="V469" s="64">
        <f t="shared" si="94"/>
        <v>158087</v>
      </c>
      <c r="W469" s="68">
        <f t="shared" si="95"/>
        <v>170231</v>
      </c>
      <c r="X469" s="27"/>
      <c r="Y469" s="26"/>
      <c r="Z469" s="27"/>
      <c r="AA469" s="26"/>
      <c r="AB469" s="27"/>
      <c r="AC469" s="26"/>
      <c r="AD469" s="27"/>
      <c r="AE469" s="26"/>
      <c r="AF469" s="64">
        <f t="shared" si="96"/>
        <v>0</v>
      </c>
      <c r="AG469" s="65">
        <f t="shared" si="97"/>
        <v>0</v>
      </c>
      <c r="AH469" s="66">
        <f t="shared" si="98"/>
        <v>0</v>
      </c>
      <c r="AI469" s="66">
        <f t="shared" si="99"/>
        <v>0</v>
      </c>
      <c r="AJ469" s="27"/>
      <c r="AK469" s="26"/>
      <c r="AL469" s="64">
        <f t="shared" si="100"/>
        <v>0</v>
      </c>
      <c r="AM469" s="67">
        <f t="shared" si="101"/>
        <v>0</v>
      </c>
      <c r="AN469" s="27"/>
      <c r="AO469" s="26"/>
      <c r="AP469" s="27"/>
      <c r="AQ469" s="26"/>
      <c r="AR469" s="27"/>
      <c r="AS469" s="26"/>
      <c r="AT469" s="27"/>
      <c r="AU469" s="26"/>
      <c r="AV469" s="64">
        <f t="shared" si="102"/>
        <v>0</v>
      </c>
      <c r="AW469" s="70">
        <f t="shared" si="103"/>
        <v>0</v>
      </c>
      <c r="AX469" s="66">
        <f t="shared" si="104"/>
        <v>0</v>
      </c>
      <c r="AY469" s="71">
        <f t="shared" si="105"/>
        <v>0</v>
      </c>
      <c r="AZ469" s="72">
        <f t="shared" si="106"/>
        <v>5269.5666666666666</v>
      </c>
      <c r="BA469" s="66">
        <f t="shared" si="107"/>
        <v>5674.3666666666668</v>
      </c>
    </row>
    <row r="470" spans="1:53" ht="15">
      <c r="A470" s="178" t="s">
        <v>468</v>
      </c>
      <c r="B470" s="179" t="s">
        <v>483</v>
      </c>
      <c r="C470" s="692"/>
      <c r="D470" s="181">
        <v>219879</v>
      </c>
      <c r="E470" s="181">
        <v>9</v>
      </c>
      <c r="F470" s="29" t="s">
        <v>75</v>
      </c>
      <c r="G470" s="16"/>
      <c r="H470" s="27"/>
      <c r="I470" s="26"/>
      <c r="J470" s="27">
        <v>29911</v>
      </c>
      <c r="K470" s="26">
        <v>29775</v>
      </c>
      <c r="L470" s="27">
        <v>4294</v>
      </c>
      <c r="M470" s="109">
        <v>5463</v>
      </c>
      <c r="N470" s="27">
        <v>36188</v>
      </c>
      <c r="O470" s="109">
        <v>34231</v>
      </c>
      <c r="P470" s="64">
        <f t="shared" si="90"/>
        <v>70393</v>
      </c>
      <c r="Q470" s="65">
        <f t="shared" si="91"/>
        <v>2346.4333333333334</v>
      </c>
      <c r="R470" s="66">
        <f t="shared" si="92"/>
        <v>69469</v>
      </c>
      <c r="S470" s="67">
        <f t="shared" si="93"/>
        <v>2315.6333333333332</v>
      </c>
      <c r="T470" s="27">
        <v>7066</v>
      </c>
      <c r="U470" s="109">
        <v>7511</v>
      </c>
      <c r="V470" s="64">
        <f t="shared" si="94"/>
        <v>70393</v>
      </c>
      <c r="W470" s="68">
        <f t="shared" si="95"/>
        <v>69469</v>
      </c>
      <c r="X470" s="27"/>
      <c r="Y470" s="26"/>
      <c r="Z470" s="27"/>
      <c r="AA470" s="26"/>
      <c r="AB470" s="27"/>
      <c r="AC470" s="26"/>
      <c r="AD470" s="27"/>
      <c r="AE470" s="26"/>
      <c r="AF470" s="64">
        <f t="shared" si="96"/>
        <v>0</v>
      </c>
      <c r="AG470" s="65">
        <f t="shared" si="97"/>
        <v>0</v>
      </c>
      <c r="AH470" s="66">
        <f t="shared" si="98"/>
        <v>0</v>
      </c>
      <c r="AI470" s="66">
        <f t="shared" si="99"/>
        <v>0</v>
      </c>
      <c r="AJ470" s="27"/>
      <c r="AK470" s="26"/>
      <c r="AL470" s="64">
        <f t="shared" si="100"/>
        <v>0</v>
      </c>
      <c r="AM470" s="67">
        <f t="shared" si="101"/>
        <v>0</v>
      </c>
      <c r="AN470" s="27"/>
      <c r="AO470" s="26"/>
      <c r="AP470" s="27"/>
      <c r="AQ470" s="26"/>
      <c r="AR470" s="27"/>
      <c r="AS470" s="26"/>
      <c r="AT470" s="27"/>
      <c r="AU470" s="26"/>
      <c r="AV470" s="64">
        <f t="shared" si="102"/>
        <v>0</v>
      </c>
      <c r="AW470" s="70">
        <f t="shared" si="103"/>
        <v>0</v>
      </c>
      <c r="AX470" s="66">
        <f t="shared" si="104"/>
        <v>0</v>
      </c>
      <c r="AY470" s="71">
        <f t="shared" si="105"/>
        <v>0</v>
      </c>
      <c r="AZ470" s="72">
        <f t="shared" si="106"/>
        <v>2346.4333333333334</v>
      </c>
      <c r="BA470" s="66">
        <f t="shared" si="107"/>
        <v>2315.6333333333332</v>
      </c>
    </row>
    <row r="471" spans="1:53" ht="15">
      <c r="A471" s="178" t="s">
        <v>468</v>
      </c>
      <c r="B471" s="179" t="s">
        <v>484</v>
      </c>
      <c r="C471" s="692"/>
      <c r="D471" s="181">
        <v>219888</v>
      </c>
      <c r="E471" s="181">
        <v>9</v>
      </c>
      <c r="F471" s="29" t="s">
        <v>75</v>
      </c>
      <c r="G471" s="16"/>
      <c r="H471" s="27"/>
      <c r="I471" s="26"/>
      <c r="J471" s="27">
        <v>43166</v>
      </c>
      <c r="K471" s="109">
        <v>45825</v>
      </c>
      <c r="L471" s="27">
        <v>7964</v>
      </c>
      <c r="M471" s="26">
        <v>8352</v>
      </c>
      <c r="N471" s="27">
        <v>54512</v>
      </c>
      <c r="O471" s="109">
        <v>57238</v>
      </c>
      <c r="P471" s="64">
        <f t="shared" si="90"/>
        <v>105642</v>
      </c>
      <c r="Q471" s="65">
        <f t="shared" si="91"/>
        <v>3521.4</v>
      </c>
      <c r="R471" s="66">
        <f t="shared" si="92"/>
        <v>111415</v>
      </c>
      <c r="S471" s="67">
        <f t="shared" si="93"/>
        <v>3713.8333333333335</v>
      </c>
      <c r="T471" s="27">
        <v>6980</v>
      </c>
      <c r="U471" s="109">
        <v>7990</v>
      </c>
      <c r="V471" s="64">
        <f t="shared" si="94"/>
        <v>105642</v>
      </c>
      <c r="W471" s="68">
        <f t="shared" si="95"/>
        <v>111415</v>
      </c>
      <c r="X471" s="27"/>
      <c r="Y471" s="26"/>
      <c r="Z471" s="27"/>
      <c r="AA471" s="26"/>
      <c r="AB471" s="27"/>
      <c r="AC471" s="26"/>
      <c r="AD471" s="27"/>
      <c r="AE471" s="26"/>
      <c r="AF471" s="64">
        <f t="shared" si="96"/>
        <v>0</v>
      </c>
      <c r="AG471" s="65">
        <f t="shared" si="97"/>
        <v>0</v>
      </c>
      <c r="AH471" s="66">
        <f t="shared" si="98"/>
        <v>0</v>
      </c>
      <c r="AI471" s="66">
        <f t="shared" si="99"/>
        <v>0</v>
      </c>
      <c r="AJ471" s="27"/>
      <c r="AK471" s="26"/>
      <c r="AL471" s="64">
        <f t="shared" si="100"/>
        <v>0</v>
      </c>
      <c r="AM471" s="67">
        <f t="shared" si="101"/>
        <v>0</v>
      </c>
      <c r="AN471" s="27"/>
      <c r="AO471" s="26"/>
      <c r="AP471" s="27"/>
      <c r="AQ471" s="26"/>
      <c r="AR471" s="27"/>
      <c r="AS471" s="26"/>
      <c r="AT471" s="27"/>
      <c r="AU471" s="26"/>
      <c r="AV471" s="64">
        <f t="shared" si="102"/>
        <v>0</v>
      </c>
      <c r="AW471" s="70">
        <f t="shared" si="103"/>
        <v>0</v>
      </c>
      <c r="AX471" s="66">
        <f t="shared" si="104"/>
        <v>0</v>
      </c>
      <c r="AY471" s="71">
        <f t="shared" si="105"/>
        <v>0</v>
      </c>
      <c r="AZ471" s="72">
        <f t="shared" si="106"/>
        <v>3521.4</v>
      </c>
      <c r="BA471" s="66">
        <f t="shared" si="107"/>
        <v>3713.8333333333335</v>
      </c>
    </row>
    <row r="472" spans="1:53" ht="15">
      <c r="A472" s="178" t="s">
        <v>468</v>
      </c>
      <c r="B472" s="179" t="s">
        <v>485</v>
      </c>
      <c r="C472" s="701" t="s">
        <v>964</v>
      </c>
      <c r="D472" s="181">
        <v>220057</v>
      </c>
      <c r="E472" s="183">
        <v>10</v>
      </c>
      <c r="F472" s="29" t="s">
        <v>75</v>
      </c>
      <c r="G472" s="16"/>
      <c r="H472" s="27"/>
      <c r="I472" s="26"/>
      <c r="J472" s="27">
        <v>21837</v>
      </c>
      <c r="K472" s="26">
        <v>22101</v>
      </c>
      <c r="L472" s="27">
        <v>2539</v>
      </c>
      <c r="M472" s="109">
        <v>2873</v>
      </c>
      <c r="N472" s="27">
        <v>25353</v>
      </c>
      <c r="O472" s="26">
        <v>25408</v>
      </c>
      <c r="P472" s="64">
        <f t="shared" si="90"/>
        <v>49729</v>
      </c>
      <c r="Q472" s="65">
        <f t="shared" si="91"/>
        <v>1657.6333333333334</v>
      </c>
      <c r="R472" s="66">
        <f t="shared" si="92"/>
        <v>50382</v>
      </c>
      <c r="S472" s="67">
        <f t="shared" si="93"/>
        <v>1679.4</v>
      </c>
      <c r="T472" s="27">
        <v>7262</v>
      </c>
      <c r="U472" s="26">
        <v>7284</v>
      </c>
      <c r="V472" s="64">
        <f t="shared" si="94"/>
        <v>49729</v>
      </c>
      <c r="W472" s="68">
        <f t="shared" si="95"/>
        <v>50382</v>
      </c>
      <c r="X472" s="27"/>
      <c r="Y472" s="26"/>
      <c r="Z472" s="27"/>
      <c r="AA472" s="26"/>
      <c r="AB472" s="27"/>
      <c r="AC472" s="26"/>
      <c r="AD472" s="27"/>
      <c r="AE472" s="26"/>
      <c r="AF472" s="64">
        <f t="shared" si="96"/>
        <v>0</v>
      </c>
      <c r="AG472" s="65">
        <f t="shared" si="97"/>
        <v>0</v>
      </c>
      <c r="AH472" s="66">
        <f t="shared" si="98"/>
        <v>0</v>
      </c>
      <c r="AI472" s="66">
        <f t="shared" si="99"/>
        <v>0</v>
      </c>
      <c r="AJ472" s="27"/>
      <c r="AK472" s="26"/>
      <c r="AL472" s="64">
        <f t="shared" si="100"/>
        <v>0</v>
      </c>
      <c r="AM472" s="67">
        <f t="shared" si="101"/>
        <v>0</v>
      </c>
      <c r="AN472" s="27"/>
      <c r="AO472" s="26"/>
      <c r="AP472" s="27"/>
      <c r="AQ472" s="26"/>
      <c r="AR472" s="27"/>
      <c r="AS472" s="26"/>
      <c r="AT472" s="27"/>
      <c r="AU472" s="26"/>
      <c r="AV472" s="64">
        <f t="shared" si="102"/>
        <v>0</v>
      </c>
      <c r="AW472" s="70">
        <f t="shared" si="103"/>
        <v>0</v>
      </c>
      <c r="AX472" s="66">
        <f t="shared" si="104"/>
        <v>0</v>
      </c>
      <c r="AY472" s="71">
        <f t="shared" si="105"/>
        <v>0</v>
      </c>
      <c r="AZ472" s="72">
        <f t="shared" si="106"/>
        <v>1657.6333333333334</v>
      </c>
      <c r="BA472" s="66">
        <f t="shared" si="107"/>
        <v>1679.4</v>
      </c>
    </row>
    <row r="473" spans="1:53" ht="15">
      <c r="A473" s="178" t="s">
        <v>468</v>
      </c>
      <c r="B473" s="179" t="s">
        <v>486</v>
      </c>
      <c r="C473" s="692"/>
      <c r="D473" s="181">
        <v>220400</v>
      </c>
      <c r="E473" s="181">
        <v>9</v>
      </c>
      <c r="F473" s="29" t="s">
        <v>75</v>
      </c>
      <c r="G473" s="16"/>
      <c r="H473" s="27"/>
      <c r="I473" s="26"/>
      <c r="J473" s="27">
        <v>37729</v>
      </c>
      <c r="K473" s="26">
        <v>38966</v>
      </c>
      <c r="L473" s="27">
        <v>6240</v>
      </c>
      <c r="M473" s="109">
        <v>5838</v>
      </c>
      <c r="N473" s="27">
        <v>43604</v>
      </c>
      <c r="O473" s="26">
        <v>44519</v>
      </c>
      <c r="P473" s="64">
        <f t="shared" si="90"/>
        <v>87573</v>
      </c>
      <c r="Q473" s="65">
        <f t="shared" si="91"/>
        <v>2919.1</v>
      </c>
      <c r="R473" s="66">
        <f t="shared" si="92"/>
        <v>89323</v>
      </c>
      <c r="S473" s="67">
        <f t="shared" si="93"/>
        <v>2977.4333333333334</v>
      </c>
      <c r="T473" s="27">
        <v>13486</v>
      </c>
      <c r="U473" s="109">
        <v>12195</v>
      </c>
      <c r="V473" s="64">
        <f t="shared" si="94"/>
        <v>87573</v>
      </c>
      <c r="W473" s="68">
        <f t="shared" si="95"/>
        <v>89323</v>
      </c>
      <c r="X473" s="27"/>
      <c r="Y473" s="26"/>
      <c r="Z473" s="27"/>
      <c r="AA473" s="26"/>
      <c r="AB473" s="27"/>
      <c r="AC473" s="26"/>
      <c r="AD473" s="27"/>
      <c r="AE473" s="26"/>
      <c r="AF473" s="64">
        <f t="shared" si="96"/>
        <v>0</v>
      </c>
      <c r="AG473" s="65">
        <f t="shared" si="97"/>
        <v>0</v>
      </c>
      <c r="AH473" s="66">
        <f t="shared" si="98"/>
        <v>0</v>
      </c>
      <c r="AI473" s="66">
        <f t="shared" si="99"/>
        <v>0</v>
      </c>
      <c r="AJ473" s="27"/>
      <c r="AK473" s="26"/>
      <c r="AL473" s="64">
        <f t="shared" si="100"/>
        <v>0</v>
      </c>
      <c r="AM473" s="67">
        <f t="shared" si="101"/>
        <v>0</v>
      </c>
      <c r="AN473" s="27"/>
      <c r="AO473" s="26"/>
      <c r="AP473" s="27"/>
      <c r="AQ473" s="26"/>
      <c r="AR473" s="27"/>
      <c r="AS473" s="26"/>
      <c r="AT473" s="27"/>
      <c r="AU473" s="26"/>
      <c r="AV473" s="64">
        <f t="shared" si="102"/>
        <v>0</v>
      </c>
      <c r="AW473" s="70">
        <f t="shared" si="103"/>
        <v>0</v>
      </c>
      <c r="AX473" s="66">
        <f t="shared" si="104"/>
        <v>0</v>
      </c>
      <c r="AY473" s="71">
        <f t="shared" si="105"/>
        <v>0</v>
      </c>
      <c r="AZ473" s="72">
        <f t="shared" si="106"/>
        <v>2919.1</v>
      </c>
      <c r="BA473" s="66">
        <f t="shared" si="107"/>
        <v>2977.4333333333334</v>
      </c>
    </row>
    <row r="474" spans="1:53">
      <c r="A474" s="178" t="s">
        <v>468</v>
      </c>
      <c r="B474" s="179" t="s">
        <v>487</v>
      </c>
      <c r="C474" s="180"/>
      <c r="D474" s="181">
        <v>221096</v>
      </c>
      <c r="E474" s="181">
        <v>9</v>
      </c>
      <c r="F474" s="29" t="s">
        <v>75</v>
      </c>
      <c r="G474" s="16"/>
      <c r="H474" s="27"/>
      <c r="I474" s="26"/>
      <c r="J474" s="27">
        <v>39996</v>
      </c>
      <c r="K474" s="109">
        <v>47593</v>
      </c>
      <c r="L474" s="27">
        <v>7103</v>
      </c>
      <c r="M474" s="109">
        <v>8139</v>
      </c>
      <c r="N474" s="27">
        <v>54809</v>
      </c>
      <c r="O474" s="109">
        <v>62280</v>
      </c>
      <c r="P474" s="64">
        <f t="shared" si="90"/>
        <v>101908</v>
      </c>
      <c r="Q474" s="65">
        <f t="shared" si="91"/>
        <v>3396.9333333333334</v>
      </c>
      <c r="R474" s="66">
        <f t="shared" si="92"/>
        <v>118012</v>
      </c>
      <c r="S474" s="67">
        <f t="shared" si="93"/>
        <v>3933.7333333333331</v>
      </c>
      <c r="T474" s="27">
        <v>6777</v>
      </c>
      <c r="U474" s="109">
        <v>7584</v>
      </c>
      <c r="V474" s="64">
        <f t="shared" si="94"/>
        <v>101908</v>
      </c>
      <c r="W474" s="68">
        <f t="shared" si="95"/>
        <v>118012</v>
      </c>
      <c r="X474" s="27"/>
      <c r="Y474" s="26"/>
      <c r="Z474" s="27"/>
      <c r="AA474" s="26"/>
      <c r="AB474" s="27"/>
      <c r="AC474" s="26"/>
      <c r="AD474" s="27"/>
      <c r="AE474" s="26"/>
      <c r="AF474" s="64">
        <f t="shared" si="96"/>
        <v>0</v>
      </c>
      <c r="AG474" s="65">
        <f t="shared" si="97"/>
        <v>0</v>
      </c>
      <c r="AH474" s="66">
        <f t="shared" si="98"/>
        <v>0</v>
      </c>
      <c r="AI474" s="66">
        <f t="shared" si="99"/>
        <v>0</v>
      </c>
      <c r="AJ474" s="27"/>
      <c r="AK474" s="26"/>
      <c r="AL474" s="64">
        <f t="shared" si="100"/>
        <v>0</v>
      </c>
      <c r="AM474" s="67">
        <f t="shared" si="101"/>
        <v>0</v>
      </c>
      <c r="AN474" s="27"/>
      <c r="AO474" s="26"/>
      <c r="AP474" s="27"/>
      <c r="AQ474" s="26"/>
      <c r="AR474" s="27"/>
      <c r="AS474" s="26"/>
      <c r="AT474" s="27"/>
      <c r="AU474" s="26"/>
      <c r="AV474" s="64">
        <f t="shared" si="102"/>
        <v>0</v>
      </c>
      <c r="AW474" s="70">
        <f t="shared" si="103"/>
        <v>0</v>
      </c>
      <c r="AX474" s="66">
        <f t="shared" si="104"/>
        <v>0</v>
      </c>
      <c r="AY474" s="71">
        <f t="shared" si="105"/>
        <v>0</v>
      </c>
      <c r="AZ474" s="72">
        <f t="shared" si="106"/>
        <v>3396.9333333333334</v>
      </c>
      <c r="BA474" s="66">
        <f t="shared" si="107"/>
        <v>3933.7333333333331</v>
      </c>
    </row>
    <row r="475" spans="1:53">
      <c r="A475" s="178" t="s">
        <v>468</v>
      </c>
      <c r="B475" s="179" t="s">
        <v>488</v>
      </c>
      <c r="C475" s="180"/>
      <c r="D475" s="181">
        <v>221908</v>
      </c>
      <c r="E475" s="181">
        <v>9</v>
      </c>
      <c r="F475" s="29" t="s">
        <v>75</v>
      </c>
      <c r="G475" s="16"/>
      <c r="H475" s="27"/>
      <c r="I475" s="26"/>
      <c r="J475" s="27">
        <v>51666</v>
      </c>
      <c r="K475" s="109">
        <v>54914</v>
      </c>
      <c r="L475" s="27">
        <v>7290</v>
      </c>
      <c r="M475" s="26">
        <v>7402</v>
      </c>
      <c r="N475" s="27">
        <v>63229</v>
      </c>
      <c r="O475" s="26">
        <v>63757</v>
      </c>
      <c r="P475" s="64">
        <f t="shared" si="90"/>
        <v>122185</v>
      </c>
      <c r="Q475" s="65">
        <f t="shared" si="91"/>
        <v>4072.8333333333335</v>
      </c>
      <c r="R475" s="66">
        <f t="shared" si="92"/>
        <v>126073</v>
      </c>
      <c r="S475" s="67">
        <f t="shared" si="93"/>
        <v>4202.4333333333334</v>
      </c>
      <c r="T475" s="27">
        <v>7262</v>
      </c>
      <c r="U475" s="109">
        <v>8851</v>
      </c>
      <c r="V475" s="64">
        <f t="shared" si="94"/>
        <v>122185</v>
      </c>
      <c r="W475" s="68">
        <f t="shared" si="95"/>
        <v>126073</v>
      </c>
      <c r="X475" s="27"/>
      <c r="Y475" s="26"/>
      <c r="Z475" s="27"/>
      <c r="AA475" s="26"/>
      <c r="AB475" s="27"/>
      <c r="AC475" s="26"/>
      <c r="AD475" s="27"/>
      <c r="AE475" s="26"/>
      <c r="AF475" s="64">
        <f t="shared" si="96"/>
        <v>0</v>
      </c>
      <c r="AG475" s="65">
        <f t="shared" si="97"/>
        <v>0</v>
      </c>
      <c r="AH475" s="66">
        <f t="shared" si="98"/>
        <v>0</v>
      </c>
      <c r="AI475" s="66">
        <f t="shared" si="99"/>
        <v>0</v>
      </c>
      <c r="AJ475" s="27"/>
      <c r="AK475" s="26"/>
      <c r="AL475" s="64">
        <f t="shared" si="100"/>
        <v>0</v>
      </c>
      <c r="AM475" s="67">
        <f t="shared" si="101"/>
        <v>0</v>
      </c>
      <c r="AN475" s="27"/>
      <c r="AO475" s="26"/>
      <c r="AP475" s="27"/>
      <c r="AQ475" s="26"/>
      <c r="AR475" s="27"/>
      <c r="AS475" s="26"/>
      <c r="AT475" s="27"/>
      <c r="AU475" s="26"/>
      <c r="AV475" s="64">
        <f t="shared" si="102"/>
        <v>0</v>
      </c>
      <c r="AW475" s="70">
        <f t="shared" si="103"/>
        <v>0</v>
      </c>
      <c r="AX475" s="66">
        <f t="shared" si="104"/>
        <v>0</v>
      </c>
      <c r="AY475" s="71">
        <f t="shared" si="105"/>
        <v>0</v>
      </c>
      <c r="AZ475" s="72">
        <f t="shared" si="106"/>
        <v>4072.8333333333335</v>
      </c>
      <c r="BA475" s="66">
        <f t="shared" si="107"/>
        <v>4202.4333333333334</v>
      </c>
    </row>
    <row r="476" spans="1:53">
      <c r="A476" s="184" t="s">
        <v>468</v>
      </c>
      <c r="B476" s="179" t="s">
        <v>489</v>
      </c>
      <c r="C476" s="180"/>
      <c r="D476" s="181">
        <v>221397</v>
      </c>
      <c r="E476" s="181">
        <v>9</v>
      </c>
      <c r="F476" s="29" t="s">
        <v>75</v>
      </c>
      <c r="G476" s="16"/>
      <c r="H476" s="27"/>
      <c r="I476" s="26"/>
      <c r="J476" s="27">
        <v>50149</v>
      </c>
      <c r="K476" s="26">
        <v>50295</v>
      </c>
      <c r="L476" s="27">
        <v>6787</v>
      </c>
      <c r="M476" s="109">
        <v>6407</v>
      </c>
      <c r="N476" s="27">
        <v>58360</v>
      </c>
      <c r="O476" s="26">
        <v>56821</v>
      </c>
      <c r="P476" s="64">
        <f t="shared" si="90"/>
        <v>115296</v>
      </c>
      <c r="Q476" s="65">
        <f t="shared" si="91"/>
        <v>3843.2</v>
      </c>
      <c r="R476" s="66">
        <f t="shared" si="92"/>
        <v>113523</v>
      </c>
      <c r="S476" s="67">
        <f t="shared" si="93"/>
        <v>3784.1</v>
      </c>
      <c r="T476" s="27">
        <v>11131</v>
      </c>
      <c r="U476" s="109">
        <v>12053</v>
      </c>
      <c r="V476" s="64">
        <f t="shared" si="94"/>
        <v>115296</v>
      </c>
      <c r="W476" s="68">
        <f t="shared" si="95"/>
        <v>113523</v>
      </c>
      <c r="X476" s="27"/>
      <c r="Y476" s="26"/>
      <c r="Z476" s="27"/>
      <c r="AA476" s="26"/>
      <c r="AB476" s="27"/>
      <c r="AC476" s="26"/>
      <c r="AD476" s="27"/>
      <c r="AE476" s="26"/>
      <c r="AF476" s="64">
        <f t="shared" si="96"/>
        <v>0</v>
      </c>
      <c r="AG476" s="65">
        <f t="shared" si="97"/>
        <v>0</v>
      </c>
      <c r="AH476" s="66">
        <f t="shared" si="98"/>
        <v>0</v>
      </c>
      <c r="AI476" s="66">
        <f t="shared" si="99"/>
        <v>0</v>
      </c>
      <c r="AJ476" s="27"/>
      <c r="AK476" s="26"/>
      <c r="AL476" s="64">
        <f t="shared" si="100"/>
        <v>0</v>
      </c>
      <c r="AM476" s="67">
        <f t="shared" si="101"/>
        <v>0</v>
      </c>
      <c r="AN476" s="27"/>
      <c r="AO476" s="26"/>
      <c r="AP476" s="27"/>
      <c r="AQ476" s="26"/>
      <c r="AR476" s="27"/>
      <c r="AS476" s="26"/>
      <c r="AT476" s="27"/>
      <c r="AU476" s="26"/>
      <c r="AV476" s="64">
        <f t="shared" si="102"/>
        <v>0</v>
      </c>
      <c r="AW476" s="70">
        <f t="shared" si="103"/>
        <v>0</v>
      </c>
      <c r="AX476" s="66">
        <f t="shared" si="104"/>
        <v>0</v>
      </c>
      <c r="AY476" s="71">
        <f t="shared" si="105"/>
        <v>0</v>
      </c>
      <c r="AZ476" s="72">
        <f t="shared" si="106"/>
        <v>3843.2</v>
      </c>
      <c r="BA476" s="66">
        <f t="shared" si="107"/>
        <v>3784.1</v>
      </c>
    </row>
    <row r="477" spans="1:53">
      <c r="A477" s="184" t="s">
        <v>468</v>
      </c>
      <c r="B477" s="179" t="s">
        <v>490</v>
      </c>
      <c r="C477" s="180"/>
      <c r="D477" s="181">
        <v>222062</v>
      </c>
      <c r="E477" s="181">
        <v>9</v>
      </c>
      <c r="F477" s="29" t="s">
        <v>75</v>
      </c>
      <c r="G477" s="16"/>
      <c r="H477" s="27"/>
      <c r="I477" s="26"/>
      <c r="J477" s="27">
        <v>51572</v>
      </c>
      <c r="K477" s="26">
        <v>50856</v>
      </c>
      <c r="L477" s="27">
        <v>6286</v>
      </c>
      <c r="M477" s="109">
        <v>5000</v>
      </c>
      <c r="N477" s="27">
        <v>61114</v>
      </c>
      <c r="O477" s="26">
        <v>61283</v>
      </c>
      <c r="P477" s="64">
        <f t="shared" si="90"/>
        <v>118972</v>
      </c>
      <c r="Q477" s="65">
        <f t="shared" si="91"/>
        <v>3965.7333333333331</v>
      </c>
      <c r="R477" s="66">
        <f t="shared" si="92"/>
        <v>117139</v>
      </c>
      <c r="S477" s="67">
        <f t="shared" si="93"/>
        <v>3904.6333333333332</v>
      </c>
      <c r="T477" s="27">
        <v>11616</v>
      </c>
      <c r="U477" s="26">
        <v>11957</v>
      </c>
      <c r="V477" s="64">
        <f t="shared" si="94"/>
        <v>118972</v>
      </c>
      <c r="W477" s="68">
        <f t="shared" si="95"/>
        <v>117139</v>
      </c>
      <c r="X477" s="27"/>
      <c r="Y477" s="26"/>
      <c r="Z477" s="27"/>
      <c r="AA477" s="26"/>
      <c r="AB477" s="27"/>
      <c r="AC477" s="26"/>
      <c r="AD477" s="27"/>
      <c r="AE477" s="26"/>
      <c r="AF477" s="64">
        <f t="shared" si="96"/>
        <v>0</v>
      </c>
      <c r="AG477" s="65">
        <f t="shared" si="97"/>
        <v>0</v>
      </c>
      <c r="AH477" s="66">
        <f t="shared" si="98"/>
        <v>0</v>
      </c>
      <c r="AI477" s="66">
        <f t="shared" si="99"/>
        <v>0</v>
      </c>
      <c r="AJ477" s="27"/>
      <c r="AK477" s="26"/>
      <c r="AL477" s="64">
        <f t="shared" si="100"/>
        <v>0</v>
      </c>
      <c r="AM477" s="67">
        <f t="shared" si="101"/>
        <v>0</v>
      </c>
      <c r="AN477" s="27"/>
      <c r="AO477" s="26"/>
      <c r="AP477" s="27"/>
      <c r="AQ477" s="26"/>
      <c r="AR477" s="27"/>
      <c r="AS477" s="26"/>
      <c r="AT477" s="27"/>
      <c r="AU477" s="26"/>
      <c r="AV477" s="64">
        <f t="shared" si="102"/>
        <v>0</v>
      </c>
      <c r="AW477" s="70">
        <f t="shared" si="103"/>
        <v>0</v>
      </c>
      <c r="AX477" s="66">
        <f t="shared" si="104"/>
        <v>0</v>
      </c>
      <c r="AY477" s="71">
        <f t="shared" si="105"/>
        <v>0</v>
      </c>
      <c r="AZ477" s="72">
        <f t="shared" si="106"/>
        <v>3965.7333333333331</v>
      </c>
      <c r="BA477" s="66">
        <f t="shared" si="107"/>
        <v>3904.6333333333332</v>
      </c>
    </row>
    <row r="478" spans="1:53" ht="15">
      <c r="A478" s="184" t="s">
        <v>468</v>
      </c>
      <c r="B478" s="179" t="s">
        <v>491</v>
      </c>
      <c r="C478" s="692" t="s">
        <v>982</v>
      </c>
      <c r="D478" s="181" t="s">
        <v>492</v>
      </c>
      <c r="E478" s="181">
        <v>12</v>
      </c>
      <c r="F478" s="29" t="s">
        <v>75</v>
      </c>
      <c r="G478" s="16"/>
      <c r="H478" s="27"/>
      <c r="I478" s="26"/>
      <c r="J478" s="27"/>
      <c r="K478" s="26"/>
      <c r="L478" s="27"/>
      <c r="M478" s="26"/>
      <c r="N478" s="27"/>
      <c r="O478" s="26"/>
      <c r="P478" s="64">
        <f t="shared" si="90"/>
        <v>0</v>
      </c>
      <c r="Q478" s="65">
        <f t="shared" si="91"/>
        <v>0</v>
      </c>
      <c r="R478" s="66">
        <f t="shared" si="92"/>
        <v>0</v>
      </c>
      <c r="S478" s="67">
        <f t="shared" si="93"/>
        <v>0</v>
      </c>
      <c r="T478" s="27"/>
      <c r="U478" s="26"/>
      <c r="V478" s="64">
        <f t="shared" si="94"/>
        <v>0</v>
      </c>
      <c r="W478" s="68">
        <f t="shared" si="95"/>
        <v>0</v>
      </c>
      <c r="X478" s="27"/>
      <c r="Z478" s="27">
        <v>319892</v>
      </c>
      <c r="AA478" s="109">
        <v>337959</v>
      </c>
      <c r="AB478" s="27">
        <v>210880</v>
      </c>
      <c r="AC478" s="26">
        <v>216518</v>
      </c>
      <c r="AD478" s="27">
        <v>372862</v>
      </c>
      <c r="AE478" s="109">
        <v>329929</v>
      </c>
      <c r="AF478" s="64">
        <f t="shared" si="96"/>
        <v>903634</v>
      </c>
      <c r="AG478" s="65">
        <f t="shared" si="97"/>
        <v>1004.0377777777778</v>
      </c>
      <c r="AH478" s="66">
        <f t="shared" si="98"/>
        <v>884406</v>
      </c>
      <c r="AI478" s="66">
        <f t="shared" si="99"/>
        <v>982.67333333333329</v>
      </c>
      <c r="AJ478" s="27"/>
      <c r="AK478" s="26"/>
      <c r="AL478" s="64">
        <f t="shared" si="100"/>
        <v>0</v>
      </c>
      <c r="AM478" s="67">
        <f t="shared" si="101"/>
        <v>0</v>
      </c>
      <c r="AN478" s="27"/>
      <c r="AO478" s="26"/>
      <c r="AP478" s="27"/>
      <c r="AQ478" s="26"/>
      <c r="AR478" s="27"/>
      <c r="AS478" s="26"/>
      <c r="AT478" s="27"/>
      <c r="AU478" s="26"/>
      <c r="AV478" s="64">
        <f t="shared" si="102"/>
        <v>0</v>
      </c>
      <c r="AW478" s="70">
        <f t="shared" si="103"/>
        <v>0</v>
      </c>
      <c r="AX478" s="66">
        <f t="shared" si="104"/>
        <v>0</v>
      </c>
      <c r="AY478" s="71">
        <f t="shared" si="105"/>
        <v>0</v>
      </c>
      <c r="AZ478" s="72">
        <f t="shared" si="106"/>
        <v>1004.0377777777778</v>
      </c>
      <c r="BA478" s="66">
        <f t="shared" si="107"/>
        <v>982.67333333333329</v>
      </c>
    </row>
    <row r="479" spans="1:53">
      <c r="A479" s="184" t="s">
        <v>468</v>
      </c>
      <c r="B479" s="179" t="s">
        <v>493</v>
      </c>
      <c r="C479" s="180"/>
      <c r="D479" s="181">
        <v>219596</v>
      </c>
      <c r="E479" s="181">
        <v>13</v>
      </c>
      <c r="F479" s="29" t="s">
        <v>75</v>
      </c>
      <c r="G479" s="16"/>
      <c r="H479" s="27"/>
      <c r="I479" s="26"/>
      <c r="J479" s="27"/>
      <c r="K479" s="26"/>
      <c r="L479" s="27"/>
      <c r="M479" s="26"/>
      <c r="N479" s="27"/>
      <c r="O479" s="26"/>
      <c r="P479" s="64">
        <f t="shared" si="90"/>
        <v>0</v>
      </c>
      <c r="Q479" s="65">
        <f t="shared" si="91"/>
        <v>0</v>
      </c>
      <c r="R479" s="66">
        <f t="shared" si="92"/>
        <v>0</v>
      </c>
      <c r="S479" s="67">
        <f t="shared" si="93"/>
        <v>0</v>
      </c>
      <c r="T479" s="27"/>
      <c r="U479" s="26"/>
      <c r="V479" s="64">
        <f t="shared" si="94"/>
        <v>0</v>
      </c>
      <c r="W479" s="68">
        <f t="shared" si="95"/>
        <v>0</v>
      </c>
      <c r="X479" s="27"/>
      <c r="Z479" s="27">
        <v>78992</v>
      </c>
      <c r="AA479" s="109">
        <v>88912</v>
      </c>
      <c r="AB479" s="27">
        <v>71840</v>
      </c>
      <c r="AC479" s="109">
        <v>85686</v>
      </c>
      <c r="AD479" s="27">
        <v>95749</v>
      </c>
      <c r="AE479" s="109">
        <v>101362</v>
      </c>
      <c r="AF479" s="64">
        <f t="shared" si="96"/>
        <v>246581</v>
      </c>
      <c r="AG479" s="65">
        <f t="shared" si="97"/>
        <v>273.97888888888889</v>
      </c>
      <c r="AH479" s="66">
        <f t="shared" ref="AH479:AH542" si="108">SUM(Y479,AA479,AC479,AE479)</f>
        <v>275960</v>
      </c>
      <c r="AI479" s="66">
        <f t="shared" si="99"/>
        <v>306.62222222222221</v>
      </c>
      <c r="AJ479" s="27"/>
      <c r="AK479" s="26"/>
      <c r="AL479" s="64">
        <f t="shared" si="100"/>
        <v>0</v>
      </c>
      <c r="AM479" s="67">
        <f t="shared" si="101"/>
        <v>0</v>
      </c>
      <c r="AN479" s="27"/>
      <c r="AO479" s="26"/>
      <c r="AP479" s="27"/>
      <c r="AQ479" s="26"/>
      <c r="AR479" s="27"/>
      <c r="AS479" s="26"/>
      <c r="AT479" s="27"/>
      <c r="AU479" s="26"/>
      <c r="AV479" s="64">
        <f t="shared" si="102"/>
        <v>0</v>
      </c>
      <c r="AW479" s="70">
        <f t="shared" si="103"/>
        <v>0</v>
      </c>
      <c r="AX479" s="66">
        <f t="shared" si="104"/>
        <v>0</v>
      </c>
      <c r="AY479" s="71">
        <f t="shared" si="105"/>
        <v>0</v>
      </c>
      <c r="AZ479" s="72">
        <f t="shared" si="106"/>
        <v>273.97888888888889</v>
      </c>
      <c r="BA479" s="66">
        <f t="shared" si="107"/>
        <v>306.62222222222221</v>
      </c>
    </row>
    <row r="480" spans="1:53">
      <c r="A480" s="184" t="s">
        <v>468</v>
      </c>
      <c r="B480" s="179" t="s">
        <v>494</v>
      </c>
      <c r="C480" s="180"/>
      <c r="D480" s="181">
        <v>219921</v>
      </c>
      <c r="E480" s="181">
        <v>13</v>
      </c>
      <c r="F480" s="29" t="s">
        <v>75</v>
      </c>
      <c r="G480" s="16"/>
      <c r="H480" s="27"/>
      <c r="I480" s="26"/>
      <c r="J480" s="27"/>
      <c r="K480" s="26"/>
      <c r="L480" s="27"/>
      <c r="M480" s="26"/>
      <c r="N480" s="27"/>
      <c r="O480" s="26"/>
      <c r="P480" s="64">
        <f t="shared" si="90"/>
        <v>0</v>
      </c>
      <c r="Q480" s="65">
        <f t="shared" si="91"/>
        <v>0</v>
      </c>
      <c r="R480" s="66">
        <f t="shared" si="92"/>
        <v>0</v>
      </c>
      <c r="S480" s="67">
        <f t="shared" si="93"/>
        <v>0</v>
      </c>
      <c r="T480" s="27"/>
      <c r="U480" s="26"/>
      <c r="V480" s="64">
        <f t="shared" si="94"/>
        <v>0</v>
      </c>
      <c r="W480" s="68">
        <f t="shared" si="95"/>
        <v>0</v>
      </c>
      <c r="X480" s="27"/>
      <c r="Z480" s="27">
        <v>60186</v>
      </c>
      <c r="AA480" s="109">
        <v>68395</v>
      </c>
      <c r="AB480" s="27">
        <v>56544</v>
      </c>
      <c r="AC480" s="109">
        <v>64308</v>
      </c>
      <c r="AD480" s="27">
        <v>70259</v>
      </c>
      <c r="AE480" s="109">
        <v>84720</v>
      </c>
      <c r="AF480" s="64">
        <f t="shared" si="96"/>
        <v>186989</v>
      </c>
      <c r="AG480" s="65">
        <f t="shared" si="97"/>
        <v>207.76555555555555</v>
      </c>
      <c r="AH480" s="66">
        <f t="shared" si="108"/>
        <v>217423</v>
      </c>
      <c r="AI480" s="66">
        <f t="shared" si="99"/>
        <v>241.58111111111111</v>
      </c>
      <c r="AJ480" s="27"/>
      <c r="AK480" s="26"/>
      <c r="AL480" s="64">
        <f t="shared" si="100"/>
        <v>0</v>
      </c>
      <c r="AM480" s="67">
        <f t="shared" si="101"/>
        <v>0</v>
      </c>
      <c r="AN480" s="27"/>
      <c r="AO480" s="26"/>
      <c r="AP480" s="27"/>
      <c r="AQ480" s="26"/>
      <c r="AR480" s="27"/>
      <c r="AS480" s="26"/>
      <c r="AT480" s="27"/>
      <c r="AU480" s="26"/>
      <c r="AV480" s="64">
        <f t="shared" si="102"/>
        <v>0</v>
      </c>
      <c r="AW480" s="70">
        <f t="shared" si="103"/>
        <v>0</v>
      </c>
      <c r="AX480" s="66">
        <f t="shared" si="104"/>
        <v>0</v>
      </c>
      <c r="AY480" s="71">
        <f t="shared" si="105"/>
        <v>0</v>
      </c>
      <c r="AZ480" s="72">
        <f t="shared" si="106"/>
        <v>207.76555555555555</v>
      </c>
      <c r="BA480" s="66">
        <f t="shared" si="107"/>
        <v>241.58111111111111</v>
      </c>
    </row>
    <row r="481" spans="1:53">
      <c r="A481" s="184" t="s">
        <v>468</v>
      </c>
      <c r="B481" s="179" t="s">
        <v>495</v>
      </c>
      <c r="C481" s="180"/>
      <c r="D481" s="181">
        <v>221591</v>
      </c>
      <c r="E481" s="181">
        <v>13</v>
      </c>
      <c r="F481" s="29" t="s">
        <v>75</v>
      </c>
      <c r="G481" s="16"/>
      <c r="H481" s="27"/>
      <c r="I481" s="26"/>
      <c r="J481" s="27"/>
      <c r="K481" s="26"/>
      <c r="L481" s="27"/>
      <c r="M481" s="26"/>
      <c r="N481" s="27"/>
      <c r="O481" s="26"/>
      <c r="P481" s="64">
        <f t="shared" si="90"/>
        <v>0</v>
      </c>
      <c r="Q481" s="65">
        <f t="shared" si="91"/>
        <v>0</v>
      </c>
      <c r="R481" s="66">
        <f t="shared" si="92"/>
        <v>0</v>
      </c>
      <c r="S481" s="67">
        <f t="shared" si="93"/>
        <v>0</v>
      </c>
      <c r="T481" s="27"/>
      <c r="U481" s="26"/>
      <c r="V481" s="64">
        <f t="shared" si="94"/>
        <v>0</v>
      </c>
      <c r="W481" s="68">
        <f t="shared" si="95"/>
        <v>0</v>
      </c>
      <c r="X481" s="27"/>
      <c r="Z481" s="27">
        <v>109441</v>
      </c>
      <c r="AA481" s="109">
        <v>115295</v>
      </c>
      <c r="AB481" s="27">
        <v>98774</v>
      </c>
      <c r="AC481" s="109">
        <v>92946</v>
      </c>
      <c r="AD481" s="27">
        <v>129933</v>
      </c>
      <c r="AE481" s="26">
        <v>129591</v>
      </c>
      <c r="AF481" s="64">
        <f t="shared" si="96"/>
        <v>338148</v>
      </c>
      <c r="AG481" s="65">
        <f t="shared" si="97"/>
        <v>375.72</v>
      </c>
      <c r="AH481" s="66">
        <f t="shared" si="108"/>
        <v>337832</v>
      </c>
      <c r="AI481" s="66">
        <f t="shared" si="99"/>
        <v>375.36888888888888</v>
      </c>
      <c r="AJ481" s="27"/>
      <c r="AK481" s="26"/>
      <c r="AL481" s="64">
        <f t="shared" si="100"/>
        <v>0</v>
      </c>
      <c r="AM481" s="67">
        <f t="shared" si="101"/>
        <v>0</v>
      </c>
      <c r="AN481" s="27"/>
      <c r="AO481" s="26"/>
      <c r="AP481" s="27"/>
      <c r="AQ481" s="26"/>
      <c r="AR481" s="27"/>
      <c r="AS481" s="26"/>
      <c r="AT481" s="27"/>
      <c r="AU481" s="26"/>
      <c r="AV481" s="64">
        <f t="shared" si="102"/>
        <v>0</v>
      </c>
      <c r="AW481" s="70">
        <f t="shared" si="103"/>
        <v>0</v>
      </c>
      <c r="AX481" s="66">
        <f t="shared" si="104"/>
        <v>0</v>
      </c>
      <c r="AY481" s="71">
        <f t="shared" si="105"/>
        <v>0</v>
      </c>
      <c r="AZ481" s="72">
        <f t="shared" si="106"/>
        <v>375.72</v>
      </c>
      <c r="BA481" s="66">
        <f t="shared" si="107"/>
        <v>375.36888888888888</v>
      </c>
    </row>
    <row r="482" spans="1:53">
      <c r="A482" s="184" t="s">
        <v>468</v>
      </c>
      <c r="B482" s="179" t="s">
        <v>496</v>
      </c>
      <c r="C482" s="180"/>
      <c r="D482" s="181">
        <v>221430</v>
      </c>
      <c r="E482" s="181">
        <v>13</v>
      </c>
      <c r="F482" s="29" t="s">
        <v>75</v>
      </c>
      <c r="G482" s="16"/>
      <c r="H482" s="27"/>
      <c r="I482" s="26"/>
      <c r="J482" s="27"/>
      <c r="K482" s="26"/>
      <c r="L482" s="27"/>
      <c r="M482" s="26"/>
      <c r="N482" s="27"/>
      <c r="O482" s="26"/>
      <c r="P482" s="64">
        <f t="shared" ref="P482:P683" si="109">SUM(H482,J482,L482,N482)</f>
        <v>0</v>
      </c>
      <c r="Q482" s="65">
        <f t="shared" ref="Q482:Q683" si="110">+P482/30</f>
        <v>0</v>
      </c>
      <c r="R482" s="66">
        <f t="shared" ref="R482:R683" si="111">SUM(I482,K482,M482,O482)</f>
        <v>0</v>
      </c>
      <c r="S482" s="67">
        <f t="shared" ref="S482:S683" si="112">+R482/30</f>
        <v>0</v>
      </c>
      <c r="T482" s="27"/>
      <c r="U482" s="26"/>
      <c r="V482" s="64">
        <f t="shared" ref="V482:V683" si="113">IF(ISBLANK(T482),0,P482)</f>
        <v>0</v>
      </c>
      <c r="W482" s="68">
        <f t="shared" ref="W482:W504" si="114">IF(ISBLANK(U482),0,R482)</f>
        <v>0</v>
      </c>
      <c r="X482" s="27"/>
      <c r="Z482" s="27">
        <v>70765</v>
      </c>
      <c r="AA482" s="109">
        <v>81046</v>
      </c>
      <c r="AB482" s="27">
        <v>51983</v>
      </c>
      <c r="AC482" s="109">
        <v>63971</v>
      </c>
      <c r="AD482" s="27">
        <v>78836</v>
      </c>
      <c r="AE482" s="109">
        <v>101261</v>
      </c>
      <c r="AF482" s="64">
        <f t="shared" ref="AF482:AF683" si="115">SUM(X482,Z482,AB482,AD482)</f>
        <v>201584</v>
      </c>
      <c r="AG482" s="65">
        <f t="shared" ref="AG482:AG683" si="116">+AF482/900</f>
        <v>223.98222222222222</v>
      </c>
      <c r="AH482" s="66">
        <f t="shared" si="108"/>
        <v>246278</v>
      </c>
      <c r="AI482" s="66">
        <f t="shared" ref="AI482:AI683" si="117">+AH482/900</f>
        <v>273.64222222222224</v>
      </c>
      <c r="AJ482" s="27"/>
      <c r="AK482" s="26"/>
      <c r="AL482" s="64">
        <f t="shared" ref="AL482:AL683" si="118">IF(ISBLANK(AJ482),0,AF482)</f>
        <v>0</v>
      </c>
      <c r="AM482" s="67">
        <f t="shared" ref="AM482:AM504" si="119">IF(ISBLANK(AK482),0,AH482)</f>
        <v>0</v>
      </c>
      <c r="AN482" s="27"/>
      <c r="AO482" s="26"/>
      <c r="AP482" s="27"/>
      <c r="AQ482" s="26"/>
      <c r="AR482" s="27"/>
      <c r="AS482" s="26"/>
      <c r="AT482" s="27"/>
      <c r="AU482" s="26"/>
      <c r="AV482" s="64">
        <f t="shared" ref="AV482:AV683" si="120">SUM(AN482,AP482,AR482,AT482)</f>
        <v>0</v>
      </c>
      <c r="AW482" s="70">
        <f t="shared" ref="AW482:AW683" si="121">+AV482/24</f>
        <v>0</v>
      </c>
      <c r="AX482" s="66">
        <f t="shared" ref="AX482:AX683" si="122">SUM(AO482,AQ482,AS482,AU482)</f>
        <v>0</v>
      </c>
      <c r="AY482" s="71">
        <f t="shared" ref="AY482:AY683" si="123">+AX482/24</f>
        <v>0</v>
      </c>
      <c r="AZ482" s="72">
        <f t="shared" ref="AZ482:AZ683" si="124">SUM(Q482,AG482,AW482)</f>
        <v>223.98222222222222</v>
      </c>
      <c r="BA482" s="66">
        <f t="shared" ref="BA482:BA683" si="125">SUM(S482,AI482,AY482)</f>
        <v>273.64222222222224</v>
      </c>
    </row>
    <row r="483" spans="1:53">
      <c r="A483" s="184" t="s">
        <v>468</v>
      </c>
      <c r="B483" s="179" t="s">
        <v>497</v>
      </c>
      <c r="C483" s="180"/>
      <c r="D483" s="181">
        <v>219994</v>
      </c>
      <c r="E483" s="181">
        <v>13</v>
      </c>
      <c r="F483" s="29" t="s">
        <v>75</v>
      </c>
      <c r="G483" s="16"/>
      <c r="H483" s="27"/>
      <c r="I483" s="26"/>
      <c r="J483" s="27"/>
      <c r="K483" s="26"/>
      <c r="L483" s="27"/>
      <c r="M483" s="26"/>
      <c r="N483" s="27"/>
      <c r="O483" s="26"/>
      <c r="P483" s="64">
        <f t="shared" si="109"/>
        <v>0</v>
      </c>
      <c r="Q483" s="65">
        <f t="shared" si="110"/>
        <v>0</v>
      </c>
      <c r="R483" s="66">
        <f t="shared" si="111"/>
        <v>0</v>
      </c>
      <c r="S483" s="67">
        <f t="shared" si="112"/>
        <v>0</v>
      </c>
      <c r="T483" s="27"/>
      <c r="U483" s="26"/>
      <c r="V483" s="64">
        <f t="shared" si="113"/>
        <v>0</v>
      </c>
      <c r="W483" s="68">
        <f t="shared" si="114"/>
        <v>0</v>
      </c>
      <c r="X483" s="27"/>
      <c r="Z483" s="27">
        <v>151165</v>
      </c>
      <c r="AA483" s="109">
        <v>184771</v>
      </c>
      <c r="AB483" s="27">
        <v>148972</v>
      </c>
      <c r="AC483" s="109">
        <v>186097</v>
      </c>
      <c r="AD483" s="27">
        <v>188440</v>
      </c>
      <c r="AE483" s="109">
        <v>202964</v>
      </c>
      <c r="AF483" s="64">
        <f t="shared" si="115"/>
        <v>488577</v>
      </c>
      <c r="AG483" s="65">
        <f t="shared" si="116"/>
        <v>542.86333333333334</v>
      </c>
      <c r="AH483" s="66">
        <f t="shared" si="108"/>
        <v>573832</v>
      </c>
      <c r="AI483" s="66">
        <f t="shared" si="117"/>
        <v>637.5911111111111</v>
      </c>
      <c r="AJ483" s="27"/>
      <c r="AK483" s="26"/>
      <c r="AL483" s="64">
        <f t="shared" si="118"/>
        <v>0</v>
      </c>
      <c r="AM483" s="67">
        <f t="shared" si="119"/>
        <v>0</v>
      </c>
      <c r="AN483" s="27"/>
      <c r="AO483" s="26"/>
      <c r="AP483" s="27"/>
      <c r="AQ483" s="26"/>
      <c r="AR483" s="27"/>
      <c r="AS483" s="26"/>
      <c r="AT483" s="27"/>
      <c r="AU483" s="26"/>
      <c r="AV483" s="64">
        <f t="shared" si="120"/>
        <v>0</v>
      </c>
      <c r="AW483" s="70">
        <f t="shared" si="121"/>
        <v>0</v>
      </c>
      <c r="AX483" s="66">
        <f t="shared" si="122"/>
        <v>0</v>
      </c>
      <c r="AY483" s="71">
        <f t="shared" si="123"/>
        <v>0</v>
      </c>
      <c r="AZ483" s="72">
        <f t="shared" si="124"/>
        <v>542.86333333333334</v>
      </c>
      <c r="BA483" s="66">
        <f t="shared" si="125"/>
        <v>637.5911111111111</v>
      </c>
    </row>
    <row r="484" spans="1:53">
      <c r="A484" s="184" t="s">
        <v>468</v>
      </c>
      <c r="B484" s="179" t="s">
        <v>498</v>
      </c>
      <c r="C484" s="180"/>
      <c r="D484" s="181">
        <v>220127</v>
      </c>
      <c r="E484" s="181">
        <v>13</v>
      </c>
      <c r="F484" s="29" t="s">
        <v>75</v>
      </c>
      <c r="G484" s="16"/>
      <c r="H484" s="27"/>
      <c r="I484" s="26"/>
      <c r="J484" s="27"/>
      <c r="K484" s="26"/>
      <c r="L484" s="27"/>
      <c r="M484" s="26"/>
      <c r="N484" s="27"/>
      <c r="O484" s="26"/>
      <c r="P484" s="64">
        <f t="shared" si="109"/>
        <v>0</v>
      </c>
      <c r="Q484" s="65">
        <f t="shared" si="110"/>
        <v>0</v>
      </c>
      <c r="R484" s="66">
        <f t="shared" si="111"/>
        <v>0</v>
      </c>
      <c r="S484" s="67">
        <f t="shared" si="112"/>
        <v>0</v>
      </c>
      <c r="T484" s="27"/>
      <c r="U484" s="26"/>
      <c r="V484" s="64">
        <f t="shared" si="113"/>
        <v>0</v>
      </c>
      <c r="W484" s="68">
        <f t="shared" si="114"/>
        <v>0</v>
      </c>
      <c r="X484" s="27"/>
      <c r="Z484" s="27">
        <v>151376</v>
      </c>
      <c r="AA484" s="109">
        <v>170998</v>
      </c>
      <c r="AB484" s="27">
        <v>140568</v>
      </c>
      <c r="AC484" s="109">
        <v>160048</v>
      </c>
      <c r="AD484" s="27">
        <v>175705</v>
      </c>
      <c r="AE484" s="26">
        <v>173566</v>
      </c>
      <c r="AF484" s="64">
        <f t="shared" si="115"/>
        <v>467649</v>
      </c>
      <c r="AG484" s="65">
        <f t="shared" si="116"/>
        <v>519.61</v>
      </c>
      <c r="AH484" s="66">
        <f t="shared" si="108"/>
        <v>504612</v>
      </c>
      <c r="AI484" s="66">
        <f t="shared" si="117"/>
        <v>560.67999999999995</v>
      </c>
      <c r="AJ484" s="27"/>
      <c r="AK484" s="26"/>
      <c r="AL484" s="64">
        <f t="shared" si="118"/>
        <v>0</v>
      </c>
      <c r="AM484" s="67">
        <f t="shared" si="119"/>
        <v>0</v>
      </c>
      <c r="AN484" s="27"/>
      <c r="AO484" s="26"/>
      <c r="AP484" s="27"/>
      <c r="AQ484" s="26"/>
      <c r="AR484" s="27"/>
      <c r="AS484" s="26"/>
      <c r="AT484" s="27"/>
      <c r="AU484" s="26"/>
      <c r="AV484" s="64">
        <f t="shared" si="120"/>
        <v>0</v>
      </c>
      <c r="AW484" s="70">
        <f t="shared" si="121"/>
        <v>0</v>
      </c>
      <c r="AX484" s="66">
        <f t="shared" si="122"/>
        <v>0</v>
      </c>
      <c r="AY484" s="71">
        <f t="shared" si="123"/>
        <v>0</v>
      </c>
      <c r="AZ484" s="72">
        <f t="shared" si="124"/>
        <v>519.61</v>
      </c>
      <c r="BA484" s="66">
        <f t="shared" si="125"/>
        <v>560.67999999999995</v>
      </c>
    </row>
    <row r="485" spans="1:53">
      <c r="A485" s="184" t="s">
        <v>468</v>
      </c>
      <c r="B485" s="179" t="s">
        <v>499</v>
      </c>
      <c r="C485" s="180"/>
      <c r="D485" s="181">
        <v>220251</v>
      </c>
      <c r="E485" s="181">
        <v>13</v>
      </c>
      <c r="F485" s="29" t="s">
        <v>75</v>
      </c>
      <c r="G485" s="16"/>
      <c r="H485" s="27"/>
      <c r="I485" s="26"/>
      <c r="J485" s="27"/>
      <c r="K485" s="26"/>
      <c r="L485" s="27"/>
      <c r="M485" s="26"/>
      <c r="N485" s="27"/>
      <c r="O485" s="26"/>
      <c r="P485" s="64">
        <f t="shared" si="109"/>
        <v>0</v>
      </c>
      <c r="Q485" s="65">
        <f t="shared" si="110"/>
        <v>0</v>
      </c>
      <c r="R485" s="66">
        <f t="shared" si="111"/>
        <v>0</v>
      </c>
      <c r="S485" s="67">
        <f t="shared" si="112"/>
        <v>0</v>
      </c>
      <c r="T485" s="27"/>
      <c r="U485" s="26"/>
      <c r="V485" s="64">
        <f t="shared" si="113"/>
        <v>0</v>
      </c>
      <c r="W485" s="68">
        <f t="shared" si="114"/>
        <v>0</v>
      </c>
      <c r="X485" s="27"/>
      <c r="Z485" s="27">
        <v>76476</v>
      </c>
      <c r="AA485" s="109">
        <v>83137</v>
      </c>
      <c r="AB485" s="27">
        <v>68715</v>
      </c>
      <c r="AC485" s="109">
        <v>82377</v>
      </c>
      <c r="AD485" s="27">
        <v>81445</v>
      </c>
      <c r="AE485" s="109">
        <v>105116</v>
      </c>
      <c r="AF485" s="64">
        <f t="shared" si="115"/>
        <v>226636</v>
      </c>
      <c r="AG485" s="65">
        <f t="shared" si="116"/>
        <v>251.81777777777779</v>
      </c>
      <c r="AH485" s="66">
        <f t="shared" si="108"/>
        <v>270630</v>
      </c>
      <c r="AI485" s="66">
        <f t="shared" si="117"/>
        <v>300.7</v>
      </c>
      <c r="AJ485" s="27"/>
      <c r="AK485" s="26"/>
      <c r="AL485" s="64">
        <f t="shared" si="118"/>
        <v>0</v>
      </c>
      <c r="AM485" s="67">
        <f t="shared" si="119"/>
        <v>0</v>
      </c>
      <c r="AN485" s="27"/>
      <c r="AO485" s="26"/>
      <c r="AP485" s="27"/>
      <c r="AQ485" s="26"/>
      <c r="AR485" s="27"/>
      <c r="AS485" s="26"/>
      <c r="AT485" s="27"/>
      <c r="AU485" s="26"/>
      <c r="AV485" s="64">
        <f t="shared" si="120"/>
        <v>0</v>
      </c>
      <c r="AW485" s="70">
        <f t="shared" si="121"/>
        <v>0</v>
      </c>
      <c r="AX485" s="66">
        <f t="shared" si="122"/>
        <v>0</v>
      </c>
      <c r="AY485" s="71">
        <f t="shared" si="123"/>
        <v>0</v>
      </c>
      <c r="AZ485" s="72">
        <f t="shared" si="124"/>
        <v>251.81777777777779</v>
      </c>
      <c r="BA485" s="66">
        <f t="shared" si="125"/>
        <v>300.7</v>
      </c>
    </row>
    <row r="486" spans="1:53">
      <c r="A486" s="184" t="s">
        <v>468</v>
      </c>
      <c r="B486" s="179" t="s">
        <v>500</v>
      </c>
      <c r="C486" s="180"/>
      <c r="D486" s="181">
        <v>220279</v>
      </c>
      <c r="E486" s="181">
        <v>13</v>
      </c>
      <c r="F486" s="29" t="s">
        <v>75</v>
      </c>
      <c r="G486" s="16"/>
      <c r="H486" s="27"/>
      <c r="I486" s="26"/>
      <c r="J486" s="27"/>
      <c r="K486" s="26"/>
      <c r="L486" s="27"/>
      <c r="M486" s="26"/>
      <c r="N486" s="27"/>
      <c r="O486" s="26"/>
      <c r="P486" s="64">
        <f t="shared" si="109"/>
        <v>0</v>
      </c>
      <c r="Q486" s="65">
        <f t="shared" si="110"/>
        <v>0</v>
      </c>
      <c r="R486" s="66">
        <f t="shared" si="111"/>
        <v>0</v>
      </c>
      <c r="S486" s="67">
        <f t="shared" si="112"/>
        <v>0</v>
      </c>
      <c r="T486" s="27"/>
      <c r="U486" s="26"/>
      <c r="V486" s="64">
        <f t="shared" si="113"/>
        <v>0</v>
      </c>
      <c r="W486" s="68">
        <f t="shared" si="114"/>
        <v>0</v>
      </c>
      <c r="X486" s="27"/>
      <c r="Z486" s="27">
        <v>110276</v>
      </c>
      <c r="AA486" s="109">
        <v>126510</v>
      </c>
      <c r="AB486" s="27">
        <v>70558</v>
      </c>
      <c r="AC486" s="109">
        <v>74674</v>
      </c>
      <c r="AD486" s="27">
        <v>137194</v>
      </c>
      <c r="AE486" s="26">
        <v>140513</v>
      </c>
      <c r="AF486" s="64">
        <f t="shared" si="115"/>
        <v>318028</v>
      </c>
      <c r="AG486" s="65">
        <f t="shared" si="116"/>
        <v>353.36444444444442</v>
      </c>
      <c r="AH486" s="66">
        <f t="shared" si="108"/>
        <v>341697</v>
      </c>
      <c r="AI486" s="66">
        <f t="shared" si="117"/>
        <v>379.66333333333336</v>
      </c>
      <c r="AJ486" s="27"/>
      <c r="AK486" s="26"/>
      <c r="AL486" s="64">
        <f t="shared" si="118"/>
        <v>0</v>
      </c>
      <c r="AM486" s="67">
        <f t="shared" si="119"/>
        <v>0</v>
      </c>
      <c r="AN486" s="27"/>
      <c r="AO486" s="26"/>
      <c r="AP486" s="27"/>
      <c r="AQ486" s="26"/>
      <c r="AR486" s="27"/>
      <c r="AS486" s="26"/>
      <c r="AT486" s="27"/>
      <c r="AU486" s="26"/>
      <c r="AV486" s="64">
        <f t="shared" si="120"/>
        <v>0</v>
      </c>
      <c r="AW486" s="70">
        <f t="shared" si="121"/>
        <v>0</v>
      </c>
      <c r="AX486" s="66">
        <f t="shared" si="122"/>
        <v>0</v>
      </c>
      <c r="AY486" s="71">
        <f t="shared" si="123"/>
        <v>0</v>
      </c>
      <c r="AZ486" s="72">
        <f t="shared" si="124"/>
        <v>353.36444444444442</v>
      </c>
      <c r="BA486" s="66">
        <f t="shared" si="125"/>
        <v>379.66333333333336</v>
      </c>
    </row>
    <row r="487" spans="1:53">
      <c r="A487" s="184" t="s">
        <v>468</v>
      </c>
      <c r="B487" s="179" t="s">
        <v>501</v>
      </c>
      <c r="C487" s="180"/>
      <c r="D487" s="181">
        <v>220321</v>
      </c>
      <c r="E487" s="181">
        <v>13</v>
      </c>
      <c r="F487" s="29" t="s">
        <v>75</v>
      </c>
      <c r="G487" s="16"/>
      <c r="H487" s="27"/>
      <c r="I487" s="26"/>
      <c r="J487" s="27"/>
      <c r="K487" s="26"/>
      <c r="L487" s="27"/>
      <c r="M487" s="26"/>
      <c r="N487" s="27"/>
      <c r="O487" s="26"/>
      <c r="P487" s="64">
        <f t="shared" si="109"/>
        <v>0</v>
      </c>
      <c r="Q487" s="65">
        <f t="shared" si="110"/>
        <v>0</v>
      </c>
      <c r="R487" s="66">
        <f t="shared" si="111"/>
        <v>0</v>
      </c>
      <c r="S487" s="67">
        <f t="shared" si="112"/>
        <v>0</v>
      </c>
      <c r="T487" s="27"/>
      <c r="U487" s="26"/>
      <c r="V487" s="64">
        <f t="shared" si="113"/>
        <v>0</v>
      </c>
      <c r="W487" s="68">
        <f t="shared" si="114"/>
        <v>0</v>
      </c>
      <c r="X487" s="27"/>
      <c r="Z487" s="27">
        <v>104746</v>
      </c>
      <c r="AA487" s="109">
        <v>119750</v>
      </c>
      <c r="AB487" s="27">
        <v>87638</v>
      </c>
      <c r="AC487" s="109">
        <v>98683</v>
      </c>
      <c r="AD487" s="27">
        <v>135286</v>
      </c>
      <c r="AE487" s="109">
        <v>117572</v>
      </c>
      <c r="AF487" s="64">
        <f t="shared" si="115"/>
        <v>327670</v>
      </c>
      <c r="AG487" s="65">
        <f t="shared" si="116"/>
        <v>364.07777777777778</v>
      </c>
      <c r="AH487" s="66">
        <f t="shared" si="108"/>
        <v>336005</v>
      </c>
      <c r="AI487" s="66">
        <f t="shared" si="117"/>
        <v>373.3388888888889</v>
      </c>
      <c r="AJ487" s="27"/>
      <c r="AK487" s="26"/>
      <c r="AL487" s="64">
        <f t="shared" si="118"/>
        <v>0</v>
      </c>
      <c r="AM487" s="67">
        <f t="shared" si="119"/>
        <v>0</v>
      </c>
      <c r="AN487" s="27"/>
      <c r="AO487" s="26"/>
      <c r="AP487" s="27"/>
      <c r="AQ487" s="26"/>
      <c r="AR487" s="27"/>
      <c r="AS487" s="26"/>
      <c r="AT487" s="27"/>
      <c r="AU487" s="26"/>
      <c r="AV487" s="64">
        <f t="shared" si="120"/>
        <v>0</v>
      </c>
      <c r="AW487" s="70">
        <f t="shared" si="121"/>
        <v>0</v>
      </c>
      <c r="AX487" s="66">
        <f t="shared" si="122"/>
        <v>0</v>
      </c>
      <c r="AY487" s="71">
        <f t="shared" si="123"/>
        <v>0</v>
      </c>
      <c r="AZ487" s="72">
        <f t="shared" si="124"/>
        <v>364.07777777777778</v>
      </c>
      <c r="BA487" s="66">
        <f t="shared" si="125"/>
        <v>373.3388888888889</v>
      </c>
    </row>
    <row r="488" spans="1:53">
      <c r="A488" s="184" t="s">
        <v>468</v>
      </c>
      <c r="B488" s="179" t="s">
        <v>502</v>
      </c>
      <c r="C488" s="180"/>
      <c r="D488" s="181">
        <v>220394</v>
      </c>
      <c r="E488" s="181">
        <v>13</v>
      </c>
      <c r="F488" s="29" t="s">
        <v>75</v>
      </c>
      <c r="G488" s="16"/>
      <c r="H488" s="27"/>
      <c r="I488" s="26"/>
      <c r="J488" s="27"/>
      <c r="K488" s="26"/>
      <c r="L488" s="27"/>
      <c r="M488" s="26"/>
      <c r="N488" s="27"/>
      <c r="O488" s="26"/>
      <c r="P488" s="64">
        <f t="shared" si="109"/>
        <v>0</v>
      </c>
      <c r="Q488" s="65">
        <f t="shared" si="110"/>
        <v>0</v>
      </c>
      <c r="R488" s="66">
        <f t="shared" si="111"/>
        <v>0</v>
      </c>
      <c r="S488" s="67">
        <f t="shared" si="112"/>
        <v>0</v>
      </c>
      <c r="T488" s="27"/>
      <c r="U488" s="26"/>
      <c r="V488" s="64">
        <f t="shared" si="113"/>
        <v>0</v>
      </c>
      <c r="W488" s="68">
        <f t="shared" si="114"/>
        <v>0</v>
      </c>
      <c r="X488" s="27"/>
      <c r="Z488" s="27">
        <v>57066</v>
      </c>
      <c r="AA488" s="109">
        <v>68759</v>
      </c>
      <c r="AB488" s="27">
        <v>47306</v>
      </c>
      <c r="AC488" s="109">
        <v>57149</v>
      </c>
      <c r="AD488" s="27">
        <v>71740</v>
      </c>
      <c r="AE488" s="26">
        <v>74938</v>
      </c>
      <c r="AF488" s="64">
        <f t="shared" si="115"/>
        <v>176112</v>
      </c>
      <c r="AG488" s="65">
        <f t="shared" si="116"/>
        <v>195.68</v>
      </c>
      <c r="AH488" s="66">
        <f t="shared" si="108"/>
        <v>200846</v>
      </c>
      <c r="AI488" s="66">
        <f t="shared" si="117"/>
        <v>223.16222222222223</v>
      </c>
      <c r="AJ488" s="27"/>
      <c r="AK488" s="26"/>
      <c r="AL488" s="64">
        <f t="shared" si="118"/>
        <v>0</v>
      </c>
      <c r="AM488" s="67">
        <f t="shared" si="119"/>
        <v>0</v>
      </c>
      <c r="AN488" s="27"/>
      <c r="AO488" s="26"/>
      <c r="AP488" s="27"/>
      <c r="AQ488" s="26"/>
      <c r="AR488" s="27"/>
      <c r="AS488" s="26"/>
      <c r="AT488" s="27"/>
      <c r="AU488" s="26"/>
      <c r="AV488" s="64">
        <f t="shared" si="120"/>
        <v>0</v>
      </c>
      <c r="AW488" s="70">
        <f t="shared" si="121"/>
        <v>0</v>
      </c>
      <c r="AX488" s="66">
        <f t="shared" si="122"/>
        <v>0</v>
      </c>
      <c r="AY488" s="71">
        <f t="shared" si="123"/>
        <v>0</v>
      </c>
      <c r="AZ488" s="72">
        <f t="shared" si="124"/>
        <v>195.68</v>
      </c>
      <c r="BA488" s="66">
        <f t="shared" si="125"/>
        <v>223.16222222222223</v>
      </c>
    </row>
    <row r="489" spans="1:53">
      <c r="A489" s="184" t="s">
        <v>468</v>
      </c>
      <c r="B489" s="179" t="s">
        <v>503</v>
      </c>
      <c r="C489" s="180"/>
      <c r="D489" s="181">
        <v>221616</v>
      </c>
      <c r="E489" s="181">
        <v>13</v>
      </c>
      <c r="F489" s="29" t="s">
        <v>75</v>
      </c>
      <c r="G489" s="16"/>
      <c r="H489" s="27"/>
      <c r="I489" s="26"/>
      <c r="J489" s="27"/>
      <c r="K489" s="26"/>
      <c r="L489" s="27"/>
      <c r="M489" s="26"/>
      <c r="N489" s="27"/>
      <c r="O489" s="26"/>
      <c r="P489" s="64">
        <f t="shared" si="109"/>
        <v>0</v>
      </c>
      <c r="Q489" s="65">
        <f t="shared" si="110"/>
        <v>0</v>
      </c>
      <c r="R489" s="66">
        <f t="shared" si="111"/>
        <v>0</v>
      </c>
      <c r="S489" s="67">
        <f t="shared" si="112"/>
        <v>0</v>
      </c>
      <c r="T489" s="27"/>
      <c r="U489" s="26"/>
      <c r="V489" s="64">
        <f t="shared" si="113"/>
        <v>0</v>
      </c>
      <c r="W489" s="68">
        <f t="shared" si="114"/>
        <v>0</v>
      </c>
      <c r="X489" s="27"/>
      <c r="Z489" s="27">
        <v>155750</v>
      </c>
      <c r="AA489" s="109">
        <v>175724</v>
      </c>
      <c r="AB489" s="27">
        <v>129947</v>
      </c>
      <c r="AC489" s="26">
        <v>134319</v>
      </c>
      <c r="AD489" s="27">
        <v>181558</v>
      </c>
      <c r="AE489" s="109">
        <v>169867</v>
      </c>
      <c r="AF489" s="64">
        <f t="shared" si="115"/>
        <v>467255</v>
      </c>
      <c r="AG489" s="65">
        <f t="shared" si="116"/>
        <v>519.17222222222222</v>
      </c>
      <c r="AH489" s="66">
        <f t="shared" si="108"/>
        <v>479910</v>
      </c>
      <c r="AI489" s="66">
        <f t="shared" si="117"/>
        <v>533.23333333333335</v>
      </c>
      <c r="AJ489" s="27"/>
      <c r="AK489" s="26"/>
      <c r="AL489" s="64">
        <f t="shared" si="118"/>
        <v>0</v>
      </c>
      <c r="AM489" s="67">
        <f t="shared" si="119"/>
        <v>0</v>
      </c>
      <c r="AN489" s="27"/>
      <c r="AO489" s="26"/>
      <c r="AP489" s="27"/>
      <c r="AQ489" s="26"/>
      <c r="AR489" s="27"/>
      <c r="AS489" s="26"/>
      <c r="AT489" s="27"/>
      <c r="AU489" s="26"/>
      <c r="AV489" s="64">
        <f t="shared" si="120"/>
        <v>0</v>
      </c>
      <c r="AW489" s="70">
        <f t="shared" si="121"/>
        <v>0</v>
      </c>
      <c r="AX489" s="66">
        <f t="shared" si="122"/>
        <v>0</v>
      </c>
      <c r="AY489" s="71">
        <f t="shared" si="123"/>
        <v>0</v>
      </c>
      <c r="AZ489" s="72">
        <f t="shared" si="124"/>
        <v>519.17222222222222</v>
      </c>
      <c r="BA489" s="66">
        <f t="shared" si="125"/>
        <v>533.23333333333335</v>
      </c>
    </row>
    <row r="490" spans="1:53">
      <c r="A490" s="184" t="s">
        <v>468</v>
      </c>
      <c r="B490" s="179" t="s">
        <v>504</v>
      </c>
      <c r="C490" s="180"/>
      <c r="D490" s="181">
        <v>221625</v>
      </c>
      <c r="E490" s="181">
        <v>13</v>
      </c>
      <c r="F490" s="29" t="s">
        <v>75</v>
      </c>
      <c r="G490" s="16"/>
      <c r="H490" s="27"/>
      <c r="I490" s="26"/>
      <c r="J490" s="27"/>
      <c r="K490" s="26"/>
      <c r="L490" s="27"/>
      <c r="M490" s="26"/>
      <c r="N490" s="27"/>
      <c r="O490" s="26"/>
      <c r="P490" s="64">
        <f t="shared" si="109"/>
        <v>0</v>
      </c>
      <c r="Q490" s="65">
        <f t="shared" si="110"/>
        <v>0</v>
      </c>
      <c r="R490" s="66">
        <f t="shared" si="111"/>
        <v>0</v>
      </c>
      <c r="S490" s="67">
        <f t="shared" si="112"/>
        <v>0</v>
      </c>
      <c r="T490" s="27"/>
      <c r="U490" s="26"/>
      <c r="V490" s="64">
        <f t="shared" si="113"/>
        <v>0</v>
      </c>
      <c r="W490" s="68">
        <f t="shared" si="114"/>
        <v>0</v>
      </c>
      <c r="X490" s="27"/>
      <c r="Z490" s="27">
        <v>224808</v>
      </c>
      <c r="AA490" s="109">
        <v>287001</v>
      </c>
      <c r="AB490" s="27">
        <v>210725</v>
      </c>
      <c r="AC490" s="109">
        <v>258070</v>
      </c>
      <c r="AD490" s="27">
        <v>293384</v>
      </c>
      <c r="AE490" s="109">
        <v>260728</v>
      </c>
      <c r="AF490" s="64">
        <f t="shared" si="115"/>
        <v>728917</v>
      </c>
      <c r="AG490" s="65">
        <f t="shared" si="116"/>
        <v>809.90777777777782</v>
      </c>
      <c r="AH490" s="66">
        <f t="shared" si="108"/>
        <v>805799</v>
      </c>
      <c r="AI490" s="66">
        <f t="shared" si="117"/>
        <v>895.33222222222219</v>
      </c>
      <c r="AJ490" s="27"/>
      <c r="AK490" s="26"/>
      <c r="AL490" s="64">
        <f t="shared" si="118"/>
        <v>0</v>
      </c>
      <c r="AM490" s="67">
        <f t="shared" si="119"/>
        <v>0</v>
      </c>
      <c r="AN490" s="27"/>
      <c r="AO490" s="26"/>
      <c r="AP490" s="27"/>
      <c r="AQ490" s="26"/>
      <c r="AR490" s="27"/>
      <c r="AS490" s="26"/>
      <c r="AT490" s="27"/>
      <c r="AU490" s="26"/>
      <c r="AV490" s="64">
        <f t="shared" si="120"/>
        <v>0</v>
      </c>
      <c r="AW490" s="70">
        <f t="shared" si="121"/>
        <v>0</v>
      </c>
      <c r="AX490" s="66">
        <f t="shared" si="122"/>
        <v>0</v>
      </c>
      <c r="AY490" s="71">
        <f t="shared" si="123"/>
        <v>0</v>
      </c>
      <c r="AZ490" s="72">
        <f t="shared" si="124"/>
        <v>809.90777777777782</v>
      </c>
      <c r="BA490" s="66">
        <f t="shared" si="125"/>
        <v>895.33222222222219</v>
      </c>
    </row>
    <row r="491" spans="1:53">
      <c r="A491" s="184" t="s">
        <v>468</v>
      </c>
      <c r="B491" s="179" t="s">
        <v>505</v>
      </c>
      <c r="C491" s="180"/>
      <c r="D491" s="181">
        <v>220640</v>
      </c>
      <c r="E491" s="181">
        <v>13</v>
      </c>
      <c r="F491" s="29" t="s">
        <v>75</v>
      </c>
      <c r="G491" s="16"/>
      <c r="H491" s="27"/>
      <c r="I491" s="26"/>
      <c r="J491" s="27"/>
      <c r="K491" s="26"/>
      <c r="L491" s="27"/>
      <c r="M491" s="26"/>
      <c r="N491" s="27"/>
      <c r="O491" s="26"/>
      <c r="P491" s="64">
        <f t="shared" si="109"/>
        <v>0</v>
      </c>
      <c r="Q491" s="65">
        <f t="shared" si="110"/>
        <v>0</v>
      </c>
      <c r="R491" s="66">
        <f t="shared" si="111"/>
        <v>0</v>
      </c>
      <c r="S491" s="67">
        <f t="shared" si="112"/>
        <v>0</v>
      </c>
      <c r="T491" s="27"/>
      <c r="U491" s="26"/>
      <c r="V491" s="64">
        <f t="shared" si="113"/>
        <v>0</v>
      </c>
      <c r="W491" s="68">
        <f t="shared" si="114"/>
        <v>0</v>
      </c>
      <c r="X491" s="27"/>
      <c r="Z491" s="27">
        <v>126461</v>
      </c>
      <c r="AA491" s="109">
        <v>169605</v>
      </c>
      <c r="AB491" s="27">
        <v>86416</v>
      </c>
      <c r="AC491" s="109">
        <v>113582</v>
      </c>
      <c r="AD491" s="27">
        <v>179234</v>
      </c>
      <c r="AE491" s="109">
        <v>194551</v>
      </c>
      <c r="AF491" s="64">
        <f t="shared" si="115"/>
        <v>392111</v>
      </c>
      <c r="AG491" s="65">
        <f t="shared" si="116"/>
        <v>435.67888888888888</v>
      </c>
      <c r="AH491" s="66">
        <f t="shared" si="108"/>
        <v>477738</v>
      </c>
      <c r="AI491" s="66">
        <f t="shared" si="117"/>
        <v>530.82000000000005</v>
      </c>
      <c r="AJ491" s="27"/>
      <c r="AK491" s="26"/>
      <c r="AL491" s="64">
        <f t="shared" si="118"/>
        <v>0</v>
      </c>
      <c r="AM491" s="67">
        <f t="shared" si="119"/>
        <v>0</v>
      </c>
      <c r="AN491" s="27"/>
      <c r="AO491" s="26"/>
      <c r="AP491" s="27"/>
      <c r="AQ491" s="26"/>
      <c r="AR491" s="27"/>
      <c r="AS491" s="26"/>
      <c r="AT491" s="27"/>
      <c r="AU491" s="26"/>
      <c r="AV491" s="64">
        <f t="shared" si="120"/>
        <v>0</v>
      </c>
      <c r="AW491" s="70">
        <f t="shared" si="121"/>
        <v>0</v>
      </c>
      <c r="AX491" s="66">
        <f t="shared" si="122"/>
        <v>0</v>
      </c>
      <c r="AY491" s="71">
        <f t="shared" si="123"/>
        <v>0</v>
      </c>
      <c r="AZ491" s="72">
        <f t="shared" si="124"/>
        <v>435.67888888888888</v>
      </c>
      <c r="BA491" s="66">
        <f t="shared" si="125"/>
        <v>530.82000000000005</v>
      </c>
    </row>
    <row r="492" spans="1:53">
      <c r="A492" s="184" t="s">
        <v>468</v>
      </c>
      <c r="B492" s="179" t="s">
        <v>506</v>
      </c>
      <c r="C492" s="180"/>
      <c r="D492" s="181">
        <v>220756</v>
      </c>
      <c r="E492" s="181">
        <v>13</v>
      </c>
      <c r="F492" s="29" t="s">
        <v>75</v>
      </c>
      <c r="G492" s="16"/>
      <c r="H492" s="27"/>
      <c r="I492" s="26"/>
      <c r="J492" s="27"/>
      <c r="K492" s="26"/>
      <c r="L492" s="27"/>
      <c r="M492" s="26"/>
      <c r="N492" s="27"/>
      <c r="O492" s="26"/>
      <c r="P492" s="64">
        <f t="shared" si="109"/>
        <v>0</v>
      </c>
      <c r="Q492" s="65">
        <f t="shared" si="110"/>
        <v>0</v>
      </c>
      <c r="R492" s="66">
        <f t="shared" si="111"/>
        <v>0</v>
      </c>
      <c r="S492" s="67">
        <f t="shared" si="112"/>
        <v>0</v>
      </c>
      <c r="T492" s="27"/>
      <c r="U492" s="26"/>
      <c r="V492" s="64">
        <f t="shared" si="113"/>
        <v>0</v>
      </c>
      <c r="W492" s="68">
        <f t="shared" si="114"/>
        <v>0</v>
      </c>
      <c r="X492" s="27"/>
      <c r="Z492" s="27">
        <v>56804</v>
      </c>
      <c r="AA492" s="26">
        <v>57912</v>
      </c>
      <c r="AB492" s="27">
        <v>49677</v>
      </c>
      <c r="AC492" s="109">
        <v>46977</v>
      </c>
      <c r="AD492" s="27">
        <v>68224</v>
      </c>
      <c r="AE492" s="26">
        <v>65285</v>
      </c>
      <c r="AF492" s="64">
        <f t="shared" si="115"/>
        <v>174705</v>
      </c>
      <c r="AG492" s="65">
        <f t="shared" si="116"/>
        <v>194.11666666666667</v>
      </c>
      <c r="AH492" s="66">
        <f t="shared" si="108"/>
        <v>170174</v>
      </c>
      <c r="AI492" s="66">
        <f t="shared" si="117"/>
        <v>189.08222222222221</v>
      </c>
      <c r="AJ492" s="27"/>
      <c r="AK492" s="26"/>
      <c r="AL492" s="64">
        <f t="shared" si="118"/>
        <v>0</v>
      </c>
      <c r="AM492" s="67">
        <f t="shared" si="119"/>
        <v>0</v>
      </c>
      <c r="AN492" s="27"/>
      <c r="AO492" s="26"/>
      <c r="AP492" s="27"/>
      <c r="AQ492" s="26"/>
      <c r="AR492" s="27"/>
      <c r="AS492" s="26"/>
      <c r="AT492" s="27"/>
      <c r="AU492" s="26"/>
      <c r="AV492" s="64">
        <f t="shared" si="120"/>
        <v>0</v>
      </c>
      <c r="AW492" s="70">
        <f t="shared" si="121"/>
        <v>0</v>
      </c>
      <c r="AX492" s="66">
        <f t="shared" si="122"/>
        <v>0</v>
      </c>
      <c r="AY492" s="71">
        <f t="shared" si="123"/>
        <v>0</v>
      </c>
      <c r="AZ492" s="72">
        <f t="shared" si="124"/>
        <v>194.11666666666667</v>
      </c>
      <c r="BA492" s="66">
        <f t="shared" si="125"/>
        <v>189.08222222222221</v>
      </c>
    </row>
    <row r="493" spans="1:53">
      <c r="A493" s="184" t="s">
        <v>468</v>
      </c>
      <c r="B493" s="179" t="s">
        <v>507</v>
      </c>
      <c r="C493" s="180"/>
      <c r="D493" s="181">
        <v>221607</v>
      </c>
      <c r="E493" s="181">
        <v>13</v>
      </c>
      <c r="F493" s="29" t="s">
        <v>75</v>
      </c>
      <c r="G493" s="16"/>
      <c r="H493" s="27"/>
      <c r="I493" s="26"/>
      <c r="J493" s="27"/>
      <c r="K493" s="26"/>
      <c r="L493" s="27"/>
      <c r="M493" s="26"/>
      <c r="N493" s="27"/>
      <c r="O493" s="26"/>
      <c r="P493" s="64">
        <f t="shared" si="109"/>
        <v>0</v>
      </c>
      <c r="Q493" s="65">
        <f t="shared" si="110"/>
        <v>0</v>
      </c>
      <c r="R493" s="66">
        <f t="shared" si="111"/>
        <v>0</v>
      </c>
      <c r="S493" s="67">
        <f t="shared" si="112"/>
        <v>0</v>
      </c>
      <c r="T493" s="27"/>
      <c r="U493" s="26"/>
      <c r="V493" s="64">
        <f t="shared" si="113"/>
        <v>0</v>
      </c>
      <c r="W493" s="68">
        <f t="shared" si="114"/>
        <v>0</v>
      </c>
      <c r="X493" s="27"/>
      <c r="Z493" s="27">
        <v>66098</v>
      </c>
      <c r="AA493" s="26">
        <v>65547</v>
      </c>
      <c r="AB493" s="27">
        <v>58471</v>
      </c>
      <c r="AC493" s="26">
        <v>56208</v>
      </c>
      <c r="AD493" s="27">
        <v>78074</v>
      </c>
      <c r="AE493" s="109">
        <v>72716</v>
      </c>
      <c r="AF493" s="64">
        <f t="shared" si="115"/>
        <v>202643</v>
      </c>
      <c r="AG493" s="65">
        <f t="shared" si="116"/>
        <v>225.1588888888889</v>
      </c>
      <c r="AH493" s="66">
        <f t="shared" si="108"/>
        <v>194471</v>
      </c>
      <c r="AI493" s="66">
        <f t="shared" si="117"/>
        <v>216.07888888888888</v>
      </c>
      <c r="AJ493" s="27"/>
      <c r="AK493" s="26"/>
      <c r="AL493" s="64">
        <f t="shared" si="118"/>
        <v>0</v>
      </c>
      <c r="AM493" s="67">
        <f t="shared" si="119"/>
        <v>0</v>
      </c>
      <c r="AN493" s="27"/>
      <c r="AO493" s="26"/>
      <c r="AP493" s="27"/>
      <c r="AQ493" s="26"/>
      <c r="AR493" s="27"/>
      <c r="AS493" s="26"/>
      <c r="AT493" s="27"/>
      <c r="AU493" s="26"/>
      <c r="AV493" s="64">
        <f t="shared" si="120"/>
        <v>0</v>
      </c>
      <c r="AW493" s="70">
        <f t="shared" si="121"/>
        <v>0</v>
      </c>
      <c r="AX493" s="66">
        <f t="shared" si="122"/>
        <v>0</v>
      </c>
      <c r="AY493" s="71">
        <f t="shared" si="123"/>
        <v>0</v>
      </c>
      <c r="AZ493" s="72">
        <f t="shared" si="124"/>
        <v>225.1588888888889</v>
      </c>
      <c r="BA493" s="66">
        <f t="shared" si="125"/>
        <v>216.07888888888888</v>
      </c>
    </row>
    <row r="494" spans="1:53">
      <c r="A494" s="184" t="s">
        <v>468</v>
      </c>
      <c r="B494" s="179" t="s">
        <v>508</v>
      </c>
      <c r="C494" s="180"/>
      <c r="D494" s="181">
        <v>220853</v>
      </c>
      <c r="E494" s="181">
        <v>13</v>
      </c>
      <c r="F494" s="29" t="s">
        <v>75</v>
      </c>
      <c r="G494" s="16"/>
      <c r="H494" s="27"/>
      <c r="I494" s="26"/>
      <c r="J494" s="27"/>
      <c r="K494" s="26"/>
      <c r="L494" s="27"/>
      <c r="M494" s="26"/>
      <c r="N494" s="27"/>
      <c r="O494" s="26"/>
      <c r="P494" s="64">
        <f t="shared" si="109"/>
        <v>0</v>
      </c>
      <c r="Q494" s="65">
        <f t="shared" si="110"/>
        <v>0</v>
      </c>
      <c r="R494" s="66">
        <f t="shared" si="111"/>
        <v>0</v>
      </c>
      <c r="S494" s="67">
        <f t="shared" si="112"/>
        <v>0</v>
      </c>
      <c r="T494" s="27"/>
      <c r="U494" s="26"/>
      <c r="V494" s="64">
        <f t="shared" si="113"/>
        <v>0</v>
      </c>
      <c r="W494" s="68">
        <f t="shared" si="114"/>
        <v>0</v>
      </c>
      <c r="X494" s="27"/>
      <c r="Z494" s="27">
        <v>268195</v>
      </c>
      <c r="AA494" s="26">
        <v>280236</v>
      </c>
      <c r="AB494" s="27">
        <v>252106</v>
      </c>
      <c r="AC494" s="109">
        <v>265010</v>
      </c>
      <c r="AD494" s="27">
        <v>306038</v>
      </c>
      <c r="AE494" s="26">
        <v>308110</v>
      </c>
      <c r="AF494" s="64">
        <f t="shared" si="115"/>
        <v>826339</v>
      </c>
      <c r="AG494" s="65">
        <f t="shared" si="116"/>
        <v>918.15444444444449</v>
      </c>
      <c r="AH494" s="66">
        <f t="shared" si="108"/>
        <v>853356</v>
      </c>
      <c r="AI494" s="66">
        <f t="shared" si="117"/>
        <v>948.17333333333329</v>
      </c>
      <c r="AJ494" s="27"/>
      <c r="AK494" s="26"/>
      <c r="AL494" s="64">
        <f t="shared" si="118"/>
        <v>0</v>
      </c>
      <c r="AM494" s="67">
        <f t="shared" si="119"/>
        <v>0</v>
      </c>
      <c r="AN494" s="27"/>
      <c r="AO494" s="26"/>
      <c r="AP494" s="27"/>
      <c r="AQ494" s="26"/>
      <c r="AR494" s="27"/>
      <c r="AS494" s="26"/>
      <c r="AT494" s="27"/>
      <c r="AU494" s="26"/>
      <c r="AV494" s="64">
        <f t="shared" si="120"/>
        <v>0</v>
      </c>
      <c r="AW494" s="70">
        <f t="shared" si="121"/>
        <v>0</v>
      </c>
      <c r="AX494" s="66">
        <f t="shared" si="122"/>
        <v>0</v>
      </c>
      <c r="AY494" s="71">
        <f t="shared" si="123"/>
        <v>0</v>
      </c>
      <c r="AZ494" s="72">
        <f t="shared" si="124"/>
        <v>918.15444444444449</v>
      </c>
      <c r="BA494" s="66">
        <f t="shared" si="125"/>
        <v>948.17333333333329</v>
      </c>
    </row>
    <row r="495" spans="1:53">
      <c r="A495" s="184" t="s">
        <v>468</v>
      </c>
      <c r="B495" s="179" t="s">
        <v>509</v>
      </c>
      <c r="C495" s="180"/>
      <c r="D495" s="181">
        <v>221050</v>
      </c>
      <c r="E495" s="181">
        <v>13</v>
      </c>
      <c r="F495" s="29" t="s">
        <v>75</v>
      </c>
      <c r="G495" s="16"/>
      <c r="H495" s="27"/>
      <c r="I495" s="26"/>
      <c r="J495" s="27"/>
      <c r="K495" s="26"/>
      <c r="L495" s="27"/>
      <c r="M495" s="26"/>
      <c r="N495" s="27"/>
      <c r="O495" s="26"/>
      <c r="P495" s="64">
        <f t="shared" si="109"/>
        <v>0</v>
      </c>
      <c r="Q495" s="65">
        <f t="shared" si="110"/>
        <v>0</v>
      </c>
      <c r="R495" s="66">
        <f t="shared" si="111"/>
        <v>0</v>
      </c>
      <c r="S495" s="67">
        <f t="shared" si="112"/>
        <v>0</v>
      </c>
      <c r="T495" s="27"/>
      <c r="U495" s="26"/>
      <c r="V495" s="64">
        <f t="shared" si="113"/>
        <v>0</v>
      </c>
      <c r="W495" s="68">
        <f t="shared" si="114"/>
        <v>0</v>
      </c>
      <c r="X495" s="27"/>
      <c r="Z495" s="27">
        <v>170275</v>
      </c>
      <c r="AA495" s="109">
        <v>183748</v>
      </c>
      <c r="AB495" s="27">
        <v>150333</v>
      </c>
      <c r="AC495" s="109">
        <v>169688</v>
      </c>
      <c r="AD495" s="27">
        <v>218852</v>
      </c>
      <c r="AE495" s="109">
        <v>202533</v>
      </c>
      <c r="AF495" s="64">
        <f t="shared" si="115"/>
        <v>539460</v>
      </c>
      <c r="AG495" s="65">
        <f t="shared" si="116"/>
        <v>599.4</v>
      </c>
      <c r="AH495" s="66">
        <f t="shared" si="108"/>
        <v>555969</v>
      </c>
      <c r="AI495" s="66">
        <f t="shared" si="117"/>
        <v>617.74333333333334</v>
      </c>
      <c r="AJ495" s="27"/>
      <c r="AK495" s="26"/>
      <c r="AL495" s="64">
        <f t="shared" si="118"/>
        <v>0</v>
      </c>
      <c r="AM495" s="67">
        <f t="shared" si="119"/>
        <v>0</v>
      </c>
      <c r="AN495" s="27"/>
      <c r="AO495" s="26"/>
      <c r="AP495" s="27"/>
      <c r="AQ495" s="26"/>
      <c r="AR495" s="27"/>
      <c r="AS495" s="26"/>
      <c r="AT495" s="27"/>
      <c r="AU495" s="26"/>
      <c r="AV495" s="64">
        <f t="shared" si="120"/>
        <v>0</v>
      </c>
      <c r="AW495" s="70">
        <f t="shared" si="121"/>
        <v>0</v>
      </c>
      <c r="AX495" s="66">
        <f t="shared" si="122"/>
        <v>0</v>
      </c>
      <c r="AY495" s="71">
        <f t="shared" si="123"/>
        <v>0</v>
      </c>
      <c r="AZ495" s="72">
        <f t="shared" si="124"/>
        <v>599.4</v>
      </c>
      <c r="BA495" s="66">
        <f t="shared" si="125"/>
        <v>617.74333333333334</v>
      </c>
    </row>
    <row r="496" spans="1:53">
      <c r="A496" s="184" t="s">
        <v>468</v>
      </c>
      <c r="B496" s="179" t="s">
        <v>510</v>
      </c>
      <c r="C496" s="180"/>
      <c r="D496" s="181">
        <v>221102</v>
      </c>
      <c r="E496" s="181">
        <v>13</v>
      </c>
      <c r="F496" s="29" t="s">
        <v>75</v>
      </c>
      <c r="G496" s="16"/>
      <c r="H496" s="27"/>
      <c r="I496" s="26"/>
      <c r="J496" s="27"/>
      <c r="K496" s="26"/>
      <c r="L496" s="27"/>
      <c r="M496" s="26"/>
      <c r="N496" s="27"/>
      <c r="O496" s="26"/>
      <c r="P496" s="64">
        <f t="shared" si="109"/>
        <v>0</v>
      </c>
      <c r="Q496" s="65">
        <f t="shared" si="110"/>
        <v>0</v>
      </c>
      <c r="R496" s="66">
        <f t="shared" si="111"/>
        <v>0</v>
      </c>
      <c r="S496" s="67">
        <f t="shared" si="112"/>
        <v>0</v>
      </c>
      <c r="T496" s="27"/>
      <c r="U496" s="26"/>
      <c r="V496" s="64">
        <f t="shared" si="113"/>
        <v>0</v>
      </c>
      <c r="W496" s="68">
        <f t="shared" si="114"/>
        <v>0</v>
      </c>
      <c r="X496" s="27"/>
      <c r="Z496" s="27">
        <v>143327</v>
      </c>
      <c r="AA496" s="109">
        <v>183262</v>
      </c>
      <c r="AB496" s="27">
        <v>134120</v>
      </c>
      <c r="AC496" s="109">
        <v>176284</v>
      </c>
      <c r="AD496" s="27">
        <v>187154</v>
      </c>
      <c r="AE496" s="109">
        <v>210990</v>
      </c>
      <c r="AF496" s="64">
        <f t="shared" si="115"/>
        <v>464601</v>
      </c>
      <c r="AG496" s="65">
        <f t="shared" si="116"/>
        <v>516.22333333333336</v>
      </c>
      <c r="AH496" s="66">
        <f t="shared" si="108"/>
        <v>570536</v>
      </c>
      <c r="AI496" s="66">
        <f t="shared" si="117"/>
        <v>633.92888888888888</v>
      </c>
      <c r="AJ496" s="27"/>
      <c r="AK496" s="26"/>
      <c r="AL496" s="64">
        <f t="shared" si="118"/>
        <v>0</v>
      </c>
      <c r="AM496" s="67">
        <f t="shared" si="119"/>
        <v>0</v>
      </c>
      <c r="AN496" s="27"/>
      <c r="AO496" s="26"/>
      <c r="AP496" s="27"/>
      <c r="AQ496" s="26"/>
      <c r="AR496" s="27"/>
      <c r="AS496" s="26"/>
      <c r="AT496" s="27"/>
      <c r="AU496" s="26"/>
      <c r="AV496" s="64">
        <f t="shared" si="120"/>
        <v>0</v>
      </c>
      <c r="AW496" s="70">
        <f t="shared" si="121"/>
        <v>0</v>
      </c>
      <c r="AX496" s="66">
        <f t="shared" si="122"/>
        <v>0</v>
      </c>
      <c r="AY496" s="71">
        <f t="shared" si="123"/>
        <v>0</v>
      </c>
      <c r="AZ496" s="72">
        <f t="shared" si="124"/>
        <v>516.22333333333336</v>
      </c>
      <c r="BA496" s="66">
        <f t="shared" si="125"/>
        <v>633.92888888888888</v>
      </c>
    </row>
    <row r="497" spans="1:53">
      <c r="A497" s="184" t="s">
        <v>468</v>
      </c>
      <c r="B497" s="179" t="s">
        <v>511</v>
      </c>
      <c r="C497" s="180"/>
      <c r="D497" s="181">
        <v>248925</v>
      </c>
      <c r="E497" s="181">
        <v>13</v>
      </c>
      <c r="F497" s="29" t="s">
        <v>75</v>
      </c>
      <c r="G497" s="16"/>
      <c r="H497" s="27"/>
      <c r="I497" s="26"/>
      <c r="J497" s="27"/>
      <c r="K497" s="26"/>
      <c r="L497" s="27"/>
      <c r="M497" s="26"/>
      <c r="N497" s="27"/>
      <c r="O497" s="26"/>
      <c r="P497" s="64">
        <f t="shared" si="109"/>
        <v>0</v>
      </c>
      <c r="Q497" s="65">
        <f t="shared" si="110"/>
        <v>0</v>
      </c>
      <c r="R497" s="66">
        <f t="shared" si="111"/>
        <v>0</v>
      </c>
      <c r="S497" s="67">
        <f t="shared" si="112"/>
        <v>0</v>
      </c>
      <c r="T497" s="27"/>
      <c r="U497" s="26"/>
      <c r="V497" s="64">
        <f t="shared" si="113"/>
        <v>0</v>
      </c>
      <c r="W497" s="68">
        <f t="shared" si="114"/>
        <v>0</v>
      </c>
      <c r="X497" s="27"/>
      <c r="Z497" s="27">
        <v>246257</v>
      </c>
      <c r="AA497" s="109">
        <v>291165</v>
      </c>
      <c r="AB497" s="27">
        <v>215487</v>
      </c>
      <c r="AC497" s="109">
        <v>252136</v>
      </c>
      <c r="AD497" s="27">
        <v>303664</v>
      </c>
      <c r="AE497" s="109">
        <v>331368</v>
      </c>
      <c r="AF497" s="64">
        <f t="shared" si="115"/>
        <v>765408</v>
      </c>
      <c r="AG497" s="65">
        <f t="shared" si="116"/>
        <v>850.45333333333338</v>
      </c>
      <c r="AH497" s="66">
        <f t="shared" si="108"/>
        <v>874669</v>
      </c>
      <c r="AI497" s="66">
        <f t="shared" si="117"/>
        <v>971.85444444444443</v>
      </c>
      <c r="AJ497" s="27"/>
      <c r="AK497" s="26"/>
      <c r="AL497" s="64">
        <f t="shared" si="118"/>
        <v>0</v>
      </c>
      <c r="AM497" s="67">
        <f t="shared" si="119"/>
        <v>0</v>
      </c>
      <c r="AN497" s="27"/>
      <c r="AO497" s="26"/>
      <c r="AP497" s="27"/>
      <c r="AQ497" s="26"/>
      <c r="AR497" s="27"/>
      <c r="AS497" s="26"/>
      <c r="AT497" s="27"/>
      <c r="AU497" s="26"/>
      <c r="AV497" s="64">
        <f t="shared" si="120"/>
        <v>0</v>
      </c>
      <c r="AW497" s="70">
        <f t="shared" si="121"/>
        <v>0</v>
      </c>
      <c r="AX497" s="66">
        <f t="shared" si="122"/>
        <v>0</v>
      </c>
      <c r="AY497" s="71">
        <f t="shared" si="123"/>
        <v>0</v>
      </c>
      <c r="AZ497" s="72">
        <f t="shared" si="124"/>
        <v>850.45333333333338</v>
      </c>
      <c r="BA497" s="66">
        <f t="shared" si="125"/>
        <v>971.85444444444443</v>
      </c>
    </row>
    <row r="498" spans="1:53">
      <c r="A498" s="184" t="s">
        <v>468</v>
      </c>
      <c r="B498" s="179" t="s">
        <v>512</v>
      </c>
      <c r="C498" s="180"/>
      <c r="D498" s="181">
        <v>221236</v>
      </c>
      <c r="E498" s="181">
        <v>13</v>
      </c>
      <c r="F498" s="29" t="s">
        <v>75</v>
      </c>
      <c r="G498" s="16"/>
      <c r="H498" s="27"/>
      <c r="I498" s="26"/>
      <c r="J498" s="27"/>
      <c r="K498" s="26"/>
      <c r="L498" s="27"/>
      <c r="M498" s="26"/>
      <c r="N498" s="27"/>
      <c r="O498" s="26"/>
      <c r="P498" s="64">
        <f t="shared" si="109"/>
        <v>0</v>
      </c>
      <c r="Q498" s="65">
        <f t="shared" si="110"/>
        <v>0</v>
      </c>
      <c r="R498" s="66">
        <f t="shared" si="111"/>
        <v>0</v>
      </c>
      <c r="S498" s="67">
        <f t="shared" si="112"/>
        <v>0</v>
      </c>
      <c r="T498" s="27"/>
      <c r="U498" s="26"/>
      <c r="V498" s="64">
        <f t="shared" si="113"/>
        <v>0</v>
      </c>
      <c r="W498" s="68">
        <f t="shared" si="114"/>
        <v>0</v>
      </c>
      <c r="X498" s="27"/>
      <c r="Z498" s="27">
        <v>92693</v>
      </c>
      <c r="AA498" s="109">
        <v>103068</v>
      </c>
      <c r="AB498" s="27">
        <v>70688</v>
      </c>
      <c r="AC498" s="109">
        <v>98978</v>
      </c>
      <c r="AD498" s="27">
        <v>108325</v>
      </c>
      <c r="AE498" s="109">
        <v>126744</v>
      </c>
      <c r="AF498" s="64">
        <f t="shared" si="115"/>
        <v>271706</v>
      </c>
      <c r="AG498" s="65">
        <f t="shared" si="116"/>
        <v>301.89555555555557</v>
      </c>
      <c r="AH498" s="66">
        <f t="shared" si="108"/>
        <v>328790</v>
      </c>
      <c r="AI498" s="66">
        <f t="shared" si="117"/>
        <v>365.32222222222219</v>
      </c>
      <c r="AJ498" s="27"/>
      <c r="AK498" s="26"/>
      <c r="AL498" s="64">
        <f t="shared" si="118"/>
        <v>0</v>
      </c>
      <c r="AM498" s="67">
        <f t="shared" si="119"/>
        <v>0</v>
      </c>
      <c r="AN498" s="27"/>
      <c r="AO498" s="26"/>
      <c r="AP498" s="27"/>
      <c r="AQ498" s="26"/>
      <c r="AR498" s="27"/>
      <c r="AS498" s="26"/>
      <c r="AT498" s="27"/>
      <c r="AU498" s="26"/>
      <c r="AV498" s="64">
        <f t="shared" si="120"/>
        <v>0</v>
      </c>
      <c r="AW498" s="70">
        <f t="shared" si="121"/>
        <v>0</v>
      </c>
      <c r="AX498" s="66">
        <f t="shared" si="122"/>
        <v>0</v>
      </c>
      <c r="AY498" s="71">
        <f t="shared" si="123"/>
        <v>0</v>
      </c>
      <c r="AZ498" s="72">
        <f t="shared" si="124"/>
        <v>301.89555555555557</v>
      </c>
      <c r="BA498" s="66">
        <f t="shared" si="125"/>
        <v>365.32222222222219</v>
      </c>
    </row>
    <row r="499" spans="1:53">
      <c r="A499" s="184" t="s">
        <v>468</v>
      </c>
      <c r="B499" s="179" t="s">
        <v>513</v>
      </c>
      <c r="C499" s="180"/>
      <c r="D499" s="181">
        <v>221582</v>
      </c>
      <c r="E499" s="181">
        <v>13</v>
      </c>
      <c r="F499" s="29" t="s">
        <v>75</v>
      </c>
      <c r="G499" s="16"/>
      <c r="H499" s="27"/>
      <c r="I499" s="26"/>
      <c r="J499" s="27"/>
      <c r="K499" s="26"/>
      <c r="L499" s="27"/>
      <c r="M499" s="26"/>
      <c r="N499" s="27"/>
      <c r="O499" s="26"/>
      <c r="P499" s="64">
        <f t="shared" si="109"/>
        <v>0</v>
      </c>
      <c r="Q499" s="65">
        <f t="shared" si="110"/>
        <v>0</v>
      </c>
      <c r="R499" s="66">
        <f t="shared" si="111"/>
        <v>0</v>
      </c>
      <c r="S499" s="67">
        <f t="shared" si="112"/>
        <v>0</v>
      </c>
      <c r="T499" s="27"/>
      <c r="U499" s="26"/>
      <c r="V499" s="64">
        <f t="shared" si="113"/>
        <v>0</v>
      </c>
      <c r="W499" s="68">
        <f t="shared" si="114"/>
        <v>0</v>
      </c>
      <c r="X499" s="27"/>
      <c r="Z499" s="27">
        <v>71099</v>
      </c>
      <c r="AA499" s="109">
        <v>66734</v>
      </c>
      <c r="AB499" s="27">
        <v>42811</v>
      </c>
      <c r="AC499" s="26">
        <v>44304</v>
      </c>
      <c r="AD499" s="27">
        <v>86315</v>
      </c>
      <c r="AE499" s="109">
        <v>67721</v>
      </c>
      <c r="AF499" s="64">
        <f t="shared" si="115"/>
        <v>200225</v>
      </c>
      <c r="AG499" s="65">
        <f t="shared" si="116"/>
        <v>222.47222222222223</v>
      </c>
      <c r="AH499" s="66">
        <f t="shared" si="108"/>
        <v>178759</v>
      </c>
      <c r="AI499" s="66">
        <f t="shared" si="117"/>
        <v>198.62111111111111</v>
      </c>
      <c r="AJ499" s="27"/>
      <c r="AK499" s="26"/>
      <c r="AL499" s="64">
        <f t="shared" si="118"/>
        <v>0</v>
      </c>
      <c r="AM499" s="67">
        <f t="shared" si="119"/>
        <v>0</v>
      </c>
      <c r="AN499" s="27"/>
      <c r="AO499" s="26"/>
      <c r="AP499" s="27"/>
      <c r="AQ499" s="26"/>
      <c r="AR499" s="27"/>
      <c r="AS499" s="26"/>
      <c r="AT499" s="27"/>
      <c r="AU499" s="26"/>
      <c r="AV499" s="64">
        <f t="shared" si="120"/>
        <v>0</v>
      </c>
      <c r="AW499" s="70">
        <f t="shared" si="121"/>
        <v>0</v>
      </c>
      <c r="AX499" s="66">
        <f t="shared" si="122"/>
        <v>0</v>
      </c>
      <c r="AY499" s="71">
        <f t="shared" si="123"/>
        <v>0</v>
      </c>
      <c r="AZ499" s="72">
        <f t="shared" si="124"/>
        <v>222.47222222222223</v>
      </c>
      <c r="BA499" s="66">
        <f t="shared" si="125"/>
        <v>198.62111111111111</v>
      </c>
    </row>
    <row r="500" spans="1:53">
      <c r="A500" s="184" t="s">
        <v>468</v>
      </c>
      <c r="B500" s="179" t="s">
        <v>514</v>
      </c>
      <c r="C500" s="180"/>
      <c r="D500" s="181">
        <v>221281</v>
      </c>
      <c r="E500" s="181">
        <v>13</v>
      </c>
      <c r="F500" s="29" t="s">
        <v>75</v>
      </c>
      <c r="G500" s="16"/>
      <c r="H500" s="27"/>
      <c r="I500" s="26"/>
      <c r="J500" s="27"/>
      <c r="K500" s="26"/>
      <c r="L500" s="27"/>
      <c r="M500" s="26"/>
      <c r="N500" s="27"/>
      <c r="O500" s="26"/>
      <c r="P500" s="64">
        <f t="shared" si="109"/>
        <v>0</v>
      </c>
      <c r="Q500" s="65">
        <f t="shared" si="110"/>
        <v>0</v>
      </c>
      <c r="R500" s="66">
        <f t="shared" si="111"/>
        <v>0</v>
      </c>
      <c r="S500" s="67">
        <f t="shared" si="112"/>
        <v>0</v>
      </c>
      <c r="T500" s="27"/>
      <c r="U500" s="26"/>
      <c r="V500" s="64">
        <f t="shared" si="113"/>
        <v>0</v>
      </c>
      <c r="W500" s="68">
        <f t="shared" si="114"/>
        <v>0</v>
      </c>
      <c r="X500" s="27"/>
      <c r="Z500" s="27">
        <v>105414</v>
      </c>
      <c r="AA500" s="109">
        <v>96329</v>
      </c>
      <c r="AB500" s="27">
        <v>94003</v>
      </c>
      <c r="AC500" s="109">
        <v>86508</v>
      </c>
      <c r="AD500" s="27">
        <v>112821</v>
      </c>
      <c r="AE500" s="109">
        <v>100508</v>
      </c>
      <c r="AF500" s="64">
        <f t="shared" si="115"/>
        <v>312238</v>
      </c>
      <c r="AG500" s="65">
        <f t="shared" si="116"/>
        <v>346.93111111111114</v>
      </c>
      <c r="AH500" s="66">
        <f t="shared" si="108"/>
        <v>283345</v>
      </c>
      <c r="AI500" s="66">
        <f t="shared" si="117"/>
        <v>314.82777777777778</v>
      </c>
      <c r="AJ500" s="27"/>
      <c r="AK500" s="26"/>
      <c r="AL500" s="64">
        <f t="shared" si="118"/>
        <v>0</v>
      </c>
      <c r="AM500" s="67">
        <f t="shared" si="119"/>
        <v>0</v>
      </c>
      <c r="AN500" s="27"/>
      <c r="AO500" s="26"/>
      <c r="AP500" s="27"/>
      <c r="AQ500" s="26"/>
      <c r="AR500" s="27"/>
      <c r="AS500" s="26"/>
      <c r="AT500" s="27"/>
      <c r="AU500" s="26"/>
      <c r="AV500" s="64">
        <f t="shared" si="120"/>
        <v>0</v>
      </c>
      <c r="AW500" s="70">
        <f t="shared" si="121"/>
        <v>0</v>
      </c>
      <c r="AX500" s="66">
        <f t="shared" si="122"/>
        <v>0</v>
      </c>
      <c r="AY500" s="71">
        <f t="shared" si="123"/>
        <v>0</v>
      </c>
      <c r="AZ500" s="72">
        <f t="shared" si="124"/>
        <v>346.93111111111114</v>
      </c>
      <c r="BA500" s="66">
        <f t="shared" si="125"/>
        <v>314.82777777777778</v>
      </c>
    </row>
    <row r="501" spans="1:53">
      <c r="A501" s="184" t="s">
        <v>468</v>
      </c>
      <c r="B501" s="179" t="s">
        <v>515</v>
      </c>
      <c r="C501" s="180"/>
      <c r="D501" s="181">
        <v>221333</v>
      </c>
      <c r="E501" s="181">
        <v>13</v>
      </c>
      <c r="F501" s="29" t="s">
        <v>75</v>
      </c>
      <c r="G501" s="16"/>
      <c r="H501" s="27"/>
      <c r="I501" s="26"/>
      <c r="J501" s="27"/>
      <c r="K501" s="26"/>
      <c r="L501" s="27"/>
      <c r="M501" s="26"/>
      <c r="N501" s="27"/>
      <c r="O501" s="26"/>
      <c r="P501" s="64">
        <f t="shared" si="109"/>
        <v>0</v>
      </c>
      <c r="Q501" s="65">
        <f t="shared" si="110"/>
        <v>0</v>
      </c>
      <c r="R501" s="66">
        <f t="shared" si="111"/>
        <v>0</v>
      </c>
      <c r="S501" s="67">
        <f t="shared" si="112"/>
        <v>0</v>
      </c>
      <c r="T501" s="27"/>
      <c r="U501" s="26"/>
      <c r="V501" s="64">
        <f t="shared" si="113"/>
        <v>0</v>
      </c>
      <c r="W501" s="68">
        <f t="shared" si="114"/>
        <v>0</v>
      </c>
      <c r="X501" s="27"/>
      <c r="Z501" s="27">
        <v>185331</v>
      </c>
      <c r="AA501" s="109">
        <v>202248</v>
      </c>
      <c r="AB501" s="27">
        <v>65511</v>
      </c>
      <c r="AC501" s="109">
        <v>78194</v>
      </c>
      <c r="AD501" s="27">
        <v>200058</v>
      </c>
      <c r="AE501" s="109">
        <v>171404</v>
      </c>
      <c r="AF501" s="64">
        <f t="shared" si="115"/>
        <v>450900</v>
      </c>
      <c r="AG501" s="65">
        <f t="shared" si="116"/>
        <v>501</v>
      </c>
      <c r="AH501" s="66">
        <f t="shared" si="108"/>
        <v>451846</v>
      </c>
      <c r="AI501" s="66">
        <f t="shared" si="117"/>
        <v>502.05111111111108</v>
      </c>
      <c r="AJ501" s="27"/>
      <c r="AK501" s="26"/>
      <c r="AL501" s="64">
        <f t="shared" si="118"/>
        <v>0</v>
      </c>
      <c r="AM501" s="67">
        <f t="shared" si="119"/>
        <v>0</v>
      </c>
      <c r="AN501" s="27"/>
      <c r="AO501" s="26"/>
      <c r="AP501" s="27"/>
      <c r="AQ501" s="26"/>
      <c r="AR501" s="27"/>
      <c r="AS501" s="26"/>
      <c r="AT501" s="27"/>
      <c r="AU501" s="26"/>
      <c r="AV501" s="64">
        <f t="shared" si="120"/>
        <v>0</v>
      </c>
      <c r="AW501" s="70">
        <f t="shared" si="121"/>
        <v>0</v>
      </c>
      <c r="AX501" s="66">
        <f t="shared" si="122"/>
        <v>0</v>
      </c>
      <c r="AY501" s="71">
        <f t="shared" si="123"/>
        <v>0</v>
      </c>
      <c r="AZ501" s="72">
        <f t="shared" si="124"/>
        <v>501</v>
      </c>
      <c r="BA501" s="66">
        <f t="shared" si="125"/>
        <v>502.05111111111108</v>
      </c>
    </row>
    <row r="502" spans="1:53">
      <c r="A502" s="184" t="s">
        <v>468</v>
      </c>
      <c r="B502" s="179" t="s">
        <v>516</v>
      </c>
      <c r="C502" s="180"/>
      <c r="D502" s="181">
        <v>221388</v>
      </c>
      <c r="E502" s="181">
        <v>13</v>
      </c>
      <c r="F502" s="29" t="s">
        <v>75</v>
      </c>
      <c r="G502" s="16"/>
      <c r="H502" s="27"/>
      <c r="I502" s="26"/>
      <c r="J502" s="27"/>
      <c r="K502" s="26"/>
      <c r="L502" s="27"/>
      <c r="M502" s="26"/>
      <c r="N502" s="27"/>
      <c r="O502" s="26"/>
      <c r="P502" s="64">
        <f t="shared" si="109"/>
        <v>0</v>
      </c>
      <c r="Q502" s="65">
        <f t="shared" si="110"/>
        <v>0</v>
      </c>
      <c r="R502" s="66">
        <f t="shared" si="111"/>
        <v>0</v>
      </c>
      <c r="S502" s="67">
        <f t="shared" si="112"/>
        <v>0</v>
      </c>
      <c r="T502" s="27"/>
      <c r="U502" s="26"/>
      <c r="V502" s="64">
        <f t="shared" si="113"/>
        <v>0</v>
      </c>
      <c r="W502" s="68">
        <f t="shared" si="114"/>
        <v>0</v>
      </c>
      <c r="X502" s="27"/>
      <c r="Z502" s="27">
        <v>47310</v>
      </c>
      <c r="AA502" s="109">
        <v>64162</v>
      </c>
      <c r="AB502" s="27">
        <v>37265</v>
      </c>
      <c r="AC502" s="109">
        <v>48522</v>
      </c>
      <c r="AD502" s="27">
        <v>65356</v>
      </c>
      <c r="AE502" s="109">
        <v>59951</v>
      </c>
      <c r="AF502" s="64">
        <f t="shared" si="115"/>
        <v>149931</v>
      </c>
      <c r="AG502" s="65">
        <f t="shared" si="116"/>
        <v>166.59</v>
      </c>
      <c r="AH502" s="66">
        <f t="shared" si="108"/>
        <v>172635</v>
      </c>
      <c r="AI502" s="66">
        <f t="shared" si="117"/>
        <v>191.81666666666666</v>
      </c>
      <c r="AJ502" s="27"/>
      <c r="AK502" s="26"/>
      <c r="AL502" s="64">
        <f t="shared" si="118"/>
        <v>0</v>
      </c>
      <c r="AM502" s="67">
        <f t="shared" si="119"/>
        <v>0</v>
      </c>
      <c r="AN502" s="27"/>
      <c r="AO502" s="26"/>
      <c r="AP502" s="27"/>
      <c r="AQ502" s="26"/>
      <c r="AR502" s="27"/>
      <c r="AS502" s="26"/>
      <c r="AT502" s="27"/>
      <c r="AU502" s="26"/>
      <c r="AV502" s="64">
        <f t="shared" si="120"/>
        <v>0</v>
      </c>
      <c r="AW502" s="70">
        <f t="shared" si="121"/>
        <v>0</v>
      </c>
      <c r="AX502" s="66">
        <f t="shared" si="122"/>
        <v>0</v>
      </c>
      <c r="AY502" s="71">
        <f t="shared" si="123"/>
        <v>0</v>
      </c>
      <c r="AZ502" s="72">
        <f t="shared" si="124"/>
        <v>166.59</v>
      </c>
      <c r="BA502" s="66">
        <f t="shared" si="125"/>
        <v>191.81666666666666</v>
      </c>
    </row>
    <row r="503" spans="1:53">
      <c r="A503" s="184" t="s">
        <v>468</v>
      </c>
      <c r="B503" s="179" t="s">
        <v>517</v>
      </c>
      <c r="C503" s="180"/>
      <c r="D503" s="181">
        <v>221494</v>
      </c>
      <c r="E503" s="181">
        <v>13</v>
      </c>
      <c r="F503" s="29" t="s">
        <v>75</v>
      </c>
      <c r="G503" s="16"/>
      <c r="H503" s="27"/>
      <c r="I503" s="26"/>
      <c r="J503" s="27"/>
      <c r="K503" s="26"/>
      <c r="L503" s="27"/>
      <c r="M503" s="26"/>
      <c r="N503" s="27"/>
      <c r="O503" s="26"/>
      <c r="P503" s="64">
        <f t="shared" si="109"/>
        <v>0</v>
      </c>
      <c r="Q503" s="65">
        <f t="shared" si="110"/>
        <v>0</v>
      </c>
      <c r="R503" s="66">
        <f t="shared" si="111"/>
        <v>0</v>
      </c>
      <c r="S503" s="67">
        <f t="shared" si="112"/>
        <v>0</v>
      </c>
      <c r="T503" s="27"/>
      <c r="U503" s="26"/>
      <c r="V503" s="64">
        <f t="shared" si="113"/>
        <v>0</v>
      </c>
      <c r="W503" s="68">
        <f t="shared" si="114"/>
        <v>0</v>
      </c>
      <c r="X503" s="27"/>
      <c r="Z503" s="27">
        <v>144774</v>
      </c>
      <c r="AA503" s="109">
        <v>178037</v>
      </c>
      <c r="AB503" s="27">
        <v>127632</v>
      </c>
      <c r="AC503" s="109">
        <v>171167</v>
      </c>
      <c r="AD503" s="27">
        <v>193339</v>
      </c>
      <c r="AE503" s="26">
        <v>198689</v>
      </c>
      <c r="AF503" s="64">
        <f t="shared" si="115"/>
        <v>465745</v>
      </c>
      <c r="AG503" s="65">
        <f t="shared" si="116"/>
        <v>517.49444444444441</v>
      </c>
      <c r="AH503" s="66">
        <f t="shared" si="108"/>
        <v>547893</v>
      </c>
      <c r="AI503" s="66">
        <f t="shared" si="117"/>
        <v>608.77</v>
      </c>
      <c r="AJ503" s="27"/>
      <c r="AK503" s="26"/>
      <c r="AL503" s="64">
        <f t="shared" si="118"/>
        <v>0</v>
      </c>
      <c r="AM503" s="67">
        <f t="shared" si="119"/>
        <v>0</v>
      </c>
      <c r="AN503" s="27"/>
      <c r="AO503" s="26"/>
      <c r="AP503" s="27"/>
      <c r="AQ503" s="26"/>
      <c r="AR503" s="27"/>
      <c r="AS503" s="26"/>
      <c r="AT503" s="27"/>
      <c r="AU503" s="26"/>
      <c r="AV503" s="64">
        <f t="shared" si="120"/>
        <v>0</v>
      </c>
      <c r="AW503" s="70">
        <f t="shared" si="121"/>
        <v>0</v>
      </c>
      <c r="AX503" s="66">
        <f t="shared" si="122"/>
        <v>0</v>
      </c>
      <c r="AY503" s="71">
        <f t="shared" si="123"/>
        <v>0</v>
      </c>
      <c r="AZ503" s="72">
        <f t="shared" si="124"/>
        <v>517.49444444444441</v>
      </c>
      <c r="BA503" s="66">
        <f t="shared" si="125"/>
        <v>608.77</v>
      </c>
    </row>
    <row r="504" spans="1:53">
      <c r="A504" s="184" t="s">
        <v>468</v>
      </c>
      <c r="B504" s="179" t="s">
        <v>518</v>
      </c>
      <c r="C504" s="180"/>
      <c r="D504" s="181">
        <v>221634</v>
      </c>
      <c r="E504" s="181">
        <v>13</v>
      </c>
      <c r="F504" s="29" t="s">
        <v>75</v>
      </c>
      <c r="G504" s="16"/>
      <c r="H504" s="27"/>
      <c r="I504" s="26"/>
      <c r="J504" s="27"/>
      <c r="K504" s="26"/>
      <c r="L504" s="27"/>
      <c r="M504" s="26"/>
      <c r="N504" s="27"/>
      <c r="O504" s="26"/>
      <c r="P504" s="64">
        <f t="shared" si="109"/>
        <v>0</v>
      </c>
      <c r="Q504" s="65">
        <f t="shared" si="110"/>
        <v>0</v>
      </c>
      <c r="R504" s="66">
        <f t="shared" si="111"/>
        <v>0</v>
      </c>
      <c r="S504" s="67">
        <f t="shared" si="112"/>
        <v>0</v>
      </c>
      <c r="T504" s="27"/>
      <c r="U504" s="26"/>
      <c r="V504" s="64">
        <f t="shared" si="113"/>
        <v>0</v>
      </c>
      <c r="W504" s="68">
        <f t="shared" si="114"/>
        <v>0</v>
      </c>
      <c r="X504" s="27"/>
      <c r="Z504" s="27">
        <v>55602</v>
      </c>
      <c r="AA504" s="109">
        <v>61875</v>
      </c>
      <c r="AB504" s="27">
        <v>53933</v>
      </c>
      <c r="AC504" s="109">
        <v>49816</v>
      </c>
      <c r="AD504" s="27">
        <v>77826</v>
      </c>
      <c r="AE504" s="109">
        <v>66806</v>
      </c>
      <c r="AF504" s="64">
        <f t="shared" si="115"/>
        <v>187361</v>
      </c>
      <c r="AG504" s="65">
        <f t="shared" si="116"/>
        <v>208.17888888888888</v>
      </c>
      <c r="AH504" s="66">
        <f t="shared" si="108"/>
        <v>178497</v>
      </c>
      <c r="AI504" s="66">
        <f t="shared" si="117"/>
        <v>198.33</v>
      </c>
      <c r="AJ504" s="27"/>
      <c r="AK504" s="26"/>
      <c r="AL504" s="64">
        <f t="shared" si="118"/>
        <v>0</v>
      </c>
      <c r="AM504" s="67">
        <f t="shared" si="119"/>
        <v>0</v>
      </c>
      <c r="AN504" s="27"/>
      <c r="AO504" s="26"/>
      <c r="AP504" s="27"/>
      <c r="AQ504" s="26"/>
      <c r="AR504" s="27"/>
      <c r="AS504" s="26"/>
      <c r="AT504" s="27"/>
      <c r="AU504" s="26"/>
      <c r="AV504" s="64">
        <f t="shared" si="120"/>
        <v>0</v>
      </c>
      <c r="AW504" s="70">
        <f t="shared" si="121"/>
        <v>0</v>
      </c>
      <c r="AX504" s="66">
        <f t="shared" si="122"/>
        <v>0</v>
      </c>
      <c r="AY504" s="71">
        <f t="shared" si="123"/>
        <v>0</v>
      </c>
      <c r="AZ504" s="72">
        <f t="shared" si="124"/>
        <v>208.17888888888888</v>
      </c>
      <c r="BA504" s="66">
        <f t="shared" si="125"/>
        <v>198.33</v>
      </c>
    </row>
    <row r="505" spans="1:53" s="54" customFormat="1" ht="13.5" customHeight="1">
      <c r="A505" s="20" t="s">
        <v>639</v>
      </c>
      <c r="B505" s="19" t="s">
        <v>640</v>
      </c>
      <c r="C505" s="695"/>
      <c r="D505" s="17">
        <v>228723</v>
      </c>
      <c r="E505" s="17">
        <v>1</v>
      </c>
      <c r="F505" s="29" t="s">
        <v>75</v>
      </c>
      <c r="G505" s="16"/>
      <c r="H505" s="27"/>
      <c r="I505" s="26">
        <v>0</v>
      </c>
      <c r="J505" s="27">
        <v>548158</v>
      </c>
      <c r="K505" s="238">
        <v>570991</v>
      </c>
      <c r="L505" s="27">
        <v>73891</v>
      </c>
      <c r="M505" s="150">
        <v>80963</v>
      </c>
      <c r="N505" s="27">
        <v>604505</v>
      </c>
      <c r="O505" s="149">
        <v>626371</v>
      </c>
      <c r="P505" s="64">
        <f t="shared" si="109"/>
        <v>1226554</v>
      </c>
      <c r="Q505" s="65">
        <f t="shared" si="110"/>
        <v>40885.133333333331</v>
      </c>
      <c r="R505" s="66">
        <f t="shared" si="111"/>
        <v>1278325</v>
      </c>
      <c r="S505" s="67">
        <f t="shared" si="112"/>
        <v>42610.833333333336</v>
      </c>
      <c r="T505" s="27">
        <v>0</v>
      </c>
      <c r="U505" s="26">
        <v>0</v>
      </c>
      <c r="V505" s="64">
        <f t="shared" si="113"/>
        <v>1226554</v>
      </c>
      <c r="W505" s="68">
        <f>IF(ISBLANK(#REF!),0,R505)</f>
        <v>1278325</v>
      </c>
      <c r="X505" s="27"/>
      <c r="Y505" s="26"/>
      <c r="Z505" s="27"/>
      <c r="AA505" s="26"/>
      <c r="AB505" s="27"/>
      <c r="AC505" s="26"/>
      <c r="AD505" s="27"/>
      <c r="AE505" s="26"/>
      <c r="AF505" s="64">
        <f t="shared" si="115"/>
        <v>0</v>
      </c>
      <c r="AG505" s="65">
        <f t="shared" si="116"/>
        <v>0</v>
      </c>
      <c r="AH505" s="66">
        <f t="shared" si="108"/>
        <v>0</v>
      </c>
      <c r="AI505" s="66">
        <f t="shared" si="117"/>
        <v>0</v>
      </c>
      <c r="AJ505" s="27"/>
      <c r="AL505" s="64">
        <f t="shared" si="118"/>
        <v>0</v>
      </c>
      <c r="AM505" s="67">
        <f t="shared" ref="AM505:AM568" si="126">IF(ISBLANK(U505),0,AH505)</f>
        <v>0</v>
      </c>
      <c r="AN505" s="27"/>
      <c r="AO505" s="26"/>
      <c r="AP505" s="27">
        <v>90269</v>
      </c>
      <c r="AQ505" s="150">
        <v>92596</v>
      </c>
      <c r="AR505" s="27">
        <v>30688</v>
      </c>
      <c r="AS505" s="150">
        <v>32317</v>
      </c>
      <c r="AT505" s="27">
        <v>100334</v>
      </c>
      <c r="AU505" s="150">
        <v>101496</v>
      </c>
      <c r="AV505" s="64">
        <f t="shared" si="120"/>
        <v>221291</v>
      </c>
      <c r="AW505" s="70">
        <f t="shared" si="121"/>
        <v>9220.4583333333339</v>
      </c>
      <c r="AX505" s="66">
        <f t="shared" si="122"/>
        <v>226409</v>
      </c>
      <c r="AY505" s="71">
        <f t="shared" si="123"/>
        <v>9433.7083333333339</v>
      </c>
      <c r="AZ505" s="72">
        <f t="shared" si="124"/>
        <v>50105.591666666667</v>
      </c>
      <c r="BA505" s="66">
        <f t="shared" si="125"/>
        <v>52044.541666666672</v>
      </c>
    </row>
    <row r="506" spans="1:53" ht="15">
      <c r="A506" s="20" t="s">
        <v>639</v>
      </c>
      <c r="B506" s="19" t="s">
        <v>641</v>
      </c>
      <c r="C506" s="695"/>
      <c r="D506" s="17">
        <v>229115</v>
      </c>
      <c r="E506" s="17">
        <v>1</v>
      </c>
      <c r="F506" s="29" t="s">
        <v>75</v>
      </c>
      <c r="G506" s="16"/>
      <c r="H506" s="27"/>
      <c r="I506" s="26">
        <v>0</v>
      </c>
      <c r="J506" s="27">
        <v>332367</v>
      </c>
      <c r="K506" s="238">
        <v>341904</v>
      </c>
      <c r="L506" s="27">
        <v>59892</v>
      </c>
      <c r="M506" s="150">
        <v>68715</v>
      </c>
      <c r="N506" s="27">
        <v>372141</v>
      </c>
      <c r="O506" s="149">
        <v>382212</v>
      </c>
      <c r="P506" s="64">
        <f t="shared" si="109"/>
        <v>764400</v>
      </c>
      <c r="Q506" s="65">
        <f t="shared" si="110"/>
        <v>25480</v>
      </c>
      <c r="R506" s="66">
        <f t="shared" si="111"/>
        <v>792831</v>
      </c>
      <c r="S506" s="67">
        <f t="shared" si="112"/>
        <v>26427.7</v>
      </c>
      <c r="T506" s="27">
        <v>123</v>
      </c>
      <c r="U506" s="109">
        <v>108</v>
      </c>
      <c r="V506" s="64">
        <f t="shared" si="113"/>
        <v>764400</v>
      </c>
      <c r="W506" s="68">
        <f>IF(ISBLANK(#REF!),0,R506)</f>
        <v>792831</v>
      </c>
      <c r="X506" s="27"/>
      <c r="Y506" s="26"/>
      <c r="Z506" s="27"/>
      <c r="AA506" s="26"/>
      <c r="AB506" s="27"/>
      <c r="AC506" s="26"/>
      <c r="AD506" s="27"/>
      <c r="AE506" s="26"/>
      <c r="AF506" s="64">
        <f t="shared" si="115"/>
        <v>0</v>
      </c>
      <c r="AG506" s="65">
        <f t="shared" si="116"/>
        <v>0</v>
      </c>
      <c r="AH506" s="66">
        <f t="shared" si="108"/>
        <v>0</v>
      </c>
      <c r="AI506" s="66">
        <f t="shared" si="117"/>
        <v>0</v>
      </c>
      <c r="AJ506" s="27"/>
      <c r="AL506" s="64">
        <f t="shared" si="118"/>
        <v>0</v>
      </c>
      <c r="AM506" s="67">
        <f t="shared" si="126"/>
        <v>0</v>
      </c>
      <c r="AN506" s="27"/>
      <c r="AO506" s="26"/>
      <c r="AP506" s="27">
        <v>50498</v>
      </c>
      <c r="AQ506" s="150">
        <v>50131</v>
      </c>
      <c r="AR506" s="27">
        <v>22285</v>
      </c>
      <c r="AS506" s="150">
        <v>24256</v>
      </c>
      <c r="AT506" s="27">
        <v>53010</v>
      </c>
      <c r="AU506" s="150">
        <v>52496</v>
      </c>
      <c r="AV506" s="64">
        <f t="shared" si="120"/>
        <v>125793</v>
      </c>
      <c r="AW506" s="70">
        <f t="shared" si="121"/>
        <v>5241.375</v>
      </c>
      <c r="AX506" s="66">
        <f t="shared" si="122"/>
        <v>126883</v>
      </c>
      <c r="AY506" s="71">
        <f t="shared" si="123"/>
        <v>5286.791666666667</v>
      </c>
      <c r="AZ506" s="72">
        <f t="shared" si="124"/>
        <v>30721.375</v>
      </c>
      <c r="BA506" s="66">
        <f t="shared" si="125"/>
        <v>31714.491666666669</v>
      </c>
    </row>
    <row r="507" spans="1:53" ht="15">
      <c r="A507" s="20" t="s">
        <v>639</v>
      </c>
      <c r="B507" s="19" t="s">
        <v>642</v>
      </c>
      <c r="C507" s="695"/>
      <c r="D507" s="17">
        <v>225511</v>
      </c>
      <c r="E507" s="17">
        <v>1</v>
      </c>
      <c r="F507" s="29" t="s">
        <v>75</v>
      </c>
      <c r="G507" s="16"/>
      <c r="H507" s="27"/>
      <c r="I507" s="26">
        <v>0</v>
      </c>
      <c r="J507" s="27">
        <v>368766</v>
      </c>
      <c r="K507" s="150">
        <v>388383</v>
      </c>
      <c r="L507" s="27">
        <v>60860</v>
      </c>
      <c r="M507" s="150">
        <v>66038</v>
      </c>
      <c r="N507" s="27">
        <v>413450</v>
      </c>
      <c r="O507" s="149">
        <v>429330</v>
      </c>
      <c r="P507" s="64">
        <f t="shared" si="109"/>
        <v>843076</v>
      </c>
      <c r="Q507" s="65">
        <f t="shared" si="110"/>
        <v>28102.533333333333</v>
      </c>
      <c r="R507" s="66">
        <f t="shared" si="111"/>
        <v>883751</v>
      </c>
      <c r="S507" s="67">
        <f t="shared" si="112"/>
        <v>29458.366666666665</v>
      </c>
      <c r="T507" s="27">
        <v>14</v>
      </c>
      <c r="U507" s="109">
        <v>16</v>
      </c>
      <c r="V507" s="64">
        <f t="shared" si="113"/>
        <v>843076</v>
      </c>
      <c r="W507" s="68">
        <f>IF(ISBLANK(#REF!),0,R507)</f>
        <v>883751</v>
      </c>
      <c r="X507" s="27"/>
      <c r="Y507" s="26"/>
      <c r="Z507" s="27"/>
      <c r="AA507" s="26"/>
      <c r="AB507" s="27"/>
      <c r="AC507" s="26"/>
      <c r="AD507" s="27"/>
      <c r="AE507" s="26"/>
      <c r="AF507" s="64">
        <f t="shared" si="115"/>
        <v>0</v>
      </c>
      <c r="AG507" s="65">
        <f t="shared" si="116"/>
        <v>0</v>
      </c>
      <c r="AH507" s="66">
        <f t="shared" si="108"/>
        <v>0</v>
      </c>
      <c r="AI507" s="66">
        <f t="shared" si="117"/>
        <v>0</v>
      </c>
      <c r="AJ507" s="27"/>
      <c r="AL507" s="64">
        <f t="shared" si="118"/>
        <v>0</v>
      </c>
      <c r="AM507" s="67">
        <f t="shared" si="126"/>
        <v>0</v>
      </c>
      <c r="AN507" s="27"/>
      <c r="AO507" s="26"/>
      <c r="AP507" s="27">
        <v>75416</v>
      </c>
      <c r="AQ507" s="150">
        <v>75293</v>
      </c>
      <c r="AR507" s="27">
        <v>18270</v>
      </c>
      <c r="AS507" s="150">
        <v>22559</v>
      </c>
      <c r="AT507" s="27">
        <v>78206</v>
      </c>
      <c r="AU507" s="150">
        <v>77752</v>
      </c>
      <c r="AV507" s="64">
        <f t="shared" si="120"/>
        <v>171892</v>
      </c>
      <c r="AW507" s="70">
        <f t="shared" si="121"/>
        <v>7162.166666666667</v>
      </c>
      <c r="AX507" s="66">
        <f t="shared" si="122"/>
        <v>175604</v>
      </c>
      <c r="AY507" s="71">
        <f t="shared" si="123"/>
        <v>7316.833333333333</v>
      </c>
      <c r="AZ507" s="72">
        <f t="shared" si="124"/>
        <v>35264.699999999997</v>
      </c>
      <c r="BA507" s="66">
        <f t="shared" si="125"/>
        <v>36775.199999999997</v>
      </c>
    </row>
    <row r="508" spans="1:53" ht="15">
      <c r="A508" s="155" t="s">
        <v>639</v>
      </c>
      <c r="B508" s="19" t="s">
        <v>643</v>
      </c>
      <c r="C508" s="695"/>
      <c r="D508" s="17">
        <v>227216</v>
      </c>
      <c r="E508" s="17">
        <v>1</v>
      </c>
      <c r="F508" s="29" t="s">
        <v>75</v>
      </c>
      <c r="G508" s="16"/>
      <c r="H508" s="27"/>
      <c r="I508" s="26">
        <v>0</v>
      </c>
      <c r="J508" s="27">
        <v>339523</v>
      </c>
      <c r="K508" s="238">
        <v>349165</v>
      </c>
      <c r="L508" s="27">
        <v>68298</v>
      </c>
      <c r="M508" s="238">
        <v>68151</v>
      </c>
      <c r="N508" s="27">
        <v>382797</v>
      </c>
      <c r="O508" s="149">
        <v>389502</v>
      </c>
      <c r="P508" s="64">
        <f t="shared" si="109"/>
        <v>790618</v>
      </c>
      <c r="Q508" s="65">
        <f t="shared" si="110"/>
        <v>26353.933333333334</v>
      </c>
      <c r="R508" s="66">
        <f t="shared" si="111"/>
        <v>806818</v>
      </c>
      <c r="S508" s="67">
        <f t="shared" si="112"/>
        <v>26893.933333333334</v>
      </c>
      <c r="T508" s="27">
        <v>0</v>
      </c>
      <c r="U508" s="26">
        <v>0</v>
      </c>
      <c r="V508" s="64">
        <f t="shared" si="113"/>
        <v>790618</v>
      </c>
      <c r="W508" s="68">
        <f>IF(ISBLANK(#REF!),0,R508)</f>
        <v>806818</v>
      </c>
      <c r="X508" s="27"/>
      <c r="Y508" s="26"/>
      <c r="Z508" s="27"/>
      <c r="AA508" s="26"/>
      <c r="AB508" s="27"/>
      <c r="AC508" s="26"/>
      <c r="AD508" s="27"/>
      <c r="AE508" s="26"/>
      <c r="AF508" s="64">
        <f t="shared" si="115"/>
        <v>0</v>
      </c>
      <c r="AG508" s="65">
        <f t="shared" si="116"/>
        <v>0</v>
      </c>
      <c r="AH508" s="66">
        <f t="shared" si="108"/>
        <v>0</v>
      </c>
      <c r="AI508" s="66">
        <f t="shared" si="117"/>
        <v>0</v>
      </c>
      <c r="AJ508" s="27"/>
      <c r="AL508" s="64">
        <f t="shared" si="118"/>
        <v>0</v>
      </c>
      <c r="AM508" s="67">
        <f t="shared" si="126"/>
        <v>0</v>
      </c>
      <c r="AN508" s="27"/>
      <c r="AO508" s="26"/>
      <c r="AP508" s="27">
        <v>41290</v>
      </c>
      <c r="AQ508" s="150">
        <v>43562</v>
      </c>
      <c r="AR508" s="27">
        <v>17552</v>
      </c>
      <c r="AS508" s="150">
        <v>18631</v>
      </c>
      <c r="AT508" s="27">
        <v>42776</v>
      </c>
      <c r="AU508" s="150">
        <v>43233</v>
      </c>
      <c r="AV508" s="64">
        <f t="shared" si="120"/>
        <v>101618</v>
      </c>
      <c r="AW508" s="70">
        <f t="shared" si="121"/>
        <v>4234.083333333333</v>
      </c>
      <c r="AX508" s="66">
        <f t="shared" si="122"/>
        <v>105426</v>
      </c>
      <c r="AY508" s="71">
        <f t="shared" si="123"/>
        <v>4392.75</v>
      </c>
      <c r="AZ508" s="72">
        <f t="shared" si="124"/>
        <v>30588.016666666666</v>
      </c>
      <c r="BA508" s="66">
        <f t="shared" si="125"/>
        <v>31286.683333333334</v>
      </c>
    </row>
    <row r="509" spans="1:53" ht="15">
      <c r="A509" s="155" t="s">
        <v>639</v>
      </c>
      <c r="B509" s="19" t="s">
        <v>644</v>
      </c>
      <c r="C509" s="695"/>
      <c r="D509" s="17">
        <v>228769</v>
      </c>
      <c r="E509" s="17">
        <v>1</v>
      </c>
      <c r="F509" s="29" t="s">
        <v>75</v>
      </c>
      <c r="G509" s="16"/>
      <c r="H509" s="27"/>
      <c r="I509" s="26">
        <v>0</v>
      </c>
      <c r="J509" s="27">
        <v>274782</v>
      </c>
      <c r="K509" s="238">
        <v>281567</v>
      </c>
      <c r="L509" s="27">
        <v>87781</v>
      </c>
      <c r="M509" s="150">
        <v>94869</v>
      </c>
      <c r="N509" s="27">
        <v>267683</v>
      </c>
      <c r="O509" s="150">
        <v>282527</v>
      </c>
      <c r="P509" s="64">
        <f t="shared" si="109"/>
        <v>630246</v>
      </c>
      <c r="Q509" s="65">
        <f t="shared" si="110"/>
        <v>21008.2</v>
      </c>
      <c r="R509" s="66">
        <f t="shared" si="111"/>
        <v>658963</v>
      </c>
      <c r="S509" s="67">
        <f t="shared" si="112"/>
        <v>21965.433333333334</v>
      </c>
      <c r="T509" s="27">
        <v>788</v>
      </c>
      <c r="U509" s="109">
        <v>559</v>
      </c>
      <c r="V509" s="64">
        <f t="shared" si="113"/>
        <v>630246</v>
      </c>
      <c r="W509" s="68">
        <f>IF(ISBLANK(#REF!),0,R509)</f>
        <v>658963</v>
      </c>
      <c r="X509" s="27"/>
      <c r="Y509" s="26"/>
      <c r="Z509" s="27"/>
      <c r="AA509" s="26"/>
      <c r="AB509" s="27"/>
      <c r="AC509" s="26"/>
      <c r="AD509" s="27"/>
      <c r="AE509" s="26"/>
      <c r="AF509" s="64">
        <f t="shared" si="115"/>
        <v>0</v>
      </c>
      <c r="AG509" s="65">
        <f t="shared" si="116"/>
        <v>0</v>
      </c>
      <c r="AH509" s="66">
        <f t="shared" si="108"/>
        <v>0</v>
      </c>
      <c r="AI509" s="66">
        <f t="shared" si="117"/>
        <v>0</v>
      </c>
      <c r="AJ509" s="27"/>
      <c r="AL509" s="64">
        <f t="shared" si="118"/>
        <v>0</v>
      </c>
      <c r="AM509" s="67">
        <f t="shared" si="126"/>
        <v>0</v>
      </c>
      <c r="AN509" s="27"/>
      <c r="AO509" s="26"/>
      <c r="AP509" s="27">
        <v>71266</v>
      </c>
      <c r="AQ509" s="150">
        <v>76233</v>
      </c>
      <c r="AR509" s="27">
        <v>39515</v>
      </c>
      <c r="AS509" s="150">
        <v>46525</v>
      </c>
      <c r="AT509" s="27">
        <v>67498</v>
      </c>
      <c r="AU509" s="150">
        <v>71825</v>
      </c>
      <c r="AV509" s="64">
        <f t="shared" si="120"/>
        <v>178279</v>
      </c>
      <c r="AW509" s="70">
        <f t="shared" si="121"/>
        <v>7428.291666666667</v>
      </c>
      <c r="AX509" s="66">
        <f t="shared" si="122"/>
        <v>194583</v>
      </c>
      <c r="AY509" s="71">
        <f t="shared" si="123"/>
        <v>8107.625</v>
      </c>
      <c r="AZ509" s="72">
        <f t="shared" si="124"/>
        <v>28436.491666666669</v>
      </c>
      <c r="BA509" s="66">
        <f t="shared" si="125"/>
        <v>30073.058333333334</v>
      </c>
    </row>
    <row r="510" spans="1:53" ht="15">
      <c r="A510" s="155" t="s">
        <v>639</v>
      </c>
      <c r="B510" s="19" t="s">
        <v>645</v>
      </c>
      <c r="C510" s="695"/>
      <c r="D510" s="17">
        <v>228778</v>
      </c>
      <c r="E510" s="17">
        <v>1</v>
      </c>
      <c r="F510" s="29" t="s">
        <v>75</v>
      </c>
      <c r="G510" s="16"/>
      <c r="H510" s="27"/>
      <c r="I510" s="26">
        <v>0</v>
      </c>
      <c r="J510" s="27">
        <v>487116</v>
      </c>
      <c r="K510" s="238">
        <v>488630</v>
      </c>
      <c r="L510" s="27">
        <v>48350</v>
      </c>
      <c r="M510" s="238">
        <v>47829</v>
      </c>
      <c r="N510" s="27">
        <v>524591</v>
      </c>
      <c r="O510" s="149">
        <v>533782</v>
      </c>
      <c r="P510" s="64">
        <f t="shared" si="109"/>
        <v>1060057</v>
      </c>
      <c r="Q510" s="65">
        <f t="shared" si="110"/>
        <v>35335.23333333333</v>
      </c>
      <c r="R510" s="66">
        <f t="shared" si="111"/>
        <v>1070241</v>
      </c>
      <c r="S510" s="67">
        <f t="shared" si="112"/>
        <v>35674.699999999997</v>
      </c>
      <c r="T510" s="27">
        <v>0</v>
      </c>
      <c r="U510" s="26">
        <v>0</v>
      </c>
      <c r="V510" s="64">
        <f t="shared" si="113"/>
        <v>1060057</v>
      </c>
      <c r="W510" s="68">
        <f>IF(ISBLANK(#REF!),0,R510)</f>
        <v>1070241</v>
      </c>
      <c r="X510" s="27"/>
      <c r="Y510" s="26"/>
      <c r="Z510" s="27"/>
      <c r="AA510" s="26"/>
      <c r="AB510" s="27"/>
      <c r="AC510" s="26"/>
      <c r="AD510" s="27"/>
      <c r="AE510" s="26"/>
      <c r="AF510" s="64">
        <f t="shared" si="115"/>
        <v>0</v>
      </c>
      <c r="AG510" s="65">
        <f t="shared" si="116"/>
        <v>0</v>
      </c>
      <c r="AH510" s="66">
        <f t="shared" si="108"/>
        <v>0</v>
      </c>
      <c r="AI510" s="66">
        <f t="shared" si="117"/>
        <v>0</v>
      </c>
      <c r="AJ510" s="27"/>
      <c r="AL510" s="64">
        <f t="shared" si="118"/>
        <v>0</v>
      </c>
      <c r="AM510" s="67">
        <f t="shared" si="126"/>
        <v>0</v>
      </c>
      <c r="AN510" s="27"/>
      <c r="AO510" s="26"/>
      <c r="AP510" s="27">
        <v>112301</v>
      </c>
      <c r="AQ510" s="150">
        <v>109824</v>
      </c>
      <c r="AR510" s="27">
        <v>20440</v>
      </c>
      <c r="AS510" s="150">
        <v>19064</v>
      </c>
      <c r="AT510" s="27">
        <v>114613</v>
      </c>
      <c r="AU510" s="150">
        <v>113870</v>
      </c>
      <c r="AV510" s="64">
        <f t="shared" si="120"/>
        <v>247354</v>
      </c>
      <c r="AW510" s="70">
        <f t="shared" si="121"/>
        <v>10306.416666666666</v>
      </c>
      <c r="AX510" s="66">
        <f t="shared" si="122"/>
        <v>242758</v>
      </c>
      <c r="AY510" s="71">
        <f t="shared" si="123"/>
        <v>10114.916666666666</v>
      </c>
      <c r="AZ510" s="72">
        <f t="shared" si="124"/>
        <v>45641.649999999994</v>
      </c>
      <c r="BA510" s="66">
        <f t="shared" si="125"/>
        <v>45789.616666666661</v>
      </c>
    </row>
    <row r="511" spans="1:53" ht="15">
      <c r="A511" s="155" t="s">
        <v>639</v>
      </c>
      <c r="B511" s="19" t="s">
        <v>646</v>
      </c>
      <c r="C511" s="695"/>
      <c r="D511" s="17">
        <v>228787</v>
      </c>
      <c r="E511" s="17">
        <v>1</v>
      </c>
      <c r="F511" s="29" t="s">
        <v>75</v>
      </c>
      <c r="G511" s="16"/>
      <c r="H511" s="27"/>
      <c r="I511" s="26">
        <v>0</v>
      </c>
      <c r="J511" s="27">
        <v>170592</v>
      </c>
      <c r="K511" s="150">
        <v>186475</v>
      </c>
      <c r="L511" s="27">
        <v>24204</v>
      </c>
      <c r="M511" s="150">
        <v>26794</v>
      </c>
      <c r="N511" s="27">
        <v>200257</v>
      </c>
      <c r="O511" s="150">
        <v>224237</v>
      </c>
      <c r="P511" s="64">
        <f t="shared" si="109"/>
        <v>395053</v>
      </c>
      <c r="Q511" s="65">
        <f t="shared" si="110"/>
        <v>13168.433333333332</v>
      </c>
      <c r="R511" s="66">
        <f t="shared" si="111"/>
        <v>437506</v>
      </c>
      <c r="S511" s="67">
        <f t="shared" si="112"/>
        <v>14583.533333333333</v>
      </c>
      <c r="T511" s="27">
        <v>0</v>
      </c>
      <c r="U511" s="26">
        <v>0</v>
      </c>
      <c r="V511" s="64">
        <f t="shared" si="113"/>
        <v>395053</v>
      </c>
      <c r="W511" s="68">
        <f>IF(ISBLANK(#REF!),0,R511)</f>
        <v>437506</v>
      </c>
      <c r="X511" s="27"/>
      <c r="Y511" s="26"/>
      <c r="Z511" s="27"/>
      <c r="AA511" s="26"/>
      <c r="AB511" s="27"/>
      <c r="AC511" s="26"/>
      <c r="AD511" s="27"/>
      <c r="AE511" s="26"/>
      <c r="AF511" s="64">
        <f t="shared" si="115"/>
        <v>0</v>
      </c>
      <c r="AG511" s="65">
        <f t="shared" si="116"/>
        <v>0</v>
      </c>
      <c r="AH511" s="66">
        <f t="shared" si="108"/>
        <v>0</v>
      </c>
      <c r="AI511" s="66">
        <f t="shared" si="117"/>
        <v>0</v>
      </c>
      <c r="AJ511" s="27"/>
      <c r="AL511" s="64">
        <f t="shared" si="118"/>
        <v>0</v>
      </c>
      <c r="AM511" s="67">
        <f t="shared" si="126"/>
        <v>0</v>
      </c>
      <c r="AN511" s="27"/>
      <c r="AO511" s="26"/>
      <c r="AP511" s="27">
        <v>65948</v>
      </c>
      <c r="AQ511" s="150">
        <v>67850</v>
      </c>
      <c r="AR511" s="27">
        <v>20884</v>
      </c>
      <c r="AS511" s="150">
        <v>20636</v>
      </c>
      <c r="AT511" s="27">
        <v>70377</v>
      </c>
      <c r="AU511" s="150">
        <v>73750</v>
      </c>
      <c r="AV511" s="64">
        <f t="shared" si="120"/>
        <v>157209</v>
      </c>
      <c r="AW511" s="70">
        <f t="shared" si="121"/>
        <v>6550.375</v>
      </c>
      <c r="AX511" s="66">
        <f t="shared" si="122"/>
        <v>162236</v>
      </c>
      <c r="AY511" s="71">
        <f t="shared" si="123"/>
        <v>6759.833333333333</v>
      </c>
      <c r="AZ511" s="72">
        <f t="shared" si="124"/>
        <v>19718.808333333334</v>
      </c>
      <c r="BA511" s="66">
        <f t="shared" si="125"/>
        <v>21343.366666666665</v>
      </c>
    </row>
    <row r="512" spans="1:53" ht="15">
      <c r="A512" s="155" t="s">
        <v>639</v>
      </c>
      <c r="B512" s="19" t="s">
        <v>647</v>
      </c>
      <c r="C512" s="695" t="s">
        <v>960</v>
      </c>
      <c r="D512" s="17">
        <v>229179</v>
      </c>
      <c r="E512" s="17">
        <v>2</v>
      </c>
      <c r="F512" s="29" t="s">
        <v>75</v>
      </c>
      <c r="G512" s="16"/>
      <c r="H512" s="27"/>
      <c r="I512" s="26">
        <v>0</v>
      </c>
      <c r="J512" s="27">
        <v>98748</v>
      </c>
      <c r="K512" s="150">
        <v>105136</v>
      </c>
      <c r="L512" s="27">
        <v>22119</v>
      </c>
      <c r="M512" s="238">
        <v>23000</v>
      </c>
      <c r="N512" s="27">
        <v>113726</v>
      </c>
      <c r="O512" s="149">
        <v>117017</v>
      </c>
      <c r="P512" s="64">
        <f t="shared" si="109"/>
        <v>234593</v>
      </c>
      <c r="Q512" s="65">
        <f t="shared" si="110"/>
        <v>7819.7666666666664</v>
      </c>
      <c r="R512" s="66">
        <f t="shared" si="111"/>
        <v>245153</v>
      </c>
      <c r="S512" s="67">
        <f t="shared" si="112"/>
        <v>8171.7666666666664</v>
      </c>
      <c r="T512" s="27">
        <v>4519</v>
      </c>
      <c r="U512" s="109">
        <v>6687</v>
      </c>
      <c r="V512" s="64">
        <f t="shared" si="113"/>
        <v>234593</v>
      </c>
      <c r="W512" s="68">
        <f>IF(ISBLANK(#REF!),0,R512)</f>
        <v>245153</v>
      </c>
      <c r="X512" s="27"/>
      <c r="Y512" s="26"/>
      <c r="Z512" s="27"/>
      <c r="AA512" s="26"/>
      <c r="AB512" s="27"/>
      <c r="AC512" s="26"/>
      <c r="AD512" s="27"/>
      <c r="AE512" s="26"/>
      <c r="AF512" s="64">
        <f t="shared" si="115"/>
        <v>0</v>
      </c>
      <c r="AG512" s="65">
        <f t="shared" si="116"/>
        <v>0</v>
      </c>
      <c r="AH512" s="66">
        <f t="shared" si="108"/>
        <v>0</v>
      </c>
      <c r="AI512" s="66">
        <f t="shared" si="117"/>
        <v>0</v>
      </c>
      <c r="AJ512" s="27"/>
      <c r="AL512" s="64">
        <f t="shared" si="118"/>
        <v>0</v>
      </c>
      <c r="AM512" s="67">
        <f t="shared" si="126"/>
        <v>0</v>
      </c>
      <c r="AN512" s="27"/>
      <c r="AO512" s="26"/>
      <c r="AP512" s="27">
        <v>34581</v>
      </c>
      <c r="AQ512" s="150">
        <v>34416</v>
      </c>
      <c r="AR512" s="27">
        <v>23352</v>
      </c>
      <c r="AS512" s="150">
        <v>22668</v>
      </c>
      <c r="AT512" s="27">
        <v>35538</v>
      </c>
      <c r="AU512" s="150">
        <v>36248</v>
      </c>
      <c r="AV512" s="64">
        <f t="shared" si="120"/>
        <v>93471</v>
      </c>
      <c r="AW512" s="70">
        <f t="shared" si="121"/>
        <v>3894.625</v>
      </c>
      <c r="AX512" s="66">
        <f t="shared" si="122"/>
        <v>93332</v>
      </c>
      <c r="AY512" s="71">
        <f t="shared" si="123"/>
        <v>3888.8333333333335</v>
      </c>
      <c r="AZ512" s="72">
        <f t="shared" si="124"/>
        <v>11714.391666666666</v>
      </c>
      <c r="BA512" s="66">
        <f t="shared" si="125"/>
        <v>12060.6</v>
      </c>
    </row>
    <row r="513" spans="1:53" ht="15">
      <c r="A513" s="155" t="s">
        <v>639</v>
      </c>
      <c r="B513" s="19" t="s">
        <v>648</v>
      </c>
      <c r="C513" s="695"/>
      <c r="D513" s="17">
        <v>228796</v>
      </c>
      <c r="E513" s="17">
        <v>2</v>
      </c>
      <c r="F513" s="29" t="s">
        <v>75</v>
      </c>
      <c r="G513" s="16"/>
      <c r="H513" s="27"/>
      <c r="I513" s="26">
        <v>0</v>
      </c>
      <c r="J513" s="27">
        <v>205495</v>
      </c>
      <c r="K513" s="238">
        <v>209768</v>
      </c>
      <c r="L513" s="27">
        <v>54255</v>
      </c>
      <c r="M513" s="238">
        <v>53057</v>
      </c>
      <c r="N513" s="27">
        <v>221904</v>
      </c>
      <c r="O513" s="149">
        <v>226067</v>
      </c>
      <c r="P513" s="64">
        <f t="shared" si="109"/>
        <v>481654</v>
      </c>
      <c r="Q513" s="65">
        <f t="shared" si="110"/>
        <v>16055.133333333333</v>
      </c>
      <c r="R513" s="66">
        <f t="shared" si="111"/>
        <v>488892</v>
      </c>
      <c r="S513" s="67">
        <f t="shared" si="112"/>
        <v>16296.4</v>
      </c>
      <c r="T513" s="27">
        <v>0</v>
      </c>
      <c r="U513" s="26">
        <v>0</v>
      </c>
      <c r="V513" s="64">
        <f t="shared" si="113"/>
        <v>481654</v>
      </c>
      <c r="W513" s="68">
        <f>IF(ISBLANK(#REF!),0,R513)</f>
        <v>488892</v>
      </c>
      <c r="X513" s="27"/>
      <c r="Y513" s="26"/>
      <c r="Z513" s="27"/>
      <c r="AA513" s="26"/>
      <c r="AB513" s="27"/>
      <c r="AC513" s="26"/>
      <c r="AD513" s="27"/>
      <c r="AE513" s="26"/>
      <c r="AF513" s="64">
        <f t="shared" si="115"/>
        <v>0</v>
      </c>
      <c r="AG513" s="65">
        <f t="shared" si="116"/>
        <v>0</v>
      </c>
      <c r="AH513" s="66">
        <f t="shared" si="108"/>
        <v>0</v>
      </c>
      <c r="AI513" s="66">
        <f t="shared" si="117"/>
        <v>0</v>
      </c>
      <c r="AJ513" s="27"/>
      <c r="AL513" s="64">
        <f t="shared" si="118"/>
        <v>0</v>
      </c>
      <c r="AM513" s="67">
        <f t="shared" si="126"/>
        <v>0</v>
      </c>
      <c r="AN513" s="27"/>
      <c r="AO513" s="26"/>
      <c r="AP513" s="27">
        <v>22378</v>
      </c>
      <c r="AQ513" s="150">
        <v>23362</v>
      </c>
      <c r="AR513" s="27">
        <v>11899</v>
      </c>
      <c r="AS513" s="150">
        <v>12044</v>
      </c>
      <c r="AT513" s="27">
        <v>20290</v>
      </c>
      <c r="AU513" s="150">
        <v>20860</v>
      </c>
      <c r="AV513" s="64">
        <f t="shared" si="120"/>
        <v>54567</v>
      </c>
      <c r="AW513" s="70">
        <f t="shared" si="121"/>
        <v>2273.625</v>
      </c>
      <c r="AX513" s="66">
        <f t="shared" si="122"/>
        <v>56266</v>
      </c>
      <c r="AY513" s="71">
        <f t="shared" si="123"/>
        <v>2344.4166666666665</v>
      </c>
      <c r="AZ513" s="72">
        <f t="shared" si="124"/>
        <v>18328.758333333331</v>
      </c>
      <c r="BA513" s="66">
        <f t="shared" si="125"/>
        <v>18640.816666666666</v>
      </c>
    </row>
    <row r="514" spans="1:53" ht="15">
      <c r="A514" s="155" t="s">
        <v>639</v>
      </c>
      <c r="B514" s="19" t="s">
        <v>649</v>
      </c>
      <c r="C514" s="704" t="s">
        <v>990</v>
      </c>
      <c r="D514" s="17">
        <v>229027</v>
      </c>
      <c r="E514" s="249">
        <v>1</v>
      </c>
      <c r="F514" s="29" t="s">
        <v>75</v>
      </c>
      <c r="G514" s="16"/>
      <c r="H514" s="27"/>
      <c r="I514" s="26">
        <v>0</v>
      </c>
      <c r="J514" s="27">
        <v>261805</v>
      </c>
      <c r="K514" s="238">
        <v>272411</v>
      </c>
      <c r="L514" s="27">
        <v>46168</v>
      </c>
      <c r="M514" s="150">
        <v>54903</v>
      </c>
      <c r="N514" s="27">
        <v>303123</v>
      </c>
      <c r="O514" s="149">
        <v>302061</v>
      </c>
      <c r="P514" s="64">
        <f t="shared" si="109"/>
        <v>611096</v>
      </c>
      <c r="Q514" s="65">
        <f t="shared" si="110"/>
        <v>20369.866666666665</v>
      </c>
      <c r="R514" s="66">
        <f t="shared" si="111"/>
        <v>629375</v>
      </c>
      <c r="S514" s="67">
        <f t="shared" si="112"/>
        <v>20979.166666666668</v>
      </c>
      <c r="T514" s="27">
        <v>117</v>
      </c>
      <c r="U514" s="109">
        <v>87</v>
      </c>
      <c r="V514" s="64">
        <f t="shared" si="113"/>
        <v>611096</v>
      </c>
      <c r="W514" s="68">
        <f>IF(ISBLANK(#REF!),0,R514)</f>
        <v>629375</v>
      </c>
      <c r="X514" s="27"/>
      <c r="Y514" s="26"/>
      <c r="Z514" s="27"/>
      <c r="AA514" s="26"/>
      <c r="AB514" s="27"/>
      <c r="AC514" s="26"/>
      <c r="AD514" s="27"/>
      <c r="AE514" s="26"/>
      <c r="AF514" s="64">
        <f t="shared" si="115"/>
        <v>0</v>
      </c>
      <c r="AG514" s="65">
        <f t="shared" si="116"/>
        <v>0</v>
      </c>
      <c r="AH514" s="66">
        <f t="shared" si="108"/>
        <v>0</v>
      </c>
      <c r="AI514" s="66">
        <f t="shared" si="117"/>
        <v>0</v>
      </c>
      <c r="AJ514" s="27"/>
      <c r="AL514" s="64">
        <f t="shared" si="118"/>
        <v>0</v>
      </c>
      <c r="AM514" s="67">
        <f t="shared" si="126"/>
        <v>0</v>
      </c>
      <c r="AN514" s="27"/>
      <c r="AO514" s="26"/>
      <c r="AP514" s="27">
        <v>27260</v>
      </c>
      <c r="AQ514" s="150">
        <v>26454</v>
      </c>
      <c r="AR514" s="27">
        <v>10681</v>
      </c>
      <c r="AS514" s="150">
        <v>10932</v>
      </c>
      <c r="AT514" s="27">
        <v>28694</v>
      </c>
      <c r="AU514" s="150">
        <v>28941</v>
      </c>
      <c r="AV514" s="64">
        <f t="shared" si="120"/>
        <v>66635</v>
      </c>
      <c r="AW514" s="70">
        <f t="shared" si="121"/>
        <v>2776.4583333333335</v>
      </c>
      <c r="AX514" s="66">
        <f t="shared" si="122"/>
        <v>66327</v>
      </c>
      <c r="AY514" s="71">
        <f t="shared" si="123"/>
        <v>2763.625</v>
      </c>
      <c r="AZ514" s="72">
        <f t="shared" si="124"/>
        <v>23146.324999999997</v>
      </c>
      <c r="BA514" s="66">
        <f t="shared" si="125"/>
        <v>23742.791666666668</v>
      </c>
    </row>
    <row r="515" spans="1:53" ht="15">
      <c r="A515" s="155" t="s">
        <v>639</v>
      </c>
      <c r="B515" s="19" t="s">
        <v>650</v>
      </c>
      <c r="C515" s="695"/>
      <c r="D515" s="17">
        <v>222831</v>
      </c>
      <c r="E515" s="17">
        <v>3</v>
      </c>
      <c r="F515" s="29" t="s">
        <v>75</v>
      </c>
      <c r="G515" s="16"/>
      <c r="H515" s="27"/>
      <c r="I515" s="26">
        <v>0</v>
      </c>
      <c r="J515" s="27">
        <v>60364</v>
      </c>
      <c r="K515" s="150">
        <v>70415</v>
      </c>
      <c r="L515" s="27">
        <v>12627</v>
      </c>
      <c r="M515" s="150">
        <v>13994</v>
      </c>
      <c r="N515" s="27">
        <v>76236</v>
      </c>
      <c r="O515" s="150">
        <v>87624</v>
      </c>
      <c r="P515" s="64">
        <f t="shared" si="109"/>
        <v>149227</v>
      </c>
      <c r="Q515" s="65">
        <f t="shared" si="110"/>
        <v>4974.2333333333336</v>
      </c>
      <c r="R515" s="66">
        <f t="shared" si="111"/>
        <v>172033</v>
      </c>
      <c r="S515" s="67">
        <f t="shared" si="112"/>
        <v>5734.4333333333334</v>
      </c>
      <c r="T515" s="27">
        <v>8599</v>
      </c>
      <c r="U515" s="109">
        <v>20843</v>
      </c>
      <c r="V515" s="64">
        <f t="shared" si="113"/>
        <v>149227</v>
      </c>
      <c r="W515" s="68">
        <f>IF(ISBLANK(#REF!),0,R515)</f>
        <v>172033</v>
      </c>
      <c r="X515" s="27"/>
      <c r="Y515" s="26"/>
      <c r="Z515" s="27"/>
      <c r="AA515" s="26"/>
      <c r="AB515" s="27"/>
      <c r="AC515" s="26"/>
      <c r="AD515" s="27"/>
      <c r="AE515" s="26"/>
      <c r="AF515" s="64">
        <f t="shared" si="115"/>
        <v>0</v>
      </c>
      <c r="AG515" s="65">
        <f t="shared" si="116"/>
        <v>0</v>
      </c>
      <c r="AH515" s="66">
        <f t="shared" si="108"/>
        <v>0</v>
      </c>
      <c r="AI515" s="66">
        <f t="shared" si="117"/>
        <v>0</v>
      </c>
      <c r="AJ515" s="27"/>
      <c r="AL515" s="64">
        <f t="shared" si="118"/>
        <v>0</v>
      </c>
      <c r="AM515" s="67">
        <f t="shared" si="126"/>
        <v>0</v>
      </c>
      <c r="AN515" s="27"/>
      <c r="AO515" s="26"/>
      <c r="AP515" s="27">
        <v>8234</v>
      </c>
      <c r="AQ515" s="150">
        <v>10363</v>
      </c>
      <c r="AR515" s="27">
        <v>4462</v>
      </c>
      <c r="AS515" s="150">
        <v>7745</v>
      </c>
      <c r="AT515" s="27">
        <v>6536</v>
      </c>
      <c r="AU515" s="150">
        <v>8038</v>
      </c>
      <c r="AV515" s="64">
        <f t="shared" si="120"/>
        <v>19232</v>
      </c>
      <c r="AW515" s="70">
        <f t="shared" si="121"/>
        <v>801.33333333333337</v>
      </c>
      <c r="AX515" s="66">
        <f t="shared" si="122"/>
        <v>26146</v>
      </c>
      <c r="AY515" s="71">
        <f t="shared" si="123"/>
        <v>1089.4166666666667</v>
      </c>
      <c r="AZ515" s="72">
        <f t="shared" si="124"/>
        <v>5775.5666666666666</v>
      </c>
      <c r="BA515" s="66">
        <f t="shared" si="125"/>
        <v>6823.85</v>
      </c>
    </row>
    <row r="516" spans="1:53" ht="15">
      <c r="A516" s="155" t="s">
        <v>639</v>
      </c>
      <c r="B516" s="19" t="s">
        <v>651</v>
      </c>
      <c r="C516" s="695"/>
      <c r="D516" s="17">
        <v>226091</v>
      </c>
      <c r="E516" s="17">
        <v>3</v>
      </c>
      <c r="F516" s="29" t="s">
        <v>75</v>
      </c>
      <c r="G516" s="16"/>
      <c r="H516" s="27"/>
      <c r="I516" s="26">
        <v>0</v>
      </c>
      <c r="J516" s="27">
        <v>95009</v>
      </c>
      <c r="K516" s="238">
        <v>97413</v>
      </c>
      <c r="L516" s="27">
        <v>26862</v>
      </c>
      <c r="M516" s="238">
        <v>27186</v>
      </c>
      <c r="N516" s="27">
        <v>98987</v>
      </c>
      <c r="O516" s="149">
        <v>98858</v>
      </c>
      <c r="P516" s="64">
        <f t="shared" si="109"/>
        <v>220858</v>
      </c>
      <c r="Q516" s="65">
        <f t="shared" si="110"/>
        <v>7361.9333333333334</v>
      </c>
      <c r="R516" s="66">
        <f t="shared" si="111"/>
        <v>223457</v>
      </c>
      <c r="S516" s="67">
        <f t="shared" si="112"/>
        <v>7448.5666666666666</v>
      </c>
      <c r="T516" s="27">
        <v>1547</v>
      </c>
      <c r="U516" s="109">
        <v>1953</v>
      </c>
      <c r="V516" s="64">
        <f t="shared" si="113"/>
        <v>220858</v>
      </c>
      <c r="W516" s="68">
        <f>IF(ISBLANK(#REF!),0,R516)</f>
        <v>223457</v>
      </c>
      <c r="X516" s="27"/>
      <c r="Y516" s="26"/>
      <c r="Z516" s="27"/>
      <c r="AA516" s="26"/>
      <c r="AB516" s="27"/>
      <c r="AC516" s="26"/>
      <c r="AD516" s="27"/>
      <c r="AE516" s="26"/>
      <c r="AF516" s="64">
        <f t="shared" si="115"/>
        <v>0</v>
      </c>
      <c r="AG516" s="65">
        <f t="shared" si="116"/>
        <v>0</v>
      </c>
      <c r="AH516" s="66">
        <f t="shared" si="108"/>
        <v>0</v>
      </c>
      <c r="AI516" s="66">
        <f t="shared" si="117"/>
        <v>0</v>
      </c>
      <c r="AJ516" s="27"/>
      <c r="AL516" s="64">
        <f t="shared" si="118"/>
        <v>0</v>
      </c>
      <c r="AM516" s="67">
        <f t="shared" si="126"/>
        <v>0</v>
      </c>
      <c r="AN516" s="27"/>
      <c r="AO516" s="26"/>
      <c r="AP516" s="27">
        <v>46260</v>
      </c>
      <c r="AQ516" s="150">
        <v>45322</v>
      </c>
      <c r="AR516" s="27">
        <v>47611</v>
      </c>
      <c r="AS516" s="150">
        <v>47624</v>
      </c>
      <c r="AT516" s="27">
        <v>24748</v>
      </c>
      <c r="AU516" s="150">
        <v>22550</v>
      </c>
      <c r="AV516" s="64">
        <f t="shared" si="120"/>
        <v>118619</v>
      </c>
      <c r="AW516" s="70">
        <f t="shared" si="121"/>
        <v>4942.458333333333</v>
      </c>
      <c r="AX516" s="66">
        <f t="shared" si="122"/>
        <v>115496</v>
      </c>
      <c r="AY516" s="71">
        <f t="shared" si="123"/>
        <v>4812.333333333333</v>
      </c>
      <c r="AZ516" s="72">
        <f t="shared" si="124"/>
        <v>12304.391666666666</v>
      </c>
      <c r="BA516" s="66">
        <f t="shared" si="125"/>
        <v>12260.9</v>
      </c>
    </row>
    <row r="517" spans="1:53" ht="15">
      <c r="A517" s="155" t="s">
        <v>639</v>
      </c>
      <c r="B517" s="19" t="s">
        <v>652</v>
      </c>
      <c r="C517" s="695"/>
      <c r="D517" s="17">
        <v>226833</v>
      </c>
      <c r="E517" s="17">
        <v>3</v>
      </c>
      <c r="F517" s="29" t="s">
        <v>75</v>
      </c>
      <c r="G517" s="16"/>
      <c r="H517" s="27"/>
      <c r="I517" s="26">
        <v>0</v>
      </c>
      <c r="J517" s="27">
        <v>55615</v>
      </c>
      <c r="K517" s="238">
        <v>56885</v>
      </c>
      <c r="L517" s="27">
        <v>11510</v>
      </c>
      <c r="M517" s="238">
        <v>11681</v>
      </c>
      <c r="N517" s="27">
        <v>61160</v>
      </c>
      <c r="O517" s="149">
        <v>60782</v>
      </c>
      <c r="P517" s="64">
        <f t="shared" si="109"/>
        <v>128285</v>
      </c>
      <c r="Q517" s="65">
        <f t="shared" si="110"/>
        <v>4276.166666666667</v>
      </c>
      <c r="R517" s="66">
        <f t="shared" si="111"/>
        <v>129348</v>
      </c>
      <c r="S517" s="67">
        <f t="shared" si="112"/>
        <v>4311.6000000000004</v>
      </c>
      <c r="T517" s="27">
        <v>70</v>
      </c>
      <c r="U517" s="109">
        <v>127</v>
      </c>
      <c r="V517" s="64">
        <f t="shared" si="113"/>
        <v>128285</v>
      </c>
      <c r="W517" s="68">
        <f>IF(ISBLANK(#REF!),0,R517)</f>
        <v>129348</v>
      </c>
      <c r="X517" s="27"/>
      <c r="Y517" s="26"/>
      <c r="Z517" s="27"/>
      <c r="AA517" s="26"/>
      <c r="AB517" s="27"/>
      <c r="AC517" s="26"/>
      <c r="AD517" s="27"/>
      <c r="AE517" s="26"/>
      <c r="AF517" s="64">
        <f t="shared" si="115"/>
        <v>0</v>
      </c>
      <c r="AG517" s="65">
        <f t="shared" si="116"/>
        <v>0</v>
      </c>
      <c r="AH517" s="66">
        <f t="shared" si="108"/>
        <v>0</v>
      </c>
      <c r="AI517" s="66">
        <f t="shared" si="117"/>
        <v>0</v>
      </c>
      <c r="AJ517" s="27"/>
      <c r="AL517" s="64">
        <f t="shared" si="118"/>
        <v>0</v>
      </c>
      <c r="AM517" s="67">
        <f t="shared" si="126"/>
        <v>0</v>
      </c>
      <c r="AN517" s="27"/>
      <c r="AO517" s="26"/>
      <c r="AP517" s="27">
        <v>3649</v>
      </c>
      <c r="AQ517" s="150">
        <v>4141</v>
      </c>
      <c r="AR517" s="27">
        <v>2130</v>
      </c>
      <c r="AS517" s="150">
        <v>2225</v>
      </c>
      <c r="AT517" s="27">
        <v>3880</v>
      </c>
      <c r="AU517" s="150">
        <v>3794</v>
      </c>
      <c r="AV517" s="64">
        <f t="shared" si="120"/>
        <v>9659</v>
      </c>
      <c r="AW517" s="70">
        <f t="shared" si="121"/>
        <v>402.45833333333331</v>
      </c>
      <c r="AX517" s="66">
        <f t="shared" si="122"/>
        <v>10160</v>
      </c>
      <c r="AY517" s="71">
        <f t="shared" si="123"/>
        <v>423.33333333333331</v>
      </c>
      <c r="AZ517" s="72">
        <f t="shared" si="124"/>
        <v>4678.625</v>
      </c>
      <c r="BA517" s="66">
        <f t="shared" si="125"/>
        <v>4734.9333333333334</v>
      </c>
    </row>
    <row r="518" spans="1:53" ht="15">
      <c r="A518" s="155" t="s">
        <v>639</v>
      </c>
      <c r="B518" s="19" t="s">
        <v>653</v>
      </c>
      <c r="C518" s="695"/>
      <c r="D518" s="17">
        <v>227526</v>
      </c>
      <c r="E518" s="17">
        <v>3</v>
      </c>
      <c r="F518" s="29" t="s">
        <v>75</v>
      </c>
      <c r="G518" s="16"/>
      <c r="H518" s="27"/>
      <c r="I518" s="26">
        <v>0</v>
      </c>
      <c r="J518" s="27">
        <v>84837</v>
      </c>
      <c r="K518" s="238">
        <v>84922</v>
      </c>
      <c r="L518" s="27">
        <v>14222</v>
      </c>
      <c r="M518" s="150">
        <v>15146</v>
      </c>
      <c r="N518" s="27">
        <v>92084</v>
      </c>
      <c r="O518" s="150">
        <v>99310</v>
      </c>
      <c r="P518" s="64">
        <f t="shared" si="109"/>
        <v>191143</v>
      </c>
      <c r="Q518" s="65">
        <f t="shared" si="110"/>
        <v>6371.4333333333334</v>
      </c>
      <c r="R518" s="66">
        <f t="shared" si="111"/>
        <v>199378</v>
      </c>
      <c r="S518" s="67">
        <f t="shared" si="112"/>
        <v>6645.9333333333334</v>
      </c>
      <c r="T518" s="27">
        <v>0</v>
      </c>
      <c r="U518" s="26">
        <v>0</v>
      </c>
      <c r="V518" s="64">
        <f t="shared" si="113"/>
        <v>191143</v>
      </c>
      <c r="W518" s="68">
        <f>IF(ISBLANK(#REF!),0,R518)</f>
        <v>199378</v>
      </c>
      <c r="X518" s="27"/>
      <c r="Y518" s="26"/>
      <c r="Z518" s="27"/>
      <c r="AA518" s="26"/>
      <c r="AB518" s="27"/>
      <c r="AC518" s="26"/>
      <c r="AD518" s="27"/>
      <c r="AE518" s="26"/>
      <c r="AF518" s="64">
        <f t="shared" si="115"/>
        <v>0</v>
      </c>
      <c r="AG518" s="65">
        <f t="shared" si="116"/>
        <v>0</v>
      </c>
      <c r="AH518" s="66">
        <f t="shared" si="108"/>
        <v>0</v>
      </c>
      <c r="AI518" s="66">
        <f t="shared" si="117"/>
        <v>0</v>
      </c>
      <c r="AJ518" s="27"/>
      <c r="AL518" s="64">
        <f t="shared" si="118"/>
        <v>0</v>
      </c>
      <c r="AM518" s="67">
        <f t="shared" si="126"/>
        <v>0</v>
      </c>
      <c r="AN518" s="27"/>
      <c r="AO518" s="26"/>
      <c r="AP518" s="27">
        <v>9812</v>
      </c>
      <c r="AQ518" s="150">
        <v>9406</v>
      </c>
      <c r="AR518" s="27">
        <v>4564</v>
      </c>
      <c r="AS518" s="150">
        <v>4701</v>
      </c>
      <c r="AT518" s="27">
        <v>8940</v>
      </c>
      <c r="AU518" s="150">
        <v>9125</v>
      </c>
      <c r="AV518" s="64">
        <f t="shared" si="120"/>
        <v>23316</v>
      </c>
      <c r="AW518" s="70">
        <f t="shared" si="121"/>
        <v>971.5</v>
      </c>
      <c r="AX518" s="66">
        <f t="shared" si="122"/>
        <v>23232</v>
      </c>
      <c r="AY518" s="71">
        <f t="shared" si="123"/>
        <v>968</v>
      </c>
      <c r="AZ518" s="72">
        <f t="shared" si="124"/>
        <v>7342.9333333333334</v>
      </c>
      <c r="BA518" s="66">
        <f t="shared" si="125"/>
        <v>7613.9333333333334</v>
      </c>
    </row>
    <row r="519" spans="1:53" ht="15">
      <c r="A519" s="155" t="s">
        <v>639</v>
      </c>
      <c r="B519" s="19" t="s">
        <v>654</v>
      </c>
      <c r="C519" s="695"/>
      <c r="D519" s="17">
        <v>227881</v>
      </c>
      <c r="E519" s="17">
        <v>3</v>
      </c>
      <c r="F519" s="29" t="s">
        <v>75</v>
      </c>
      <c r="G519" s="16"/>
      <c r="H519" s="27"/>
      <c r="I519" s="26">
        <v>0</v>
      </c>
      <c r="J519" s="27">
        <v>195411</v>
      </c>
      <c r="K519" s="238">
        <v>202816</v>
      </c>
      <c r="L519" s="27">
        <v>41247</v>
      </c>
      <c r="M519" s="238">
        <v>41798</v>
      </c>
      <c r="N519" s="27">
        <v>218326</v>
      </c>
      <c r="O519" s="149">
        <v>224678</v>
      </c>
      <c r="P519" s="64">
        <f t="shared" si="109"/>
        <v>454984</v>
      </c>
      <c r="Q519" s="65">
        <f t="shared" si="110"/>
        <v>15166.133333333333</v>
      </c>
      <c r="R519" s="66">
        <f t="shared" si="111"/>
        <v>469292</v>
      </c>
      <c r="S519" s="67">
        <f t="shared" si="112"/>
        <v>15643.066666666668</v>
      </c>
      <c r="T519" s="27">
        <v>0</v>
      </c>
      <c r="U519" s="26">
        <v>0</v>
      </c>
      <c r="V519" s="64">
        <f t="shared" si="113"/>
        <v>454984</v>
      </c>
      <c r="W519" s="68">
        <f>IF(ISBLANK(#REF!),0,R519)</f>
        <v>469292</v>
      </c>
      <c r="X519" s="27"/>
      <c r="Y519" s="26"/>
      <c r="Z519" s="27"/>
      <c r="AA519" s="26"/>
      <c r="AB519" s="27"/>
      <c r="AC519" s="26"/>
      <c r="AD519" s="27"/>
      <c r="AE519" s="26"/>
      <c r="AF519" s="64">
        <f t="shared" si="115"/>
        <v>0</v>
      </c>
      <c r="AG519" s="65">
        <f t="shared" si="116"/>
        <v>0</v>
      </c>
      <c r="AH519" s="66">
        <f t="shared" si="108"/>
        <v>0</v>
      </c>
      <c r="AI519" s="66">
        <f t="shared" si="117"/>
        <v>0</v>
      </c>
      <c r="AJ519" s="27"/>
      <c r="AL519" s="64">
        <f t="shared" si="118"/>
        <v>0</v>
      </c>
      <c r="AM519" s="67">
        <f t="shared" si="126"/>
        <v>0</v>
      </c>
      <c r="AN519" s="27"/>
      <c r="AO519" s="26"/>
      <c r="AP519" s="27">
        <v>15565</v>
      </c>
      <c r="AQ519" s="150">
        <v>15295</v>
      </c>
      <c r="AR519" s="27">
        <v>10378</v>
      </c>
      <c r="AS519" s="150">
        <v>9274</v>
      </c>
      <c r="AT519" s="27">
        <v>15828</v>
      </c>
      <c r="AU519" s="150">
        <v>15441</v>
      </c>
      <c r="AV519" s="64">
        <f t="shared" si="120"/>
        <v>41771</v>
      </c>
      <c r="AW519" s="70">
        <f t="shared" si="121"/>
        <v>1740.4583333333333</v>
      </c>
      <c r="AX519" s="66">
        <f t="shared" si="122"/>
        <v>40010</v>
      </c>
      <c r="AY519" s="71">
        <f t="shared" si="123"/>
        <v>1667.0833333333333</v>
      </c>
      <c r="AZ519" s="72">
        <f t="shared" si="124"/>
        <v>16906.591666666667</v>
      </c>
      <c r="BA519" s="66">
        <f t="shared" si="125"/>
        <v>17310.150000000001</v>
      </c>
    </row>
    <row r="520" spans="1:53" ht="15">
      <c r="A520" s="155" t="s">
        <v>639</v>
      </c>
      <c r="B520" s="19" t="s">
        <v>655</v>
      </c>
      <c r="C520" s="695"/>
      <c r="D520" s="17">
        <v>228431</v>
      </c>
      <c r="E520" s="17">
        <v>3</v>
      </c>
      <c r="F520" s="29" t="s">
        <v>75</v>
      </c>
      <c r="G520" s="16"/>
      <c r="H520" s="27"/>
      <c r="I520" s="26">
        <v>0</v>
      </c>
      <c r="J520" s="27">
        <v>124227</v>
      </c>
      <c r="K520" s="238">
        <v>124183</v>
      </c>
      <c r="L520" s="27">
        <v>24581</v>
      </c>
      <c r="M520" s="238">
        <v>24603</v>
      </c>
      <c r="N520" s="27">
        <v>136325</v>
      </c>
      <c r="O520" s="149">
        <v>139217</v>
      </c>
      <c r="P520" s="64">
        <f t="shared" si="109"/>
        <v>285133</v>
      </c>
      <c r="Q520" s="65">
        <f t="shared" si="110"/>
        <v>9504.4333333333325</v>
      </c>
      <c r="R520" s="66">
        <f t="shared" si="111"/>
        <v>288003</v>
      </c>
      <c r="S520" s="67">
        <f t="shared" si="112"/>
        <v>9600.1</v>
      </c>
      <c r="T520" s="27">
        <v>3064</v>
      </c>
      <c r="U520" s="26">
        <v>3153</v>
      </c>
      <c r="V520" s="64">
        <f t="shared" si="113"/>
        <v>285133</v>
      </c>
      <c r="W520" s="68">
        <f>IF(ISBLANK(#REF!),0,R520)</f>
        <v>288003</v>
      </c>
      <c r="X520" s="27"/>
      <c r="Y520" s="26"/>
      <c r="Z520" s="27"/>
      <c r="AA520" s="26"/>
      <c r="AB520" s="27"/>
      <c r="AC520" s="26"/>
      <c r="AD520" s="27"/>
      <c r="AE520" s="26"/>
      <c r="AF520" s="64">
        <f t="shared" si="115"/>
        <v>0</v>
      </c>
      <c r="AG520" s="65">
        <f t="shared" si="116"/>
        <v>0</v>
      </c>
      <c r="AH520" s="66">
        <f t="shared" si="108"/>
        <v>0</v>
      </c>
      <c r="AI520" s="66">
        <f t="shared" si="117"/>
        <v>0</v>
      </c>
      <c r="AJ520" s="27"/>
      <c r="AL520" s="64">
        <f t="shared" si="118"/>
        <v>0</v>
      </c>
      <c r="AM520" s="67">
        <f t="shared" si="126"/>
        <v>0</v>
      </c>
      <c r="AN520" s="27"/>
      <c r="AO520" s="26"/>
      <c r="AP520" s="27">
        <v>10072</v>
      </c>
      <c r="AQ520" s="150">
        <v>10619</v>
      </c>
      <c r="AR520" s="27">
        <v>7777</v>
      </c>
      <c r="AS520" s="150">
        <v>7844</v>
      </c>
      <c r="AT520" s="27">
        <v>10674</v>
      </c>
      <c r="AU520" s="150">
        <v>10750</v>
      </c>
      <c r="AV520" s="64">
        <f t="shared" si="120"/>
        <v>28523</v>
      </c>
      <c r="AW520" s="70">
        <f t="shared" si="121"/>
        <v>1188.4583333333333</v>
      </c>
      <c r="AX520" s="66">
        <f t="shared" si="122"/>
        <v>29213</v>
      </c>
      <c r="AY520" s="71">
        <f t="shared" si="123"/>
        <v>1217.2083333333333</v>
      </c>
      <c r="AZ520" s="72">
        <f t="shared" si="124"/>
        <v>10692.891666666666</v>
      </c>
      <c r="BA520" s="66">
        <f t="shared" si="125"/>
        <v>10817.308333333334</v>
      </c>
    </row>
    <row r="521" spans="1:53" ht="15">
      <c r="A521" s="155" t="s">
        <v>639</v>
      </c>
      <c r="B521" s="19" t="s">
        <v>656</v>
      </c>
      <c r="C521" s="695"/>
      <c r="D521" s="17">
        <v>228501</v>
      </c>
      <c r="E521" s="17">
        <v>3</v>
      </c>
      <c r="F521" s="29" t="s">
        <v>75</v>
      </c>
      <c r="G521" s="16"/>
      <c r="H521" s="27"/>
      <c r="I521" s="26">
        <v>0</v>
      </c>
      <c r="J521" s="27">
        <v>14245</v>
      </c>
      <c r="K521" s="238">
        <v>14343</v>
      </c>
      <c r="L521" s="27">
        <v>2710</v>
      </c>
      <c r="M521" s="150">
        <v>2873</v>
      </c>
      <c r="N521" s="27">
        <v>16422</v>
      </c>
      <c r="O521" s="150">
        <v>17443</v>
      </c>
      <c r="P521" s="64">
        <f t="shared" si="109"/>
        <v>33377</v>
      </c>
      <c r="Q521" s="65">
        <f t="shared" si="110"/>
        <v>1112.5666666666666</v>
      </c>
      <c r="R521" s="66">
        <f t="shared" si="111"/>
        <v>34659</v>
      </c>
      <c r="S521" s="67">
        <f t="shared" si="112"/>
        <v>1155.3</v>
      </c>
      <c r="T521" s="27">
        <v>1048</v>
      </c>
      <c r="U521" s="26">
        <v>1056</v>
      </c>
      <c r="V521" s="64">
        <f t="shared" si="113"/>
        <v>33377</v>
      </c>
      <c r="W521" s="68">
        <f>IF(ISBLANK(#REF!),0,R521)</f>
        <v>34659</v>
      </c>
      <c r="X521" s="27"/>
      <c r="Y521" s="26"/>
      <c r="Z521" s="27"/>
      <c r="AA521" s="26"/>
      <c r="AB521" s="27"/>
      <c r="AC521" s="26"/>
      <c r="AD521" s="27"/>
      <c r="AE521" s="26"/>
      <c r="AF521" s="64">
        <f t="shared" si="115"/>
        <v>0</v>
      </c>
      <c r="AG521" s="65">
        <f t="shared" si="116"/>
        <v>0</v>
      </c>
      <c r="AH521" s="66">
        <f t="shared" si="108"/>
        <v>0</v>
      </c>
      <c r="AI521" s="66">
        <f t="shared" si="117"/>
        <v>0</v>
      </c>
      <c r="AJ521" s="27"/>
      <c r="AL521" s="64">
        <f t="shared" si="118"/>
        <v>0</v>
      </c>
      <c r="AM521" s="67">
        <f t="shared" si="126"/>
        <v>0</v>
      </c>
      <c r="AN521" s="27"/>
      <c r="AO521" s="26"/>
      <c r="AP521" s="27">
        <v>3526</v>
      </c>
      <c r="AQ521" s="150">
        <v>3782</v>
      </c>
      <c r="AR521" s="27">
        <v>3007</v>
      </c>
      <c r="AS521" s="150">
        <v>3121</v>
      </c>
      <c r="AT521" s="27">
        <v>3541</v>
      </c>
      <c r="AU521" s="150">
        <v>3664</v>
      </c>
      <c r="AV521" s="64">
        <f t="shared" si="120"/>
        <v>10074</v>
      </c>
      <c r="AW521" s="70">
        <f t="shared" si="121"/>
        <v>419.75</v>
      </c>
      <c r="AX521" s="66">
        <f t="shared" si="122"/>
        <v>10567</v>
      </c>
      <c r="AY521" s="71">
        <f t="shared" si="123"/>
        <v>440.29166666666669</v>
      </c>
      <c r="AZ521" s="72">
        <f t="shared" si="124"/>
        <v>1532.3166666666666</v>
      </c>
      <c r="BA521" s="66">
        <f t="shared" si="125"/>
        <v>1595.5916666666667</v>
      </c>
    </row>
    <row r="522" spans="1:53" ht="15">
      <c r="A522" s="155" t="s">
        <v>639</v>
      </c>
      <c r="B522" s="19" t="s">
        <v>657</v>
      </c>
      <c r="C522" s="695"/>
      <c r="D522" s="17">
        <v>228529</v>
      </c>
      <c r="E522" s="17">
        <v>3</v>
      </c>
      <c r="F522" s="29" t="s">
        <v>75</v>
      </c>
      <c r="G522" s="16"/>
      <c r="H522" s="27"/>
      <c r="I522" s="26">
        <v>0</v>
      </c>
      <c r="J522" s="27">
        <v>113621</v>
      </c>
      <c r="K522" s="150">
        <v>119710</v>
      </c>
      <c r="L522" s="27">
        <v>25735</v>
      </c>
      <c r="M522" s="150">
        <v>28081</v>
      </c>
      <c r="N522" s="27">
        <v>129140</v>
      </c>
      <c r="O522" s="150">
        <v>136677</v>
      </c>
      <c r="P522" s="64">
        <f t="shared" si="109"/>
        <v>268496</v>
      </c>
      <c r="Q522" s="65">
        <f t="shared" si="110"/>
        <v>8949.8666666666668</v>
      </c>
      <c r="R522" s="66">
        <f t="shared" si="111"/>
        <v>284468</v>
      </c>
      <c r="S522" s="67">
        <f t="shared" si="112"/>
        <v>9482.2666666666664</v>
      </c>
      <c r="T522" s="27">
        <v>0</v>
      </c>
      <c r="U522" s="26">
        <v>0</v>
      </c>
      <c r="V522" s="64">
        <f t="shared" si="113"/>
        <v>268496</v>
      </c>
      <c r="W522" s="68">
        <f>IF(ISBLANK(#REF!),0,R522)</f>
        <v>284468</v>
      </c>
      <c r="X522" s="27"/>
      <c r="Y522" s="26"/>
      <c r="Z522" s="27"/>
      <c r="AA522" s="26"/>
      <c r="AB522" s="27"/>
      <c r="AC522" s="26"/>
      <c r="AD522" s="27"/>
      <c r="AE522" s="26"/>
      <c r="AF522" s="64">
        <f t="shared" si="115"/>
        <v>0</v>
      </c>
      <c r="AG522" s="65">
        <f t="shared" si="116"/>
        <v>0</v>
      </c>
      <c r="AH522" s="66">
        <f t="shared" si="108"/>
        <v>0</v>
      </c>
      <c r="AI522" s="66">
        <f t="shared" si="117"/>
        <v>0</v>
      </c>
      <c r="AJ522" s="27"/>
      <c r="AL522" s="64">
        <f t="shared" si="118"/>
        <v>0</v>
      </c>
      <c r="AM522" s="67">
        <f t="shared" si="126"/>
        <v>0</v>
      </c>
      <c r="AN522" s="27"/>
      <c r="AO522" s="26"/>
      <c r="AP522" s="27">
        <v>8943</v>
      </c>
      <c r="AQ522" s="150">
        <v>8934</v>
      </c>
      <c r="AR522" s="27">
        <v>6076</v>
      </c>
      <c r="AS522" s="150">
        <v>5697</v>
      </c>
      <c r="AT522" s="27">
        <v>9176</v>
      </c>
      <c r="AU522" s="150">
        <v>9307</v>
      </c>
      <c r="AV522" s="64">
        <f t="shared" si="120"/>
        <v>24195</v>
      </c>
      <c r="AW522" s="70">
        <f t="shared" si="121"/>
        <v>1008.125</v>
      </c>
      <c r="AX522" s="66">
        <f t="shared" si="122"/>
        <v>23938</v>
      </c>
      <c r="AY522" s="71">
        <f t="shared" si="123"/>
        <v>997.41666666666663</v>
      </c>
      <c r="AZ522" s="72">
        <f t="shared" si="124"/>
        <v>9957.9916666666668</v>
      </c>
      <c r="BA522" s="66">
        <f t="shared" si="125"/>
        <v>10479.683333333332</v>
      </c>
    </row>
    <row r="523" spans="1:53" ht="15">
      <c r="A523" s="155" t="s">
        <v>639</v>
      </c>
      <c r="B523" s="239" t="s">
        <v>658</v>
      </c>
      <c r="C523" s="695"/>
      <c r="D523" s="17">
        <v>226152</v>
      </c>
      <c r="E523" s="17">
        <v>3</v>
      </c>
      <c r="F523" s="29" t="s">
        <v>75</v>
      </c>
      <c r="G523" s="16"/>
      <c r="H523" s="27"/>
      <c r="I523" s="26">
        <v>0</v>
      </c>
      <c r="J523" s="27">
        <v>65958</v>
      </c>
      <c r="K523" s="238">
        <v>64924</v>
      </c>
      <c r="L523" s="27">
        <v>13590</v>
      </c>
      <c r="M523" s="150">
        <v>18813</v>
      </c>
      <c r="N523" s="27">
        <v>72854</v>
      </c>
      <c r="O523" s="150">
        <v>77046</v>
      </c>
      <c r="P523" s="64">
        <f t="shared" si="109"/>
        <v>152402</v>
      </c>
      <c r="Q523" s="65">
        <f t="shared" si="110"/>
        <v>5080.0666666666666</v>
      </c>
      <c r="R523" s="66">
        <f t="shared" si="111"/>
        <v>160783</v>
      </c>
      <c r="S523" s="67">
        <f t="shared" si="112"/>
        <v>5359.4333333333334</v>
      </c>
      <c r="T523" s="27">
        <v>9991</v>
      </c>
      <c r="U523" s="109">
        <v>10733</v>
      </c>
      <c r="V523" s="64">
        <f t="shared" si="113"/>
        <v>152402</v>
      </c>
      <c r="W523" s="68">
        <f>IF(ISBLANK(#REF!),0,R523)</f>
        <v>160783</v>
      </c>
      <c r="X523" s="27"/>
      <c r="Y523" s="26"/>
      <c r="Z523" s="27"/>
      <c r="AA523" s="26"/>
      <c r="AB523" s="27"/>
      <c r="AC523" s="26"/>
      <c r="AD523" s="27"/>
      <c r="AE523" s="26"/>
      <c r="AF523" s="64">
        <f t="shared" si="115"/>
        <v>0</v>
      </c>
      <c r="AG523" s="65">
        <f t="shared" si="116"/>
        <v>0</v>
      </c>
      <c r="AH523" s="66">
        <f t="shared" si="108"/>
        <v>0</v>
      </c>
      <c r="AI523" s="66">
        <f t="shared" si="117"/>
        <v>0</v>
      </c>
      <c r="AJ523" s="27"/>
      <c r="AL523" s="64">
        <f t="shared" si="118"/>
        <v>0</v>
      </c>
      <c r="AM523" s="67">
        <f t="shared" si="126"/>
        <v>0</v>
      </c>
      <c r="AN523" s="27"/>
      <c r="AO523" s="26"/>
      <c r="AP523" s="27">
        <v>5178</v>
      </c>
      <c r="AQ523" s="150">
        <v>790</v>
      </c>
      <c r="AR523" s="27">
        <v>3293</v>
      </c>
      <c r="AS523" s="150">
        <v>7672</v>
      </c>
      <c r="AT523" s="27">
        <v>5242</v>
      </c>
      <c r="AU523" s="150">
        <v>4773</v>
      </c>
      <c r="AV523" s="64">
        <f t="shared" si="120"/>
        <v>13713</v>
      </c>
      <c r="AW523" s="70">
        <f t="shared" si="121"/>
        <v>571.375</v>
      </c>
      <c r="AX523" s="66">
        <f t="shared" si="122"/>
        <v>13235</v>
      </c>
      <c r="AY523" s="71">
        <f t="shared" si="123"/>
        <v>551.45833333333337</v>
      </c>
      <c r="AZ523" s="72">
        <f t="shared" si="124"/>
        <v>5651.4416666666666</v>
      </c>
      <c r="BA523" s="66">
        <f t="shared" si="125"/>
        <v>5910.8916666666664</v>
      </c>
    </row>
    <row r="524" spans="1:53" ht="15">
      <c r="A524" s="155" t="s">
        <v>639</v>
      </c>
      <c r="B524" s="19" t="s">
        <v>659</v>
      </c>
      <c r="C524" s="695"/>
      <c r="D524" s="17">
        <v>224554</v>
      </c>
      <c r="E524" s="17">
        <v>3</v>
      </c>
      <c r="F524" s="29" t="s">
        <v>75</v>
      </c>
      <c r="G524" s="16"/>
      <c r="H524" s="27"/>
      <c r="I524" s="26">
        <v>0</v>
      </c>
      <c r="J524" s="27">
        <v>77628</v>
      </c>
      <c r="K524" s="238">
        <v>78842</v>
      </c>
      <c r="L524" s="27">
        <v>16537</v>
      </c>
      <c r="M524" s="150">
        <v>20360</v>
      </c>
      <c r="N524" s="27">
        <v>87259</v>
      </c>
      <c r="O524" s="149">
        <v>87542</v>
      </c>
      <c r="P524" s="64">
        <f t="shared" si="109"/>
        <v>181424</v>
      </c>
      <c r="Q524" s="65">
        <f t="shared" si="110"/>
        <v>6047.4666666666662</v>
      </c>
      <c r="R524" s="66">
        <f t="shared" si="111"/>
        <v>186744</v>
      </c>
      <c r="S524" s="67">
        <f t="shared" si="112"/>
        <v>6224.8</v>
      </c>
      <c r="T524" s="27">
        <v>2886</v>
      </c>
      <c r="U524" s="109">
        <v>3769</v>
      </c>
      <c r="V524" s="64">
        <f t="shared" si="113"/>
        <v>181424</v>
      </c>
      <c r="W524" s="68">
        <f>IF(ISBLANK(#REF!),0,R524)</f>
        <v>186744</v>
      </c>
      <c r="X524" s="27"/>
      <c r="Y524" s="26"/>
      <c r="Z524" s="27"/>
      <c r="AA524" s="26"/>
      <c r="AB524" s="27"/>
      <c r="AC524" s="26"/>
      <c r="AD524" s="27"/>
      <c r="AE524" s="26"/>
      <c r="AF524" s="64">
        <f t="shared" si="115"/>
        <v>0</v>
      </c>
      <c r="AG524" s="65">
        <f t="shared" si="116"/>
        <v>0</v>
      </c>
      <c r="AH524" s="66">
        <f t="shared" si="108"/>
        <v>0</v>
      </c>
      <c r="AI524" s="66">
        <f t="shared" si="117"/>
        <v>0</v>
      </c>
      <c r="AJ524" s="27"/>
      <c r="AL524" s="64">
        <f t="shared" si="118"/>
        <v>0</v>
      </c>
      <c r="AM524" s="67">
        <f t="shared" si="126"/>
        <v>0</v>
      </c>
      <c r="AN524" s="27"/>
      <c r="AO524" s="26"/>
      <c r="AP524" s="27">
        <v>31329</v>
      </c>
      <c r="AQ524" s="150">
        <v>25349</v>
      </c>
      <c r="AR524" s="27">
        <v>20652</v>
      </c>
      <c r="AS524" s="150">
        <v>27474</v>
      </c>
      <c r="AT524" s="27">
        <v>31006</v>
      </c>
      <c r="AU524" s="150">
        <v>29573</v>
      </c>
      <c r="AV524" s="64">
        <f t="shared" si="120"/>
        <v>82987</v>
      </c>
      <c r="AW524" s="70">
        <f t="shared" si="121"/>
        <v>3457.7916666666665</v>
      </c>
      <c r="AX524" s="66">
        <f t="shared" si="122"/>
        <v>82396</v>
      </c>
      <c r="AY524" s="71">
        <f t="shared" si="123"/>
        <v>3433.1666666666665</v>
      </c>
      <c r="AZ524" s="72">
        <f t="shared" si="124"/>
        <v>9505.2583333333332</v>
      </c>
      <c r="BA524" s="66">
        <f t="shared" si="125"/>
        <v>9657.9666666666672</v>
      </c>
    </row>
    <row r="525" spans="1:53" ht="15">
      <c r="A525" s="155" t="s">
        <v>639</v>
      </c>
      <c r="B525" s="19" t="s">
        <v>660</v>
      </c>
      <c r="C525" s="695"/>
      <c r="D525" s="17">
        <v>224147</v>
      </c>
      <c r="E525" s="17">
        <v>3</v>
      </c>
      <c r="F525" s="29" t="s">
        <v>75</v>
      </c>
      <c r="G525" s="16"/>
      <c r="H525" s="27"/>
      <c r="I525" s="26">
        <v>0</v>
      </c>
      <c r="J525" s="27">
        <v>101328</v>
      </c>
      <c r="K525" s="238">
        <v>104704</v>
      </c>
      <c r="L525" s="27">
        <v>22664</v>
      </c>
      <c r="M525" s="238">
        <v>23574</v>
      </c>
      <c r="N525" s="27">
        <v>113195</v>
      </c>
      <c r="O525" s="149">
        <v>110375</v>
      </c>
      <c r="P525" s="64">
        <f t="shared" si="109"/>
        <v>237187</v>
      </c>
      <c r="Q525" s="65">
        <f t="shared" si="110"/>
        <v>7906.2333333333336</v>
      </c>
      <c r="R525" s="66">
        <f t="shared" si="111"/>
        <v>238653</v>
      </c>
      <c r="S525" s="67">
        <f t="shared" si="112"/>
        <v>7955.1</v>
      </c>
      <c r="T525" s="27">
        <v>957</v>
      </c>
      <c r="U525" s="109">
        <v>0</v>
      </c>
      <c r="V525" s="64">
        <f t="shared" si="113"/>
        <v>237187</v>
      </c>
      <c r="W525" s="68">
        <f>IF(ISBLANK(#REF!),0,R525)</f>
        <v>238653</v>
      </c>
      <c r="X525" s="27"/>
      <c r="Y525" s="26"/>
      <c r="Z525" s="27"/>
      <c r="AA525" s="26"/>
      <c r="AB525" s="27"/>
      <c r="AC525" s="26"/>
      <c r="AD525" s="27"/>
      <c r="AE525" s="26"/>
      <c r="AF525" s="64">
        <f t="shared" si="115"/>
        <v>0</v>
      </c>
      <c r="AG525" s="65">
        <f t="shared" si="116"/>
        <v>0</v>
      </c>
      <c r="AH525" s="66">
        <f t="shared" si="108"/>
        <v>0</v>
      </c>
      <c r="AI525" s="66">
        <f t="shared" si="117"/>
        <v>0</v>
      </c>
      <c r="AJ525" s="27"/>
      <c r="AL525" s="64">
        <f t="shared" si="118"/>
        <v>0</v>
      </c>
      <c r="AM525" s="67">
        <f t="shared" si="126"/>
        <v>0</v>
      </c>
      <c r="AN525" s="27"/>
      <c r="AO525" s="26"/>
      <c r="AP525" s="27">
        <v>11719</v>
      </c>
      <c r="AQ525" s="150">
        <v>11960</v>
      </c>
      <c r="AR525" s="27">
        <v>7591</v>
      </c>
      <c r="AS525" s="150">
        <v>8762</v>
      </c>
      <c r="AT525" s="27">
        <v>11030</v>
      </c>
      <c r="AU525" s="150">
        <v>11887</v>
      </c>
      <c r="AV525" s="64">
        <f t="shared" si="120"/>
        <v>30340</v>
      </c>
      <c r="AW525" s="70">
        <f t="shared" si="121"/>
        <v>1264.1666666666667</v>
      </c>
      <c r="AX525" s="66">
        <f t="shared" si="122"/>
        <v>32609</v>
      </c>
      <c r="AY525" s="71">
        <f t="shared" si="123"/>
        <v>1358.7083333333333</v>
      </c>
      <c r="AZ525" s="72">
        <f t="shared" si="124"/>
        <v>9170.4</v>
      </c>
      <c r="BA525" s="66">
        <f t="shared" si="125"/>
        <v>9313.8083333333343</v>
      </c>
    </row>
    <row r="526" spans="1:53" ht="15">
      <c r="A526" s="155" t="s">
        <v>639</v>
      </c>
      <c r="B526" s="19" t="s">
        <v>661</v>
      </c>
      <c r="C526" s="695"/>
      <c r="D526" s="17">
        <v>228705</v>
      </c>
      <c r="E526" s="17">
        <v>3</v>
      </c>
      <c r="F526" s="29" t="s">
        <v>75</v>
      </c>
      <c r="G526" s="16"/>
      <c r="H526" s="27"/>
      <c r="I526" s="26">
        <v>0</v>
      </c>
      <c r="J526" s="27">
        <v>68966</v>
      </c>
      <c r="K526" s="150">
        <v>72827</v>
      </c>
      <c r="L526" s="27">
        <v>10936</v>
      </c>
      <c r="M526" s="238">
        <v>11121</v>
      </c>
      <c r="N526" s="27">
        <v>78870</v>
      </c>
      <c r="O526" s="149">
        <v>80491</v>
      </c>
      <c r="P526" s="64">
        <f t="shared" si="109"/>
        <v>158772</v>
      </c>
      <c r="Q526" s="65">
        <f t="shared" si="110"/>
        <v>5292.4</v>
      </c>
      <c r="R526" s="66">
        <f t="shared" si="111"/>
        <v>164439</v>
      </c>
      <c r="S526" s="67">
        <f t="shared" si="112"/>
        <v>5481.3</v>
      </c>
      <c r="T526" s="27">
        <v>10481</v>
      </c>
      <c r="U526" s="109">
        <v>11349</v>
      </c>
      <c r="V526" s="64">
        <f t="shared" si="113"/>
        <v>158772</v>
      </c>
      <c r="W526" s="68">
        <f>IF(ISBLANK(#REF!),0,R526)</f>
        <v>164439</v>
      </c>
      <c r="X526" s="27"/>
      <c r="Y526" s="26"/>
      <c r="Z526" s="27"/>
      <c r="AA526" s="26"/>
      <c r="AB526" s="27"/>
      <c r="AC526" s="26"/>
      <c r="AD526" s="27"/>
      <c r="AE526" s="26"/>
      <c r="AF526" s="64">
        <f t="shared" si="115"/>
        <v>0</v>
      </c>
      <c r="AG526" s="65">
        <f t="shared" si="116"/>
        <v>0</v>
      </c>
      <c r="AH526" s="66">
        <f t="shared" si="108"/>
        <v>0</v>
      </c>
      <c r="AI526" s="66">
        <f t="shared" si="117"/>
        <v>0</v>
      </c>
      <c r="AJ526" s="27"/>
      <c r="AL526" s="64">
        <f t="shared" si="118"/>
        <v>0</v>
      </c>
      <c r="AM526" s="67">
        <f t="shared" si="126"/>
        <v>0</v>
      </c>
      <c r="AN526" s="27"/>
      <c r="AO526" s="26"/>
      <c r="AP526" s="27">
        <v>19453</v>
      </c>
      <c r="AQ526" s="150">
        <v>20413</v>
      </c>
      <c r="AR526" s="27">
        <v>13314</v>
      </c>
      <c r="AS526" s="150">
        <v>13431</v>
      </c>
      <c r="AT526" s="27">
        <v>20638</v>
      </c>
      <c r="AU526" s="150">
        <v>19392</v>
      </c>
      <c r="AV526" s="64">
        <f t="shared" si="120"/>
        <v>53405</v>
      </c>
      <c r="AW526" s="70">
        <f t="shared" si="121"/>
        <v>2225.2083333333335</v>
      </c>
      <c r="AX526" s="66">
        <f t="shared" si="122"/>
        <v>53236</v>
      </c>
      <c r="AY526" s="71">
        <f t="shared" si="123"/>
        <v>2218.1666666666665</v>
      </c>
      <c r="AZ526" s="72">
        <f t="shared" si="124"/>
        <v>7517.6083333333336</v>
      </c>
      <c r="BA526" s="66">
        <f t="shared" si="125"/>
        <v>7699.4666666666672</v>
      </c>
    </row>
    <row r="527" spans="1:53" ht="15">
      <c r="A527" s="155" t="s">
        <v>639</v>
      </c>
      <c r="B527" s="19" t="s">
        <v>662</v>
      </c>
      <c r="C527" s="695" t="s">
        <v>961</v>
      </c>
      <c r="D527" s="17">
        <v>229063</v>
      </c>
      <c r="E527" s="17">
        <v>3</v>
      </c>
      <c r="F527" s="29" t="s">
        <v>75</v>
      </c>
      <c r="G527" s="16"/>
      <c r="H527" s="27"/>
      <c r="I527" s="26">
        <v>0</v>
      </c>
      <c r="J527" s="27">
        <v>77417</v>
      </c>
      <c r="K527" s="238">
        <v>78554</v>
      </c>
      <c r="L527" s="27">
        <v>9683</v>
      </c>
      <c r="M527" s="238">
        <v>9620</v>
      </c>
      <c r="N527" s="27">
        <v>91511</v>
      </c>
      <c r="O527" s="149">
        <v>89281</v>
      </c>
      <c r="P527" s="64">
        <f t="shared" si="109"/>
        <v>178611</v>
      </c>
      <c r="Q527" s="65">
        <f t="shared" si="110"/>
        <v>5953.7</v>
      </c>
      <c r="R527" s="66">
        <f t="shared" si="111"/>
        <v>177455</v>
      </c>
      <c r="S527" s="67">
        <f t="shared" si="112"/>
        <v>5915.166666666667</v>
      </c>
      <c r="T527" s="27">
        <v>102</v>
      </c>
      <c r="U527" s="109">
        <v>0</v>
      </c>
      <c r="V527" s="64">
        <f t="shared" si="113"/>
        <v>178611</v>
      </c>
      <c r="W527" s="68">
        <f>IF(ISBLANK(#REF!),0,R527)</f>
        <v>177455</v>
      </c>
      <c r="X527" s="27"/>
      <c r="Y527" s="26"/>
      <c r="Z527" s="27"/>
      <c r="AA527" s="26"/>
      <c r="AB527" s="27"/>
      <c r="AC527" s="26"/>
      <c r="AD527" s="27"/>
      <c r="AE527" s="26"/>
      <c r="AF527" s="64">
        <f t="shared" si="115"/>
        <v>0</v>
      </c>
      <c r="AG527" s="65">
        <f t="shared" si="116"/>
        <v>0</v>
      </c>
      <c r="AH527" s="66">
        <f t="shared" si="108"/>
        <v>0</v>
      </c>
      <c r="AI527" s="66">
        <f t="shared" si="117"/>
        <v>0</v>
      </c>
      <c r="AJ527" s="27"/>
      <c r="AL527" s="64">
        <f t="shared" si="118"/>
        <v>0</v>
      </c>
      <c r="AM527" s="67">
        <f t="shared" si="126"/>
        <v>0</v>
      </c>
      <c r="AN527" s="27"/>
      <c r="AO527" s="26"/>
      <c r="AP527" s="27">
        <v>22523</v>
      </c>
      <c r="AQ527" s="150">
        <v>22872</v>
      </c>
      <c r="AR527" s="27">
        <v>4771</v>
      </c>
      <c r="AS527" s="150">
        <v>5103</v>
      </c>
      <c r="AT527" s="27">
        <v>23483</v>
      </c>
      <c r="AU527" s="150">
        <v>23891</v>
      </c>
      <c r="AV527" s="64">
        <f t="shared" si="120"/>
        <v>50777</v>
      </c>
      <c r="AW527" s="70">
        <f t="shared" si="121"/>
        <v>2115.7083333333335</v>
      </c>
      <c r="AX527" s="66">
        <f t="shared" si="122"/>
        <v>51866</v>
      </c>
      <c r="AY527" s="71">
        <f t="shared" si="123"/>
        <v>2161.0833333333335</v>
      </c>
      <c r="AZ527" s="72">
        <f t="shared" si="124"/>
        <v>8069.4083333333328</v>
      </c>
      <c r="BA527" s="66">
        <f t="shared" si="125"/>
        <v>8076.25</v>
      </c>
    </row>
    <row r="528" spans="1:53" ht="15">
      <c r="A528" s="155" t="s">
        <v>639</v>
      </c>
      <c r="B528" s="240" t="s">
        <v>663</v>
      </c>
      <c r="C528" s="704" t="s">
        <v>991</v>
      </c>
      <c r="D528" s="17">
        <v>228459</v>
      </c>
      <c r="E528" s="249">
        <v>2</v>
      </c>
      <c r="F528" s="29" t="s">
        <v>75</v>
      </c>
      <c r="G528" s="16"/>
      <c r="H528" s="27"/>
      <c r="I528" s="26">
        <v>0</v>
      </c>
      <c r="J528" s="27">
        <v>364827</v>
      </c>
      <c r="K528" s="238">
        <v>379492</v>
      </c>
      <c r="L528" s="27">
        <v>61323</v>
      </c>
      <c r="M528" s="238">
        <v>63923</v>
      </c>
      <c r="N528" s="27">
        <v>415617</v>
      </c>
      <c r="O528" s="149">
        <v>425169</v>
      </c>
      <c r="P528" s="64">
        <f t="shared" si="109"/>
        <v>841767</v>
      </c>
      <c r="Q528" s="65">
        <f t="shared" si="110"/>
        <v>28058.9</v>
      </c>
      <c r="R528" s="66">
        <f t="shared" si="111"/>
        <v>868584</v>
      </c>
      <c r="S528" s="67">
        <f t="shared" si="112"/>
        <v>28952.799999999999</v>
      </c>
      <c r="T528" s="27">
        <v>0</v>
      </c>
      <c r="U528" s="26">
        <v>0</v>
      </c>
      <c r="V528" s="64">
        <f t="shared" si="113"/>
        <v>841767</v>
      </c>
      <c r="W528" s="68">
        <f>IF(ISBLANK(#REF!),0,R528)</f>
        <v>868584</v>
      </c>
      <c r="X528" s="27"/>
      <c r="Y528" s="26"/>
      <c r="Z528" s="27"/>
      <c r="AA528" s="26"/>
      <c r="AB528" s="27"/>
      <c r="AC528" s="26"/>
      <c r="AD528" s="27"/>
      <c r="AE528" s="26"/>
      <c r="AF528" s="64">
        <f t="shared" si="115"/>
        <v>0</v>
      </c>
      <c r="AG528" s="65">
        <f t="shared" si="116"/>
        <v>0</v>
      </c>
      <c r="AH528" s="66">
        <f t="shared" si="108"/>
        <v>0</v>
      </c>
      <c r="AI528" s="66">
        <f t="shared" si="117"/>
        <v>0</v>
      </c>
      <c r="AJ528" s="27"/>
      <c r="AL528" s="64">
        <f t="shared" si="118"/>
        <v>0</v>
      </c>
      <c r="AM528" s="67">
        <f t="shared" si="126"/>
        <v>0</v>
      </c>
      <c r="AN528" s="27"/>
      <c r="AO528" s="26"/>
      <c r="AP528" s="27">
        <v>29707</v>
      </c>
      <c r="AQ528" s="150">
        <v>29472</v>
      </c>
      <c r="AR528" s="27">
        <v>12209</v>
      </c>
      <c r="AS528" s="150">
        <v>12298</v>
      </c>
      <c r="AT528" s="27">
        <v>31420</v>
      </c>
      <c r="AU528" s="150">
        <v>32206</v>
      </c>
      <c r="AV528" s="64">
        <f t="shared" si="120"/>
        <v>73336</v>
      </c>
      <c r="AW528" s="70">
        <f t="shared" si="121"/>
        <v>3055.6666666666665</v>
      </c>
      <c r="AX528" s="66">
        <f t="shared" si="122"/>
        <v>73976</v>
      </c>
      <c r="AY528" s="71">
        <f t="shared" si="123"/>
        <v>3082.3333333333335</v>
      </c>
      <c r="AZ528" s="72">
        <f t="shared" si="124"/>
        <v>31114.566666666669</v>
      </c>
      <c r="BA528" s="66">
        <f t="shared" si="125"/>
        <v>32035.133333333331</v>
      </c>
    </row>
    <row r="529" spans="1:53" ht="15">
      <c r="A529" s="155" t="s">
        <v>639</v>
      </c>
      <c r="B529" s="19" t="s">
        <v>664</v>
      </c>
      <c r="C529" s="695"/>
      <c r="D529" s="17">
        <v>225414</v>
      </c>
      <c r="E529" s="17">
        <v>3</v>
      </c>
      <c r="F529" s="29" t="s">
        <v>75</v>
      </c>
      <c r="G529" s="16"/>
      <c r="H529" s="27"/>
      <c r="I529" s="26">
        <v>0</v>
      </c>
      <c r="J529" s="27">
        <v>48929</v>
      </c>
      <c r="K529" s="150">
        <v>51981</v>
      </c>
      <c r="L529" s="27">
        <v>13306</v>
      </c>
      <c r="M529" s="150">
        <v>15018</v>
      </c>
      <c r="N529" s="27">
        <v>54490</v>
      </c>
      <c r="O529" s="149">
        <v>56530</v>
      </c>
      <c r="P529" s="64">
        <f t="shared" si="109"/>
        <v>116725</v>
      </c>
      <c r="Q529" s="65">
        <f t="shared" si="110"/>
        <v>3890.8333333333335</v>
      </c>
      <c r="R529" s="66">
        <f t="shared" si="111"/>
        <v>123529</v>
      </c>
      <c r="S529" s="67">
        <f t="shared" si="112"/>
        <v>4117.6333333333332</v>
      </c>
      <c r="T529" s="27">
        <v>0</v>
      </c>
      <c r="U529" s="26">
        <v>0</v>
      </c>
      <c r="V529" s="64">
        <f t="shared" si="113"/>
        <v>116725</v>
      </c>
      <c r="W529" s="68">
        <f>IF(ISBLANK(#REF!),0,R529)</f>
        <v>123529</v>
      </c>
      <c r="X529" s="27"/>
      <c r="Y529" s="26"/>
      <c r="Z529" s="27"/>
      <c r="AA529" s="26"/>
      <c r="AB529" s="27"/>
      <c r="AC529" s="26"/>
      <c r="AD529" s="27"/>
      <c r="AE529" s="26"/>
      <c r="AF529" s="64">
        <f t="shared" si="115"/>
        <v>0</v>
      </c>
      <c r="AG529" s="65">
        <f t="shared" si="116"/>
        <v>0</v>
      </c>
      <c r="AH529" s="66">
        <f t="shared" si="108"/>
        <v>0</v>
      </c>
      <c r="AI529" s="66">
        <f t="shared" si="117"/>
        <v>0</v>
      </c>
      <c r="AJ529" s="27"/>
      <c r="AL529" s="64">
        <f t="shared" si="118"/>
        <v>0</v>
      </c>
      <c r="AM529" s="67">
        <f t="shared" si="126"/>
        <v>0</v>
      </c>
      <c r="AN529" s="27"/>
      <c r="AO529" s="26"/>
      <c r="AP529" s="27">
        <v>23066</v>
      </c>
      <c r="AQ529" s="150">
        <v>22208</v>
      </c>
      <c r="AR529" s="27">
        <v>10402</v>
      </c>
      <c r="AS529" s="150">
        <v>9580</v>
      </c>
      <c r="AT529" s="27">
        <v>23888</v>
      </c>
      <c r="AU529" s="150">
        <v>20633</v>
      </c>
      <c r="AV529" s="64">
        <f t="shared" si="120"/>
        <v>57356</v>
      </c>
      <c r="AW529" s="70">
        <f t="shared" si="121"/>
        <v>2389.8333333333335</v>
      </c>
      <c r="AX529" s="66">
        <f t="shared" si="122"/>
        <v>52421</v>
      </c>
      <c r="AY529" s="71">
        <f t="shared" si="123"/>
        <v>2184.2083333333335</v>
      </c>
      <c r="AZ529" s="72">
        <f t="shared" si="124"/>
        <v>6280.666666666667</v>
      </c>
      <c r="BA529" s="66">
        <f t="shared" si="125"/>
        <v>6301.8416666666672</v>
      </c>
    </row>
    <row r="530" spans="1:53" ht="15">
      <c r="A530" s="155" t="s">
        <v>639</v>
      </c>
      <c r="B530" s="240" t="s">
        <v>665</v>
      </c>
      <c r="C530" s="695"/>
      <c r="D530" s="241">
        <v>227368</v>
      </c>
      <c r="E530" s="17">
        <v>3</v>
      </c>
      <c r="F530" s="29" t="s">
        <v>75</v>
      </c>
      <c r="G530" s="16"/>
      <c r="H530" s="27"/>
      <c r="I530" s="26">
        <v>0</v>
      </c>
      <c r="J530" s="139">
        <v>273257</v>
      </c>
      <c r="K530" s="154">
        <v>266157</v>
      </c>
      <c r="L530" s="139">
        <v>78120</v>
      </c>
      <c r="M530" s="150">
        <v>64392</v>
      </c>
      <c r="N530" s="139">
        <v>286363</v>
      </c>
      <c r="O530" s="154">
        <v>288092</v>
      </c>
      <c r="P530" s="64">
        <f t="shared" si="109"/>
        <v>637740</v>
      </c>
      <c r="Q530" s="65">
        <f t="shared" si="110"/>
        <v>21258</v>
      </c>
      <c r="R530" s="66">
        <f t="shared" si="111"/>
        <v>618641</v>
      </c>
      <c r="S530" s="67">
        <f t="shared" si="112"/>
        <v>20621.366666666665</v>
      </c>
      <c r="T530" s="139">
        <v>11448</v>
      </c>
      <c r="U530" s="109">
        <v>13779</v>
      </c>
      <c r="V530" s="64">
        <f t="shared" si="113"/>
        <v>637740</v>
      </c>
      <c r="W530" s="68">
        <f>IF(ISBLANK(#REF!),0,R530)</f>
        <v>618641</v>
      </c>
      <c r="X530" s="27"/>
      <c r="Y530" s="26"/>
      <c r="Z530" s="27"/>
      <c r="AA530" s="26"/>
      <c r="AB530" s="27"/>
      <c r="AC530" s="26"/>
      <c r="AD530" s="27"/>
      <c r="AE530" s="26"/>
      <c r="AF530" s="64">
        <f t="shared" si="115"/>
        <v>0</v>
      </c>
      <c r="AG530" s="65">
        <f t="shared" si="116"/>
        <v>0</v>
      </c>
      <c r="AH530" s="66">
        <f t="shared" si="108"/>
        <v>0</v>
      </c>
      <c r="AI530" s="66">
        <f t="shared" si="117"/>
        <v>0</v>
      </c>
      <c r="AJ530" s="27"/>
      <c r="AL530" s="64">
        <f t="shared" si="118"/>
        <v>0</v>
      </c>
      <c r="AM530" s="67">
        <f t="shared" si="126"/>
        <v>0</v>
      </c>
      <c r="AN530" s="27"/>
      <c r="AO530" s="26"/>
      <c r="AP530" s="139">
        <v>26271</v>
      </c>
      <c r="AQ530" s="150">
        <v>23798</v>
      </c>
      <c r="AR530" s="139">
        <v>18653</v>
      </c>
      <c r="AS530" s="150">
        <v>15069</v>
      </c>
      <c r="AT530" s="139">
        <v>24931</v>
      </c>
      <c r="AU530" s="150">
        <v>20673</v>
      </c>
      <c r="AV530" s="64">
        <f t="shared" si="120"/>
        <v>69855</v>
      </c>
      <c r="AW530" s="70">
        <f t="shared" si="121"/>
        <v>2910.625</v>
      </c>
      <c r="AX530" s="66">
        <f t="shared" si="122"/>
        <v>59540</v>
      </c>
      <c r="AY530" s="71">
        <f t="shared" si="123"/>
        <v>2480.8333333333335</v>
      </c>
      <c r="AZ530" s="72">
        <f t="shared" si="124"/>
        <v>24168.625</v>
      </c>
      <c r="BA530" s="66">
        <f t="shared" si="125"/>
        <v>23102.199999999997</v>
      </c>
    </row>
    <row r="531" spans="1:53" ht="15">
      <c r="A531" s="155" t="s">
        <v>639</v>
      </c>
      <c r="B531" s="19" t="s">
        <v>666</v>
      </c>
      <c r="C531" s="695"/>
      <c r="D531" s="17">
        <v>228802</v>
      </c>
      <c r="E531" s="17">
        <v>3</v>
      </c>
      <c r="F531" s="29" t="s">
        <v>75</v>
      </c>
      <c r="G531" s="16"/>
      <c r="H531" s="27"/>
      <c r="I531" s="26">
        <v>0</v>
      </c>
      <c r="J531" s="27">
        <v>63918</v>
      </c>
      <c r="K531" s="150">
        <v>68182</v>
      </c>
      <c r="L531" s="27">
        <v>12981</v>
      </c>
      <c r="M531" s="150">
        <v>13877</v>
      </c>
      <c r="N531" s="27">
        <v>72898</v>
      </c>
      <c r="O531" s="150">
        <v>78872</v>
      </c>
      <c r="P531" s="64">
        <f t="shared" si="109"/>
        <v>149797</v>
      </c>
      <c r="Q531" s="65">
        <f t="shared" si="110"/>
        <v>4993.2333333333336</v>
      </c>
      <c r="R531" s="66">
        <f t="shared" si="111"/>
        <v>160931</v>
      </c>
      <c r="S531" s="67">
        <f t="shared" si="112"/>
        <v>5364.3666666666668</v>
      </c>
      <c r="T531" s="27">
        <v>1378</v>
      </c>
      <c r="U531" s="109">
        <v>3507</v>
      </c>
      <c r="V531" s="64">
        <f t="shared" si="113"/>
        <v>149797</v>
      </c>
      <c r="W531" s="68">
        <f>IF(ISBLANK(#REF!),0,R531)</f>
        <v>160931</v>
      </c>
      <c r="X531" s="27"/>
      <c r="Y531" s="26"/>
      <c r="Z531" s="27"/>
      <c r="AA531" s="26"/>
      <c r="AB531" s="27"/>
      <c r="AC531" s="26"/>
      <c r="AD531" s="27"/>
      <c r="AE531" s="26"/>
      <c r="AF531" s="64">
        <f t="shared" si="115"/>
        <v>0</v>
      </c>
      <c r="AG531" s="65">
        <f t="shared" si="116"/>
        <v>0</v>
      </c>
      <c r="AH531" s="66">
        <f t="shared" si="108"/>
        <v>0</v>
      </c>
      <c r="AI531" s="66">
        <f t="shared" si="117"/>
        <v>0</v>
      </c>
      <c r="AJ531" s="27"/>
      <c r="AL531" s="64">
        <f t="shared" si="118"/>
        <v>0</v>
      </c>
      <c r="AM531" s="67">
        <f t="shared" si="126"/>
        <v>0</v>
      </c>
      <c r="AN531" s="27"/>
      <c r="AO531" s="26"/>
      <c r="AP531" s="27">
        <v>13953</v>
      </c>
      <c r="AQ531" s="150">
        <v>14473</v>
      </c>
      <c r="AR531" s="27">
        <v>11397</v>
      </c>
      <c r="AS531" s="150">
        <v>12216</v>
      </c>
      <c r="AT531" s="27">
        <v>13502</v>
      </c>
      <c r="AU531" s="150">
        <v>14419</v>
      </c>
      <c r="AV531" s="64">
        <f t="shared" si="120"/>
        <v>38852</v>
      </c>
      <c r="AW531" s="70">
        <f t="shared" si="121"/>
        <v>1618.8333333333333</v>
      </c>
      <c r="AX531" s="66">
        <f t="shared" si="122"/>
        <v>41108</v>
      </c>
      <c r="AY531" s="71">
        <f t="shared" si="123"/>
        <v>1712.8333333333333</v>
      </c>
      <c r="AZ531" s="72">
        <f t="shared" si="124"/>
        <v>6612.0666666666666</v>
      </c>
      <c r="BA531" s="66">
        <f t="shared" si="125"/>
        <v>7077.2</v>
      </c>
    </row>
    <row r="532" spans="1:53" ht="15">
      <c r="A532" s="155" t="s">
        <v>639</v>
      </c>
      <c r="B532" s="19" t="s">
        <v>667</v>
      </c>
      <c r="C532" s="695"/>
      <c r="D532" s="17">
        <v>229018</v>
      </c>
      <c r="E532" s="17">
        <v>3</v>
      </c>
      <c r="F532" s="29" t="s">
        <v>75</v>
      </c>
      <c r="G532" s="16"/>
      <c r="H532" s="27"/>
      <c r="I532" s="26">
        <v>0</v>
      </c>
      <c r="J532" s="27">
        <v>44272</v>
      </c>
      <c r="K532" s="150">
        <v>48570</v>
      </c>
      <c r="L532" s="27">
        <v>16192</v>
      </c>
      <c r="M532" s="150">
        <v>14218</v>
      </c>
      <c r="N532" s="27">
        <v>45547</v>
      </c>
      <c r="O532" s="150">
        <v>51882</v>
      </c>
      <c r="P532" s="64">
        <f t="shared" si="109"/>
        <v>106011</v>
      </c>
      <c r="Q532" s="65">
        <f t="shared" si="110"/>
        <v>3533.7</v>
      </c>
      <c r="R532" s="66">
        <f t="shared" si="111"/>
        <v>114670</v>
      </c>
      <c r="S532" s="67">
        <f t="shared" si="112"/>
        <v>3822.3333333333335</v>
      </c>
      <c r="T532" s="27">
        <v>11981</v>
      </c>
      <c r="U532" s="109">
        <v>15910</v>
      </c>
      <c r="V532" s="64">
        <f t="shared" si="113"/>
        <v>106011</v>
      </c>
      <c r="W532" s="68">
        <f>IF(ISBLANK(#REF!),0,R532)</f>
        <v>114670</v>
      </c>
      <c r="X532" s="27"/>
      <c r="Y532" s="26"/>
      <c r="Z532" s="27"/>
      <c r="AA532" s="26"/>
      <c r="AB532" s="27"/>
      <c r="AC532" s="26"/>
      <c r="AD532" s="27"/>
      <c r="AE532" s="26"/>
      <c r="AF532" s="64">
        <f t="shared" si="115"/>
        <v>0</v>
      </c>
      <c r="AG532" s="65">
        <f t="shared" si="116"/>
        <v>0</v>
      </c>
      <c r="AH532" s="66">
        <f t="shared" si="108"/>
        <v>0</v>
      </c>
      <c r="AI532" s="66">
        <f t="shared" si="117"/>
        <v>0</v>
      </c>
      <c r="AJ532" s="27"/>
      <c r="AL532" s="64">
        <f t="shared" si="118"/>
        <v>0</v>
      </c>
      <c r="AM532" s="67">
        <f t="shared" si="126"/>
        <v>0</v>
      </c>
      <c r="AN532" s="27"/>
      <c r="AO532" s="26"/>
      <c r="AP532" s="27">
        <v>3889</v>
      </c>
      <c r="AQ532" s="150">
        <v>4224</v>
      </c>
      <c r="AR532" s="27">
        <v>3864</v>
      </c>
      <c r="AS532" s="150">
        <v>3123</v>
      </c>
      <c r="AT532" s="27">
        <v>2920</v>
      </c>
      <c r="AU532" s="150">
        <v>4089</v>
      </c>
      <c r="AV532" s="64">
        <f t="shared" si="120"/>
        <v>10673</v>
      </c>
      <c r="AW532" s="70">
        <f t="shared" si="121"/>
        <v>444.70833333333331</v>
      </c>
      <c r="AX532" s="66">
        <f t="shared" si="122"/>
        <v>11436</v>
      </c>
      <c r="AY532" s="71">
        <f t="shared" si="123"/>
        <v>476.5</v>
      </c>
      <c r="AZ532" s="72">
        <f t="shared" si="124"/>
        <v>3978.4083333333333</v>
      </c>
      <c r="BA532" s="66">
        <f t="shared" si="125"/>
        <v>4298.8333333333339</v>
      </c>
    </row>
    <row r="533" spans="1:53" ht="15">
      <c r="A533" s="155" t="s">
        <v>639</v>
      </c>
      <c r="B533" s="19" t="s">
        <v>668</v>
      </c>
      <c r="C533" s="695"/>
      <c r="D533" s="17">
        <v>229814</v>
      </c>
      <c r="E533" s="17">
        <v>3</v>
      </c>
      <c r="F533" s="29" t="s">
        <v>75</v>
      </c>
      <c r="G533" s="16"/>
      <c r="H533" s="27"/>
      <c r="I533" s="26">
        <v>0</v>
      </c>
      <c r="J533" s="27">
        <v>81349</v>
      </c>
      <c r="K533" s="238">
        <v>84786</v>
      </c>
      <c r="L533" s="27">
        <v>12960</v>
      </c>
      <c r="M533" s="238">
        <v>13154</v>
      </c>
      <c r="N533" s="27">
        <v>92135</v>
      </c>
      <c r="O533" s="149">
        <v>92879</v>
      </c>
      <c r="P533" s="64">
        <f t="shared" si="109"/>
        <v>186444</v>
      </c>
      <c r="Q533" s="65">
        <f t="shared" si="110"/>
        <v>6214.8</v>
      </c>
      <c r="R533" s="66">
        <f t="shared" si="111"/>
        <v>190819</v>
      </c>
      <c r="S533" s="67">
        <f t="shared" si="112"/>
        <v>6360.6333333333332</v>
      </c>
      <c r="T533" s="27">
        <v>0</v>
      </c>
      <c r="U533" s="26">
        <v>0</v>
      </c>
      <c r="V533" s="64">
        <f t="shared" si="113"/>
        <v>186444</v>
      </c>
      <c r="W533" s="68">
        <f>IF(ISBLANK(#REF!),0,R533)</f>
        <v>190819</v>
      </c>
      <c r="X533" s="27"/>
      <c r="Y533" s="26"/>
      <c r="Z533" s="27"/>
      <c r="AA533" s="26"/>
      <c r="AB533" s="27"/>
      <c r="AC533" s="26"/>
      <c r="AD533" s="27"/>
      <c r="AE533" s="26"/>
      <c r="AF533" s="64">
        <f t="shared" si="115"/>
        <v>0</v>
      </c>
      <c r="AG533" s="65">
        <f t="shared" si="116"/>
        <v>0</v>
      </c>
      <c r="AH533" s="66">
        <f t="shared" si="108"/>
        <v>0</v>
      </c>
      <c r="AI533" s="66">
        <f t="shared" si="117"/>
        <v>0</v>
      </c>
      <c r="AJ533" s="27"/>
      <c r="AL533" s="64">
        <f t="shared" si="118"/>
        <v>0</v>
      </c>
      <c r="AM533" s="67">
        <f t="shared" si="126"/>
        <v>0</v>
      </c>
      <c r="AN533" s="27"/>
      <c r="AO533" s="26"/>
      <c r="AP533" s="27">
        <v>11925</v>
      </c>
      <c r="AQ533" s="150">
        <v>13936</v>
      </c>
      <c r="AR533" s="27">
        <v>7615</v>
      </c>
      <c r="AS533" s="150">
        <v>8562</v>
      </c>
      <c r="AT533" s="27">
        <v>12942</v>
      </c>
      <c r="AU533" s="150">
        <v>14119</v>
      </c>
      <c r="AV533" s="64">
        <f t="shared" si="120"/>
        <v>32482</v>
      </c>
      <c r="AW533" s="70">
        <f t="shared" si="121"/>
        <v>1353.4166666666667</v>
      </c>
      <c r="AX533" s="66">
        <f t="shared" si="122"/>
        <v>36617</v>
      </c>
      <c r="AY533" s="71">
        <f t="shared" si="123"/>
        <v>1525.7083333333333</v>
      </c>
      <c r="AZ533" s="72">
        <f t="shared" si="124"/>
        <v>7568.2166666666672</v>
      </c>
      <c r="BA533" s="66">
        <f t="shared" si="125"/>
        <v>7886.3416666666662</v>
      </c>
    </row>
    <row r="534" spans="1:53" ht="15">
      <c r="A534" s="155" t="s">
        <v>639</v>
      </c>
      <c r="B534" s="19" t="s">
        <v>669</v>
      </c>
      <c r="C534" s="695"/>
      <c r="D534" s="17">
        <v>483036</v>
      </c>
      <c r="E534" s="17">
        <v>4</v>
      </c>
      <c r="F534" s="29" t="s">
        <v>75</v>
      </c>
      <c r="G534" s="16"/>
      <c r="H534" s="27"/>
      <c r="I534" s="26">
        <v>0</v>
      </c>
      <c r="J534" s="27">
        <v>16280</v>
      </c>
      <c r="K534" s="238">
        <v>16382</v>
      </c>
      <c r="L534" s="27">
        <v>8415</v>
      </c>
      <c r="M534" s="150">
        <v>9392</v>
      </c>
      <c r="N534" s="27">
        <v>14870</v>
      </c>
      <c r="O534" s="150">
        <v>15931</v>
      </c>
      <c r="P534" s="64">
        <f t="shared" si="109"/>
        <v>39565</v>
      </c>
      <c r="Q534" s="65">
        <f t="shared" si="110"/>
        <v>1318.8333333333333</v>
      </c>
      <c r="R534" s="66">
        <f t="shared" si="111"/>
        <v>41705</v>
      </c>
      <c r="S534" s="67">
        <f t="shared" si="112"/>
        <v>1390.1666666666667</v>
      </c>
      <c r="T534" s="27">
        <v>0</v>
      </c>
      <c r="U534" s="26">
        <v>0</v>
      </c>
      <c r="V534" s="64">
        <f t="shared" si="113"/>
        <v>39565</v>
      </c>
      <c r="W534" s="68">
        <f>IF(ISBLANK(#REF!),0,R534)</f>
        <v>41705</v>
      </c>
      <c r="X534" s="27"/>
      <c r="Y534" s="26"/>
      <c r="Z534" s="27"/>
      <c r="AA534" s="26"/>
      <c r="AB534" s="27"/>
      <c r="AC534" s="26"/>
      <c r="AD534" s="27"/>
      <c r="AE534" s="26"/>
      <c r="AF534" s="64">
        <f t="shared" si="115"/>
        <v>0</v>
      </c>
      <c r="AG534" s="65">
        <f t="shared" si="116"/>
        <v>0</v>
      </c>
      <c r="AH534" s="66">
        <f t="shared" si="108"/>
        <v>0</v>
      </c>
      <c r="AI534" s="66">
        <f t="shared" si="117"/>
        <v>0</v>
      </c>
      <c r="AJ534" s="27"/>
      <c r="AL534" s="64">
        <f t="shared" si="118"/>
        <v>0</v>
      </c>
      <c r="AM534" s="67">
        <f t="shared" si="126"/>
        <v>0</v>
      </c>
      <c r="AN534" s="27"/>
      <c r="AO534" s="26"/>
      <c r="AP534" s="27">
        <v>3737</v>
      </c>
      <c r="AQ534" s="150">
        <v>3770</v>
      </c>
      <c r="AR534" s="27">
        <v>2946</v>
      </c>
      <c r="AS534" s="150">
        <v>2880</v>
      </c>
      <c r="AT534" s="27">
        <v>3620</v>
      </c>
      <c r="AU534" s="150">
        <v>3567</v>
      </c>
      <c r="AV534" s="64">
        <f t="shared" si="120"/>
        <v>10303</v>
      </c>
      <c r="AW534" s="70">
        <f t="shared" si="121"/>
        <v>429.29166666666669</v>
      </c>
      <c r="AX534" s="66">
        <f t="shared" si="122"/>
        <v>10217</v>
      </c>
      <c r="AY534" s="71">
        <f t="shared" si="123"/>
        <v>425.70833333333331</v>
      </c>
      <c r="AZ534" s="72">
        <f t="shared" si="124"/>
        <v>1748.125</v>
      </c>
      <c r="BA534" s="66">
        <f t="shared" si="125"/>
        <v>1815.875</v>
      </c>
    </row>
    <row r="535" spans="1:53" ht="15">
      <c r="A535" s="155" t="s">
        <v>639</v>
      </c>
      <c r="B535" s="19" t="s">
        <v>670</v>
      </c>
      <c r="C535" s="695"/>
      <c r="D535" s="17">
        <v>224545</v>
      </c>
      <c r="E535" s="17">
        <v>4</v>
      </c>
      <c r="F535" s="29" t="s">
        <v>75</v>
      </c>
      <c r="G535" s="16"/>
      <c r="H535" s="27"/>
      <c r="I535" s="26">
        <v>0</v>
      </c>
      <c r="J535" s="27">
        <v>14364</v>
      </c>
      <c r="K535" s="238">
        <v>14991</v>
      </c>
      <c r="L535" s="27">
        <v>3853</v>
      </c>
      <c r="M535" s="150">
        <v>5081</v>
      </c>
      <c r="N535" s="27">
        <v>15300</v>
      </c>
      <c r="O535" s="150">
        <v>17301</v>
      </c>
      <c r="P535" s="64">
        <f t="shared" si="109"/>
        <v>33517</v>
      </c>
      <c r="Q535" s="65">
        <f t="shared" si="110"/>
        <v>1117.2333333333333</v>
      </c>
      <c r="R535" s="66">
        <f t="shared" si="111"/>
        <v>37373</v>
      </c>
      <c r="S535" s="67">
        <f t="shared" si="112"/>
        <v>1245.7666666666667</v>
      </c>
      <c r="T535" s="27">
        <v>0</v>
      </c>
      <c r="U535" s="26">
        <v>0</v>
      </c>
      <c r="V535" s="64">
        <f t="shared" si="113"/>
        <v>33517</v>
      </c>
      <c r="W535" s="68">
        <f>IF(ISBLANK(#REF!),0,R535)</f>
        <v>37373</v>
      </c>
      <c r="X535" s="27"/>
      <c r="Y535" s="26"/>
      <c r="Z535" s="27"/>
      <c r="AA535" s="26"/>
      <c r="AB535" s="27"/>
      <c r="AC535" s="26"/>
      <c r="AD535" s="27"/>
      <c r="AE535" s="26"/>
      <c r="AF535" s="64">
        <f t="shared" si="115"/>
        <v>0</v>
      </c>
      <c r="AG535" s="65">
        <f t="shared" si="116"/>
        <v>0</v>
      </c>
      <c r="AH535" s="66">
        <f t="shared" si="108"/>
        <v>0</v>
      </c>
      <c r="AI535" s="66">
        <f t="shared" si="117"/>
        <v>0</v>
      </c>
      <c r="AJ535" s="27"/>
      <c r="AL535" s="64">
        <f t="shared" si="118"/>
        <v>0</v>
      </c>
      <c r="AM535" s="67">
        <f t="shared" si="126"/>
        <v>0</v>
      </c>
      <c r="AN535" s="27"/>
      <c r="AO535" s="26"/>
      <c r="AP535" s="27">
        <v>2499</v>
      </c>
      <c r="AQ535" s="150">
        <v>2268</v>
      </c>
      <c r="AR535" s="27">
        <v>1530</v>
      </c>
      <c r="AS535" s="150">
        <v>1869</v>
      </c>
      <c r="AT535" s="27">
        <v>2245</v>
      </c>
      <c r="AU535" s="150">
        <v>2260</v>
      </c>
      <c r="AV535" s="64">
        <f t="shared" si="120"/>
        <v>6274</v>
      </c>
      <c r="AW535" s="70">
        <f t="shared" si="121"/>
        <v>261.41666666666669</v>
      </c>
      <c r="AX535" s="66">
        <f t="shared" si="122"/>
        <v>6397</v>
      </c>
      <c r="AY535" s="71">
        <f t="shared" si="123"/>
        <v>266.54166666666669</v>
      </c>
      <c r="AZ535" s="72">
        <f t="shared" si="124"/>
        <v>1378.65</v>
      </c>
      <c r="BA535" s="66">
        <f t="shared" si="125"/>
        <v>1512.3083333333334</v>
      </c>
    </row>
    <row r="536" spans="1:53" ht="15">
      <c r="A536" s="155" t="s">
        <v>639</v>
      </c>
      <c r="B536" s="19" t="s">
        <v>671</v>
      </c>
      <c r="C536" s="695"/>
      <c r="D536" s="17">
        <v>225502</v>
      </c>
      <c r="E536" s="17">
        <v>4</v>
      </c>
      <c r="F536" s="29" t="s">
        <v>75</v>
      </c>
      <c r="G536" s="16"/>
      <c r="H536" s="27"/>
      <c r="I536" s="26">
        <v>0</v>
      </c>
      <c r="J536" s="27">
        <v>29113</v>
      </c>
      <c r="K536" s="238">
        <v>27663</v>
      </c>
      <c r="L536" s="27">
        <v>9353</v>
      </c>
      <c r="M536" s="150">
        <v>8362</v>
      </c>
      <c r="N536" s="27">
        <v>29500</v>
      </c>
      <c r="O536" s="149">
        <v>29995</v>
      </c>
      <c r="P536" s="64">
        <f t="shared" si="109"/>
        <v>67966</v>
      </c>
      <c r="Q536" s="65">
        <f t="shared" si="110"/>
        <v>2265.5333333333333</v>
      </c>
      <c r="R536" s="66">
        <f t="shared" si="111"/>
        <v>66020</v>
      </c>
      <c r="S536" s="67">
        <f t="shared" si="112"/>
        <v>2200.6666666666665</v>
      </c>
      <c r="T536" s="27">
        <v>0</v>
      </c>
      <c r="U536" s="109">
        <v>39</v>
      </c>
      <c r="V536" s="64">
        <f t="shared" si="113"/>
        <v>67966</v>
      </c>
      <c r="W536" s="68">
        <f>IF(ISBLANK(#REF!),0,R536)</f>
        <v>66020</v>
      </c>
      <c r="X536" s="27"/>
      <c r="Y536" s="26"/>
      <c r="Z536" s="27"/>
      <c r="AA536" s="26"/>
      <c r="AB536" s="27"/>
      <c r="AC536" s="26"/>
      <c r="AD536" s="27"/>
      <c r="AE536" s="26"/>
      <c r="AF536" s="64">
        <f t="shared" si="115"/>
        <v>0</v>
      </c>
      <c r="AG536" s="65">
        <f t="shared" si="116"/>
        <v>0</v>
      </c>
      <c r="AH536" s="66">
        <f t="shared" si="108"/>
        <v>0</v>
      </c>
      <c r="AI536" s="66">
        <f t="shared" si="117"/>
        <v>0</v>
      </c>
      <c r="AJ536" s="27"/>
      <c r="AL536" s="64">
        <f t="shared" si="118"/>
        <v>0</v>
      </c>
      <c r="AM536" s="67">
        <f t="shared" si="126"/>
        <v>0</v>
      </c>
      <c r="AN536" s="27"/>
      <c r="AO536" s="26"/>
      <c r="AP536" s="27">
        <v>7707</v>
      </c>
      <c r="AQ536" s="150">
        <v>6789</v>
      </c>
      <c r="AR536" s="27">
        <v>3936</v>
      </c>
      <c r="AS536" s="150">
        <v>3699</v>
      </c>
      <c r="AT536" s="27">
        <v>7278</v>
      </c>
      <c r="AU536" s="150">
        <v>7271</v>
      </c>
      <c r="AV536" s="64">
        <f t="shared" si="120"/>
        <v>18921</v>
      </c>
      <c r="AW536" s="70">
        <f t="shared" si="121"/>
        <v>788.375</v>
      </c>
      <c r="AX536" s="66">
        <f t="shared" si="122"/>
        <v>17759</v>
      </c>
      <c r="AY536" s="71">
        <f t="shared" si="123"/>
        <v>739.95833333333337</v>
      </c>
      <c r="AZ536" s="72">
        <f t="shared" si="124"/>
        <v>3053.9083333333333</v>
      </c>
      <c r="BA536" s="66">
        <f t="shared" si="125"/>
        <v>2940.625</v>
      </c>
    </row>
    <row r="537" spans="1:53" ht="15">
      <c r="A537" s="155" t="s">
        <v>639</v>
      </c>
      <c r="B537" s="19" t="s">
        <v>672</v>
      </c>
      <c r="C537" s="695"/>
      <c r="D537" s="17" t="s">
        <v>673</v>
      </c>
      <c r="E537" s="17">
        <v>5</v>
      </c>
      <c r="F537" s="29" t="s">
        <v>75</v>
      </c>
      <c r="G537" s="16"/>
      <c r="H537" s="27"/>
      <c r="I537" s="26">
        <v>0</v>
      </c>
      <c r="J537" s="27">
        <v>5742</v>
      </c>
      <c r="K537" s="238">
        <v>5839</v>
      </c>
      <c r="L537" s="27">
        <v>3054</v>
      </c>
      <c r="M537" s="150">
        <v>3417</v>
      </c>
      <c r="N537" s="27">
        <v>6137</v>
      </c>
      <c r="O537" s="150">
        <v>6449</v>
      </c>
      <c r="P537" s="64">
        <f t="shared" si="109"/>
        <v>14933</v>
      </c>
      <c r="Q537" s="65">
        <f t="shared" si="110"/>
        <v>497.76666666666665</v>
      </c>
      <c r="R537" s="66">
        <f t="shared" si="111"/>
        <v>15705</v>
      </c>
      <c r="S537" s="67">
        <f t="shared" si="112"/>
        <v>523.5</v>
      </c>
      <c r="T537" s="27">
        <v>0</v>
      </c>
      <c r="U537" s="26">
        <v>0</v>
      </c>
      <c r="V537" s="64">
        <f t="shared" si="113"/>
        <v>14933</v>
      </c>
      <c r="W537" s="68">
        <f>IF(ISBLANK(#REF!),0,R537)</f>
        <v>15705</v>
      </c>
      <c r="X537" s="27"/>
      <c r="Y537" s="26"/>
      <c r="Z537" s="27"/>
      <c r="AA537" s="26"/>
      <c r="AB537" s="27"/>
      <c r="AC537" s="26"/>
      <c r="AD537" s="27"/>
      <c r="AE537" s="26"/>
      <c r="AF537" s="64">
        <f t="shared" si="115"/>
        <v>0</v>
      </c>
      <c r="AG537" s="65">
        <f t="shared" si="116"/>
        <v>0</v>
      </c>
      <c r="AH537" s="66">
        <f t="shared" si="108"/>
        <v>0</v>
      </c>
      <c r="AI537" s="66">
        <f t="shared" si="117"/>
        <v>0</v>
      </c>
      <c r="AJ537" s="27"/>
      <c r="AL537" s="64">
        <f t="shared" si="118"/>
        <v>0</v>
      </c>
      <c r="AM537" s="67">
        <f t="shared" si="126"/>
        <v>0</v>
      </c>
      <c r="AN537" s="27"/>
      <c r="AO537" s="26"/>
      <c r="AP537" s="27">
        <v>1113</v>
      </c>
      <c r="AQ537" s="150">
        <v>861</v>
      </c>
      <c r="AR537" s="27">
        <v>747</v>
      </c>
      <c r="AS537" s="150">
        <v>729</v>
      </c>
      <c r="AT537" s="27">
        <v>807</v>
      </c>
      <c r="AU537" s="150">
        <v>771</v>
      </c>
      <c r="AV537" s="64">
        <f t="shared" si="120"/>
        <v>2667</v>
      </c>
      <c r="AW537" s="70">
        <f t="shared" si="121"/>
        <v>111.125</v>
      </c>
      <c r="AX537" s="66">
        <f t="shared" si="122"/>
        <v>2361</v>
      </c>
      <c r="AY537" s="71">
        <f t="shared" si="123"/>
        <v>98.375</v>
      </c>
      <c r="AZ537" s="72">
        <f t="shared" si="124"/>
        <v>608.89166666666665</v>
      </c>
      <c r="BA537" s="66">
        <f t="shared" si="125"/>
        <v>621.875</v>
      </c>
    </row>
    <row r="538" spans="1:53" ht="15">
      <c r="A538" s="155" t="s">
        <v>639</v>
      </c>
      <c r="B538" s="19" t="s">
        <v>674</v>
      </c>
      <c r="C538" s="695"/>
      <c r="D538" s="17">
        <v>870501</v>
      </c>
      <c r="E538" s="17">
        <v>5</v>
      </c>
      <c r="F538" s="29" t="s">
        <v>75</v>
      </c>
      <c r="G538" s="16"/>
      <c r="H538" s="27"/>
      <c r="I538" s="26">
        <v>0</v>
      </c>
      <c r="J538" s="27">
        <v>30102</v>
      </c>
      <c r="K538" s="150">
        <v>32508</v>
      </c>
      <c r="L538" s="27">
        <v>9204</v>
      </c>
      <c r="M538" s="150">
        <v>10259</v>
      </c>
      <c r="N538" s="27">
        <v>33293</v>
      </c>
      <c r="O538" s="150">
        <v>45452</v>
      </c>
      <c r="P538" s="64">
        <f t="shared" si="109"/>
        <v>72599</v>
      </c>
      <c r="Q538" s="65">
        <f t="shared" si="110"/>
        <v>2419.9666666666667</v>
      </c>
      <c r="R538" s="66">
        <f t="shared" si="111"/>
        <v>88219</v>
      </c>
      <c r="S538" s="67">
        <f t="shared" si="112"/>
        <v>2940.6333333333332</v>
      </c>
      <c r="T538" s="27">
        <v>0</v>
      </c>
      <c r="U538" s="26">
        <v>0</v>
      </c>
      <c r="V538" s="64">
        <f t="shared" si="113"/>
        <v>72599</v>
      </c>
      <c r="W538" s="68">
        <f>IF(ISBLANK(#REF!),0,R538)</f>
        <v>88219</v>
      </c>
      <c r="X538" s="27"/>
      <c r="Y538" s="26"/>
      <c r="Z538" s="27"/>
      <c r="AA538" s="26"/>
      <c r="AB538" s="27"/>
      <c r="AC538" s="26"/>
      <c r="AD538" s="27"/>
      <c r="AE538" s="26"/>
      <c r="AF538" s="64">
        <f t="shared" si="115"/>
        <v>0</v>
      </c>
      <c r="AG538" s="65">
        <f t="shared" si="116"/>
        <v>0</v>
      </c>
      <c r="AH538" s="66">
        <f t="shared" si="108"/>
        <v>0</v>
      </c>
      <c r="AI538" s="66">
        <f t="shared" si="117"/>
        <v>0</v>
      </c>
      <c r="AJ538" s="27"/>
      <c r="AL538" s="64">
        <f t="shared" si="118"/>
        <v>0</v>
      </c>
      <c r="AM538" s="67">
        <f t="shared" si="126"/>
        <v>0</v>
      </c>
      <c r="AN538" s="27"/>
      <c r="AO538" s="26"/>
      <c r="AP538" s="27">
        <v>6073</v>
      </c>
      <c r="AQ538" s="150">
        <v>5101</v>
      </c>
      <c r="AR538" s="27">
        <v>2871</v>
      </c>
      <c r="AS538" s="150">
        <v>2513</v>
      </c>
      <c r="AT538" s="27">
        <v>5892</v>
      </c>
      <c r="AU538" s="150">
        <v>5556</v>
      </c>
      <c r="AV538" s="64">
        <f t="shared" si="120"/>
        <v>14836</v>
      </c>
      <c r="AW538" s="70">
        <f t="shared" si="121"/>
        <v>618.16666666666663</v>
      </c>
      <c r="AX538" s="66">
        <f t="shared" si="122"/>
        <v>13170</v>
      </c>
      <c r="AY538" s="71">
        <f t="shared" si="123"/>
        <v>548.75</v>
      </c>
      <c r="AZ538" s="72">
        <f t="shared" si="124"/>
        <v>3038.1333333333332</v>
      </c>
      <c r="BA538" s="66">
        <f t="shared" si="125"/>
        <v>3489.3833333333332</v>
      </c>
    </row>
    <row r="539" spans="1:53" ht="15">
      <c r="A539" s="155" t="s">
        <v>639</v>
      </c>
      <c r="B539" s="19" t="s">
        <v>675</v>
      </c>
      <c r="C539" s="695"/>
      <c r="D539" s="17">
        <v>225432</v>
      </c>
      <c r="E539" s="17">
        <v>5</v>
      </c>
      <c r="F539" s="29" t="s">
        <v>75</v>
      </c>
      <c r="G539" s="16"/>
      <c r="H539" s="27"/>
      <c r="I539" s="26">
        <v>0</v>
      </c>
      <c r="J539" s="27">
        <v>119835</v>
      </c>
      <c r="K539" s="150">
        <v>111357</v>
      </c>
      <c r="L539" s="27">
        <v>30859</v>
      </c>
      <c r="M539" s="238">
        <v>30926</v>
      </c>
      <c r="N539" s="27">
        <v>121104</v>
      </c>
      <c r="O539" s="149">
        <v>117070</v>
      </c>
      <c r="P539" s="64">
        <f t="shared" si="109"/>
        <v>271798</v>
      </c>
      <c r="Q539" s="65">
        <f t="shared" si="110"/>
        <v>9059.9333333333325</v>
      </c>
      <c r="R539" s="66">
        <f t="shared" si="111"/>
        <v>259353</v>
      </c>
      <c r="S539" s="67">
        <f t="shared" si="112"/>
        <v>8645.1</v>
      </c>
      <c r="T539" s="27">
        <v>841</v>
      </c>
      <c r="U539" s="109">
        <v>539</v>
      </c>
      <c r="V539" s="64">
        <f t="shared" si="113"/>
        <v>271798</v>
      </c>
      <c r="W539" s="68">
        <f>IF(ISBLANK(#REF!),0,R539)</f>
        <v>259353</v>
      </c>
      <c r="X539" s="27"/>
      <c r="Y539" s="26"/>
      <c r="Z539" s="27"/>
      <c r="AA539" s="26"/>
      <c r="AB539" s="27"/>
      <c r="AC539" s="26"/>
      <c r="AD539" s="27"/>
      <c r="AE539" s="26"/>
      <c r="AF539" s="64">
        <f t="shared" si="115"/>
        <v>0</v>
      </c>
      <c r="AG539" s="65">
        <f t="shared" si="116"/>
        <v>0</v>
      </c>
      <c r="AH539" s="66">
        <f t="shared" si="108"/>
        <v>0</v>
      </c>
      <c r="AI539" s="66">
        <f t="shared" si="117"/>
        <v>0</v>
      </c>
      <c r="AJ539" s="27"/>
      <c r="AL539" s="64">
        <f t="shared" si="118"/>
        <v>0</v>
      </c>
      <c r="AM539" s="67">
        <f t="shared" si="126"/>
        <v>0</v>
      </c>
      <c r="AN539" s="27"/>
      <c r="AO539" s="26"/>
      <c r="AP539" s="27">
        <v>4311</v>
      </c>
      <c r="AQ539" s="150">
        <v>8106</v>
      </c>
      <c r="AR539" s="27">
        <v>3814</v>
      </c>
      <c r="AS539" s="150">
        <v>7997</v>
      </c>
      <c r="AT539" s="27">
        <v>4578</v>
      </c>
      <c r="AU539" s="150">
        <v>6201</v>
      </c>
      <c r="AV539" s="64">
        <f t="shared" si="120"/>
        <v>12703</v>
      </c>
      <c r="AW539" s="70">
        <f t="shared" si="121"/>
        <v>529.29166666666663</v>
      </c>
      <c r="AX539" s="66">
        <f t="shared" si="122"/>
        <v>22304</v>
      </c>
      <c r="AY539" s="71">
        <f t="shared" si="123"/>
        <v>929.33333333333337</v>
      </c>
      <c r="AZ539" s="72">
        <f t="shared" si="124"/>
        <v>9589.2249999999985</v>
      </c>
      <c r="BA539" s="66">
        <f t="shared" si="125"/>
        <v>9574.4333333333343</v>
      </c>
    </row>
    <row r="540" spans="1:53" ht="15">
      <c r="A540" s="155" t="s">
        <v>639</v>
      </c>
      <c r="B540" s="19" t="s">
        <v>676</v>
      </c>
      <c r="C540" s="704" t="s">
        <v>992</v>
      </c>
      <c r="D540" s="17">
        <v>228714</v>
      </c>
      <c r="E540" s="249">
        <v>5</v>
      </c>
      <c r="F540" s="29" t="s">
        <v>75</v>
      </c>
      <c r="G540" s="16"/>
      <c r="H540" s="27"/>
      <c r="I540" s="26">
        <v>0</v>
      </c>
      <c r="J540" s="27">
        <v>27892</v>
      </c>
      <c r="K540" s="238">
        <v>27180</v>
      </c>
      <c r="L540" s="27">
        <v>4984</v>
      </c>
      <c r="M540" s="238">
        <v>4756</v>
      </c>
      <c r="N540" s="27">
        <v>29566</v>
      </c>
      <c r="O540" s="149">
        <v>30305</v>
      </c>
      <c r="P540" s="64">
        <f t="shared" si="109"/>
        <v>62442</v>
      </c>
      <c r="Q540" s="65">
        <f t="shared" si="110"/>
        <v>2081.4</v>
      </c>
      <c r="R540" s="66">
        <f t="shared" si="111"/>
        <v>62241</v>
      </c>
      <c r="S540" s="67">
        <f t="shared" si="112"/>
        <v>2074.6999999999998</v>
      </c>
      <c r="T540" s="27">
        <v>0</v>
      </c>
      <c r="U540" s="26">
        <v>0</v>
      </c>
      <c r="V540" s="64">
        <f t="shared" si="113"/>
        <v>62442</v>
      </c>
      <c r="W540" s="68">
        <f>IF(ISBLANK(#REF!),0,R540)</f>
        <v>62241</v>
      </c>
      <c r="X540" s="27"/>
      <c r="Y540" s="26"/>
      <c r="Z540" s="27"/>
      <c r="AA540" s="26"/>
      <c r="AB540" s="27"/>
      <c r="AC540" s="26"/>
      <c r="AD540" s="27"/>
      <c r="AE540" s="26"/>
      <c r="AF540" s="64">
        <f t="shared" si="115"/>
        <v>0</v>
      </c>
      <c r="AG540" s="65">
        <f t="shared" si="116"/>
        <v>0</v>
      </c>
      <c r="AH540" s="66">
        <f t="shared" si="108"/>
        <v>0</v>
      </c>
      <c r="AI540" s="66">
        <f t="shared" si="117"/>
        <v>0</v>
      </c>
      <c r="AJ540" s="27"/>
      <c r="AL540" s="64">
        <f t="shared" si="118"/>
        <v>0</v>
      </c>
      <c r="AM540" s="67">
        <f t="shared" si="126"/>
        <v>0</v>
      </c>
      <c r="AN540" s="27"/>
      <c r="AO540" s="26"/>
      <c r="AP540" s="27">
        <v>956</v>
      </c>
      <c r="AQ540" s="150">
        <v>1144</v>
      </c>
      <c r="AR540" s="27">
        <v>248</v>
      </c>
      <c r="AS540" s="150">
        <v>272</v>
      </c>
      <c r="AT540" s="27">
        <v>1006</v>
      </c>
      <c r="AU540" s="150">
        <v>1214</v>
      </c>
      <c r="AV540" s="64">
        <f t="shared" si="120"/>
        <v>2210</v>
      </c>
      <c r="AW540" s="70">
        <f t="shared" si="121"/>
        <v>92.083333333333329</v>
      </c>
      <c r="AX540" s="66">
        <f t="shared" si="122"/>
        <v>2630</v>
      </c>
      <c r="AY540" s="71">
        <f t="shared" si="123"/>
        <v>109.58333333333333</v>
      </c>
      <c r="AZ540" s="72">
        <f t="shared" si="124"/>
        <v>2173.4833333333336</v>
      </c>
      <c r="BA540" s="66">
        <f t="shared" si="125"/>
        <v>2184.2833333333333</v>
      </c>
    </row>
    <row r="541" spans="1:53" ht="15">
      <c r="A541" s="155" t="s">
        <v>639</v>
      </c>
      <c r="B541" s="242" t="s">
        <v>677</v>
      </c>
      <c r="C541" s="695"/>
      <c r="D541" s="17">
        <v>223506</v>
      </c>
      <c r="E541" s="17">
        <v>7</v>
      </c>
      <c r="F541" s="29" t="s">
        <v>75</v>
      </c>
      <c r="G541" s="16"/>
      <c r="H541" s="27">
        <v>29871</v>
      </c>
      <c r="I541" s="26">
        <v>30118</v>
      </c>
      <c r="J541" s="27">
        <v>10028</v>
      </c>
      <c r="K541" s="150">
        <v>11638</v>
      </c>
      <c r="L541" s="27">
        <v>3968</v>
      </c>
      <c r="M541" s="150">
        <v>3123</v>
      </c>
      <c r="N541" s="27">
        <v>30818</v>
      </c>
      <c r="O541" s="149">
        <v>31306</v>
      </c>
      <c r="P541" s="64">
        <f t="shared" si="109"/>
        <v>74685</v>
      </c>
      <c r="Q541" s="65">
        <f t="shared" si="110"/>
        <v>2489.5</v>
      </c>
      <c r="R541" s="66">
        <f t="shared" si="111"/>
        <v>76185</v>
      </c>
      <c r="S541" s="67">
        <f t="shared" si="112"/>
        <v>2539.5</v>
      </c>
      <c r="T541" s="27">
        <v>11058</v>
      </c>
      <c r="U541" s="109">
        <v>11885</v>
      </c>
      <c r="V541" s="64">
        <f t="shared" si="113"/>
        <v>74685</v>
      </c>
      <c r="W541" s="68">
        <f>IF(ISBLANK(#REF!),0,R541)</f>
        <v>76185</v>
      </c>
      <c r="X541" s="27">
        <v>7034</v>
      </c>
      <c r="Y541" s="150">
        <v>6046</v>
      </c>
      <c r="Z541" s="27">
        <v>9257</v>
      </c>
      <c r="AA541" s="150">
        <v>7332</v>
      </c>
      <c r="AB541" s="27">
        <v>5883</v>
      </c>
      <c r="AC541" s="150">
        <v>6205</v>
      </c>
      <c r="AD541" s="27">
        <v>7615</v>
      </c>
      <c r="AE541" s="150">
        <v>2726</v>
      </c>
      <c r="AF541" s="64">
        <f t="shared" si="115"/>
        <v>29789</v>
      </c>
      <c r="AG541" s="65">
        <f t="shared" si="116"/>
        <v>33.098888888888887</v>
      </c>
      <c r="AH541" s="66">
        <f t="shared" si="108"/>
        <v>22309</v>
      </c>
      <c r="AI541" s="66">
        <f t="shared" si="117"/>
        <v>24.787777777777777</v>
      </c>
      <c r="AJ541" s="27"/>
      <c r="AL541" s="64">
        <f t="shared" si="118"/>
        <v>0</v>
      </c>
      <c r="AM541" s="67">
        <f t="shared" si="126"/>
        <v>22309</v>
      </c>
      <c r="AN541" s="27"/>
      <c r="AO541" s="26"/>
      <c r="AP541" s="27"/>
      <c r="AQ541" s="238"/>
      <c r="AR541" s="27"/>
      <c r="AS541" s="238"/>
      <c r="AT541" s="27"/>
      <c r="AU541" s="238"/>
      <c r="AV541" s="64">
        <f t="shared" si="120"/>
        <v>0</v>
      </c>
      <c r="AW541" s="70">
        <f t="shared" si="121"/>
        <v>0</v>
      </c>
      <c r="AX541" s="66">
        <f t="shared" si="122"/>
        <v>0</v>
      </c>
      <c r="AY541" s="71">
        <f t="shared" si="123"/>
        <v>0</v>
      </c>
      <c r="AZ541" s="72">
        <f t="shared" si="124"/>
        <v>2522.5988888888887</v>
      </c>
      <c r="BA541" s="66">
        <f t="shared" si="125"/>
        <v>2564.2877777777776</v>
      </c>
    </row>
    <row r="542" spans="1:53" ht="15">
      <c r="A542" s="155" t="s">
        <v>639</v>
      </c>
      <c r="B542" s="242" t="s">
        <v>678</v>
      </c>
      <c r="C542" s="695"/>
      <c r="D542" s="17">
        <v>226806</v>
      </c>
      <c r="E542" s="17">
        <v>7</v>
      </c>
      <c r="F542" s="29" t="s">
        <v>75</v>
      </c>
      <c r="G542" s="16"/>
      <c r="H542" s="27">
        <v>42765</v>
      </c>
      <c r="I542" s="109">
        <v>46467</v>
      </c>
      <c r="J542" s="27">
        <v>13035</v>
      </c>
      <c r="K542" s="150">
        <v>13794</v>
      </c>
      <c r="L542" s="27">
        <v>9233</v>
      </c>
      <c r="M542" s="238">
        <v>9039</v>
      </c>
      <c r="N542" s="27">
        <v>42475</v>
      </c>
      <c r="O542" s="149">
        <v>44376</v>
      </c>
      <c r="P542" s="64">
        <f t="shared" si="109"/>
        <v>107508</v>
      </c>
      <c r="Q542" s="65">
        <f t="shared" si="110"/>
        <v>3583.6</v>
      </c>
      <c r="R542" s="66">
        <f t="shared" si="111"/>
        <v>113676</v>
      </c>
      <c r="S542" s="67">
        <f t="shared" si="112"/>
        <v>3789.2</v>
      </c>
      <c r="T542" s="27">
        <v>10716</v>
      </c>
      <c r="U542" s="26">
        <v>10576</v>
      </c>
      <c r="V542" s="64">
        <f t="shared" si="113"/>
        <v>107508</v>
      </c>
      <c r="W542" s="68">
        <f>IF(ISBLANK(#REF!),0,R542)</f>
        <v>113676</v>
      </c>
      <c r="X542" s="27">
        <v>47429</v>
      </c>
      <c r="Y542" s="150">
        <v>54748</v>
      </c>
      <c r="Z542" s="27">
        <v>40021</v>
      </c>
      <c r="AA542" s="238">
        <v>39356</v>
      </c>
      <c r="AB542" s="27">
        <v>55056</v>
      </c>
      <c r="AC542" s="150">
        <v>51307</v>
      </c>
      <c r="AD542" s="27">
        <v>49700</v>
      </c>
      <c r="AE542" s="150">
        <v>27274</v>
      </c>
      <c r="AF542" s="64">
        <f t="shared" si="115"/>
        <v>192206</v>
      </c>
      <c r="AG542" s="65">
        <f t="shared" si="116"/>
        <v>213.56222222222223</v>
      </c>
      <c r="AH542" s="66">
        <f t="shared" si="108"/>
        <v>172685</v>
      </c>
      <c r="AI542" s="66">
        <f t="shared" si="117"/>
        <v>191.87222222222223</v>
      </c>
      <c r="AJ542" s="27"/>
      <c r="AL542" s="64">
        <f t="shared" si="118"/>
        <v>0</v>
      </c>
      <c r="AM542" s="67">
        <f t="shared" si="126"/>
        <v>172685</v>
      </c>
      <c r="AN542" s="27"/>
      <c r="AO542" s="26"/>
      <c r="AP542" s="27"/>
      <c r="AQ542" s="238"/>
      <c r="AR542" s="27"/>
      <c r="AS542" s="238"/>
      <c r="AT542" s="27"/>
      <c r="AU542" s="238"/>
      <c r="AV542" s="64">
        <f t="shared" si="120"/>
        <v>0</v>
      </c>
      <c r="AW542" s="70">
        <f t="shared" si="121"/>
        <v>0</v>
      </c>
      <c r="AX542" s="66">
        <f t="shared" si="122"/>
        <v>0</v>
      </c>
      <c r="AY542" s="71">
        <f t="shared" si="123"/>
        <v>0</v>
      </c>
      <c r="AZ542" s="72">
        <f t="shared" si="124"/>
        <v>3797.1622222222222</v>
      </c>
      <c r="BA542" s="66">
        <f t="shared" si="125"/>
        <v>3981.0722222222221</v>
      </c>
    </row>
    <row r="543" spans="1:53" ht="15">
      <c r="A543" s="155" t="s">
        <v>639</v>
      </c>
      <c r="B543" s="242" t="s">
        <v>679</v>
      </c>
      <c r="C543" s="695"/>
      <c r="D543" s="17">
        <v>409315</v>
      </c>
      <c r="E543" s="243">
        <v>7</v>
      </c>
      <c r="F543" s="29" t="s">
        <v>75</v>
      </c>
      <c r="G543" s="16"/>
      <c r="H543" s="27">
        <v>247175</v>
      </c>
      <c r="I543" s="109">
        <v>271347</v>
      </c>
      <c r="J543" s="27">
        <v>48822</v>
      </c>
      <c r="K543" s="150">
        <v>54262</v>
      </c>
      <c r="L543" s="27">
        <v>35647</v>
      </c>
      <c r="M543" s="150">
        <v>33488</v>
      </c>
      <c r="N543" s="27">
        <v>271880</v>
      </c>
      <c r="O543" s="149">
        <v>269789</v>
      </c>
      <c r="P543" s="64">
        <f t="shared" si="109"/>
        <v>603524</v>
      </c>
      <c r="Q543" s="65">
        <f t="shared" si="110"/>
        <v>20117.466666666667</v>
      </c>
      <c r="R543" s="66">
        <f t="shared" si="111"/>
        <v>628886</v>
      </c>
      <c r="S543" s="67">
        <f t="shared" si="112"/>
        <v>20962.866666666665</v>
      </c>
      <c r="T543" s="27">
        <v>183431</v>
      </c>
      <c r="U543" s="109">
        <v>197977</v>
      </c>
      <c r="V543" s="64">
        <f t="shared" si="113"/>
        <v>603524</v>
      </c>
      <c r="W543" s="68">
        <f>IF(ISBLANK(#REF!),0,R543)</f>
        <v>628886</v>
      </c>
      <c r="X543" s="27">
        <v>136782</v>
      </c>
      <c r="Y543" s="150">
        <v>44476</v>
      </c>
      <c r="Z543" s="27">
        <v>102854</v>
      </c>
      <c r="AA543" s="150">
        <v>47067</v>
      </c>
      <c r="AB543" s="27">
        <v>102282</v>
      </c>
      <c r="AC543" s="150">
        <v>45462</v>
      </c>
      <c r="AD543" s="27">
        <v>431892</v>
      </c>
      <c r="AE543" s="150">
        <v>62601</v>
      </c>
      <c r="AF543" s="64">
        <f t="shared" si="115"/>
        <v>773810</v>
      </c>
      <c r="AG543" s="65">
        <f t="shared" si="116"/>
        <v>859.78888888888889</v>
      </c>
      <c r="AH543" s="66">
        <f t="shared" ref="AH543:AH606" si="127">SUM(Y543,AA543,AC543,AE543)</f>
        <v>199606</v>
      </c>
      <c r="AI543" s="66">
        <f t="shared" si="117"/>
        <v>221.78444444444443</v>
      </c>
      <c r="AJ543" s="27"/>
      <c r="AL543" s="64">
        <f t="shared" si="118"/>
        <v>0</v>
      </c>
      <c r="AM543" s="67">
        <f t="shared" si="126"/>
        <v>199606</v>
      </c>
      <c r="AN543" s="27"/>
      <c r="AO543" s="26"/>
      <c r="AP543" s="27"/>
      <c r="AQ543" s="238"/>
      <c r="AR543" s="27"/>
      <c r="AS543" s="238"/>
      <c r="AT543" s="27"/>
      <c r="AU543" s="238"/>
      <c r="AV543" s="64">
        <f t="shared" si="120"/>
        <v>0</v>
      </c>
      <c r="AW543" s="70">
        <f t="shared" si="121"/>
        <v>0</v>
      </c>
      <c r="AX543" s="66">
        <f t="shared" si="122"/>
        <v>0</v>
      </c>
      <c r="AY543" s="71">
        <f t="shared" si="123"/>
        <v>0</v>
      </c>
      <c r="AZ543" s="72">
        <f t="shared" si="124"/>
        <v>20977.255555555555</v>
      </c>
      <c r="BA543" s="66">
        <f t="shared" si="125"/>
        <v>21184.65111111111</v>
      </c>
    </row>
    <row r="544" spans="1:53" ht="15">
      <c r="A544" s="155" t="s">
        <v>639</v>
      </c>
      <c r="B544" s="19" t="s">
        <v>680</v>
      </c>
      <c r="C544" s="695"/>
      <c r="D544" s="17">
        <v>222576</v>
      </c>
      <c r="E544" s="17">
        <v>8</v>
      </c>
      <c r="F544" s="29" t="s">
        <v>75</v>
      </c>
      <c r="G544" s="16"/>
      <c r="H544" s="27">
        <v>77487</v>
      </c>
      <c r="I544" s="109">
        <v>69673</v>
      </c>
      <c r="J544" s="27">
        <v>20982</v>
      </c>
      <c r="K544" s="150">
        <v>29805</v>
      </c>
      <c r="L544" s="27">
        <v>0</v>
      </c>
      <c r="M544" s="238">
        <v>0</v>
      </c>
      <c r="N544" s="27">
        <v>73768</v>
      </c>
      <c r="O544" s="150">
        <v>62519</v>
      </c>
      <c r="P544" s="64">
        <f t="shared" si="109"/>
        <v>172237</v>
      </c>
      <c r="Q544" s="65">
        <f t="shared" si="110"/>
        <v>5741.2333333333336</v>
      </c>
      <c r="R544" s="66">
        <f t="shared" si="111"/>
        <v>161997</v>
      </c>
      <c r="S544" s="67">
        <f t="shared" si="112"/>
        <v>5399.9</v>
      </c>
      <c r="T544" s="27">
        <v>23204</v>
      </c>
      <c r="U544" s="109">
        <v>24867</v>
      </c>
      <c r="V544" s="64">
        <f t="shared" si="113"/>
        <v>172237</v>
      </c>
      <c r="W544" s="68">
        <f>IF(ISBLANK(#REF!),0,R544)</f>
        <v>161997</v>
      </c>
      <c r="X544" s="27">
        <v>92533</v>
      </c>
      <c r="Y544" s="150">
        <v>115509</v>
      </c>
      <c r="Z544" s="27">
        <v>132243</v>
      </c>
      <c r="AA544" s="150">
        <v>123880</v>
      </c>
      <c r="AB544" s="27">
        <v>108166</v>
      </c>
      <c r="AC544" s="238">
        <v>104718</v>
      </c>
      <c r="AD544" s="27">
        <v>131129</v>
      </c>
      <c r="AE544" s="150">
        <v>100288</v>
      </c>
      <c r="AF544" s="64">
        <f t="shared" si="115"/>
        <v>464071</v>
      </c>
      <c r="AG544" s="65">
        <f t="shared" si="116"/>
        <v>515.6344444444444</v>
      </c>
      <c r="AH544" s="66">
        <f t="shared" si="127"/>
        <v>444395</v>
      </c>
      <c r="AI544" s="66">
        <f t="shared" si="117"/>
        <v>493.77222222222224</v>
      </c>
      <c r="AJ544" s="27"/>
      <c r="AL544" s="64">
        <f t="shared" si="118"/>
        <v>0</v>
      </c>
      <c r="AM544" s="67">
        <f t="shared" si="126"/>
        <v>444395</v>
      </c>
      <c r="AN544" s="27"/>
      <c r="AO544" s="26"/>
      <c r="AP544" s="27"/>
      <c r="AQ544" s="238"/>
      <c r="AR544" s="27"/>
      <c r="AS544" s="238"/>
      <c r="AT544" s="27"/>
      <c r="AU544" s="238"/>
      <c r="AV544" s="64">
        <f t="shared" si="120"/>
        <v>0</v>
      </c>
      <c r="AW544" s="70">
        <f t="shared" si="121"/>
        <v>0</v>
      </c>
      <c r="AX544" s="66">
        <f t="shared" si="122"/>
        <v>0</v>
      </c>
      <c r="AY544" s="71">
        <f t="shared" si="123"/>
        <v>0</v>
      </c>
      <c r="AZ544" s="72">
        <f t="shared" si="124"/>
        <v>6256.8677777777775</v>
      </c>
      <c r="BA544" s="66">
        <f t="shared" si="125"/>
        <v>5893.6722222222215</v>
      </c>
    </row>
    <row r="545" spans="1:53" ht="15">
      <c r="A545" s="155" t="s">
        <v>639</v>
      </c>
      <c r="B545" s="19" t="s">
        <v>681</v>
      </c>
      <c r="C545" s="695"/>
      <c r="D545" s="17">
        <v>222992</v>
      </c>
      <c r="E545" s="17">
        <v>8</v>
      </c>
      <c r="F545" s="29" t="s">
        <v>75</v>
      </c>
      <c r="G545" s="16"/>
      <c r="H545" s="27">
        <v>298769</v>
      </c>
      <c r="I545" s="26">
        <v>292536</v>
      </c>
      <c r="J545" s="27">
        <v>156806</v>
      </c>
      <c r="K545" s="238">
        <v>150022</v>
      </c>
      <c r="L545" s="27">
        <v>0</v>
      </c>
      <c r="M545" s="238">
        <v>0</v>
      </c>
      <c r="N545" s="27">
        <v>279347</v>
      </c>
      <c r="O545" s="149">
        <v>279501</v>
      </c>
      <c r="P545" s="64">
        <f t="shared" si="109"/>
        <v>734922</v>
      </c>
      <c r="Q545" s="65">
        <f t="shared" si="110"/>
        <v>24497.4</v>
      </c>
      <c r="R545" s="66">
        <f t="shared" si="111"/>
        <v>722059</v>
      </c>
      <c r="S545" s="67">
        <f t="shared" si="112"/>
        <v>24068.633333333335</v>
      </c>
      <c r="T545" s="27">
        <v>66324</v>
      </c>
      <c r="U545" s="109">
        <v>75281</v>
      </c>
      <c r="V545" s="64">
        <f t="shared" si="113"/>
        <v>734922</v>
      </c>
      <c r="W545" s="68">
        <f>IF(ISBLANK(#REF!),0,R545)</f>
        <v>722059</v>
      </c>
      <c r="X545" s="27">
        <v>118359</v>
      </c>
      <c r="Y545" s="150">
        <v>139587</v>
      </c>
      <c r="Z545" s="27">
        <v>77575</v>
      </c>
      <c r="AA545" s="150">
        <v>60448</v>
      </c>
      <c r="AB545" s="27">
        <v>193385</v>
      </c>
      <c r="AC545" s="150">
        <v>166974</v>
      </c>
      <c r="AD545" s="27">
        <v>127573</v>
      </c>
      <c r="AE545" s="150">
        <v>111056</v>
      </c>
      <c r="AF545" s="64">
        <f t="shared" si="115"/>
        <v>516892</v>
      </c>
      <c r="AG545" s="65">
        <f t="shared" si="116"/>
        <v>574.32444444444445</v>
      </c>
      <c r="AH545" s="66">
        <f t="shared" si="127"/>
        <v>478065</v>
      </c>
      <c r="AI545" s="66">
        <f t="shared" si="117"/>
        <v>531.18333333333328</v>
      </c>
      <c r="AJ545" s="27"/>
      <c r="AL545" s="64">
        <f t="shared" si="118"/>
        <v>0</v>
      </c>
      <c r="AM545" s="67">
        <f t="shared" si="126"/>
        <v>478065</v>
      </c>
      <c r="AN545" s="27"/>
      <c r="AO545" s="26"/>
      <c r="AP545" s="27"/>
      <c r="AQ545" s="238"/>
      <c r="AR545" s="27"/>
      <c r="AS545" s="238"/>
      <c r="AT545" s="27"/>
      <c r="AU545" s="238"/>
      <c r="AV545" s="64">
        <f t="shared" si="120"/>
        <v>0</v>
      </c>
      <c r="AW545" s="70">
        <f t="shared" si="121"/>
        <v>0</v>
      </c>
      <c r="AX545" s="66">
        <f t="shared" si="122"/>
        <v>0</v>
      </c>
      <c r="AY545" s="71">
        <f t="shared" si="123"/>
        <v>0</v>
      </c>
      <c r="AZ545" s="72">
        <f t="shared" si="124"/>
        <v>25071.724444444444</v>
      </c>
      <c r="BA545" s="66">
        <f t="shared" si="125"/>
        <v>24599.816666666669</v>
      </c>
    </row>
    <row r="546" spans="1:53" ht="15">
      <c r="A546" s="155" t="s">
        <v>639</v>
      </c>
      <c r="B546" s="19" t="s">
        <v>682</v>
      </c>
      <c r="C546" s="695"/>
      <c r="D546" s="17">
        <v>223427</v>
      </c>
      <c r="E546" s="17">
        <v>8</v>
      </c>
      <c r="F546" s="29" t="s">
        <v>75</v>
      </c>
      <c r="G546" s="16"/>
      <c r="H546" s="27">
        <v>180570</v>
      </c>
      <c r="I546" s="26">
        <v>177804</v>
      </c>
      <c r="J546" s="27">
        <v>36960</v>
      </c>
      <c r="K546" s="150">
        <v>32754</v>
      </c>
      <c r="L546" s="27">
        <v>16697</v>
      </c>
      <c r="M546" s="238">
        <v>16186</v>
      </c>
      <c r="N546" s="27">
        <v>192492</v>
      </c>
      <c r="O546" s="149">
        <v>184355</v>
      </c>
      <c r="P546" s="64">
        <f t="shared" si="109"/>
        <v>426719</v>
      </c>
      <c r="Q546" s="65">
        <f t="shared" si="110"/>
        <v>14223.966666666667</v>
      </c>
      <c r="R546" s="66">
        <f t="shared" si="111"/>
        <v>411099</v>
      </c>
      <c r="S546" s="67">
        <f t="shared" si="112"/>
        <v>13703.3</v>
      </c>
      <c r="T546" s="27">
        <v>14855</v>
      </c>
      <c r="U546" s="109">
        <v>16421</v>
      </c>
      <c r="V546" s="64">
        <f t="shared" si="113"/>
        <v>426719</v>
      </c>
      <c r="W546" s="68">
        <f>IF(ISBLANK(#REF!),0,R546)</f>
        <v>411099</v>
      </c>
      <c r="X546" s="27">
        <v>50604</v>
      </c>
      <c r="Y546" s="150">
        <v>28618</v>
      </c>
      <c r="Z546" s="27">
        <v>46312</v>
      </c>
      <c r="AA546" s="150">
        <v>24810</v>
      </c>
      <c r="AB546" s="27">
        <v>37280</v>
      </c>
      <c r="AC546" s="150">
        <v>23693</v>
      </c>
      <c r="AD546" s="27">
        <v>28340</v>
      </c>
      <c r="AE546" s="150">
        <v>45642</v>
      </c>
      <c r="AF546" s="64">
        <f t="shared" si="115"/>
        <v>162536</v>
      </c>
      <c r="AG546" s="65">
        <f t="shared" si="116"/>
        <v>180.59555555555556</v>
      </c>
      <c r="AH546" s="66">
        <f t="shared" si="127"/>
        <v>122763</v>
      </c>
      <c r="AI546" s="66">
        <f t="shared" si="117"/>
        <v>136.40333333333334</v>
      </c>
      <c r="AJ546" s="27"/>
      <c r="AL546" s="64">
        <f t="shared" si="118"/>
        <v>0</v>
      </c>
      <c r="AM546" s="67">
        <f t="shared" si="126"/>
        <v>122763</v>
      </c>
      <c r="AN546" s="27"/>
      <c r="AO546" s="26"/>
      <c r="AP546" s="27"/>
      <c r="AQ546" s="238"/>
      <c r="AR546" s="27"/>
      <c r="AS546" s="238"/>
      <c r="AT546" s="27"/>
      <c r="AU546" s="238"/>
      <c r="AV546" s="64">
        <f t="shared" si="120"/>
        <v>0</v>
      </c>
      <c r="AW546" s="70">
        <f t="shared" si="121"/>
        <v>0</v>
      </c>
      <c r="AX546" s="66">
        <f t="shared" si="122"/>
        <v>0</v>
      </c>
      <c r="AY546" s="71">
        <f t="shared" si="123"/>
        <v>0</v>
      </c>
      <c r="AZ546" s="72">
        <f t="shared" si="124"/>
        <v>14404.562222222223</v>
      </c>
      <c r="BA546" s="66">
        <f t="shared" si="125"/>
        <v>13839.703333333333</v>
      </c>
    </row>
    <row r="547" spans="1:53" ht="15">
      <c r="A547" s="155" t="s">
        <v>639</v>
      </c>
      <c r="B547" s="244" t="s">
        <v>683</v>
      </c>
      <c r="C547" s="695"/>
      <c r="D547" s="17">
        <v>223524</v>
      </c>
      <c r="E547" s="17">
        <v>8</v>
      </c>
      <c r="F547" s="29" t="s">
        <v>75</v>
      </c>
      <c r="G547" s="16"/>
      <c r="H547" s="27">
        <v>75078</v>
      </c>
      <c r="I547" s="109">
        <v>67181</v>
      </c>
      <c r="J547" s="27">
        <v>48072</v>
      </c>
      <c r="K547" s="150">
        <v>62079</v>
      </c>
      <c r="L547" s="27">
        <v>0</v>
      </c>
      <c r="M547" s="238">
        <v>0</v>
      </c>
      <c r="N547" s="27">
        <v>65049</v>
      </c>
      <c r="O547" s="150">
        <v>57618</v>
      </c>
      <c r="P547" s="64">
        <f t="shared" si="109"/>
        <v>188199</v>
      </c>
      <c r="Q547" s="65">
        <f t="shared" si="110"/>
        <v>6273.3</v>
      </c>
      <c r="R547" s="66">
        <f t="shared" si="111"/>
        <v>186878</v>
      </c>
      <c r="S547" s="67">
        <f t="shared" si="112"/>
        <v>6229.2666666666664</v>
      </c>
      <c r="T547" s="27">
        <v>11358</v>
      </c>
      <c r="U547" s="109">
        <v>13479</v>
      </c>
      <c r="V547" s="64">
        <f t="shared" si="113"/>
        <v>188199</v>
      </c>
      <c r="W547" s="68">
        <f>IF(ISBLANK(#REF!),0,R547)</f>
        <v>186878</v>
      </c>
      <c r="X547" s="27">
        <v>45900</v>
      </c>
      <c r="Y547" s="150">
        <v>60983</v>
      </c>
      <c r="Z547" s="27">
        <v>49887</v>
      </c>
      <c r="AA547" s="150">
        <v>53780</v>
      </c>
      <c r="AB547" s="27">
        <v>61753</v>
      </c>
      <c r="AC547" s="150">
        <v>56660</v>
      </c>
      <c r="AD547" s="27">
        <v>72283</v>
      </c>
      <c r="AE547" s="150">
        <v>67663</v>
      </c>
      <c r="AF547" s="64">
        <f t="shared" si="115"/>
        <v>229823</v>
      </c>
      <c r="AG547" s="65">
        <f t="shared" si="116"/>
        <v>255.35888888888888</v>
      </c>
      <c r="AH547" s="66">
        <f t="shared" si="127"/>
        <v>239086</v>
      </c>
      <c r="AI547" s="66">
        <f t="shared" si="117"/>
        <v>265.65111111111111</v>
      </c>
      <c r="AJ547" s="27"/>
      <c r="AL547" s="64">
        <f t="shared" si="118"/>
        <v>0</v>
      </c>
      <c r="AM547" s="67">
        <f t="shared" si="126"/>
        <v>239086</v>
      </c>
      <c r="AN547" s="27"/>
      <c r="AO547" s="26"/>
      <c r="AP547" s="27"/>
      <c r="AQ547" s="238"/>
      <c r="AR547" s="27"/>
      <c r="AS547" s="238"/>
      <c r="AT547" s="27"/>
      <c r="AU547" s="238"/>
      <c r="AV547" s="64">
        <f t="shared" si="120"/>
        <v>0</v>
      </c>
      <c r="AW547" s="70">
        <f t="shared" si="121"/>
        <v>0</v>
      </c>
      <c r="AX547" s="66">
        <f t="shared" si="122"/>
        <v>0</v>
      </c>
      <c r="AY547" s="71">
        <f t="shared" si="123"/>
        <v>0</v>
      </c>
      <c r="AZ547" s="72">
        <f t="shared" si="124"/>
        <v>6528.6588888888891</v>
      </c>
      <c r="BA547" s="66">
        <f t="shared" si="125"/>
        <v>6494.9177777777777</v>
      </c>
    </row>
    <row r="548" spans="1:53" ht="15">
      <c r="A548" s="155" t="s">
        <v>639</v>
      </c>
      <c r="B548" s="242" t="s">
        <v>684</v>
      </c>
      <c r="C548" s="695"/>
      <c r="D548" s="17">
        <v>223816</v>
      </c>
      <c r="E548" s="17">
        <v>8</v>
      </c>
      <c r="F548" s="29" t="s">
        <v>75</v>
      </c>
      <c r="G548" s="16"/>
      <c r="H548" s="27">
        <v>112824</v>
      </c>
      <c r="I548" s="109">
        <v>102195</v>
      </c>
      <c r="J548" s="27">
        <v>60545</v>
      </c>
      <c r="K548" s="238">
        <v>60299</v>
      </c>
      <c r="L548" s="27">
        <v>7292</v>
      </c>
      <c r="M548" s="150">
        <v>5899</v>
      </c>
      <c r="N548" s="27">
        <v>80869</v>
      </c>
      <c r="O548" s="149">
        <v>77312</v>
      </c>
      <c r="P548" s="64">
        <f t="shared" si="109"/>
        <v>261530</v>
      </c>
      <c r="Q548" s="65">
        <f t="shared" si="110"/>
        <v>8717.6666666666661</v>
      </c>
      <c r="R548" s="66">
        <f t="shared" si="111"/>
        <v>245705</v>
      </c>
      <c r="S548" s="67">
        <f t="shared" si="112"/>
        <v>8190.166666666667</v>
      </c>
      <c r="T548" s="27">
        <v>16164</v>
      </c>
      <c r="U548" s="26">
        <v>16678</v>
      </c>
      <c r="V548" s="64">
        <f t="shared" si="113"/>
        <v>261530</v>
      </c>
      <c r="W548" s="68">
        <f>IF(ISBLANK(#REF!),0,R548)</f>
        <v>245705</v>
      </c>
      <c r="X548" s="27">
        <v>90859</v>
      </c>
      <c r="Y548" s="238">
        <v>87523</v>
      </c>
      <c r="Z548" s="27">
        <v>88222</v>
      </c>
      <c r="AA548" s="238">
        <v>92506</v>
      </c>
      <c r="AB548" s="27">
        <v>100807</v>
      </c>
      <c r="AC548" s="150">
        <v>81615</v>
      </c>
      <c r="AD548" s="27">
        <v>88136</v>
      </c>
      <c r="AE548" s="150">
        <v>80509</v>
      </c>
      <c r="AF548" s="64">
        <f t="shared" si="115"/>
        <v>368024</v>
      </c>
      <c r="AG548" s="65">
        <f t="shared" si="116"/>
        <v>408.91555555555556</v>
      </c>
      <c r="AH548" s="66">
        <f t="shared" si="127"/>
        <v>342153</v>
      </c>
      <c r="AI548" s="66">
        <f t="shared" si="117"/>
        <v>380.17</v>
      </c>
      <c r="AJ548" s="27"/>
      <c r="AL548" s="64">
        <f t="shared" si="118"/>
        <v>0</v>
      </c>
      <c r="AM548" s="67">
        <f t="shared" si="126"/>
        <v>342153</v>
      </c>
      <c r="AN548" s="27"/>
      <c r="AO548" s="26"/>
      <c r="AP548" s="27"/>
      <c r="AQ548" s="238"/>
      <c r="AR548" s="27"/>
      <c r="AS548" s="238"/>
      <c r="AT548" s="27"/>
      <c r="AU548" s="238"/>
      <c r="AV548" s="64">
        <f t="shared" si="120"/>
        <v>0</v>
      </c>
      <c r="AW548" s="70">
        <f t="shared" si="121"/>
        <v>0</v>
      </c>
      <c r="AX548" s="66">
        <f t="shared" si="122"/>
        <v>0</v>
      </c>
      <c r="AY548" s="71">
        <f t="shared" si="123"/>
        <v>0</v>
      </c>
      <c r="AZ548" s="72">
        <f t="shared" si="124"/>
        <v>9126.5822222222214</v>
      </c>
      <c r="BA548" s="66">
        <f t="shared" si="125"/>
        <v>8570.3366666666661</v>
      </c>
    </row>
    <row r="549" spans="1:53" ht="15">
      <c r="A549" s="155" t="s">
        <v>639</v>
      </c>
      <c r="B549" s="242" t="s">
        <v>685</v>
      </c>
      <c r="C549" s="695"/>
      <c r="D549" s="17">
        <v>247834</v>
      </c>
      <c r="E549" s="17">
        <v>8</v>
      </c>
      <c r="F549" s="29" t="s">
        <v>75</v>
      </c>
      <c r="G549" s="16"/>
      <c r="H549" s="27">
        <v>220760</v>
      </c>
      <c r="I549" s="26">
        <v>226408</v>
      </c>
      <c r="J549" s="27">
        <v>62130</v>
      </c>
      <c r="K549" s="238">
        <v>62228</v>
      </c>
      <c r="L549" s="27">
        <v>0</v>
      </c>
      <c r="M549" s="238">
        <v>0</v>
      </c>
      <c r="N549" s="27">
        <v>254521</v>
      </c>
      <c r="O549" s="149">
        <v>262032</v>
      </c>
      <c r="P549" s="64">
        <f t="shared" si="109"/>
        <v>537411</v>
      </c>
      <c r="Q549" s="65">
        <f t="shared" si="110"/>
        <v>17913.7</v>
      </c>
      <c r="R549" s="66">
        <f t="shared" si="111"/>
        <v>550668</v>
      </c>
      <c r="S549" s="67">
        <f t="shared" si="112"/>
        <v>18355.599999999999</v>
      </c>
      <c r="T549" s="27">
        <v>31907</v>
      </c>
      <c r="U549" s="109">
        <v>40227</v>
      </c>
      <c r="V549" s="64">
        <f t="shared" si="113"/>
        <v>537411</v>
      </c>
      <c r="W549" s="68">
        <f>IF(ISBLANK(#REF!),0,R549)</f>
        <v>550668</v>
      </c>
      <c r="X549" s="27">
        <v>156530</v>
      </c>
      <c r="Y549" s="238">
        <v>149736</v>
      </c>
      <c r="Z549" s="27">
        <v>108651</v>
      </c>
      <c r="AA549" s="150">
        <v>143783</v>
      </c>
      <c r="AB549" s="27">
        <v>140827</v>
      </c>
      <c r="AC549" s="238">
        <v>146040</v>
      </c>
      <c r="AD549" s="27">
        <v>226331</v>
      </c>
      <c r="AE549" s="150">
        <v>199155</v>
      </c>
      <c r="AF549" s="64">
        <f t="shared" si="115"/>
        <v>632339</v>
      </c>
      <c r="AG549" s="65">
        <f t="shared" si="116"/>
        <v>702.59888888888884</v>
      </c>
      <c r="AH549" s="66">
        <f t="shared" si="127"/>
        <v>638714</v>
      </c>
      <c r="AI549" s="66">
        <f t="shared" si="117"/>
        <v>709.68222222222221</v>
      </c>
      <c r="AJ549" s="27"/>
      <c r="AL549" s="64">
        <f t="shared" si="118"/>
        <v>0</v>
      </c>
      <c r="AM549" s="67">
        <f t="shared" si="126"/>
        <v>638714</v>
      </c>
      <c r="AN549" s="27"/>
      <c r="AO549" s="26"/>
      <c r="AP549" s="27"/>
      <c r="AQ549" s="238"/>
      <c r="AR549" s="27"/>
      <c r="AS549" s="238"/>
      <c r="AT549" s="27"/>
      <c r="AU549" s="238"/>
      <c r="AV549" s="64">
        <f t="shared" si="120"/>
        <v>0</v>
      </c>
      <c r="AW549" s="70">
        <f t="shared" si="121"/>
        <v>0</v>
      </c>
      <c r="AX549" s="66">
        <f t="shared" si="122"/>
        <v>0</v>
      </c>
      <c r="AY549" s="71">
        <f t="shared" si="123"/>
        <v>0</v>
      </c>
      <c r="AZ549" s="72">
        <f t="shared" si="124"/>
        <v>18616.29888888889</v>
      </c>
      <c r="BA549" s="66">
        <f t="shared" si="125"/>
        <v>19065.28222222222</v>
      </c>
    </row>
    <row r="550" spans="1:53" ht="15">
      <c r="A550" s="155" t="s">
        <v>639</v>
      </c>
      <c r="B550" s="242" t="s">
        <v>686</v>
      </c>
      <c r="C550" s="695"/>
      <c r="D550" s="17">
        <v>224350</v>
      </c>
      <c r="E550" s="17">
        <v>8</v>
      </c>
      <c r="F550" s="29" t="s">
        <v>75</v>
      </c>
      <c r="G550" s="16"/>
      <c r="H550" s="27">
        <v>78898</v>
      </c>
      <c r="I550" s="109">
        <v>83657</v>
      </c>
      <c r="J550" s="27">
        <v>21794</v>
      </c>
      <c r="K550" s="150">
        <v>15828</v>
      </c>
      <c r="L550" s="27">
        <v>8751</v>
      </c>
      <c r="M550" s="150">
        <v>17055</v>
      </c>
      <c r="N550" s="27">
        <v>86258</v>
      </c>
      <c r="O550" s="150">
        <v>92151</v>
      </c>
      <c r="P550" s="64">
        <f t="shared" si="109"/>
        <v>195701</v>
      </c>
      <c r="Q550" s="65">
        <f t="shared" si="110"/>
        <v>6523.3666666666668</v>
      </c>
      <c r="R550" s="66">
        <f t="shared" si="111"/>
        <v>208691</v>
      </c>
      <c r="S550" s="67">
        <f t="shared" si="112"/>
        <v>6956.3666666666668</v>
      </c>
      <c r="T550" s="27">
        <v>22882</v>
      </c>
      <c r="U550" s="109">
        <v>26312</v>
      </c>
      <c r="V550" s="64">
        <f t="shared" si="113"/>
        <v>195701</v>
      </c>
      <c r="W550" s="68">
        <f>IF(ISBLANK(#REF!),0,R550)</f>
        <v>208691</v>
      </c>
      <c r="X550" s="27">
        <v>130032</v>
      </c>
      <c r="Y550" s="150">
        <v>146614</v>
      </c>
      <c r="Z550" s="27">
        <v>89582</v>
      </c>
      <c r="AA550" s="238">
        <v>88805</v>
      </c>
      <c r="AB550" s="27">
        <v>68392</v>
      </c>
      <c r="AC550" s="150">
        <v>90632</v>
      </c>
      <c r="AD550" s="27">
        <v>340330</v>
      </c>
      <c r="AE550" s="150">
        <v>95075</v>
      </c>
      <c r="AF550" s="64">
        <f t="shared" si="115"/>
        <v>628336</v>
      </c>
      <c r="AG550" s="65">
        <f t="shared" si="116"/>
        <v>698.15111111111116</v>
      </c>
      <c r="AH550" s="66">
        <f t="shared" si="127"/>
        <v>421126</v>
      </c>
      <c r="AI550" s="66">
        <f t="shared" si="117"/>
        <v>467.91777777777776</v>
      </c>
      <c r="AJ550" s="27"/>
      <c r="AL550" s="64">
        <f t="shared" si="118"/>
        <v>0</v>
      </c>
      <c r="AM550" s="67">
        <f t="shared" si="126"/>
        <v>421126</v>
      </c>
      <c r="AN550" s="27"/>
      <c r="AO550" s="26"/>
      <c r="AP550" s="27"/>
      <c r="AQ550" s="238"/>
      <c r="AR550" s="27"/>
      <c r="AS550" s="238"/>
      <c r="AT550" s="27"/>
      <c r="AU550" s="238"/>
      <c r="AV550" s="64">
        <f t="shared" si="120"/>
        <v>0</v>
      </c>
      <c r="AW550" s="70">
        <f t="shared" si="121"/>
        <v>0</v>
      </c>
      <c r="AX550" s="66">
        <f t="shared" si="122"/>
        <v>0</v>
      </c>
      <c r="AY550" s="71">
        <f t="shared" si="123"/>
        <v>0</v>
      </c>
      <c r="AZ550" s="72">
        <f t="shared" si="124"/>
        <v>7221.5177777777781</v>
      </c>
      <c r="BA550" s="66">
        <f t="shared" si="125"/>
        <v>7424.2844444444445</v>
      </c>
    </row>
    <row r="551" spans="1:53" ht="15">
      <c r="A551" s="155" t="s">
        <v>639</v>
      </c>
      <c r="B551" s="244" t="s">
        <v>687</v>
      </c>
      <c r="C551" s="695"/>
      <c r="D551" s="17">
        <v>224572</v>
      </c>
      <c r="E551" s="17">
        <v>8</v>
      </c>
      <c r="F551" s="29" t="s">
        <v>75</v>
      </c>
      <c r="G551" s="16"/>
      <c r="H551" s="27">
        <v>104046</v>
      </c>
      <c r="I551" s="26">
        <v>99610</v>
      </c>
      <c r="J551" s="27">
        <v>54829</v>
      </c>
      <c r="K551" s="238">
        <v>56544</v>
      </c>
      <c r="L551" s="27">
        <v>0</v>
      </c>
      <c r="M551" s="238">
        <v>0</v>
      </c>
      <c r="N551" s="27">
        <v>77686</v>
      </c>
      <c r="O551" s="149">
        <v>78718</v>
      </c>
      <c r="P551" s="64">
        <f t="shared" si="109"/>
        <v>236561</v>
      </c>
      <c r="Q551" s="65">
        <f t="shared" si="110"/>
        <v>7885.3666666666668</v>
      </c>
      <c r="R551" s="66">
        <f t="shared" si="111"/>
        <v>234872</v>
      </c>
      <c r="S551" s="67">
        <f t="shared" si="112"/>
        <v>7829.0666666666666</v>
      </c>
      <c r="T551" s="27">
        <v>26052</v>
      </c>
      <c r="U551" s="109">
        <v>31692</v>
      </c>
      <c r="V551" s="64">
        <f t="shared" si="113"/>
        <v>236561</v>
      </c>
      <c r="W551" s="68">
        <f>IF(ISBLANK(#REF!),0,R551)</f>
        <v>234872</v>
      </c>
      <c r="X551" s="27">
        <v>63715</v>
      </c>
      <c r="Y551" s="238">
        <v>64774</v>
      </c>
      <c r="Z551" s="27">
        <v>73818</v>
      </c>
      <c r="AA551" s="150">
        <v>43498</v>
      </c>
      <c r="AB551" s="27">
        <v>77246</v>
      </c>
      <c r="AC551" s="150">
        <v>26294</v>
      </c>
      <c r="AD551" s="27">
        <v>77972</v>
      </c>
      <c r="AE551" s="150">
        <v>50537</v>
      </c>
      <c r="AF551" s="64">
        <f t="shared" si="115"/>
        <v>292751</v>
      </c>
      <c r="AG551" s="65">
        <f t="shared" si="116"/>
        <v>325.2788888888889</v>
      </c>
      <c r="AH551" s="66">
        <f t="shared" si="127"/>
        <v>185103</v>
      </c>
      <c r="AI551" s="66">
        <f t="shared" si="117"/>
        <v>205.67</v>
      </c>
      <c r="AJ551" s="27"/>
      <c r="AL551" s="64">
        <f t="shared" si="118"/>
        <v>0</v>
      </c>
      <c r="AM551" s="67">
        <f t="shared" si="126"/>
        <v>185103</v>
      </c>
      <c r="AN551" s="27"/>
      <c r="AO551" s="26"/>
      <c r="AP551" s="27"/>
      <c r="AQ551" s="238"/>
      <c r="AR551" s="27"/>
      <c r="AS551" s="238"/>
      <c r="AT551" s="27"/>
      <c r="AU551" s="238"/>
      <c r="AV551" s="64">
        <f t="shared" si="120"/>
        <v>0</v>
      </c>
      <c r="AW551" s="70">
        <f t="shared" si="121"/>
        <v>0</v>
      </c>
      <c r="AX551" s="66">
        <f t="shared" si="122"/>
        <v>0</v>
      </c>
      <c r="AY551" s="71">
        <f t="shared" si="123"/>
        <v>0</v>
      </c>
      <c r="AZ551" s="72">
        <f t="shared" si="124"/>
        <v>8210.6455555555549</v>
      </c>
      <c r="BA551" s="66">
        <f t="shared" si="125"/>
        <v>8034.7366666666667</v>
      </c>
    </row>
    <row r="552" spans="1:53" ht="15">
      <c r="A552" s="155" t="s">
        <v>639</v>
      </c>
      <c r="B552" s="245" t="s">
        <v>688</v>
      </c>
      <c r="C552" s="695"/>
      <c r="D552" s="17">
        <v>224615</v>
      </c>
      <c r="E552" s="17">
        <v>8</v>
      </c>
      <c r="F552" s="29" t="s">
        <v>75</v>
      </c>
      <c r="G552" s="16"/>
      <c r="H552" s="27">
        <v>69440</v>
      </c>
      <c r="I552" s="109">
        <v>64671</v>
      </c>
      <c r="J552" s="27">
        <v>26077</v>
      </c>
      <c r="K552" s="238">
        <v>26295</v>
      </c>
      <c r="L552" s="27">
        <v>0</v>
      </c>
      <c r="M552" s="238">
        <v>0</v>
      </c>
      <c r="N552" s="27">
        <v>60371</v>
      </c>
      <c r="O552" s="149">
        <v>61390</v>
      </c>
      <c r="P552" s="64">
        <f t="shared" si="109"/>
        <v>155888</v>
      </c>
      <c r="Q552" s="65">
        <f t="shared" si="110"/>
        <v>5196.2666666666664</v>
      </c>
      <c r="R552" s="66">
        <f t="shared" si="111"/>
        <v>152356</v>
      </c>
      <c r="S552" s="67">
        <f t="shared" si="112"/>
        <v>5078.5333333333338</v>
      </c>
      <c r="T552" s="27">
        <v>15090</v>
      </c>
      <c r="U552" s="109">
        <v>17012</v>
      </c>
      <c r="V552" s="64">
        <f t="shared" si="113"/>
        <v>155888</v>
      </c>
      <c r="W552" s="68">
        <f>IF(ISBLANK(#REF!),0,R552)</f>
        <v>152356</v>
      </c>
      <c r="X552" s="27">
        <v>291136</v>
      </c>
      <c r="Y552" s="150">
        <v>261605</v>
      </c>
      <c r="Z552" s="27">
        <v>329586</v>
      </c>
      <c r="AA552" s="150">
        <v>263112</v>
      </c>
      <c r="AB552" s="27">
        <v>275549</v>
      </c>
      <c r="AC552" s="150">
        <v>196345</v>
      </c>
      <c r="AD552" s="27">
        <v>294081</v>
      </c>
      <c r="AE552" s="150">
        <v>222050</v>
      </c>
      <c r="AF552" s="64">
        <f t="shared" si="115"/>
        <v>1190352</v>
      </c>
      <c r="AG552" s="65">
        <f t="shared" si="116"/>
        <v>1322.6133333333332</v>
      </c>
      <c r="AH552" s="66">
        <f t="shared" si="127"/>
        <v>943112</v>
      </c>
      <c r="AI552" s="66">
        <f t="shared" si="117"/>
        <v>1047.9022222222222</v>
      </c>
      <c r="AJ552" s="27"/>
      <c r="AL552" s="64">
        <f t="shared" si="118"/>
        <v>0</v>
      </c>
      <c r="AM552" s="67">
        <f t="shared" si="126"/>
        <v>943112</v>
      </c>
      <c r="AN552" s="27"/>
      <c r="AO552" s="26"/>
      <c r="AP552" s="27"/>
      <c r="AQ552" s="238"/>
      <c r="AR552" s="27"/>
      <c r="AS552" s="238"/>
      <c r="AT552" s="27"/>
      <c r="AU552" s="238"/>
      <c r="AV552" s="64">
        <f t="shared" si="120"/>
        <v>0</v>
      </c>
      <c r="AW552" s="70">
        <f t="shared" si="121"/>
        <v>0</v>
      </c>
      <c r="AX552" s="66">
        <f t="shared" si="122"/>
        <v>0</v>
      </c>
      <c r="AY552" s="71">
        <f t="shared" si="123"/>
        <v>0</v>
      </c>
      <c r="AZ552" s="72">
        <f t="shared" si="124"/>
        <v>6518.8799999999992</v>
      </c>
      <c r="BA552" s="66">
        <f t="shared" si="125"/>
        <v>6126.4355555555558</v>
      </c>
    </row>
    <row r="553" spans="1:53" ht="15">
      <c r="A553" s="155" t="s">
        <v>639</v>
      </c>
      <c r="B553" s="242" t="s">
        <v>689</v>
      </c>
      <c r="C553" s="695"/>
      <c r="D553" s="17">
        <v>224642</v>
      </c>
      <c r="E553" s="17">
        <v>8</v>
      </c>
      <c r="F553" s="29" t="s">
        <v>75</v>
      </c>
      <c r="G553" s="16"/>
      <c r="H553" s="27">
        <v>223941</v>
      </c>
      <c r="I553" s="26">
        <v>222886</v>
      </c>
      <c r="J553" s="27">
        <v>52906</v>
      </c>
      <c r="K553" s="238">
        <v>54439</v>
      </c>
      <c r="L553" s="27">
        <v>0</v>
      </c>
      <c r="M553" s="238">
        <v>0</v>
      </c>
      <c r="N553" s="27">
        <v>239078</v>
      </c>
      <c r="O553" s="149">
        <v>245915</v>
      </c>
      <c r="P553" s="64">
        <f t="shared" si="109"/>
        <v>515925</v>
      </c>
      <c r="Q553" s="65">
        <f t="shared" si="110"/>
        <v>17197.5</v>
      </c>
      <c r="R553" s="66">
        <f t="shared" si="111"/>
        <v>523240</v>
      </c>
      <c r="S553" s="67">
        <f t="shared" si="112"/>
        <v>17441.333333333332</v>
      </c>
      <c r="T553" s="27">
        <v>74850</v>
      </c>
      <c r="U553" s="109">
        <v>88462</v>
      </c>
      <c r="V553" s="64">
        <f t="shared" si="113"/>
        <v>515925</v>
      </c>
      <c r="W553" s="68">
        <f>IF(ISBLANK(#REF!),0,R553)</f>
        <v>523240</v>
      </c>
      <c r="X553" s="27">
        <v>108159</v>
      </c>
      <c r="Y553" s="150">
        <v>100999</v>
      </c>
      <c r="Z553" s="27">
        <v>103110</v>
      </c>
      <c r="AA553" s="150">
        <v>91633</v>
      </c>
      <c r="AB553" s="27">
        <v>120682</v>
      </c>
      <c r="AC553" s="150">
        <v>93047</v>
      </c>
      <c r="AD553" s="27">
        <v>132866</v>
      </c>
      <c r="AE553" s="150">
        <v>92845</v>
      </c>
      <c r="AF553" s="64">
        <f t="shared" si="115"/>
        <v>464817</v>
      </c>
      <c r="AG553" s="65">
        <f t="shared" si="116"/>
        <v>516.46333333333337</v>
      </c>
      <c r="AH553" s="66">
        <f t="shared" si="127"/>
        <v>378524</v>
      </c>
      <c r="AI553" s="66">
        <f t="shared" si="117"/>
        <v>420.58222222222224</v>
      </c>
      <c r="AJ553" s="27"/>
      <c r="AL553" s="64">
        <f t="shared" si="118"/>
        <v>0</v>
      </c>
      <c r="AM553" s="67">
        <f t="shared" si="126"/>
        <v>378524</v>
      </c>
      <c r="AN553" s="27"/>
      <c r="AO553" s="26"/>
      <c r="AP553" s="27"/>
      <c r="AQ553" s="238"/>
      <c r="AR553" s="27"/>
      <c r="AS553" s="238"/>
      <c r="AT553" s="27"/>
      <c r="AU553" s="238"/>
      <c r="AV553" s="64">
        <f t="shared" si="120"/>
        <v>0</v>
      </c>
      <c r="AW553" s="70">
        <f t="shared" si="121"/>
        <v>0</v>
      </c>
      <c r="AX553" s="66">
        <f t="shared" si="122"/>
        <v>0</v>
      </c>
      <c r="AY553" s="71">
        <f t="shared" si="123"/>
        <v>0</v>
      </c>
      <c r="AZ553" s="72">
        <f t="shared" si="124"/>
        <v>17713.963333333333</v>
      </c>
      <c r="BA553" s="66">
        <f t="shared" si="125"/>
        <v>17861.915555555555</v>
      </c>
    </row>
    <row r="554" spans="1:53" ht="15">
      <c r="A554" s="155" t="s">
        <v>639</v>
      </c>
      <c r="B554" s="242" t="s">
        <v>690</v>
      </c>
      <c r="C554" s="695"/>
      <c r="D554" s="17">
        <v>225423</v>
      </c>
      <c r="E554" s="17">
        <v>8</v>
      </c>
      <c r="F554" s="29" t="s">
        <v>75</v>
      </c>
      <c r="G554" s="16"/>
      <c r="H554" s="27">
        <v>485439</v>
      </c>
      <c r="I554" s="26">
        <v>469016</v>
      </c>
      <c r="J554" s="27">
        <v>274483</v>
      </c>
      <c r="K554" s="238">
        <v>267361</v>
      </c>
      <c r="L554" s="27">
        <v>0</v>
      </c>
      <c r="M554" s="238">
        <v>0</v>
      </c>
      <c r="N554" s="27">
        <v>347588</v>
      </c>
      <c r="O554" s="149">
        <v>342803</v>
      </c>
      <c r="P554" s="64">
        <f t="shared" si="109"/>
        <v>1107510</v>
      </c>
      <c r="Q554" s="65">
        <f t="shared" si="110"/>
        <v>36917</v>
      </c>
      <c r="R554" s="66">
        <f t="shared" si="111"/>
        <v>1079180</v>
      </c>
      <c r="S554" s="67">
        <f t="shared" si="112"/>
        <v>35972.666666666664</v>
      </c>
      <c r="T554" s="27">
        <v>72303</v>
      </c>
      <c r="U554" s="109">
        <v>85997</v>
      </c>
      <c r="V554" s="64">
        <f t="shared" si="113"/>
        <v>1107510</v>
      </c>
      <c r="W554" s="68">
        <f>IF(ISBLANK(#REF!),0,R554)</f>
        <v>1079180</v>
      </c>
      <c r="X554" s="27">
        <v>627990</v>
      </c>
      <c r="Y554" s="150">
        <v>504893</v>
      </c>
      <c r="Z554" s="27">
        <v>486298</v>
      </c>
      <c r="AA554" s="150">
        <v>444821</v>
      </c>
      <c r="AB554" s="27">
        <v>439365</v>
      </c>
      <c r="AC554" s="238">
        <v>446890</v>
      </c>
      <c r="AD554" s="27">
        <v>760044</v>
      </c>
      <c r="AE554" s="150">
        <v>834029</v>
      </c>
      <c r="AF554" s="64">
        <f t="shared" si="115"/>
        <v>2313697</v>
      </c>
      <c r="AG554" s="65">
        <f t="shared" si="116"/>
        <v>2570.7744444444443</v>
      </c>
      <c r="AH554" s="66">
        <f t="shared" si="127"/>
        <v>2230633</v>
      </c>
      <c r="AI554" s="66">
        <f t="shared" si="117"/>
        <v>2478.4811111111112</v>
      </c>
      <c r="AJ554" s="27"/>
      <c r="AL554" s="64">
        <f t="shared" si="118"/>
        <v>0</v>
      </c>
      <c r="AM554" s="67">
        <f t="shared" si="126"/>
        <v>2230633</v>
      </c>
      <c r="AN554" s="27"/>
      <c r="AO554" s="26"/>
      <c r="AP554" s="27"/>
      <c r="AQ554" s="238"/>
      <c r="AR554" s="27"/>
      <c r="AS554" s="238"/>
      <c r="AT554" s="27"/>
      <c r="AU554" s="238"/>
      <c r="AV554" s="64">
        <f t="shared" si="120"/>
        <v>0</v>
      </c>
      <c r="AW554" s="70">
        <f t="shared" si="121"/>
        <v>0</v>
      </c>
      <c r="AX554" s="66">
        <f t="shared" si="122"/>
        <v>0</v>
      </c>
      <c r="AY554" s="71">
        <f t="shared" si="123"/>
        <v>0</v>
      </c>
      <c r="AZ554" s="72">
        <f t="shared" si="124"/>
        <v>39487.774444444447</v>
      </c>
      <c r="BA554" s="66">
        <f t="shared" si="125"/>
        <v>38451.147777777776</v>
      </c>
    </row>
    <row r="555" spans="1:53" ht="15">
      <c r="A555" s="155" t="s">
        <v>639</v>
      </c>
      <c r="B555" s="242" t="s">
        <v>691</v>
      </c>
      <c r="C555" s="695"/>
      <c r="D555" s="17">
        <v>226134</v>
      </c>
      <c r="E555" s="17">
        <v>8</v>
      </c>
      <c r="F555" s="29" t="s">
        <v>75</v>
      </c>
      <c r="G555" s="16"/>
      <c r="H555" s="27">
        <v>65528</v>
      </c>
      <c r="I555" s="26">
        <v>65683</v>
      </c>
      <c r="J555" s="27">
        <v>12366</v>
      </c>
      <c r="K555" s="150">
        <v>13286</v>
      </c>
      <c r="L555" s="27">
        <v>4017</v>
      </c>
      <c r="M555" s="238">
        <v>3974</v>
      </c>
      <c r="N555" s="27">
        <v>68759</v>
      </c>
      <c r="O555" s="149">
        <v>70746</v>
      </c>
      <c r="P555" s="64">
        <f t="shared" si="109"/>
        <v>150670</v>
      </c>
      <c r="Q555" s="65">
        <f t="shared" si="110"/>
        <v>5022.333333333333</v>
      </c>
      <c r="R555" s="66">
        <f t="shared" si="111"/>
        <v>153689</v>
      </c>
      <c r="S555" s="67">
        <f t="shared" si="112"/>
        <v>5122.9666666666662</v>
      </c>
      <c r="T555" s="27">
        <v>9109</v>
      </c>
      <c r="U555" s="109">
        <v>16192</v>
      </c>
      <c r="V555" s="64">
        <f t="shared" si="113"/>
        <v>150670</v>
      </c>
      <c r="W555" s="68">
        <f>IF(ISBLANK(#REF!),0,R555)</f>
        <v>153689</v>
      </c>
      <c r="X555" s="27">
        <v>22645</v>
      </c>
      <c r="Y555" s="150">
        <v>12630</v>
      </c>
      <c r="Z555" s="27">
        <v>27573</v>
      </c>
      <c r="AA555" s="150">
        <v>19048</v>
      </c>
      <c r="AB555" s="27">
        <v>27472</v>
      </c>
      <c r="AC555" s="150">
        <v>15290</v>
      </c>
      <c r="AD555" s="27">
        <v>17610</v>
      </c>
      <c r="AE555" s="150">
        <v>13686</v>
      </c>
      <c r="AF555" s="64">
        <f t="shared" si="115"/>
        <v>95300</v>
      </c>
      <c r="AG555" s="65">
        <f t="shared" si="116"/>
        <v>105.88888888888889</v>
      </c>
      <c r="AH555" s="66">
        <f t="shared" si="127"/>
        <v>60654</v>
      </c>
      <c r="AI555" s="66">
        <f t="shared" si="117"/>
        <v>67.393333333333331</v>
      </c>
      <c r="AJ555" s="27"/>
      <c r="AL555" s="64">
        <f t="shared" si="118"/>
        <v>0</v>
      </c>
      <c r="AM555" s="67">
        <f t="shared" si="126"/>
        <v>60654</v>
      </c>
      <c r="AN555" s="27"/>
      <c r="AO555" s="26"/>
      <c r="AP555" s="27"/>
      <c r="AQ555" s="238"/>
      <c r="AR555" s="27"/>
      <c r="AS555" s="238"/>
      <c r="AT555" s="27"/>
      <c r="AU555" s="238"/>
      <c r="AV555" s="64">
        <f t="shared" si="120"/>
        <v>0</v>
      </c>
      <c r="AW555" s="70">
        <f t="shared" si="121"/>
        <v>0</v>
      </c>
      <c r="AX555" s="66">
        <f t="shared" si="122"/>
        <v>0</v>
      </c>
      <c r="AY555" s="71">
        <f t="shared" si="123"/>
        <v>0</v>
      </c>
      <c r="AZ555" s="72">
        <f t="shared" si="124"/>
        <v>5128.2222222222217</v>
      </c>
      <c r="BA555" s="66">
        <f t="shared" si="125"/>
        <v>5190.3599999999997</v>
      </c>
    </row>
    <row r="556" spans="1:53" ht="15">
      <c r="A556" s="155" t="s">
        <v>639</v>
      </c>
      <c r="B556" s="19" t="s">
        <v>692</v>
      </c>
      <c r="C556" s="695"/>
      <c r="D556" s="17">
        <v>227182</v>
      </c>
      <c r="E556" s="17">
        <v>8</v>
      </c>
      <c r="F556" s="29" t="s">
        <v>75</v>
      </c>
      <c r="G556" s="16"/>
      <c r="H556" s="27">
        <v>526670</v>
      </c>
      <c r="I556" s="26">
        <v>549668</v>
      </c>
      <c r="J556" s="27">
        <v>257257</v>
      </c>
      <c r="K556" s="238">
        <v>256657</v>
      </c>
      <c r="L556" s="27">
        <v>0</v>
      </c>
      <c r="M556" s="238">
        <v>0</v>
      </c>
      <c r="N556" s="27">
        <v>484207</v>
      </c>
      <c r="O556" s="150">
        <v>510195</v>
      </c>
      <c r="P556" s="64">
        <f t="shared" si="109"/>
        <v>1268134</v>
      </c>
      <c r="Q556" s="65">
        <f t="shared" si="110"/>
        <v>42271.133333333331</v>
      </c>
      <c r="R556" s="66">
        <f t="shared" si="111"/>
        <v>1316520</v>
      </c>
      <c r="S556" s="67">
        <f t="shared" si="112"/>
        <v>43884</v>
      </c>
      <c r="T556" s="27">
        <v>113657</v>
      </c>
      <c r="U556" s="109">
        <v>139373</v>
      </c>
      <c r="V556" s="64">
        <f t="shared" si="113"/>
        <v>1268134</v>
      </c>
      <c r="W556" s="68">
        <f>IF(ISBLANK(#REF!),0,R556)</f>
        <v>1316520</v>
      </c>
      <c r="X556" s="27">
        <v>147976</v>
      </c>
      <c r="Y556" s="150">
        <v>136439</v>
      </c>
      <c r="Z556" s="27">
        <v>150855</v>
      </c>
      <c r="AA556" s="150">
        <v>124164</v>
      </c>
      <c r="AB556" s="27">
        <v>116489</v>
      </c>
      <c r="AC556" s="150">
        <v>98567</v>
      </c>
      <c r="AD556" s="27">
        <v>179314</v>
      </c>
      <c r="AE556" s="150">
        <v>158802</v>
      </c>
      <c r="AF556" s="64">
        <f t="shared" si="115"/>
        <v>594634</v>
      </c>
      <c r="AG556" s="65">
        <f t="shared" si="116"/>
        <v>660.70444444444445</v>
      </c>
      <c r="AH556" s="66">
        <f t="shared" si="127"/>
        <v>517972</v>
      </c>
      <c r="AI556" s="66">
        <f t="shared" si="117"/>
        <v>575.5244444444445</v>
      </c>
      <c r="AJ556" s="27"/>
      <c r="AL556" s="64">
        <f t="shared" si="118"/>
        <v>0</v>
      </c>
      <c r="AM556" s="67">
        <f t="shared" si="126"/>
        <v>517972</v>
      </c>
      <c r="AN556" s="27"/>
      <c r="AO556" s="26"/>
      <c r="AP556" s="27"/>
      <c r="AQ556" s="238"/>
      <c r="AR556" s="27"/>
      <c r="AS556" s="238"/>
      <c r="AT556" s="27"/>
      <c r="AU556" s="238"/>
      <c r="AV556" s="64">
        <f t="shared" si="120"/>
        <v>0</v>
      </c>
      <c r="AW556" s="70">
        <f t="shared" si="121"/>
        <v>0</v>
      </c>
      <c r="AX556" s="66">
        <f t="shared" si="122"/>
        <v>0</v>
      </c>
      <c r="AY556" s="71">
        <f t="shared" si="123"/>
        <v>0</v>
      </c>
      <c r="AZ556" s="72">
        <f t="shared" si="124"/>
        <v>42931.837777777779</v>
      </c>
      <c r="BA556" s="66">
        <f t="shared" si="125"/>
        <v>44459.524444444447</v>
      </c>
    </row>
    <row r="557" spans="1:53" ht="15">
      <c r="A557" s="155" t="s">
        <v>639</v>
      </c>
      <c r="B557" s="242" t="s">
        <v>693</v>
      </c>
      <c r="C557" s="695"/>
      <c r="D557" s="17">
        <v>226578</v>
      </c>
      <c r="E557" s="17">
        <v>8</v>
      </c>
      <c r="F557" s="29" t="s">
        <v>75</v>
      </c>
      <c r="G557" s="16"/>
      <c r="H557" s="27">
        <v>73925</v>
      </c>
      <c r="I557" s="26">
        <v>73089</v>
      </c>
      <c r="J557" s="27">
        <v>17671</v>
      </c>
      <c r="K557" s="150">
        <v>18718</v>
      </c>
      <c r="L557" s="27">
        <v>9913</v>
      </c>
      <c r="M557" s="150">
        <v>11648</v>
      </c>
      <c r="N557" s="27">
        <v>75271</v>
      </c>
      <c r="O557" s="149">
        <v>77874</v>
      </c>
      <c r="P557" s="64">
        <f t="shared" si="109"/>
        <v>176780</v>
      </c>
      <c r="Q557" s="65">
        <f t="shared" si="110"/>
        <v>5892.666666666667</v>
      </c>
      <c r="R557" s="66">
        <f t="shared" si="111"/>
        <v>181329</v>
      </c>
      <c r="S557" s="67">
        <f t="shared" si="112"/>
        <v>6044.3</v>
      </c>
      <c r="T557" s="27">
        <v>11567</v>
      </c>
      <c r="U557" s="109">
        <v>14996</v>
      </c>
      <c r="V557" s="64">
        <f t="shared" si="113"/>
        <v>176780</v>
      </c>
      <c r="W557" s="68">
        <f>IF(ISBLANK(#REF!),0,R557)</f>
        <v>181329</v>
      </c>
      <c r="X557" s="27">
        <v>45371</v>
      </c>
      <c r="Y557" s="150">
        <v>41221</v>
      </c>
      <c r="Z557" s="27">
        <v>26415</v>
      </c>
      <c r="AA557" s="150">
        <v>24833</v>
      </c>
      <c r="AB557" s="27">
        <v>54811</v>
      </c>
      <c r="AC557" s="150">
        <v>39013</v>
      </c>
      <c r="AD557" s="27">
        <v>58285</v>
      </c>
      <c r="AE557" s="150">
        <v>14337</v>
      </c>
      <c r="AF557" s="64">
        <f t="shared" si="115"/>
        <v>184882</v>
      </c>
      <c r="AG557" s="65">
        <f t="shared" si="116"/>
        <v>205.42444444444445</v>
      </c>
      <c r="AH557" s="66">
        <f t="shared" si="127"/>
        <v>119404</v>
      </c>
      <c r="AI557" s="66">
        <f t="shared" si="117"/>
        <v>132.67111111111112</v>
      </c>
      <c r="AJ557" s="27"/>
      <c r="AL557" s="64">
        <f t="shared" si="118"/>
        <v>0</v>
      </c>
      <c r="AM557" s="67">
        <f t="shared" si="126"/>
        <v>119404</v>
      </c>
      <c r="AN557" s="27"/>
      <c r="AO557" s="26"/>
      <c r="AP557" s="27"/>
      <c r="AQ557" s="238"/>
      <c r="AR557" s="27"/>
      <c r="AS557" s="238"/>
      <c r="AT557" s="27"/>
      <c r="AU557" s="238"/>
      <c r="AV557" s="64">
        <f t="shared" si="120"/>
        <v>0</v>
      </c>
      <c r="AW557" s="70">
        <f t="shared" si="121"/>
        <v>0</v>
      </c>
      <c r="AX557" s="66">
        <f t="shared" si="122"/>
        <v>0</v>
      </c>
      <c r="AY557" s="71">
        <f t="shared" si="123"/>
        <v>0</v>
      </c>
      <c r="AZ557" s="72">
        <f t="shared" si="124"/>
        <v>6098.0911111111118</v>
      </c>
      <c r="BA557" s="66">
        <f t="shared" si="125"/>
        <v>6176.971111111111</v>
      </c>
    </row>
    <row r="558" spans="1:53" ht="15">
      <c r="A558" s="155" t="s">
        <v>639</v>
      </c>
      <c r="B558" s="242" t="s">
        <v>694</v>
      </c>
      <c r="C558" s="695"/>
      <c r="D558" s="17">
        <v>227146</v>
      </c>
      <c r="E558" s="243">
        <v>8</v>
      </c>
      <c r="F558" s="29" t="s">
        <v>75</v>
      </c>
      <c r="G558" s="16"/>
      <c r="H558" s="27">
        <v>89473</v>
      </c>
      <c r="I558" s="109">
        <v>82746</v>
      </c>
      <c r="J558" s="27">
        <v>20694</v>
      </c>
      <c r="K558" s="150">
        <v>11943</v>
      </c>
      <c r="L558" s="27">
        <v>6298</v>
      </c>
      <c r="M558" s="150">
        <v>11075</v>
      </c>
      <c r="N558" s="27">
        <v>85634</v>
      </c>
      <c r="O558" s="150">
        <v>81199</v>
      </c>
      <c r="P558" s="64">
        <f t="shared" si="109"/>
        <v>202099</v>
      </c>
      <c r="Q558" s="65">
        <f t="shared" si="110"/>
        <v>6736.6333333333332</v>
      </c>
      <c r="R558" s="66">
        <f t="shared" si="111"/>
        <v>186963</v>
      </c>
      <c r="S558" s="67">
        <f t="shared" si="112"/>
        <v>6232.1</v>
      </c>
      <c r="T558" s="27">
        <v>34270</v>
      </c>
      <c r="U558" s="109">
        <v>40642</v>
      </c>
      <c r="V558" s="64">
        <f t="shared" si="113"/>
        <v>202099</v>
      </c>
      <c r="W558" s="68">
        <f>IF(ISBLANK(#REF!),0,R558)</f>
        <v>186963</v>
      </c>
      <c r="X558" s="27">
        <v>38819</v>
      </c>
      <c r="Y558" s="150">
        <v>45704</v>
      </c>
      <c r="Z558" s="27">
        <v>46989</v>
      </c>
      <c r="AA558" s="150">
        <v>35898</v>
      </c>
      <c r="AB558" s="27">
        <v>35110</v>
      </c>
      <c r="AC558" s="150">
        <v>59662</v>
      </c>
      <c r="AD558" s="27">
        <v>58321</v>
      </c>
      <c r="AE558" s="150">
        <v>39076</v>
      </c>
      <c r="AF558" s="64">
        <f t="shared" si="115"/>
        <v>179239</v>
      </c>
      <c r="AG558" s="65">
        <f t="shared" si="116"/>
        <v>199.15444444444444</v>
      </c>
      <c r="AH558" s="66">
        <f t="shared" si="127"/>
        <v>180340</v>
      </c>
      <c r="AI558" s="66">
        <f t="shared" si="117"/>
        <v>200.37777777777777</v>
      </c>
      <c r="AJ558" s="27"/>
      <c r="AL558" s="64">
        <f t="shared" si="118"/>
        <v>0</v>
      </c>
      <c r="AM558" s="67">
        <f t="shared" si="126"/>
        <v>180340</v>
      </c>
      <c r="AN558" s="27"/>
      <c r="AO558" s="26"/>
      <c r="AP558" s="27"/>
      <c r="AQ558" s="238"/>
      <c r="AR558" s="27"/>
      <c r="AS558" s="238"/>
      <c r="AT558" s="27"/>
      <c r="AU558" s="238"/>
      <c r="AV558" s="64">
        <f t="shared" si="120"/>
        <v>0</v>
      </c>
      <c r="AW558" s="70">
        <f t="shared" si="121"/>
        <v>0</v>
      </c>
      <c r="AX558" s="66">
        <f t="shared" si="122"/>
        <v>0</v>
      </c>
      <c r="AY558" s="71">
        <f t="shared" si="123"/>
        <v>0</v>
      </c>
      <c r="AZ558" s="72">
        <f t="shared" si="124"/>
        <v>6935.7877777777776</v>
      </c>
      <c r="BA558" s="66">
        <f t="shared" si="125"/>
        <v>6432.4777777777781</v>
      </c>
    </row>
    <row r="559" spans="1:53" ht="15">
      <c r="A559" s="155" t="s">
        <v>639</v>
      </c>
      <c r="B559" s="246" t="s">
        <v>695</v>
      </c>
      <c r="C559" s="695"/>
      <c r="D559" s="17">
        <v>224110</v>
      </c>
      <c r="E559" s="17">
        <v>8</v>
      </c>
      <c r="F559" s="29" t="s">
        <v>75</v>
      </c>
      <c r="G559" s="16"/>
      <c r="H559" s="27">
        <v>78630</v>
      </c>
      <c r="I559" s="109">
        <v>74094</v>
      </c>
      <c r="J559" s="27">
        <v>24398</v>
      </c>
      <c r="K559" s="238">
        <v>24148</v>
      </c>
      <c r="L559" s="27">
        <v>0</v>
      </c>
      <c r="M559" s="238">
        <v>0</v>
      </c>
      <c r="N559" s="27">
        <v>76457</v>
      </c>
      <c r="O559" s="149">
        <v>73991</v>
      </c>
      <c r="P559" s="64">
        <f t="shared" si="109"/>
        <v>179485</v>
      </c>
      <c r="Q559" s="65">
        <f t="shared" si="110"/>
        <v>5982.833333333333</v>
      </c>
      <c r="R559" s="66">
        <f t="shared" si="111"/>
        <v>172233</v>
      </c>
      <c r="S559" s="67">
        <f t="shared" si="112"/>
        <v>5741.1</v>
      </c>
      <c r="T559" s="27">
        <v>16147</v>
      </c>
      <c r="U559" s="26">
        <v>16352</v>
      </c>
      <c r="V559" s="64">
        <f t="shared" si="113"/>
        <v>179485</v>
      </c>
      <c r="W559" s="68">
        <f>IF(ISBLANK(#REF!),0,R559)</f>
        <v>172233</v>
      </c>
      <c r="X559" s="27">
        <v>17319</v>
      </c>
      <c r="Y559" s="150">
        <v>15819</v>
      </c>
      <c r="Z559" s="27">
        <v>7251</v>
      </c>
      <c r="AA559" s="150">
        <v>8160</v>
      </c>
      <c r="AB559" s="27">
        <v>10154</v>
      </c>
      <c r="AC559" s="150">
        <v>6692</v>
      </c>
      <c r="AD559" s="27">
        <v>19576</v>
      </c>
      <c r="AE559" s="150">
        <v>14637</v>
      </c>
      <c r="AF559" s="64">
        <f t="shared" si="115"/>
        <v>54300</v>
      </c>
      <c r="AG559" s="65">
        <f t="shared" si="116"/>
        <v>60.333333333333336</v>
      </c>
      <c r="AH559" s="66">
        <f t="shared" si="127"/>
        <v>45308</v>
      </c>
      <c r="AI559" s="66">
        <f t="shared" si="117"/>
        <v>50.342222222222219</v>
      </c>
      <c r="AJ559" s="27"/>
      <c r="AL559" s="64">
        <f t="shared" si="118"/>
        <v>0</v>
      </c>
      <c r="AM559" s="67">
        <f t="shared" si="126"/>
        <v>45308</v>
      </c>
      <c r="AN559" s="27"/>
      <c r="AO559" s="26"/>
      <c r="AP559" s="27"/>
      <c r="AQ559" s="238"/>
      <c r="AR559" s="27"/>
      <c r="AS559" s="238"/>
      <c r="AT559" s="27"/>
      <c r="AU559" s="238"/>
      <c r="AV559" s="64">
        <f t="shared" si="120"/>
        <v>0</v>
      </c>
      <c r="AW559" s="70">
        <f t="shared" si="121"/>
        <v>0</v>
      </c>
      <c r="AX559" s="66">
        <f t="shared" si="122"/>
        <v>0</v>
      </c>
      <c r="AY559" s="71">
        <f t="shared" si="123"/>
        <v>0</v>
      </c>
      <c r="AZ559" s="72">
        <f t="shared" si="124"/>
        <v>6043.1666666666661</v>
      </c>
      <c r="BA559" s="66">
        <f t="shared" si="125"/>
        <v>5791.4422222222229</v>
      </c>
    </row>
    <row r="560" spans="1:53" ht="15">
      <c r="A560" s="155" t="s">
        <v>639</v>
      </c>
      <c r="B560" s="244" t="s">
        <v>696</v>
      </c>
      <c r="C560" s="695"/>
      <c r="D560" s="17">
        <v>227191</v>
      </c>
      <c r="E560" s="17">
        <v>8</v>
      </c>
      <c r="F560" s="29" t="s">
        <v>75</v>
      </c>
      <c r="G560" s="16"/>
      <c r="H560" s="27">
        <v>68132</v>
      </c>
      <c r="I560" s="26">
        <v>71488</v>
      </c>
      <c r="J560" s="27">
        <v>42220</v>
      </c>
      <c r="K560" s="238">
        <v>43895</v>
      </c>
      <c r="L560" s="27">
        <v>0</v>
      </c>
      <c r="M560" s="238">
        <v>0</v>
      </c>
      <c r="N560" s="27">
        <v>57340</v>
      </c>
      <c r="O560" s="150">
        <v>50856</v>
      </c>
      <c r="P560" s="64">
        <f t="shared" si="109"/>
        <v>167692</v>
      </c>
      <c r="Q560" s="65">
        <f t="shared" si="110"/>
        <v>5589.7333333333336</v>
      </c>
      <c r="R560" s="66">
        <f t="shared" si="111"/>
        <v>166239</v>
      </c>
      <c r="S560" s="67">
        <f t="shared" si="112"/>
        <v>5541.3</v>
      </c>
      <c r="T560" s="27">
        <v>9762</v>
      </c>
      <c r="U560" s="109">
        <v>11028</v>
      </c>
      <c r="V560" s="64">
        <f t="shared" si="113"/>
        <v>167692</v>
      </c>
      <c r="W560" s="68">
        <f>IF(ISBLANK(#REF!),0,R560)</f>
        <v>166239</v>
      </c>
      <c r="X560" s="27">
        <v>133503</v>
      </c>
      <c r="Y560" s="150">
        <v>183717</v>
      </c>
      <c r="Z560" s="27">
        <v>132114</v>
      </c>
      <c r="AA560" s="150">
        <v>110245</v>
      </c>
      <c r="AB560" s="27">
        <v>103195</v>
      </c>
      <c r="AC560" s="150">
        <v>91881</v>
      </c>
      <c r="AD560" s="27">
        <v>216893</v>
      </c>
      <c r="AE560" s="150">
        <v>196523</v>
      </c>
      <c r="AF560" s="64">
        <f t="shared" si="115"/>
        <v>585705</v>
      </c>
      <c r="AG560" s="65">
        <f t="shared" si="116"/>
        <v>650.7833333333333</v>
      </c>
      <c r="AH560" s="66">
        <f t="shared" si="127"/>
        <v>582366</v>
      </c>
      <c r="AI560" s="66">
        <f t="shared" si="117"/>
        <v>647.07333333333338</v>
      </c>
      <c r="AJ560" s="27"/>
      <c r="AL560" s="64">
        <f t="shared" si="118"/>
        <v>0</v>
      </c>
      <c r="AM560" s="67">
        <f t="shared" si="126"/>
        <v>582366</v>
      </c>
      <c r="AN560" s="27"/>
      <c r="AO560" s="26"/>
      <c r="AP560" s="27"/>
      <c r="AQ560" s="238"/>
      <c r="AR560" s="27"/>
      <c r="AS560" s="238"/>
      <c r="AT560" s="27"/>
      <c r="AU560" s="238"/>
      <c r="AV560" s="64">
        <f t="shared" si="120"/>
        <v>0</v>
      </c>
      <c r="AW560" s="70">
        <f t="shared" si="121"/>
        <v>0</v>
      </c>
      <c r="AX560" s="66">
        <f t="shared" si="122"/>
        <v>0</v>
      </c>
      <c r="AY560" s="71">
        <f t="shared" si="123"/>
        <v>0</v>
      </c>
      <c r="AZ560" s="72">
        <f t="shared" si="124"/>
        <v>6240.5166666666664</v>
      </c>
      <c r="BA560" s="66">
        <f t="shared" si="125"/>
        <v>6188.3733333333339</v>
      </c>
    </row>
    <row r="561" spans="1:53" ht="15">
      <c r="A561" s="155" t="s">
        <v>639</v>
      </c>
      <c r="B561" s="247" t="s">
        <v>697</v>
      </c>
      <c r="C561" s="695"/>
      <c r="D561" s="17">
        <v>420398</v>
      </c>
      <c r="E561" s="17">
        <v>8</v>
      </c>
      <c r="F561" s="29" t="s">
        <v>75</v>
      </c>
      <c r="G561" s="16"/>
      <c r="H561" s="27">
        <v>121549</v>
      </c>
      <c r="I561" s="26">
        <v>125855</v>
      </c>
      <c r="J561" s="27">
        <v>42171</v>
      </c>
      <c r="K561" s="238">
        <v>42743</v>
      </c>
      <c r="L561" s="27">
        <v>0</v>
      </c>
      <c r="M561" s="238">
        <v>0</v>
      </c>
      <c r="N561" s="27">
        <v>126459</v>
      </c>
      <c r="O561" s="149">
        <v>126786</v>
      </c>
      <c r="P561" s="64">
        <f t="shared" si="109"/>
        <v>290179</v>
      </c>
      <c r="Q561" s="65">
        <f t="shared" si="110"/>
        <v>9672.6333333333332</v>
      </c>
      <c r="R561" s="66">
        <f t="shared" si="111"/>
        <v>295384</v>
      </c>
      <c r="S561" s="67">
        <f t="shared" si="112"/>
        <v>9846.1333333333332</v>
      </c>
      <c r="T561" s="27">
        <v>29434</v>
      </c>
      <c r="U561" s="109">
        <v>32457</v>
      </c>
      <c r="V561" s="64">
        <f t="shared" si="113"/>
        <v>290179</v>
      </c>
      <c r="W561" s="68">
        <f>IF(ISBLANK(#REF!),0,R561)</f>
        <v>295384</v>
      </c>
      <c r="X561" s="27">
        <v>13052</v>
      </c>
      <c r="Y561" s="150">
        <v>9992</v>
      </c>
      <c r="Z561" s="27">
        <v>22794</v>
      </c>
      <c r="AA561" s="150">
        <v>15418</v>
      </c>
      <c r="AB561" s="27">
        <v>22328</v>
      </c>
      <c r="AC561" s="150">
        <v>7516</v>
      </c>
      <c r="AD561" s="27">
        <v>16037</v>
      </c>
      <c r="AE561" s="150">
        <v>23524</v>
      </c>
      <c r="AF561" s="64">
        <f t="shared" si="115"/>
        <v>74211</v>
      </c>
      <c r="AG561" s="65">
        <f t="shared" si="116"/>
        <v>82.456666666666663</v>
      </c>
      <c r="AH561" s="66">
        <f t="shared" si="127"/>
        <v>56450</v>
      </c>
      <c r="AI561" s="66">
        <f t="shared" si="117"/>
        <v>62.722222222222221</v>
      </c>
      <c r="AJ561" s="27"/>
      <c r="AL561" s="64">
        <f t="shared" si="118"/>
        <v>0</v>
      </c>
      <c r="AM561" s="67">
        <f t="shared" si="126"/>
        <v>56450</v>
      </c>
      <c r="AN561" s="27"/>
      <c r="AO561" s="26"/>
      <c r="AP561" s="27"/>
      <c r="AQ561" s="238"/>
      <c r="AR561" s="27"/>
      <c r="AS561" s="238"/>
      <c r="AT561" s="27"/>
      <c r="AU561" s="238"/>
      <c r="AV561" s="64">
        <f t="shared" si="120"/>
        <v>0</v>
      </c>
      <c r="AW561" s="70">
        <f t="shared" si="121"/>
        <v>0</v>
      </c>
      <c r="AX561" s="66">
        <f t="shared" si="122"/>
        <v>0</v>
      </c>
      <c r="AY561" s="71">
        <f t="shared" si="123"/>
        <v>0</v>
      </c>
      <c r="AZ561" s="72">
        <f t="shared" si="124"/>
        <v>9755.09</v>
      </c>
      <c r="BA561" s="66">
        <f t="shared" si="125"/>
        <v>9908.8555555555558</v>
      </c>
    </row>
    <row r="562" spans="1:53" ht="15">
      <c r="A562" s="155" t="s">
        <v>639</v>
      </c>
      <c r="B562" s="244" t="s">
        <v>698</v>
      </c>
      <c r="C562" s="695"/>
      <c r="D562" s="17">
        <v>246354</v>
      </c>
      <c r="E562" s="17">
        <v>8</v>
      </c>
      <c r="F562" s="29" t="s">
        <v>75</v>
      </c>
      <c r="G562" s="16"/>
      <c r="H562" s="27">
        <v>62146</v>
      </c>
      <c r="I562" s="109">
        <v>67037</v>
      </c>
      <c r="J562" s="27">
        <v>27960</v>
      </c>
      <c r="K562" s="238">
        <v>28571</v>
      </c>
      <c r="L562" s="27">
        <v>0</v>
      </c>
      <c r="M562" s="238">
        <v>0</v>
      </c>
      <c r="N562" s="27">
        <v>56708</v>
      </c>
      <c r="O562" s="150">
        <v>62320</v>
      </c>
      <c r="P562" s="64">
        <f t="shared" si="109"/>
        <v>146814</v>
      </c>
      <c r="Q562" s="65">
        <f t="shared" si="110"/>
        <v>4893.8</v>
      </c>
      <c r="R562" s="66">
        <f t="shared" si="111"/>
        <v>157928</v>
      </c>
      <c r="S562" s="67">
        <f t="shared" si="112"/>
        <v>5264.2666666666664</v>
      </c>
      <c r="T562" s="27">
        <v>15970</v>
      </c>
      <c r="U562" s="109">
        <v>25256</v>
      </c>
      <c r="V562" s="64">
        <f t="shared" si="113"/>
        <v>146814</v>
      </c>
      <c r="W562" s="68">
        <f>IF(ISBLANK(#REF!),0,R562)</f>
        <v>157928</v>
      </c>
      <c r="X562" s="27">
        <v>8340</v>
      </c>
      <c r="Y562" s="150">
        <v>10928</v>
      </c>
      <c r="Z562" s="27">
        <v>9478</v>
      </c>
      <c r="AA562" s="150">
        <v>3984</v>
      </c>
      <c r="AB562" s="27">
        <v>2832</v>
      </c>
      <c r="AC562" s="150">
        <v>8008</v>
      </c>
      <c r="AD562" s="27">
        <v>16524</v>
      </c>
      <c r="AE562" s="150">
        <v>33427</v>
      </c>
      <c r="AF562" s="64">
        <f t="shared" si="115"/>
        <v>37174</v>
      </c>
      <c r="AG562" s="65">
        <f t="shared" si="116"/>
        <v>41.304444444444442</v>
      </c>
      <c r="AH562" s="66">
        <f t="shared" si="127"/>
        <v>56347</v>
      </c>
      <c r="AI562" s="66">
        <f t="shared" si="117"/>
        <v>62.607777777777777</v>
      </c>
      <c r="AJ562" s="27"/>
      <c r="AL562" s="64">
        <f t="shared" si="118"/>
        <v>0</v>
      </c>
      <c r="AM562" s="67">
        <f t="shared" si="126"/>
        <v>56347</v>
      </c>
      <c r="AN562" s="27"/>
      <c r="AO562" s="26"/>
      <c r="AP562" s="27"/>
      <c r="AQ562" s="238"/>
      <c r="AR562" s="27"/>
      <c r="AS562" s="238"/>
      <c r="AT562" s="27"/>
      <c r="AU562" s="238"/>
      <c r="AV562" s="64">
        <f t="shared" si="120"/>
        <v>0</v>
      </c>
      <c r="AW562" s="70">
        <f t="shared" si="121"/>
        <v>0</v>
      </c>
      <c r="AX562" s="66">
        <f t="shared" si="122"/>
        <v>0</v>
      </c>
      <c r="AY562" s="71">
        <f t="shared" si="123"/>
        <v>0</v>
      </c>
      <c r="AZ562" s="72">
        <f t="shared" si="124"/>
        <v>4935.1044444444442</v>
      </c>
      <c r="BA562" s="66">
        <f t="shared" si="125"/>
        <v>5326.8744444444446</v>
      </c>
    </row>
    <row r="563" spans="1:53" ht="15">
      <c r="A563" s="155" t="s">
        <v>639</v>
      </c>
      <c r="B563" s="244" t="s">
        <v>699</v>
      </c>
      <c r="C563" s="695"/>
      <c r="D563" s="17">
        <v>227766</v>
      </c>
      <c r="E563" s="17">
        <v>8</v>
      </c>
      <c r="F563" s="29" t="s">
        <v>75</v>
      </c>
      <c r="G563" s="16"/>
      <c r="H563" s="27">
        <v>135377</v>
      </c>
      <c r="I563" s="26">
        <v>132588</v>
      </c>
      <c r="J563" s="27">
        <v>74807</v>
      </c>
      <c r="K563" s="238">
        <v>77046</v>
      </c>
      <c r="L563" s="27">
        <v>0</v>
      </c>
      <c r="M563" s="238">
        <v>0</v>
      </c>
      <c r="N563" s="27">
        <v>112141</v>
      </c>
      <c r="O563" s="149">
        <v>112674</v>
      </c>
      <c r="P563" s="64">
        <f t="shared" si="109"/>
        <v>322325</v>
      </c>
      <c r="Q563" s="65">
        <f t="shared" si="110"/>
        <v>10744.166666666666</v>
      </c>
      <c r="R563" s="66">
        <f t="shared" si="111"/>
        <v>322308</v>
      </c>
      <c r="S563" s="67">
        <f t="shared" si="112"/>
        <v>10743.6</v>
      </c>
      <c r="T563" s="27">
        <v>37140</v>
      </c>
      <c r="U563" s="109">
        <v>42710</v>
      </c>
      <c r="V563" s="64">
        <f t="shared" si="113"/>
        <v>322325</v>
      </c>
      <c r="W563" s="68">
        <f>IF(ISBLANK(#REF!),0,R563)</f>
        <v>322308</v>
      </c>
      <c r="X563" s="27">
        <v>133327</v>
      </c>
      <c r="Y563" s="238">
        <v>133258</v>
      </c>
      <c r="Z563" s="27">
        <v>158354</v>
      </c>
      <c r="AA563" s="150">
        <v>149364</v>
      </c>
      <c r="AB563" s="27">
        <v>150596</v>
      </c>
      <c r="AC563" s="150">
        <v>112463</v>
      </c>
      <c r="AD563" s="27">
        <v>196736</v>
      </c>
      <c r="AE563" s="150">
        <v>146651</v>
      </c>
      <c r="AF563" s="64">
        <f t="shared" si="115"/>
        <v>639013</v>
      </c>
      <c r="AG563" s="65">
        <f t="shared" si="116"/>
        <v>710.01444444444439</v>
      </c>
      <c r="AH563" s="66">
        <f t="shared" si="127"/>
        <v>541736</v>
      </c>
      <c r="AI563" s="66">
        <f t="shared" si="117"/>
        <v>601.92888888888888</v>
      </c>
      <c r="AJ563" s="27"/>
      <c r="AL563" s="64">
        <f t="shared" si="118"/>
        <v>0</v>
      </c>
      <c r="AM563" s="67">
        <f t="shared" si="126"/>
        <v>541736</v>
      </c>
      <c r="AN563" s="27"/>
      <c r="AO563" s="26"/>
      <c r="AP563" s="27"/>
      <c r="AQ563" s="238"/>
      <c r="AR563" s="27"/>
      <c r="AS563" s="238"/>
      <c r="AT563" s="27"/>
      <c r="AU563" s="238"/>
      <c r="AV563" s="64">
        <f t="shared" si="120"/>
        <v>0</v>
      </c>
      <c r="AW563" s="70">
        <f t="shared" si="121"/>
        <v>0</v>
      </c>
      <c r="AX563" s="66">
        <f t="shared" si="122"/>
        <v>0</v>
      </c>
      <c r="AY563" s="71">
        <f t="shared" si="123"/>
        <v>0</v>
      </c>
      <c r="AZ563" s="72">
        <f t="shared" si="124"/>
        <v>11454.181111111111</v>
      </c>
      <c r="BA563" s="66">
        <f t="shared" si="125"/>
        <v>11345.52888888889</v>
      </c>
    </row>
    <row r="564" spans="1:53" ht="15">
      <c r="A564" s="155" t="s">
        <v>639</v>
      </c>
      <c r="B564" s="247" t="s">
        <v>700</v>
      </c>
      <c r="C564" s="695"/>
      <c r="D564" s="17">
        <v>227924</v>
      </c>
      <c r="E564" s="17">
        <v>8</v>
      </c>
      <c r="F564" s="29" t="s">
        <v>75</v>
      </c>
      <c r="G564" s="16"/>
      <c r="H564" s="27">
        <v>167140</v>
      </c>
      <c r="I564" s="109">
        <v>158683</v>
      </c>
      <c r="J564" s="27">
        <v>64441</v>
      </c>
      <c r="K564" s="150">
        <v>59038</v>
      </c>
      <c r="L564" s="27">
        <v>0</v>
      </c>
      <c r="M564" s="238">
        <v>0</v>
      </c>
      <c r="N564" s="27">
        <v>136780</v>
      </c>
      <c r="O564" s="149">
        <v>130335</v>
      </c>
      <c r="P564" s="64">
        <f t="shared" si="109"/>
        <v>368361</v>
      </c>
      <c r="Q564" s="65">
        <f t="shared" si="110"/>
        <v>12278.7</v>
      </c>
      <c r="R564" s="66">
        <f t="shared" si="111"/>
        <v>348056</v>
      </c>
      <c r="S564" s="67">
        <f t="shared" si="112"/>
        <v>11601.866666666667</v>
      </c>
      <c r="T564" s="27">
        <v>29763</v>
      </c>
      <c r="U564" s="26">
        <v>31072</v>
      </c>
      <c r="V564" s="64">
        <f t="shared" si="113"/>
        <v>368361</v>
      </c>
      <c r="W564" s="68">
        <f>IF(ISBLANK(#REF!),0,R564)</f>
        <v>348056</v>
      </c>
      <c r="X564" s="27">
        <v>64687</v>
      </c>
      <c r="Y564" s="150">
        <v>46480</v>
      </c>
      <c r="Z564" s="27">
        <v>58639</v>
      </c>
      <c r="AA564" s="150">
        <v>42512</v>
      </c>
      <c r="AB564" s="27">
        <v>55450</v>
      </c>
      <c r="AC564" s="150">
        <v>41347</v>
      </c>
      <c r="AD564" s="27">
        <v>48012</v>
      </c>
      <c r="AE564" s="150">
        <v>36236</v>
      </c>
      <c r="AF564" s="64">
        <f t="shared" si="115"/>
        <v>226788</v>
      </c>
      <c r="AG564" s="65">
        <f t="shared" si="116"/>
        <v>251.98666666666668</v>
      </c>
      <c r="AH564" s="66">
        <f t="shared" si="127"/>
        <v>166575</v>
      </c>
      <c r="AI564" s="66">
        <f t="shared" si="117"/>
        <v>185.08333333333334</v>
      </c>
      <c r="AJ564" s="27"/>
      <c r="AL564" s="64">
        <f t="shared" si="118"/>
        <v>0</v>
      </c>
      <c r="AM564" s="67">
        <f t="shared" si="126"/>
        <v>166575</v>
      </c>
      <c r="AN564" s="27"/>
      <c r="AO564" s="26"/>
      <c r="AP564" s="27"/>
      <c r="AQ564" s="238"/>
      <c r="AR564" s="27"/>
      <c r="AS564" s="238"/>
      <c r="AT564" s="27"/>
      <c r="AU564" s="238"/>
      <c r="AV564" s="64">
        <f t="shared" si="120"/>
        <v>0</v>
      </c>
      <c r="AW564" s="70">
        <f t="shared" si="121"/>
        <v>0</v>
      </c>
      <c r="AX564" s="66">
        <f t="shared" si="122"/>
        <v>0</v>
      </c>
      <c r="AY564" s="71">
        <f t="shared" si="123"/>
        <v>0</v>
      </c>
      <c r="AZ564" s="72">
        <f t="shared" si="124"/>
        <v>12530.686666666668</v>
      </c>
      <c r="BA564" s="66">
        <f t="shared" si="125"/>
        <v>11786.95</v>
      </c>
    </row>
    <row r="565" spans="1:53" ht="15">
      <c r="A565" s="20" t="s">
        <v>639</v>
      </c>
      <c r="B565" s="242" t="s">
        <v>701</v>
      </c>
      <c r="C565" s="695"/>
      <c r="D565" s="17">
        <v>227979</v>
      </c>
      <c r="E565" s="17">
        <v>8</v>
      </c>
      <c r="F565" s="29" t="s">
        <v>75</v>
      </c>
      <c r="G565" s="16"/>
      <c r="H565" s="27">
        <v>232986</v>
      </c>
      <c r="I565" s="26">
        <v>244034</v>
      </c>
      <c r="J565" s="27">
        <v>107137</v>
      </c>
      <c r="K565" s="150">
        <v>113468</v>
      </c>
      <c r="L565" s="27">
        <v>0</v>
      </c>
      <c r="M565" s="238">
        <v>0</v>
      </c>
      <c r="N565" s="27">
        <v>219630</v>
      </c>
      <c r="O565" s="149">
        <v>223626</v>
      </c>
      <c r="P565" s="64">
        <f t="shared" si="109"/>
        <v>559753</v>
      </c>
      <c r="Q565" s="65">
        <f t="shared" si="110"/>
        <v>18658.433333333334</v>
      </c>
      <c r="R565" s="66">
        <f t="shared" si="111"/>
        <v>581128</v>
      </c>
      <c r="S565" s="67">
        <f t="shared" si="112"/>
        <v>19370.933333333334</v>
      </c>
      <c r="T565" s="27">
        <v>39056</v>
      </c>
      <c r="U565" s="109">
        <v>43986</v>
      </c>
      <c r="V565" s="64">
        <f t="shared" si="113"/>
        <v>559753</v>
      </c>
      <c r="W565" s="68">
        <f>IF(ISBLANK(#REF!),0,R565)</f>
        <v>581128</v>
      </c>
      <c r="X565" s="27">
        <v>100816</v>
      </c>
      <c r="Y565" s="238">
        <v>103573</v>
      </c>
      <c r="Z565" s="27">
        <v>68733</v>
      </c>
      <c r="AA565" s="150">
        <v>50388</v>
      </c>
      <c r="AB565" s="27">
        <v>114969</v>
      </c>
      <c r="AC565" s="238">
        <v>117529</v>
      </c>
      <c r="AD565" s="27">
        <v>101482</v>
      </c>
      <c r="AE565" s="238">
        <v>100059</v>
      </c>
      <c r="AF565" s="64">
        <f t="shared" si="115"/>
        <v>386000</v>
      </c>
      <c r="AG565" s="65">
        <f t="shared" si="116"/>
        <v>428.88888888888891</v>
      </c>
      <c r="AH565" s="66">
        <f t="shared" si="127"/>
        <v>371549</v>
      </c>
      <c r="AI565" s="66">
        <f t="shared" si="117"/>
        <v>412.83222222222224</v>
      </c>
      <c r="AJ565" s="27"/>
      <c r="AL565" s="64">
        <f t="shared" si="118"/>
        <v>0</v>
      </c>
      <c r="AM565" s="67">
        <f t="shared" si="126"/>
        <v>371549</v>
      </c>
      <c r="AN565" s="27"/>
      <c r="AO565" s="26"/>
      <c r="AP565" s="27"/>
      <c r="AQ565" s="238"/>
      <c r="AR565" s="27"/>
      <c r="AS565" s="238"/>
      <c r="AT565" s="27"/>
      <c r="AU565" s="238"/>
      <c r="AV565" s="64">
        <f t="shared" si="120"/>
        <v>0</v>
      </c>
      <c r="AW565" s="70">
        <f t="shared" si="121"/>
        <v>0</v>
      </c>
      <c r="AX565" s="66">
        <f t="shared" si="122"/>
        <v>0</v>
      </c>
      <c r="AY565" s="71">
        <f t="shared" si="123"/>
        <v>0</v>
      </c>
      <c r="AZ565" s="72">
        <f t="shared" si="124"/>
        <v>19087.322222222225</v>
      </c>
      <c r="BA565" s="66">
        <f t="shared" si="125"/>
        <v>19783.765555555558</v>
      </c>
    </row>
    <row r="566" spans="1:53" ht="15">
      <c r="A566" s="20" t="s">
        <v>639</v>
      </c>
      <c r="B566" s="242" t="s">
        <v>702</v>
      </c>
      <c r="C566" s="695"/>
      <c r="D566" s="17">
        <v>228158</v>
      </c>
      <c r="E566" s="17">
        <v>8</v>
      </c>
      <c r="F566" s="29" t="s">
        <v>75</v>
      </c>
      <c r="G566" s="16"/>
      <c r="H566" s="27">
        <v>86540</v>
      </c>
      <c r="I566" s="26">
        <v>83698</v>
      </c>
      <c r="J566" s="27">
        <v>13479</v>
      </c>
      <c r="K566" s="150">
        <v>12593</v>
      </c>
      <c r="L566" s="27">
        <v>6696</v>
      </c>
      <c r="M566" s="238">
        <v>6449</v>
      </c>
      <c r="N566" s="27">
        <v>90191</v>
      </c>
      <c r="O566" s="149">
        <v>90200</v>
      </c>
      <c r="P566" s="64">
        <f t="shared" si="109"/>
        <v>196906</v>
      </c>
      <c r="Q566" s="65">
        <f t="shared" si="110"/>
        <v>6563.5333333333338</v>
      </c>
      <c r="R566" s="66">
        <f t="shared" si="111"/>
        <v>192940</v>
      </c>
      <c r="S566" s="67">
        <f t="shared" si="112"/>
        <v>6431.333333333333</v>
      </c>
      <c r="T566" s="27">
        <v>16574</v>
      </c>
      <c r="U566" s="109">
        <v>15292</v>
      </c>
      <c r="V566" s="64">
        <f t="shared" si="113"/>
        <v>196906</v>
      </c>
      <c r="W566" s="68">
        <f>IF(ISBLANK(#REF!),0,R566)</f>
        <v>192940</v>
      </c>
      <c r="X566" s="27">
        <v>54026</v>
      </c>
      <c r="Y566" s="150">
        <v>58562</v>
      </c>
      <c r="Z566" s="27">
        <v>62626</v>
      </c>
      <c r="AA566" s="150">
        <v>54341</v>
      </c>
      <c r="AB566" s="27">
        <v>54780</v>
      </c>
      <c r="AC566" s="150">
        <v>29924</v>
      </c>
      <c r="AD566" s="27">
        <v>71749</v>
      </c>
      <c r="AE566" s="150">
        <v>44754</v>
      </c>
      <c r="AF566" s="64">
        <f t="shared" si="115"/>
        <v>243181</v>
      </c>
      <c r="AG566" s="65">
        <f t="shared" si="116"/>
        <v>270.20111111111112</v>
      </c>
      <c r="AH566" s="66">
        <f t="shared" si="127"/>
        <v>187581</v>
      </c>
      <c r="AI566" s="66">
        <f t="shared" si="117"/>
        <v>208.42333333333335</v>
      </c>
      <c r="AJ566" s="27"/>
      <c r="AL566" s="64">
        <f t="shared" si="118"/>
        <v>0</v>
      </c>
      <c r="AM566" s="67">
        <f t="shared" si="126"/>
        <v>187581</v>
      </c>
      <c r="AN566" s="27"/>
      <c r="AO566" s="26"/>
      <c r="AP566" s="27"/>
      <c r="AQ566" s="238"/>
      <c r="AR566" s="27"/>
      <c r="AS566" s="238"/>
      <c r="AT566" s="27"/>
      <c r="AU566" s="238"/>
      <c r="AV566" s="64">
        <f t="shared" si="120"/>
        <v>0</v>
      </c>
      <c r="AW566" s="70">
        <f t="shared" si="121"/>
        <v>0</v>
      </c>
      <c r="AX566" s="66">
        <f t="shared" si="122"/>
        <v>0</v>
      </c>
      <c r="AY566" s="71">
        <f t="shared" si="123"/>
        <v>0</v>
      </c>
      <c r="AZ566" s="72">
        <f t="shared" si="124"/>
        <v>6833.7344444444452</v>
      </c>
      <c r="BA566" s="66">
        <f t="shared" si="125"/>
        <v>6639.7566666666662</v>
      </c>
    </row>
    <row r="567" spans="1:53" ht="15">
      <c r="A567" s="20" t="s">
        <v>639</v>
      </c>
      <c r="B567" s="244" t="s">
        <v>703</v>
      </c>
      <c r="C567" s="695"/>
      <c r="D567" s="17">
        <v>227854</v>
      </c>
      <c r="E567" s="17">
        <v>8</v>
      </c>
      <c r="F567" s="29" t="s">
        <v>75</v>
      </c>
      <c r="G567" s="16"/>
      <c r="H567" s="27">
        <v>80150</v>
      </c>
      <c r="I567" s="26">
        <v>81483</v>
      </c>
      <c r="J567" s="27">
        <v>34872</v>
      </c>
      <c r="K567" s="238">
        <v>33443</v>
      </c>
      <c r="L567" s="27">
        <v>0</v>
      </c>
      <c r="M567" s="238">
        <v>0</v>
      </c>
      <c r="N567" s="27">
        <v>69848</v>
      </c>
      <c r="O567" s="149">
        <v>70967</v>
      </c>
      <c r="P567" s="64">
        <f t="shared" si="109"/>
        <v>184870</v>
      </c>
      <c r="Q567" s="65">
        <f t="shared" si="110"/>
        <v>6162.333333333333</v>
      </c>
      <c r="R567" s="66">
        <f t="shared" si="111"/>
        <v>185893</v>
      </c>
      <c r="S567" s="67">
        <f t="shared" si="112"/>
        <v>6196.4333333333334</v>
      </c>
      <c r="T567" s="27">
        <v>26669</v>
      </c>
      <c r="U567" s="109">
        <v>33418</v>
      </c>
      <c r="V567" s="64">
        <f t="shared" si="113"/>
        <v>184870</v>
      </c>
      <c r="W567" s="68">
        <f>IF(ISBLANK(#REF!),0,R567)</f>
        <v>185893</v>
      </c>
      <c r="X567" s="27">
        <v>35755</v>
      </c>
      <c r="Y567" s="150">
        <v>22668</v>
      </c>
      <c r="Z567" s="27">
        <v>33708</v>
      </c>
      <c r="AA567" s="150">
        <v>29200</v>
      </c>
      <c r="AB567" s="27">
        <v>32559</v>
      </c>
      <c r="AC567" s="150">
        <v>19926</v>
      </c>
      <c r="AD567" s="27">
        <v>28255</v>
      </c>
      <c r="AE567" s="150">
        <v>17486</v>
      </c>
      <c r="AF567" s="64">
        <f t="shared" si="115"/>
        <v>130277</v>
      </c>
      <c r="AG567" s="65">
        <f t="shared" si="116"/>
        <v>144.75222222222223</v>
      </c>
      <c r="AH567" s="66">
        <f t="shared" si="127"/>
        <v>89280</v>
      </c>
      <c r="AI567" s="66">
        <f t="shared" si="117"/>
        <v>99.2</v>
      </c>
      <c r="AJ567" s="27"/>
      <c r="AL567" s="64">
        <f t="shared" si="118"/>
        <v>0</v>
      </c>
      <c r="AM567" s="67">
        <f t="shared" si="126"/>
        <v>89280</v>
      </c>
      <c r="AN567" s="27"/>
      <c r="AO567" s="26"/>
      <c r="AP567" s="27"/>
      <c r="AQ567" s="238"/>
      <c r="AR567" s="27"/>
      <c r="AS567" s="238"/>
      <c r="AT567" s="27"/>
      <c r="AU567" s="238"/>
      <c r="AV567" s="64">
        <f t="shared" si="120"/>
        <v>0</v>
      </c>
      <c r="AW567" s="70">
        <f t="shared" si="121"/>
        <v>0</v>
      </c>
      <c r="AX567" s="66">
        <f t="shared" si="122"/>
        <v>0</v>
      </c>
      <c r="AY567" s="71">
        <f t="shared" si="123"/>
        <v>0</v>
      </c>
      <c r="AZ567" s="72">
        <f t="shared" si="124"/>
        <v>6307.0855555555554</v>
      </c>
      <c r="BA567" s="66">
        <f t="shared" si="125"/>
        <v>6295.6333333333332</v>
      </c>
    </row>
    <row r="568" spans="1:53" ht="15">
      <c r="A568" s="20" t="s">
        <v>639</v>
      </c>
      <c r="B568" s="242" t="s">
        <v>704</v>
      </c>
      <c r="C568" s="695"/>
      <c r="D568" s="17">
        <v>228547</v>
      </c>
      <c r="E568" s="17">
        <v>8</v>
      </c>
      <c r="F568" s="29" t="s">
        <v>75</v>
      </c>
      <c r="G568" s="16"/>
      <c r="H568" s="27">
        <v>388247</v>
      </c>
      <c r="I568" s="26">
        <v>389745</v>
      </c>
      <c r="J568" s="27">
        <v>199216</v>
      </c>
      <c r="K568" s="150">
        <v>185050</v>
      </c>
      <c r="L568" s="27">
        <v>0</v>
      </c>
      <c r="M568" s="238">
        <v>0</v>
      </c>
      <c r="N568" s="27">
        <v>364906</v>
      </c>
      <c r="O568" s="149">
        <v>358642</v>
      </c>
      <c r="P568" s="64">
        <f t="shared" si="109"/>
        <v>952369</v>
      </c>
      <c r="Q568" s="65">
        <f t="shared" si="110"/>
        <v>31745.633333333335</v>
      </c>
      <c r="R568" s="66">
        <f t="shared" si="111"/>
        <v>933437</v>
      </c>
      <c r="S568" s="67">
        <f t="shared" si="112"/>
        <v>31114.566666666666</v>
      </c>
      <c r="T568" s="27">
        <v>49687</v>
      </c>
      <c r="U568" s="109">
        <v>84960</v>
      </c>
      <c r="V568" s="64">
        <f t="shared" si="113"/>
        <v>952369</v>
      </c>
      <c r="W568" s="68">
        <f>IF(ISBLANK(#REF!),0,R568)</f>
        <v>933437</v>
      </c>
      <c r="X568" s="27">
        <v>200454</v>
      </c>
      <c r="Y568" s="150">
        <v>231266</v>
      </c>
      <c r="Z568" s="27">
        <v>190411</v>
      </c>
      <c r="AA568" s="150">
        <v>228072</v>
      </c>
      <c r="AB568" s="27">
        <v>186594</v>
      </c>
      <c r="AC568" s="150">
        <v>166906</v>
      </c>
      <c r="AD568" s="27">
        <v>225357</v>
      </c>
      <c r="AE568" s="238">
        <v>214732</v>
      </c>
      <c r="AF568" s="64">
        <f t="shared" si="115"/>
        <v>802816</v>
      </c>
      <c r="AG568" s="65">
        <f t="shared" si="116"/>
        <v>892.01777777777772</v>
      </c>
      <c r="AH568" s="66">
        <f t="shared" si="127"/>
        <v>840976</v>
      </c>
      <c r="AI568" s="66">
        <f t="shared" si="117"/>
        <v>934.41777777777781</v>
      </c>
      <c r="AJ568" s="27"/>
      <c r="AL568" s="64">
        <f t="shared" si="118"/>
        <v>0</v>
      </c>
      <c r="AM568" s="67">
        <f t="shared" si="126"/>
        <v>840976</v>
      </c>
      <c r="AN568" s="27"/>
      <c r="AO568" s="26"/>
      <c r="AP568" s="27"/>
      <c r="AQ568" s="238"/>
      <c r="AR568" s="27"/>
      <c r="AS568" s="238"/>
      <c r="AT568" s="27"/>
      <c r="AU568" s="238"/>
      <c r="AV568" s="64">
        <f t="shared" si="120"/>
        <v>0</v>
      </c>
      <c r="AW568" s="70">
        <f t="shared" si="121"/>
        <v>0</v>
      </c>
      <c r="AX568" s="66">
        <f t="shared" si="122"/>
        <v>0</v>
      </c>
      <c r="AY568" s="71">
        <f t="shared" si="123"/>
        <v>0</v>
      </c>
      <c r="AZ568" s="72">
        <f t="shared" si="124"/>
        <v>32637.651111111114</v>
      </c>
      <c r="BA568" s="66">
        <f t="shared" si="125"/>
        <v>32048.984444444442</v>
      </c>
    </row>
    <row r="569" spans="1:53" ht="15">
      <c r="A569" s="20" t="s">
        <v>639</v>
      </c>
      <c r="B569" s="19" t="s">
        <v>705</v>
      </c>
      <c r="C569" s="695"/>
      <c r="D569" s="17">
        <v>225308</v>
      </c>
      <c r="E569" s="17">
        <v>8</v>
      </c>
      <c r="F569" s="29" t="s">
        <v>75</v>
      </c>
      <c r="G569" s="16"/>
      <c r="H569" s="27">
        <v>58850</v>
      </c>
      <c r="I569" s="26">
        <v>56635</v>
      </c>
      <c r="J569" s="27">
        <v>12876</v>
      </c>
      <c r="K569" s="238">
        <v>13301</v>
      </c>
      <c r="L569" s="27">
        <v>11288</v>
      </c>
      <c r="M569" s="238">
        <v>11169</v>
      </c>
      <c r="N569" s="27">
        <v>58858</v>
      </c>
      <c r="O569" s="149">
        <v>61729</v>
      </c>
      <c r="P569" s="64">
        <f t="shared" si="109"/>
        <v>141872</v>
      </c>
      <c r="Q569" s="65">
        <f t="shared" si="110"/>
        <v>4729.0666666666666</v>
      </c>
      <c r="R569" s="66">
        <f t="shared" si="111"/>
        <v>142834</v>
      </c>
      <c r="S569" s="67">
        <f t="shared" si="112"/>
        <v>4761.1333333333332</v>
      </c>
      <c r="T569" s="27">
        <v>22796</v>
      </c>
      <c r="U569" s="109">
        <v>27984</v>
      </c>
      <c r="V569" s="64">
        <f t="shared" si="113"/>
        <v>141872</v>
      </c>
      <c r="W569" s="68">
        <f>IF(ISBLANK(#REF!),0,R569)</f>
        <v>142834</v>
      </c>
      <c r="X569" s="27">
        <v>73122</v>
      </c>
      <c r="Y569" s="150">
        <v>83083</v>
      </c>
      <c r="Z569" s="27">
        <v>41052</v>
      </c>
      <c r="AA569" s="150">
        <v>90753</v>
      </c>
      <c r="AB569" s="27">
        <v>82730</v>
      </c>
      <c r="AC569" s="150">
        <v>104945</v>
      </c>
      <c r="AD569" s="27">
        <v>65378</v>
      </c>
      <c r="AE569" s="150">
        <v>108507</v>
      </c>
      <c r="AF569" s="64">
        <f t="shared" si="115"/>
        <v>262282</v>
      </c>
      <c r="AG569" s="65">
        <f t="shared" si="116"/>
        <v>291.42444444444442</v>
      </c>
      <c r="AH569" s="66">
        <f t="shared" si="127"/>
        <v>387288</v>
      </c>
      <c r="AI569" s="66">
        <f t="shared" si="117"/>
        <v>430.32</v>
      </c>
      <c r="AJ569" s="27"/>
      <c r="AL569" s="64">
        <f t="shared" si="118"/>
        <v>0</v>
      </c>
      <c r="AM569" s="67">
        <f t="shared" ref="AM569:AM620" si="128">IF(ISBLANK(U569),0,AH569)</f>
        <v>387288</v>
      </c>
      <c r="AN569" s="27"/>
      <c r="AO569" s="26"/>
      <c r="AP569" s="27"/>
      <c r="AQ569" s="238"/>
      <c r="AR569" s="27"/>
      <c r="AS569" s="238"/>
      <c r="AT569" s="27"/>
      <c r="AU569" s="238"/>
      <c r="AV569" s="64">
        <f t="shared" si="120"/>
        <v>0</v>
      </c>
      <c r="AW569" s="70">
        <f t="shared" si="121"/>
        <v>0</v>
      </c>
      <c r="AX569" s="66">
        <f t="shared" si="122"/>
        <v>0</v>
      </c>
      <c r="AY569" s="71">
        <f t="shared" si="123"/>
        <v>0</v>
      </c>
      <c r="AZ569" s="72">
        <f t="shared" si="124"/>
        <v>5020.4911111111114</v>
      </c>
      <c r="BA569" s="66">
        <f t="shared" si="125"/>
        <v>5191.4533333333329</v>
      </c>
    </row>
    <row r="570" spans="1:53" ht="15">
      <c r="A570" s="20" t="s">
        <v>639</v>
      </c>
      <c r="B570" s="242" t="s">
        <v>706</v>
      </c>
      <c r="C570" s="695"/>
      <c r="D570" s="17">
        <v>229355</v>
      </c>
      <c r="E570" s="17">
        <v>8</v>
      </c>
      <c r="F570" s="29" t="s">
        <v>75</v>
      </c>
      <c r="G570" s="16"/>
      <c r="H570" s="27">
        <v>103583</v>
      </c>
      <c r="I570" s="26">
        <v>100258</v>
      </c>
      <c r="J570" s="27">
        <v>25643</v>
      </c>
      <c r="K570" s="150">
        <v>28688</v>
      </c>
      <c r="L570" s="27">
        <v>7056</v>
      </c>
      <c r="M570" s="150">
        <v>6447</v>
      </c>
      <c r="N570" s="27">
        <v>96088</v>
      </c>
      <c r="O570" s="149">
        <v>97196</v>
      </c>
      <c r="P570" s="64">
        <f t="shared" si="109"/>
        <v>232370</v>
      </c>
      <c r="Q570" s="65">
        <f t="shared" si="110"/>
        <v>7745.666666666667</v>
      </c>
      <c r="R570" s="66">
        <f t="shared" si="111"/>
        <v>232589</v>
      </c>
      <c r="S570" s="67">
        <f t="shared" si="112"/>
        <v>7752.9666666666662</v>
      </c>
      <c r="T570" s="27">
        <v>19804</v>
      </c>
      <c r="U570" s="26">
        <v>20304</v>
      </c>
      <c r="V570" s="64">
        <f t="shared" si="113"/>
        <v>232370</v>
      </c>
      <c r="W570" s="68">
        <f>IF(ISBLANK(#REF!),0,R570)</f>
        <v>232589</v>
      </c>
      <c r="X570" s="27">
        <v>58370</v>
      </c>
      <c r="Y570" s="150">
        <v>43256</v>
      </c>
      <c r="Z570" s="27">
        <v>31229</v>
      </c>
      <c r="AA570" s="150">
        <v>37959</v>
      </c>
      <c r="AB570" s="27">
        <v>44245</v>
      </c>
      <c r="AC570" s="150">
        <v>38151</v>
      </c>
      <c r="AD570" s="27">
        <v>46697</v>
      </c>
      <c r="AE570" s="238">
        <v>46032</v>
      </c>
      <c r="AF570" s="64">
        <f t="shared" si="115"/>
        <v>180541</v>
      </c>
      <c r="AG570" s="65">
        <f t="shared" si="116"/>
        <v>200.60111111111112</v>
      </c>
      <c r="AH570" s="66">
        <f t="shared" si="127"/>
        <v>165398</v>
      </c>
      <c r="AI570" s="66">
        <f t="shared" si="117"/>
        <v>183.77555555555554</v>
      </c>
      <c r="AJ570" s="27"/>
      <c r="AL570" s="64">
        <f t="shared" si="118"/>
        <v>0</v>
      </c>
      <c r="AM570" s="67">
        <f t="shared" si="128"/>
        <v>165398</v>
      </c>
      <c r="AN570" s="27"/>
      <c r="AO570" s="26"/>
      <c r="AP570" s="27"/>
      <c r="AQ570" s="238"/>
      <c r="AR570" s="27"/>
      <c r="AS570" s="238"/>
      <c r="AT570" s="27"/>
      <c r="AU570" s="238"/>
      <c r="AV570" s="64">
        <f t="shared" si="120"/>
        <v>0</v>
      </c>
      <c r="AW570" s="70">
        <f t="shared" si="121"/>
        <v>0</v>
      </c>
      <c r="AX570" s="66">
        <f t="shared" si="122"/>
        <v>0</v>
      </c>
      <c r="AY570" s="71">
        <f t="shared" si="123"/>
        <v>0</v>
      </c>
      <c r="AZ570" s="72">
        <f t="shared" si="124"/>
        <v>7946.2677777777781</v>
      </c>
      <c r="BA570" s="66">
        <f t="shared" si="125"/>
        <v>7936.7422222222222</v>
      </c>
    </row>
    <row r="571" spans="1:53" ht="15">
      <c r="A571" s="20" t="s">
        <v>639</v>
      </c>
      <c r="B571" s="242" t="s">
        <v>707</v>
      </c>
      <c r="C571" s="695"/>
      <c r="D571" s="17">
        <v>222567</v>
      </c>
      <c r="E571" s="17">
        <v>9</v>
      </c>
      <c r="F571" s="29" t="s">
        <v>75</v>
      </c>
      <c r="G571" s="16"/>
      <c r="H571" s="27">
        <v>39806</v>
      </c>
      <c r="I571" s="109">
        <v>42393</v>
      </c>
      <c r="J571" s="27">
        <v>17370</v>
      </c>
      <c r="K571" s="150">
        <v>18966</v>
      </c>
      <c r="L571" s="27">
        <v>0</v>
      </c>
      <c r="M571" s="238">
        <v>0</v>
      </c>
      <c r="N571" s="27">
        <v>40333</v>
      </c>
      <c r="O571" s="150">
        <v>44424</v>
      </c>
      <c r="P571" s="64">
        <f t="shared" si="109"/>
        <v>97509</v>
      </c>
      <c r="Q571" s="65">
        <f t="shared" si="110"/>
        <v>3250.3</v>
      </c>
      <c r="R571" s="66">
        <f t="shared" si="111"/>
        <v>105783</v>
      </c>
      <c r="S571" s="67">
        <f t="shared" si="112"/>
        <v>3526.1</v>
      </c>
      <c r="T571" s="27">
        <v>16792</v>
      </c>
      <c r="U571" s="109">
        <v>21156</v>
      </c>
      <c r="V571" s="64">
        <f t="shared" si="113"/>
        <v>97509</v>
      </c>
      <c r="W571" s="68">
        <f>IF(ISBLANK(#REF!),0,R571)</f>
        <v>105783</v>
      </c>
      <c r="X571" s="27">
        <v>32476</v>
      </c>
      <c r="Y571" s="238">
        <v>31404</v>
      </c>
      <c r="Z571" s="27">
        <v>30660</v>
      </c>
      <c r="AA571" s="150">
        <v>17393</v>
      </c>
      <c r="AB571" s="27">
        <v>35120</v>
      </c>
      <c r="AC571" s="150">
        <v>25451</v>
      </c>
      <c r="AD571" s="27">
        <v>23917</v>
      </c>
      <c r="AE571" s="150">
        <v>31024</v>
      </c>
      <c r="AF571" s="64">
        <f t="shared" si="115"/>
        <v>122173</v>
      </c>
      <c r="AG571" s="65">
        <f t="shared" si="116"/>
        <v>135.74777777777777</v>
      </c>
      <c r="AH571" s="66">
        <f t="shared" si="127"/>
        <v>105272</v>
      </c>
      <c r="AI571" s="66">
        <f t="shared" si="117"/>
        <v>116.96888888888888</v>
      </c>
      <c r="AJ571" s="27"/>
      <c r="AL571" s="64">
        <f t="shared" si="118"/>
        <v>0</v>
      </c>
      <c r="AM571" s="67">
        <f t="shared" si="128"/>
        <v>105272</v>
      </c>
      <c r="AN571" s="27"/>
      <c r="AO571" s="26"/>
      <c r="AP571" s="27"/>
      <c r="AQ571" s="238"/>
      <c r="AR571" s="27"/>
      <c r="AS571" s="238"/>
      <c r="AT571" s="27"/>
      <c r="AU571" s="238"/>
      <c r="AV571" s="64">
        <f t="shared" si="120"/>
        <v>0</v>
      </c>
      <c r="AW571" s="70">
        <f t="shared" si="121"/>
        <v>0</v>
      </c>
      <c r="AX571" s="66">
        <f t="shared" si="122"/>
        <v>0</v>
      </c>
      <c r="AY571" s="71">
        <f t="shared" si="123"/>
        <v>0</v>
      </c>
      <c r="AZ571" s="72">
        <f t="shared" si="124"/>
        <v>3386.0477777777778</v>
      </c>
      <c r="BA571" s="66">
        <f t="shared" si="125"/>
        <v>3643.068888888889</v>
      </c>
    </row>
    <row r="572" spans="1:53" ht="15">
      <c r="A572" s="20" t="s">
        <v>639</v>
      </c>
      <c r="B572" s="242" t="s">
        <v>708</v>
      </c>
      <c r="C572" s="695"/>
      <c r="D572" s="17">
        <v>222822</v>
      </c>
      <c r="E572" s="17">
        <v>9</v>
      </c>
      <c r="F572" s="29" t="s">
        <v>75</v>
      </c>
      <c r="G572" s="16"/>
      <c r="H572" s="27">
        <v>40585</v>
      </c>
      <c r="I572" s="26">
        <v>40605</v>
      </c>
      <c r="J572" s="27">
        <v>7499</v>
      </c>
      <c r="K572" s="150">
        <v>7987</v>
      </c>
      <c r="L572" s="27">
        <v>4345</v>
      </c>
      <c r="M572" s="238">
        <v>4169</v>
      </c>
      <c r="N572" s="27">
        <v>42371</v>
      </c>
      <c r="O572" s="149">
        <v>43651</v>
      </c>
      <c r="P572" s="64">
        <f t="shared" si="109"/>
        <v>94800</v>
      </c>
      <c r="Q572" s="65">
        <f t="shared" si="110"/>
        <v>3160</v>
      </c>
      <c r="R572" s="66">
        <f t="shared" si="111"/>
        <v>96412</v>
      </c>
      <c r="S572" s="67">
        <f t="shared" si="112"/>
        <v>3213.7333333333331</v>
      </c>
      <c r="T572" s="27">
        <v>15867</v>
      </c>
      <c r="U572" s="109">
        <v>16952</v>
      </c>
      <c r="V572" s="64">
        <f t="shared" si="113"/>
        <v>94800</v>
      </c>
      <c r="W572" s="68">
        <f>IF(ISBLANK(#REF!),0,R572)</f>
        <v>96412</v>
      </c>
      <c r="X572" s="27">
        <v>80767</v>
      </c>
      <c r="Y572" s="150">
        <v>19870</v>
      </c>
      <c r="Z572" s="27">
        <v>16796</v>
      </c>
      <c r="AA572" s="150">
        <v>65558</v>
      </c>
      <c r="AB572" s="27">
        <v>81471</v>
      </c>
      <c r="AC572" s="150">
        <v>57159</v>
      </c>
      <c r="AD572" s="27">
        <v>43712</v>
      </c>
      <c r="AE572" s="150">
        <v>29692</v>
      </c>
      <c r="AF572" s="64">
        <f t="shared" si="115"/>
        <v>222746</v>
      </c>
      <c r="AG572" s="65">
        <f t="shared" si="116"/>
        <v>247.49555555555557</v>
      </c>
      <c r="AH572" s="66">
        <f t="shared" si="127"/>
        <v>172279</v>
      </c>
      <c r="AI572" s="66">
        <f t="shared" si="117"/>
        <v>191.42111111111112</v>
      </c>
      <c r="AJ572" s="27"/>
      <c r="AL572" s="64">
        <f t="shared" si="118"/>
        <v>0</v>
      </c>
      <c r="AM572" s="67">
        <f t="shared" si="128"/>
        <v>172279</v>
      </c>
      <c r="AN572" s="27"/>
      <c r="AO572" s="26"/>
      <c r="AP572" s="27"/>
      <c r="AQ572" s="238"/>
      <c r="AR572" s="27"/>
      <c r="AS572" s="238"/>
      <c r="AT572" s="27"/>
      <c r="AU572" s="238"/>
      <c r="AV572" s="64">
        <f t="shared" si="120"/>
        <v>0</v>
      </c>
      <c r="AW572" s="70">
        <f t="shared" si="121"/>
        <v>0</v>
      </c>
      <c r="AX572" s="66">
        <f t="shared" si="122"/>
        <v>0</v>
      </c>
      <c r="AY572" s="71">
        <f t="shared" si="123"/>
        <v>0</v>
      </c>
      <c r="AZ572" s="72">
        <f t="shared" si="124"/>
        <v>3407.4955555555557</v>
      </c>
      <c r="BA572" s="66">
        <f t="shared" si="125"/>
        <v>3405.1544444444444</v>
      </c>
    </row>
    <row r="573" spans="1:53" ht="15">
      <c r="A573" s="20" t="s">
        <v>639</v>
      </c>
      <c r="B573" s="244" t="s">
        <v>709</v>
      </c>
      <c r="C573" s="695"/>
      <c r="D573" s="17">
        <v>223773</v>
      </c>
      <c r="E573" s="17">
        <v>9</v>
      </c>
      <c r="F573" s="29" t="s">
        <v>75</v>
      </c>
      <c r="G573" s="16"/>
      <c r="H573" s="27">
        <v>43999</v>
      </c>
      <c r="I573" s="26">
        <v>42812</v>
      </c>
      <c r="J573" s="27">
        <v>25497</v>
      </c>
      <c r="K573" s="150">
        <v>28384</v>
      </c>
      <c r="L573" s="27">
        <v>0</v>
      </c>
      <c r="M573" s="238">
        <v>0</v>
      </c>
      <c r="N573" s="27">
        <v>37118</v>
      </c>
      <c r="O573" s="149">
        <v>37888</v>
      </c>
      <c r="P573" s="64">
        <f t="shared" si="109"/>
        <v>106614</v>
      </c>
      <c r="Q573" s="65">
        <f t="shared" si="110"/>
        <v>3553.8</v>
      </c>
      <c r="R573" s="66">
        <f t="shared" si="111"/>
        <v>109084</v>
      </c>
      <c r="S573" s="67">
        <f t="shared" si="112"/>
        <v>3636.1333333333332</v>
      </c>
      <c r="T573" s="27">
        <v>17439</v>
      </c>
      <c r="U573" s="109">
        <v>19987</v>
      </c>
      <c r="V573" s="64">
        <f t="shared" si="113"/>
        <v>106614</v>
      </c>
      <c r="W573" s="68">
        <f>IF(ISBLANK(#REF!),0,R573)</f>
        <v>109084</v>
      </c>
      <c r="X573" s="27">
        <v>42851</v>
      </c>
      <c r="Y573" s="238">
        <v>41919</v>
      </c>
      <c r="Z573" s="27">
        <v>48234</v>
      </c>
      <c r="AA573" s="150">
        <v>26597</v>
      </c>
      <c r="AB573" s="27">
        <v>33029</v>
      </c>
      <c r="AC573" s="150">
        <v>61598</v>
      </c>
      <c r="AD573" s="27">
        <v>68273</v>
      </c>
      <c r="AE573" s="150">
        <v>36740</v>
      </c>
      <c r="AF573" s="64">
        <f t="shared" si="115"/>
        <v>192387</v>
      </c>
      <c r="AG573" s="65">
        <f t="shared" si="116"/>
        <v>213.76333333333332</v>
      </c>
      <c r="AH573" s="66">
        <f t="shared" si="127"/>
        <v>166854</v>
      </c>
      <c r="AI573" s="66">
        <f t="shared" si="117"/>
        <v>185.39333333333335</v>
      </c>
      <c r="AJ573" s="27"/>
      <c r="AL573" s="64">
        <f t="shared" si="118"/>
        <v>0</v>
      </c>
      <c r="AM573" s="67">
        <f t="shared" si="128"/>
        <v>166854</v>
      </c>
      <c r="AN573" s="27"/>
      <c r="AO573" s="26"/>
      <c r="AP573" s="27"/>
      <c r="AQ573" s="238"/>
      <c r="AR573" s="27"/>
      <c r="AS573" s="238"/>
      <c r="AT573" s="27"/>
      <c r="AU573" s="238"/>
      <c r="AV573" s="64">
        <f t="shared" si="120"/>
        <v>0</v>
      </c>
      <c r="AW573" s="70">
        <f t="shared" si="121"/>
        <v>0</v>
      </c>
      <c r="AX573" s="66">
        <f t="shared" si="122"/>
        <v>0</v>
      </c>
      <c r="AY573" s="71">
        <f t="shared" si="123"/>
        <v>0</v>
      </c>
      <c r="AZ573" s="72">
        <f t="shared" si="124"/>
        <v>3767.5633333333335</v>
      </c>
      <c r="BA573" s="66">
        <f t="shared" si="125"/>
        <v>3821.5266666666666</v>
      </c>
    </row>
    <row r="574" spans="1:53" ht="15">
      <c r="A574" s="20" t="s">
        <v>639</v>
      </c>
      <c r="B574" s="242" t="s">
        <v>710</v>
      </c>
      <c r="C574" s="695"/>
      <c r="D574" s="17">
        <v>223898</v>
      </c>
      <c r="E574" s="17">
        <v>9</v>
      </c>
      <c r="F574" s="29" t="s">
        <v>75</v>
      </c>
      <c r="G574" s="16"/>
      <c r="H574" s="27">
        <v>32444</v>
      </c>
      <c r="I574" s="109">
        <v>30089</v>
      </c>
      <c r="J574" s="27">
        <v>5614</v>
      </c>
      <c r="K574" s="238">
        <v>5475</v>
      </c>
      <c r="L574" s="27">
        <v>1801</v>
      </c>
      <c r="M574" s="238">
        <v>1866</v>
      </c>
      <c r="N574" s="27">
        <v>31207</v>
      </c>
      <c r="O574" s="150">
        <v>29382</v>
      </c>
      <c r="P574" s="64">
        <f t="shared" si="109"/>
        <v>71066</v>
      </c>
      <c r="Q574" s="65">
        <f t="shared" si="110"/>
        <v>2368.8666666666668</v>
      </c>
      <c r="R574" s="66">
        <f t="shared" si="111"/>
        <v>66812</v>
      </c>
      <c r="S574" s="67">
        <f t="shared" si="112"/>
        <v>2227.0666666666666</v>
      </c>
      <c r="T574" s="27">
        <v>8040</v>
      </c>
      <c r="U574" s="26">
        <v>8358</v>
      </c>
      <c r="V574" s="64">
        <f t="shared" si="113"/>
        <v>71066</v>
      </c>
      <c r="W574" s="68">
        <f>IF(ISBLANK(#REF!),0,R574)</f>
        <v>66812</v>
      </c>
      <c r="X574" s="27">
        <v>1968</v>
      </c>
      <c r="Y574" s="150">
        <v>1400</v>
      </c>
      <c r="Z574" s="27">
        <v>4224</v>
      </c>
      <c r="AA574" s="150">
        <v>4900</v>
      </c>
      <c r="AB574" s="27">
        <v>2700</v>
      </c>
      <c r="AC574" s="150">
        <v>3600</v>
      </c>
      <c r="AD574" s="27">
        <v>7620</v>
      </c>
      <c r="AE574" s="150">
        <v>4328</v>
      </c>
      <c r="AF574" s="64">
        <f t="shared" si="115"/>
        <v>16512</v>
      </c>
      <c r="AG574" s="65">
        <f t="shared" si="116"/>
        <v>18.346666666666668</v>
      </c>
      <c r="AH574" s="66">
        <f t="shared" si="127"/>
        <v>14228</v>
      </c>
      <c r="AI574" s="66">
        <f t="shared" si="117"/>
        <v>15.808888888888889</v>
      </c>
      <c r="AJ574" s="27"/>
      <c r="AL574" s="64">
        <f t="shared" si="118"/>
        <v>0</v>
      </c>
      <c r="AM574" s="67">
        <f t="shared" si="128"/>
        <v>14228</v>
      </c>
      <c r="AN574" s="27"/>
      <c r="AO574" s="26"/>
      <c r="AP574" s="27"/>
      <c r="AQ574" s="238"/>
      <c r="AR574" s="27"/>
      <c r="AS574" s="238"/>
      <c r="AT574" s="27"/>
      <c r="AU574" s="238"/>
      <c r="AV574" s="64">
        <f t="shared" si="120"/>
        <v>0</v>
      </c>
      <c r="AW574" s="70">
        <f t="shared" si="121"/>
        <v>0</v>
      </c>
      <c r="AX574" s="66">
        <f t="shared" si="122"/>
        <v>0</v>
      </c>
      <c r="AY574" s="71">
        <f t="shared" si="123"/>
        <v>0</v>
      </c>
      <c r="AZ574" s="72">
        <f t="shared" si="124"/>
        <v>2387.2133333333336</v>
      </c>
      <c r="BA574" s="66">
        <f t="shared" si="125"/>
        <v>2242.8755555555554</v>
      </c>
    </row>
    <row r="575" spans="1:53" ht="15">
      <c r="A575" s="20" t="s">
        <v>639</v>
      </c>
      <c r="B575" s="242" t="s">
        <v>711</v>
      </c>
      <c r="C575" s="695"/>
      <c r="D575" s="17">
        <v>223320</v>
      </c>
      <c r="E575" s="17">
        <v>9</v>
      </c>
      <c r="F575" s="29" t="s">
        <v>75</v>
      </c>
      <c r="G575" s="16"/>
      <c r="H575" s="27">
        <v>31051</v>
      </c>
      <c r="I575" s="109">
        <v>34548</v>
      </c>
      <c r="J575" s="27">
        <v>6445</v>
      </c>
      <c r="K575" s="150">
        <v>8259</v>
      </c>
      <c r="L575" s="27">
        <v>3212</v>
      </c>
      <c r="M575" s="150">
        <v>3430</v>
      </c>
      <c r="N575" s="27">
        <v>35280</v>
      </c>
      <c r="O575" s="150">
        <v>37858</v>
      </c>
      <c r="P575" s="64">
        <f t="shared" si="109"/>
        <v>75988</v>
      </c>
      <c r="Q575" s="65">
        <f t="shared" si="110"/>
        <v>2532.9333333333334</v>
      </c>
      <c r="R575" s="66">
        <f t="shared" si="111"/>
        <v>84095</v>
      </c>
      <c r="S575" s="67">
        <f t="shared" si="112"/>
        <v>2803.1666666666665</v>
      </c>
      <c r="T575" s="27">
        <v>13740</v>
      </c>
      <c r="U575" s="26">
        <v>14406</v>
      </c>
      <c r="V575" s="64">
        <f t="shared" si="113"/>
        <v>75988</v>
      </c>
      <c r="W575" s="68">
        <f>IF(ISBLANK(#REF!),0,R575)</f>
        <v>84095</v>
      </c>
      <c r="X575" s="27">
        <v>30553</v>
      </c>
      <c r="Y575" s="150">
        <v>38000</v>
      </c>
      <c r="Z575" s="27">
        <v>47851</v>
      </c>
      <c r="AA575" s="150">
        <v>51488</v>
      </c>
      <c r="AB575" s="27">
        <v>42918</v>
      </c>
      <c r="AC575" s="150">
        <v>46272</v>
      </c>
      <c r="AD575" s="27">
        <v>62204</v>
      </c>
      <c r="AE575" s="150">
        <v>13093</v>
      </c>
      <c r="AF575" s="64">
        <f t="shared" si="115"/>
        <v>183526</v>
      </c>
      <c r="AG575" s="65">
        <f t="shared" si="116"/>
        <v>203.91777777777779</v>
      </c>
      <c r="AH575" s="66">
        <f t="shared" si="127"/>
        <v>148853</v>
      </c>
      <c r="AI575" s="66">
        <f t="shared" si="117"/>
        <v>165.39222222222222</v>
      </c>
      <c r="AJ575" s="27"/>
      <c r="AL575" s="64">
        <f t="shared" si="118"/>
        <v>0</v>
      </c>
      <c r="AM575" s="67">
        <f t="shared" si="128"/>
        <v>148853</v>
      </c>
      <c r="AN575" s="27"/>
      <c r="AO575" s="26"/>
      <c r="AP575" s="27"/>
      <c r="AQ575" s="238"/>
      <c r="AR575" s="27"/>
      <c r="AS575" s="238"/>
      <c r="AT575" s="27"/>
      <c r="AU575" s="238"/>
      <c r="AV575" s="64">
        <f t="shared" si="120"/>
        <v>0</v>
      </c>
      <c r="AW575" s="70">
        <f t="shared" si="121"/>
        <v>0</v>
      </c>
      <c r="AX575" s="66">
        <f t="shared" si="122"/>
        <v>0</v>
      </c>
      <c r="AY575" s="71">
        <f t="shared" si="123"/>
        <v>0</v>
      </c>
      <c r="AZ575" s="72">
        <f t="shared" si="124"/>
        <v>2736.8511111111111</v>
      </c>
      <c r="BA575" s="66">
        <f t="shared" si="125"/>
        <v>2968.5588888888888</v>
      </c>
    </row>
    <row r="576" spans="1:53" ht="15">
      <c r="A576" s="20" t="s">
        <v>639</v>
      </c>
      <c r="B576" s="242" t="s">
        <v>712</v>
      </c>
      <c r="C576" s="695"/>
      <c r="D576" s="17">
        <v>226408</v>
      </c>
      <c r="E576" s="17">
        <v>9</v>
      </c>
      <c r="F576" s="29" t="s">
        <v>75</v>
      </c>
      <c r="G576" s="16"/>
      <c r="H576" s="27">
        <v>32025</v>
      </c>
      <c r="I576" s="26">
        <v>32679</v>
      </c>
      <c r="J576" s="27">
        <v>7189</v>
      </c>
      <c r="K576" s="238">
        <v>6915</v>
      </c>
      <c r="L576" s="27">
        <v>6237</v>
      </c>
      <c r="M576" s="238">
        <v>6025</v>
      </c>
      <c r="N576" s="27">
        <v>30814</v>
      </c>
      <c r="O576" s="149">
        <v>31332</v>
      </c>
      <c r="P576" s="64">
        <f t="shared" si="109"/>
        <v>76265</v>
      </c>
      <c r="Q576" s="65">
        <f t="shared" si="110"/>
        <v>2542.1666666666665</v>
      </c>
      <c r="R576" s="66">
        <f t="shared" si="111"/>
        <v>76951</v>
      </c>
      <c r="S576" s="67">
        <f t="shared" si="112"/>
        <v>2565.0333333333333</v>
      </c>
      <c r="T576" s="27">
        <v>14165</v>
      </c>
      <c r="U576" s="109">
        <v>15109</v>
      </c>
      <c r="V576" s="64">
        <f t="shared" si="113"/>
        <v>76265</v>
      </c>
      <c r="W576" s="68">
        <f>IF(ISBLANK(#REF!),0,R576)</f>
        <v>76951</v>
      </c>
      <c r="X576" s="27">
        <v>46317</v>
      </c>
      <c r="Y576" s="150">
        <v>39449</v>
      </c>
      <c r="Z576" s="27">
        <v>23915</v>
      </c>
      <c r="AA576" s="150">
        <v>18886</v>
      </c>
      <c r="AB576" s="27">
        <v>34422</v>
      </c>
      <c r="AC576" s="150">
        <v>26632</v>
      </c>
      <c r="AD576" s="27">
        <v>19956</v>
      </c>
      <c r="AE576" s="150">
        <v>24797</v>
      </c>
      <c r="AF576" s="64">
        <f t="shared" si="115"/>
        <v>124610</v>
      </c>
      <c r="AG576" s="65">
        <f t="shared" si="116"/>
        <v>138.45555555555555</v>
      </c>
      <c r="AH576" s="66">
        <f t="shared" si="127"/>
        <v>109764</v>
      </c>
      <c r="AI576" s="66">
        <f t="shared" si="117"/>
        <v>121.96</v>
      </c>
      <c r="AJ576" s="27"/>
      <c r="AL576" s="64">
        <f t="shared" si="118"/>
        <v>0</v>
      </c>
      <c r="AM576" s="67">
        <f t="shared" si="128"/>
        <v>109764</v>
      </c>
      <c r="AN576" s="27"/>
      <c r="AO576" s="26"/>
      <c r="AP576" s="27"/>
      <c r="AQ576" s="238"/>
      <c r="AR576" s="27"/>
      <c r="AS576" s="238"/>
      <c r="AT576" s="27"/>
      <c r="AU576" s="238"/>
      <c r="AV576" s="64">
        <f t="shared" si="120"/>
        <v>0</v>
      </c>
      <c r="AW576" s="70">
        <f t="shared" si="121"/>
        <v>0</v>
      </c>
      <c r="AX576" s="66">
        <f t="shared" si="122"/>
        <v>0</v>
      </c>
      <c r="AY576" s="71">
        <f t="shared" si="123"/>
        <v>0</v>
      </c>
      <c r="AZ576" s="72">
        <f t="shared" si="124"/>
        <v>2680.6222222222223</v>
      </c>
      <c r="BA576" s="66">
        <f t="shared" si="125"/>
        <v>2686.9933333333333</v>
      </c>
    </row>
    <row r="577" spans="1:53" ht="15">
      <c r="A577" s="20" t="s">
        <v>639</v>
      </c>
      <c r="B577" s="242" t="s">
        <v>713</v>
      </c>
      <c r="C577" s="695"/>
      <c r="D577" s="17">
        <v>225070</v>
      </c>
      <c r="E577" s="17">
        <v>9</v>
      </c>
      <c r="F577" s="29" t="s">
        <v>75</v>
      </c>
      <c r="G577" s="16"/>
      <c r="H577" s="27">
        <v>40085</v>
      </c>
      <c r="I577" s="26">
        <v>40125</v>
      </c>
      <c r="J577" s="27">
        <v>7662</v>
      </c>
      <c r="K577" s="150">
        <v>7116</v>
      </c>
      <c r="L577" s="27">
        <v>2816</v>
      </c>
      <c r="M577" s="150">
        <v>0</v>
      </c>
      <c r="N577" s="27">
        <v>41111</v>
      </c>
      <c r="O577" s="149">
        <v>41925</v>
      </c>
      <c r="P577" s="64">
        <f t="shared" si="109"/>
        <v>91674</v>
      </c>
      <c r="Q577" s="65">
        <f t="shared" si="110"/>
        <v>3055.8</v>
      </c>
      <c r="R577" s="66">
        <f t="shared" si="111"/>
        <v>89166</v>
      </c>
      <c r="S577" s="67">
        <f t="shared" si="112"/>
        <v>2972.2</v>
      </c>
      <c r="T577" s="27">
        <v>8366</v>
      </c>
      <c r="U577" s="109">
        <v>10412</v>
      </c>
      <c r="V577" s="64">
        <f t="shared" si="113"/>
        <v>91674</v>
      </c>
      <c r="W577" s="68">
        <f>IF(ISBLANK(#REF!),0,R577)</f>
        <v>89166</v>
      </c>
      <c r="X577" s="27">
        <v>14929</v>
      </c>
      <c r="Y577" s="150">
        <v>12424</v>
      </c>
      <c r="Z577" s="27">
        <v>15581</v>
      </c>
      <c r="AA577" s="150">
        <v>9932</v>
      </c>
      <c r="AB577" s="27">
        <v>11852</v>
      </c>
      <c r="AC577" s="150">
        <v>14700</v>
      </c>
      <c r="AD577" s="27">
        <v>17688</v>
      </c>
      <c r="AE577" s="150">
        <v>15071</v>
      </c>
      <c r="AF577" s="64">
        <f t="shared" si="115"/>
        <v>60050</v>
      </c>
      <c r="AG577" s="65">
        <f t="shared" si="116"/>
        <v>66.722222222222229</v>
      </c>
      <c r="AH577" s="66">
        <f t="shared" si="127"/>
        <v>52127</v>
      </c>
      <c r="AI577" s="66">
        <f t="shared" si="117"/>
        <v>57.918888888888887</v>
      </c>
      <c r="AJ577" s="27"/>
      <c r="AL577" s="64">
        <f t="shared" si="118"/>
        <v>0</v>
      </c>
      <c r="AM577" s="67">
        <f t="shared" si="128"/>
        <v>52127</v>
      </c>
      <c r="AN577" s="27"/>
      <c r="AO577" s="26"/>
      <c r="AP577" s="27"/>
      <c r="AQ577" s="238"/>
      <c r="AR577" s="27"/>
      <c r="AS577" s="238"/>
      <c r="AT577" s="27"/>
      <c r="AU577" s="238"/>
      <c r="AV577" s="64">
        <f t="shared" si="120"/>
        <v>0</v>
      </c>
      <c r="AW577" s="70">
        <f t="shared" si="121"/>
        <v>0</v>
      </c>
      <c r="AX577" s="66">
        <f t="shared" si="122"/>
        <v>0</v>
      </c>
      <c r="AY577" s="71">
        <f t="shared" si="123"/>
        <v>0</v>
      </c>
      <c r="AZ577" s="72">
        <f t="shared" si="124"/>
        <v>3122.5222222222224</v>
      </c>
      <c r="BA577" s="66">
        <f t="shared" si="125"/>
        <v>3030.1188888888887</v>
      </c>
    </row>
    <row r="578" spans="1:53" ht="15">
      <c r="A578" s="20" t="s">
        <v>639</v>
      </c>
      <c r="B578" s="242" t="s">
        <v>714</v>
      </c>
      <c r="C578" s="695"/>
      <c r="D578" s="17">
        <v>225371</v>
      </c>
      <c r="E578" s="17">
        <v>9</v>
      </c>
      <c r="F578" s="29" t="s">
        <v>75</v>
      </c>
      <c r="G578" s="16"/>
      <c r="H578" s="27">
        <v>34973</v>
      </c>
      <c r="I578" s="26">
        <v>33885</v>
      </c>
      <c r="J578" s="27">
        <v>7866</v>
      </c>
      <c r="K578" s="150">
        <v>9472</v>
      </c>
      <c r="L578" s="27">
        <v>2511</v>
      </c>
      <c r="M578" s="238">
        <v>2486</v>
      </c>
      <c r="N578" s="27">
        <v>34261</v>
      </c>
      <c r="O578" s="149">
        <v>34826</v>
      </c>
      <c r="P578" s="64">
        <f t="shared" si="109"/>
        <v>79611</v>
      </c>
      <c r="Q578" s="65">
        <f t="shared" si="110"/>
        <v>2653.7</v>
      </c>
      <c r="R578" s="66">
        <f t="shared" si="111"/>
        <v>80669</v>
      </c>
      <c r="S578" s="67">
        <f t="shared" si="112"/>
        <v>2688.9666666666667</v>
      </c>
      <c r="T578" s="27">
        <v>10006</v>
      </c>
      <c r="U578" s="26">
        <v>10143</v>
      </c>
      <c r="V578" s="64">
        <f t="shared" si="113"/>
        <v>79611</v>
      </c>
      <c r="W578" s="68">
        <f>IF(ISBLANK(#REF!),0,R578)</f>
        <v>80669</v>
      </c>
      <c r="X578" s="27">
        <v>33517</v>
      </c>
      <c r="Y578" s="150">
        <v>16987</v>
      </c>
      <c r="Z578" s="27">
        <v>25684</v>
      </c>
      <c r="AA578" s="150">
        <v>21659</v>
      </c>
      <c r="AB578" s="27">
        <v>16214</v>
      </c>
      <c r="AC578" s="150">
        <v>13794</v>
      </c>
      <c r="AD578" s="27">
        <v>25314</v>
      </c>
      <c r="AE578" s="238">
        <v>25877</v>
      </c>
      <c r="AF578" s="64">
        <f t="shared" si="115"/>
        <v>100729</v>
      </c>
      <c r="AG578" s="65">
        <f t="shared" si="116"/>
        <v>111.92111111111112</v>
      </c>
      <c r="AH578" s="66">
        <f t="shared" si="127"/>
        <v>78317</v>
      </c>
      <c r="AI578" s="66">
        <f t="shared" si="117"/>
        <v>87.018888888888895</v>
      </c>
      <c r="AJ578" s="27"/>
      <c r="AL578" s="64">
        <f t="shared" si="118"/>
        <v>0</v>
      </c>
      <c r="AM578" s="67">
        <f t="shared" si="128"/>
        <v>78317</v>
      </c>
      <c r="AN578" s="27"/>
      <c r="AO578" s="26"/>
      <c r="AP578" s="27"/>
      <c r="AQ578" s="238"/>
      <c r="AR578" s="27"/>
      <c r="AS578" s="238"/>
      <c r="AT578" s="27"/>
      <c r="AU578" s="238"/>
      <c r="AV578" s="64">
        <f t="shared" si="120"/>
        <v>0</v>
      </c>
      <c r="AW578" s="70">
        <f t="shared" si="121"/>
        <v>0</v>
      </c>
      <c r="AX578" s="66">
        <f t="shared" si="122"/>
        <v>0</v>
      </c>
      <c r="AY578" s="71">
        <f t="shared" si="123"/>
        <v>0</v>
      </c>
      <c r="AZ578" s="72">
        <f t="shared" si="124"/>
        <v>2765.6211111111111</v>
      </c>
      <c r="BA578" s="66">
        <f t="shared" si="125"/>
        <v>2775.9855555555555</v>
      </c>
    </row>
    <row r="579" spans="1:53" ht="15">
      <c r="A579" s="20" t="s">
        <v>639</v>
      </c>
      <c r="B579" s="248" t="s">
        <v>715</v>
      </c>
      <c r="C579" s="695"/>
      <c r="D579" s="17">
        <v>225520</v>
      </c>
      <c r="E579" s="17">
        <v>9</v>
      </c>
      <c r="F579" s="29" t="s">
        <v>75</v>
      </c>
      <c r="G579" s="16"/>
      <c r="H579" s="27">
        <v>26056</v>
      </c>
      <c r="I579" s="26">
        <v>26195</v>
      </c>
      <c r="J579" s="27">
        <v>3688</v>
      </c>
      <c r="K579" s="150">
        <v>4176</v>
      </c>
      <c r="L579" s="27">
        <v>1600</v>
      </c>
      <c r="M579" s="150">
        <v>1988</v>
      </c>
      <c r="N579" s="27">
        <v>29553</v>
      </c>
      <c r="O579" s="150">
        <v>32001</v>
      </c>
      <c r="P579" s="64">
        <f t="shared" si="109"/>
        <v>60897</v>
      </c>
      <c r="Q579" s="65">
        <f t="shared" si="110"/>
        <v>2029.9</v>
      </c>
      <c r="R579" s="66">
        <f t="shared" si="111"/>
        <v>64360</v>
      </c>
      <c r="S579" s="67">
        <f t="shared" si="112"/>
        <v>2145.3333333333335</v>
      </c>
      <c r="T579" s="27">
        <v>17667</v>
      </c>
      <c r="U579" s="109">
        <v>19478</v>
      </c>
      <c r="V579" s="64">
        <f t="shared" si="113"/>
        <v>60897</v>
      </c>
      <c r="W579" s="68">
        <f>IF(ISBLANK(#REF!),0,R579)</f>
        <v>64360</v>
      </c>
      <c r="X579" s="27">
        <v>130658</v>
      </c>
      <c r="Y579" s="238">
        <v>124964</v>
      </c>
      <c r="Z579" s="27">
        <v>128260</v>
      </c>
      <c r="AA579" s="150">
        <v>137861</v>
      </c>
      <c r="AB579" s="27">
        <v>140947</v>
      </c>
      <c r="AC579" s="150">
        <v>132667</v>
      </c>
      <c r="AD579" s="27">
        <v>131190</v>
      </c>
      <c r="AE579" s="238">
        <v>136533</v>
      </c>
      <c r="AF579" s="64">
        <f t="shared" si="115"/>
        <v>531055</v>
      </c>
      <c r="AG579" s="65">
        <f t="shared" si="116"/>
        <v>590.06111111111113</v>
      </c>
      <c r="AH579" s="66">
        <f t="shared" si="127"/>
        <v>532025</v>
      </c>
      <c r="AI579" s="66">
        <f t="shared" si="117"/>
        <v>591.13888888888891</v>
      </c>
      <c r="AJ579" s="27"/>
      <c r="AL579" s="64">
        <f t="shared" si="118"/>
        <v>0</v>
      </c>
      <c r="AM579" s="67">
        <f t="shared" si="128"/>
        <v>532025</v>
      </c>
      <c r="AN579" s="27"/>
      <c r="AO579" s="26"/>
      <c r="AP579" s="27"/>
      <c r="AQ579" s="238"/>
      <c r="AR579" s="27"/>
      <c r="AS579" s="238"/>
      <c r="AT579" s="27"/>
      <c r="AU579" s="238"/>
      <c r="AV579" s="64">
        <f t="shared" si="120"/>
        <v>0</v>
      </c>
      <c r="AW579" s="70">
        <f t="shared" si="121"/>
        <v>0</v>
      </c>
      <c r="AX579" s="66">
        <f t="shared" si="122"/>
        <v>0</v>
      </c>
      <c r="AY579" s="71">
        <f t="shared" si="123"/>
        <v>0</v>
      </c>
      <c r="AZ579" s="72">
        <f t="shared" si="124"/>
        <v>2619.9611111111112</v>
      </c>
      <c r="BA579" s="66">
        <f t="shared" si="125"/>
        <v>2736.4722222222226</v>
      </c>
    </row>
    <row r="580" spans="1:53" ht="15">
      <c r="A580" s="20" t="s">
        <v>639</v>
      </c>
      <c r="B580" s="19" t="s">
        <v>716</v>
      </c>
      <c r="C580" s="695"/>
      <c r="D580" s="17">
        <v>226019</v>
      </c>
      <c r="E580" s="249">
        <v>9</v>
      </c>
      <c r="F580" s="29" t="s">
        <v>75</v>
      </c>
      <c r="G580" s="16"/>
      <c r="H580" s="27">
        <v>48648</v>
      </c>
      <c r="I580" s="109">
        <v>46017</v>
      </c>
      <c r="J580" s="27">
        <v>8222</v>
      </c>
      <c r="K580" s="238">
        <v>8345</v>
      </c>
      <c r="L580" s="27">
        <v>3596</v>
      </c>
      <c r="M580" s="150">
        <v>0</v>
      </c>
      <c r="N580" s="27">
        <v>51106</v>
      </c>
      <c r="O580" s="150">
        <v>56188</v>
      </c>
      <c r="P580" s="64">
        <f t="shared" si="109"/>
        <v>111572</v>
      </c>
      <c r="Q580" s="65">
        <f t="shared" si="110"/>
        <v>3719.0666666666666</v>
      </c>
      <c r="R580" s="66">
        <f t="shared" si="111"/>
        <v>110550</v>
      </c>
      <c r="S580" s="67">
        <f t="shared" si="112"/>
        <v>3685</v>
      </c>
      <c r="T580" s="27">
        <v>10155</v>
      </c>
      <c r="U580" s="109">
        <v>13024</v>
      </c>
      <c r="V580" s="64">
        <f t="shared" si="113"/>
        <v>111572</v>
      </c>
      <c r="W580" s="68">
        <f>IF(ISBLANK(#REF!),0,R580)</f>
        <v>110550</v>
      </c>
      <c r="X580" s="27">
        <v>137223</v>
      </c>
      <c r="Y580" s="150">
        <v>31653</v>
      </c>
      <c r="Z580" s="27">
        <v>123916</v>
      </c>
      <c r="AA580" s="150">
        <v>167281</v>
      </c>
      <c r="AB580" s="27">
        <v>155975</v>
      </c>
      <c r="AC580" s="150">
        <v>103479</v>
      </c>
      <c r="AD580" s="27">
        <v>93064</v>
      </c>
      <c r="AE580" s="150">
        <v>87713</v>
      </c>
      <c r="AF580" s="64">
        <f t="shared" si="115"/>
        <v>510178</v>
      </c>
      <c r="AG580" s="65">
        <f t="shared" si="116"/>
        <v>566.86444444444442</v>
      </c>
      <c r="AH580" s="66">
        <f t="shared" si="127"/>
        <v>390126</v>
      </c>
      <c r="AI580" s="66">
        <f t="shared" si="117"/>
        <v>433.47333333333336</v>
      </c>
      <c r="AJ580" s="27"/>
      <c r="AL580" s="64">
        <f t="shared" si="118"/>
        <v>0</v>
      </c>
      <c r="AM580" s="67">
        <f t="shared" si="128"/>
        <v>390126</v>
      </c>
      <c r="AN580" s="27"/>
      <c r="AO580" s="26"/>
      <c r="AP580" s="27"/>
      <c r="AQ580" s="238"/>
      <c r="AR580" s="27"/>
      <c r="AS580" s="238"/>
      <c r="AT580" s="27"/>
      <c r="AU580" s="238"/>
      <c r="AV580" s="64">
        <f t="shared" si="120"/>
        <v>0</v>
      </c>
      <c r="AW580" s="70">
        <f t="shared" si="121"/>
        <v>0</v>
      </c>
      <c r="AX580" s="66">
        <f t="shared" si="122"/>
        <v>0</v>
      </c>
      <c r="AY580" s="71">
        <f t="shared" si="123"/>
        <v>0</v>
      </c>
      <c r="AZ580" s="72">
        <f t="shared" si="124"/>
        <v>4285.931111111111</v>
      </c>
      <c r="BA580" s="66">
        <f t="shared" si="125"/>
        <v>4118.4733333333334</v>
      </c>
    </row>
    <row r="581" spans="1:53" ht="15">
      <c r="A581" s="155" t="s">
        <v>639</v>
      </c>
      <c r="B581" s="242" t="s">
        <v>717</v>
      </c>
      <c r="C581" s="695"/>
      <c r="D581" s="17">
        <v>441760</v>
      </c>
      <c r="E581" s="243">
        <v>9</v>
      </c>
      <c r="F581" s="29" t="s">
        <v>75</v>
      </c>
      <c r="G581" s="16"/>
      <c r="H581" s="27">
        <v>25250</v>
      </c>
      <c r="I581" s="26">
        <v>25346</v>
      </c>
      <c r="J581" s="27">
        <v>5287</v>
      </c>
      <c r="K581" s="238">
        <v>5328</v>
      </c>
      <c r="L581" s="27">
        <v>0</v>
      </c>
      <c r="M581" s="238">
        <v>0</v>
      </c>
      <c r="N581" s="27">
        <v>28508</v>
      </c>
      <c r="O581" s="149">
        <v>27537</v>
      </c>
      <c r="P581" s="64">
        <f t="shared" si="109"/>
        <v>59045</v>
      </c>
      <c r="Q581" s="65">
        <f t="shared" si="110"/>
        <v>1968.1666666666667</v>
      </c>
      <c r="R581" s="66">
        <f t="shared" si="111"/>
        <v>58211</v>
      </c>
      <c r="S581" s="67">
        <f t="shared" si="112"/>
        <v>1940.3666666666666</v>
      </c>
      <c r="T581" s="27">
        <v>594</v>
      </c>
      <c r="U581" s="109">
        <v>663</v>
      </c>
      <c r="V581" s="64">
        <f t="shared" si="113"/>
        <v>59045</v>
      </c>
      <c r="W581" s="68">
        <f>IF(ISBLANK(#REF!),0,R581)</f>
        <v>58211</v>
      </c>
      <c r="X581" s="27">
        <v>32443</v>
      </c>
      <c r="Y581" s="150">
        <v>50671</v>
      </c>
      <c r="Z581" s="27">
        <v>36368</v>
      </c>
      <c r="AA581" s="150">
        <v>59577</v>
      </c>
      <c r="AB581" s="27">
        <v>39479</v>
      </c>
      <c r="AC581" s="150">
        <v>42767</v>
      </c>
      <c r="AD581" s="27">
        <v>43894</v>
      </c>
      <c r="AE581" s="150">
        <v>50664</v>
      </c>
      <c r="AF581" s="64">
        <f t="shared" si="115"/>
        <v>152184</v>
      </c>
      <c r="AG581" s="65">
        <f t="shared" si="116"/>
        <v>169.09333333333333</v>
      </c>
      <c r="AH581" s="66">
        <f t="shared" si="127"/>
        <v>203679</v>
      </c>
      <c r="AI581" s="66">
        <f t="shared" si="117"/>
        <v>226.31</v>
      </c>
      <c r="AJ581" s="27"/>
      <c r="AL581" s="64">
        <f t="shared" si="118"/>
        <v>0</v>
      </c>
      <c r="AM581" s="67">
        <f t="shared" si="128"/>
        <v>203679</v>
      </c>
      <c r="AN581" s="27"/>
      <c r="AO581" s="26"/>
      <c r="AP581" s="27"/>
      <c r="AQ581" s="238"/>
      <c r="AR581" s="27"/>
      <c r="AS581" s="238"/>
      <c r="AT581" s="27"/>
      <c r="AU581" s="238"/>
      <c r="AV581" s="64">
        <f t="shared" si="120"/>
        <v>0</v>
      </c>
      <c r="AW581" s="70">
        <f t="shared" si="121"/>
        <v>0</v>
      </c>
      <c r="AX581" s="66">
        <f t="shared" si="122"/>
        <v>0</v>
      </c>
      <c r="AY581" s="71">
        <f t="shared" si="123"/>
        <v>0</v>
      </c>
      <c r="AZ581" s="72">
        <f t="shared" si="124"/>
        <v>2137.2600000000002</v>
      </c>
      <c r="BA581" s="66">
        <f t="shared" si="125"/>
        <v>2166.6766666666667</v>
      </c>
    </row>
    <row r="582" spans="1:53" ht="15">
      <c r="A582" s="155" t="s">
        <v>639</v>
      </c>
      <c r="B582" s="242" t="s">
        <v>718</v>
      </c>
      <c r="C582" s="704" t="s">
        <v>980</v>
      </c>
      <c r="D582" s="17">
        <v>226116</v>
      </c>
      <c r="E582" s="705">
        <v>10</v>
      </c>
      <c r="F582" s="29" t="s">
        <v>75</v>
      </c>
      <c r="G582" s="16"/>
      <c r="H582" s="27">
        <v>17861</v>
      </c>
      <c r="I582" s="26">
        <v>17736</v>
      </c>
      <c r="J582" s="27">
        <v>3677</v>
      </c>
      <c r="K582" s="150">
        <v>5057</v>
      </c>
      <c r="L582" s="27">
        <v>1033</v>
      </c>
      <c r="M582" s="238">
        <v>1018</v>
      </c>
      <c r="N582" s="27">
        <v>16406</v>
      </c>
      <c r="O582" s="150">
        <v>18076</v>
      </c>
      <c r="P582" s="64">
        <f t="shared" si="109"/>
        <v>38977</v>
      </c>
      <c r="Q582" s="65">
        <f t="shared" si="110"/>
        <v>1299.2333333333333</v>
      </c>
      <c r="R582" s="66">
        <f t="shared" si="111"/>
        <v>41887</v>
      </c>
      <c r="S582" s="67">
        <f t="shared" si="112"/>
        <v>1396.2333333333333</v>
      </c>
      <c r="T582" s="27">
        <v>2044</v>
      </c>
      <c r="U582" s="109">
        <v>3198</v>
      </c>
      <c r="V582" s="64">
        <f t="shared" si="113"/>
        <v>38977</v>
      </c>
      <c r="W582" s="68">
        <f>IF(ISBLANK(#REF!),0,R582)</f>
        <v>41887</v>
      </c>
      <c r="X582" s="27">
        <v>37069</v>
      </c>
      <c r="Y582" s="150">
        <v>42521</v>
      </c>
      <c r="Z582" s="27">
        <v>111008</v>
      </c>
      <c r="AA582" s="150">
        <v>89284</v>
      </c>
      <c r="AB582" s="27">
        <v>33150</v>
      </c>
      <c r="AC582" s="150">
        <v>57998</v>
      </c>
      <c r="AD582" s="27">
        <v>116712</v>
      </c>
      <c r="AE582" s="150">
        <v>102236</v>
      </c>
      <c r="AF582" s="64">
        <f t="shared" si="115"/>
        <v>297939</v>
      </c>
      <c r="AG582" s="65">
        <f t="shared" si="116"/>
        <v>331.04333333333335</v>
      </c>
      <c r="AH582" s="66">
        <f t="shared" si="127"/>
        <v>292039</v>
      </c>
      <c r="AI582" s="66">
        <f t="shared" si="117"/>
        <v>324.48777777777775</v>
      </c>
      <c r="AJ582" s="27"/>
      <c r="AL582" s="64">
        <f t="shared" si="118"/>
        <v>0</v>
      </c>
      <c r="AM582" s="67">
        <f t="shared" si="128"/>
        <v>292039</v>
      </c>
      <c r="AN582" s="27"/>
      <c r="AO582" s="26"/>
      <c r="AP582" s="27"/>
      <c r="AQ582" s="238"/>
      <c r="AR582" s="27"/>
      <c r="AS582" s="238"/>
      <c r="AT582" s="27"/>
      <c r="AU582" s="238"/>
      <c r="AV582" s="64">
        <f t="shared" si="120"/>
        <v>0</v>
      </c>
      <c r="AW582" s="70">
        <f t="shared" si="121"/>
        <v>0</v>
      </c>
      <c r="AX582" s="66">
        <f t="shared" si="122"/>
        <v>0</v>
      </c>
      <c r="AY582" s="71">
        <f t="shared" si="123"/>
        <v>0</v>
      </c>
      <c r="AZ582" s="72">
        <f t="shared" si="124"/>
        <v>1630.2766666666666</v>
      </c>
      <c r="BA582" s="66">
        <f t="shared" si="125"/>
        <v>1720.721111111111</v>
      </c>
    </row>
    <row r="583" spans="1:53" ht="15">
      <c r="A583" s="155" t="s">
        <v>639</v>
      </c>
      <c r="B583" s="242" t="s">
        <v>719</v>
      </c>
      <c r="C583" s="695" t="s">
        <v>993</v>
      </c>
      <c r="D583" s="17">
        <v>226204</v>
      </c>
      <c r="E583" s="17">
        <v>9</v>
      </c>
      <c r="F583" s="29" t="s">
        <v>75</v>
      </c>
      <c r="G583" s="16"/>
      <c r="H583" s="27">
        <v>54083</v>
      </c>
      <c r="I583" s="109">
        <v>63550</v>
      </c>
      <c r="J583" s="27">
        <v>24513</v>
      </c>
      <c r="K583" s="150">
        <v>27098</v>
      </c>
      <c r="L583" s="27">
        <v>3064</v>
      </c>
      <c r="M583" s="150">
        <v>2544</v>
      </c>
      <c r="N583" s="27">
        <v>48328</v>
      </c>
      <c r="O583" s="150">
        <v>55741</v>
      </c>
      <c r="P583" s="64">
        <f t="shared" si="109"/>
        <v>129988</v>
      </c>
      <c r="Q583" s="65">
        <f t="shared" si="110"/>
        <v>4332.9333333333334</v>
      </c>
      <c r="R583" s="66">
        <f t="shared" si="111"/>
        <v>148933</v>
      </c>
      <c r="S583" s="67">
        <f t="shared" si="112"/>
        <v>4964.4333333333334</v>
      </c>
      <c r="T583" s="27">
        <v>13945</v>
      </c>
      <c r="U583" s="109">
        <v>15605</v>
      </c>
      <c r="V583" s="64">
        <f t="shared" si="113"/>
        <v>129988</v>
      </c>
      <c r="W583" s="68">
        <f>IF(ISBLANK(#REF!),0,R583)</f>
        <v>148933</v>
      </c>
      <c r="X583" s="27">
        <v>10710</v>
      </c>
      <c r="Y583" s="150">
        <v>26640</v>
      </c>
      <c r="Z583" s="27">
        <v>12122</v>
      </c>
      <c r="AA583" s="150">
        <v>16785</v>
      </c>
      <c r="AB583" s="27">
        <v>12554</v>
      </c>
      <c r="AC583" s="150">
        <v>6064</v>
      </c>
      <c r="AD583" s="27">
        <v>29938</v>
      </c>
      <c r="AE583" s="150">
        <v>17550</v>
      </c>
      <c r="AF583" s="64">
        <f t="shared" si="115"/>
        <v>65324</v>
      </c>
      <c r="AG583" s="65">
        <f t="shared" si="116"/>
        <v>72.582222222222228</v>
      </c>
      <c r="AH583" s="66">
        <f t="shared" si="127"/>
        <v>67039</v>
      </c>
      <c r="AI583" s="66">
        <f t="shared" si="117"/>
        <v>74.487777777777779</v>
      </c>
      <c r="AJ583" s="27"/>
      <c r="AL583" s="64">
        <f t="shared" si="118"/>
        <v>0</v>
      </c>
      <c r="AM583" s="67">
        <f t="shared" si="128"/>
        <v>67039</v>
      </c>
      <c r="AN583" s="27"/>
      <c r="AO583" s="26"/>
      <c r="AP583" s="27"/>
      <c r="AQ583" s="238"/>
      <c r="AR583" s="27"/>
      <c r="AS583" s="238"/>
      <c r="AT583" s="27"/>
      <c r="AU583" s="238"/>
      <c r="AV583" s="64">
        <f t="shared" si="120"/>
        <v>0</v>
      </c>
      <c r="AW583" s="70">
        <f t="shared" si="121"/>
        <v>0</v>
      </c>
      <c r="AX583" s="66">
        <f t="shared" si="122"/>
        <v>0</v>
      </c>
      <c r="AY583" s="71">
        <f t="shared" si="123"/>
        <v>0</v>
      </c>
      <c r="AZ583" s="72">
        <f t="shared" si="124"/>
        <v>4405.5155555555557</v>
      </c>
      <c r="BA583" s="66">
        <f t="shared" si="125"/>
        <v>5038.9211111111108</v>
      </c>
    </row>
    <row r="584" spans="1:53" ht="15">
      <c r="A584" s="155" t="s">
        <v>639</v>
      </c>
      <c r="B584" s="250" t="s">
        <v>720</v>
      </c>
      <c r="C584" s="695" t="s">
        <v>993</v>
      </c>
      <c r="D584" s="17">
        <v>226930</v>
      </c>
      <c r="E584" s="17">
        <v>9</v>
      </c>
      <c r="F584" s="29" t="s">
        <v>75</v>
      </c>
      <c r="G584" s="16"/>
      <c r="H584" s="27">
        <v>54614</v>
      </c>
      <c r="I584" s="109">
        <v>60235</v>
      </c>
      <c r="J584" s="27">
        <v>32096</v>
      </c>
      <c r="K584" s="238">
        <v>31045</v>
      </c>
      <c r="L584" s="27">
        <v>0</v>
      </c>
      <c r="M584" s="238">
        <v>0</v>
      </c>
      <c r="N584" s="27">
        <v>57131</v>
      </c>
      <c r="O584" s="149">
        <v>57659</v>
      </c>
      <c r="P584" s="64">
        <f t="shared" si="109"/>
        <v>143841</v>
      </c>
      <c r="Q584" s="65">
        <f t="shared" si="110"/>
        <v>4794.7</v>
      </c>
      <c r="R584" s="66">
        <f t="shared" si="111"/>
        <v>148939</v>
      </c>
      <c r="S584" s="67">
        <f t="shared" si="112"/>
        <v>4964.6333333333332</v>
      </c>
      <c r="T584" s="27">
        <v>17760</v>
      </c>
      <c r="U584" s="109">
        <v>21050</v>
      </c>
      <c r="V584" s="64">
        <f t="shared" si="113"/>
        <v>143841</v>
      </c>
      <c r="W584" s="68">
        <f>IF(ISBLANK(#REF!),0,R584)</f>
        <v>148939</v>
      </c>
      <c r="X584" s="27">
        <v>26871</v>
      </c>
      <c r="Y584" s="150">
        <v>31909</v>
      </c>
      <c r="Z584" s="27">
        <v>30151</v>
      </c>
      <c r="AA584" s="150">
        <v>32826</v>
      </c>
      <c r="AB584" s="27">
        <v>49020</v>
      </c>
      <c r="AC584" s="150">
        <v>36973</v>
      </c>
      <c r="AD584" s="27">
        <v>30892</v>
      </c>
      <c r="AE584" s="150">
        <v>22274</v>
      </c>
      <c r="AF584" s="64">
        <f t="shared" si="115"/>
        <v>136934</v>
      </c>
      <c r="AG584" s="65">
        <f t="shared" si="116"/>
        <v>152.14888888888888</v>
      </c>
      <c r="AH584" s="66">
        <f t="shared" si="127"/>
        <v>123982</v>
      </c>
      <c r="AI584" s="66">
        <f t="shared" si="117"/>
        <v>137.75777777777779</v>
      </c>
      <c r="AJ584" s="27"/>
      <c r="AL584" s="64">
        <f t="shared" si="118"/>
        <v>0</v>
      </c>
      <c r="AM584" s="67">
        <f t="shared" si="128"/>
        <v>123982</v>
      </c>
      <c r="AN584" s="27"/>
      <c r="AO584" s="26"/>
      <c r="AP584" s="27"/>
      <c r="AQ584" s="238"/>
      <c r="AR584" s="27"/>
      <c r="AS584" s="238"/>
      <c r="AT584" s="27"/>
      <c r="AU584" s="238"/>
      <c r="AV584" s="64">
        <f t="shared" si="120"/>
        <v>0</v>
      </c>
      <c r="AW584" s="70">
        <f t="shared" si="121"/>
        <v>0</v>
      </c>
      <c r="AX584" s="66">
        <f t="shared" si="122"/>
        <v>0</v>
      </c>
      <c r="AY584" s="71">
        <f t="shared" si="123"/>
        <v>0</v>
      </c>
      <c r="AZ584" s="72">
        <f t="shared" si="124"/>
        <v>4946.8488888888887</v>
      </c>
      <c r="BA584" s="66">
        <f t="shared" si="125"/>
        <v>5102.3911111111111</v>
      </c>
    </row>
    <row r="585" spans="1:53">
      <c r="A585" s="155" t="s">
        <v>639</v>
      </c>
      <c r="B585" s="19" t="s">
        <v>721</v>
      </c>
      <c r="C585" s="11"/>
      <c r="D585" s="17">
        <v>227225</v>
      </c>
      <c r="E585" s="17">
        <v>9</v>
      </c>
      <c r="F585" s="29" t="s">
        <v>75</v>
      </c>
      <c r="G585" s="16"/>
      <c r="H585" s="27">
        <v>26425</v>
      </c>
      <c r="I585" s="26">
        <v>25432</v>
      </c>
      <c r="J585" s="27">
        <v>4506</v>
      </c>
      <c r="K585" s="150">
        <v>6440</v>
      </c>
      <c r="L585" s="27">
        <v>0</v>
      </c>
      <c r="M585" s="238">
        <v>0</v>
      </c>
      <c r="N585" s="27">
        <v>25978</v>
      </c>
      <c r="O585" s="150">
        <v>28359</v>
      </c>
      <c r="P585" s="64">
        <f t="shared" si="109"/>
        <v>56909</v>
      </c>
      <c r="Q585" s="65">
        <f t="shared" si="110"/>
        <v>1896.9666666666667</v>
      </c>
      <c r="R585" s="66">
        <f t="shared" si="111"/>
        <v>60231</v>
      </c>
      <c r="S585" s="67">
        <f t="shared" si="112"/>
        <v>2007.7</v>
      </c>
      <c r="T585" s="27">
        <v>3415</v>
      </c>
      <c r="U585" s="109">
        <v>7469</v>
      </c>
      <c r="V585" s="64">
        <f t="shared" si="113"/>
        <v>56909</v>
      </c>
      <c r="W585" s="68">
        <f>IF(ISBLANK(#REF!),0,R585)</f>
        <v>60231</v>
      </c>
      <c r="X585" s="27">
        <v>6237</v>
      </c>
      <c r="Y585" s="150">
        <v>9388</v>
      </c>
      <c r="Z585" s="27">
        <v>13063</v>
      </c>
      <c r="AA585" s="150">
        <v>9770</v>
      </c>
      <c r="AB585" s="27">
        <v>9845</v>
      </c>
      <c r="AC585" s="150">
        <v>16491</v>
      </c>
      <c r="AD585" s="27">
        <v>15802</v>
      </c>
      <c r="AE585" s="150">
        <v>16814</v>
      </c>
      <c r="AF585" s="64">
        <f t="shared" si="115"/>
        <v>44947</v>
      </c>
      <c r="AG585" s="65">
        <f t="shared" si="116"/>
        <v>49.941111111111113</v>
      </c>
      <c r="AH585" s="66">
        <f t="shared" si="127"/>
        <v>52463</v>
      </c>
      <c r="AI585" s="66">
        <f t="shared" si="117"/>
        <v>58.292222222222222</v>
      </c>
      <c r="AJ585" s="27"/>
      <c r="AL585" s="64">
        <f t="shared" si="118"/>
        <v>0</v>
      </c>
      <c r="AM585" s="67">
        <f t="shared" si="128"/>
        <v>52463</v>
      </c>
      <c r="AN585" s="27"/>
      <c r="AO585" s="26"/>
      <c r="AP585" s="27"/>
      <c r="AQ585" s="238"/>
      <c r="AR585" s="27"/>
      <c r="AS585" s="238"/>
      <c r="AT585" s="27"/>
      <c r="AU585" s="238"/>
      <c r="AV585" s="64">
        <f t="shared" si="120"/>
        <v>0</v>
      </c>
      <c r="AW585" s="70">
        <f t="shared" si="121"/>
        <v>0</v>
      </c>
      <c r="AX585" s="66">
        <f t="shared" si="122"/>
        <v>0</v>
      </c>
      <c r="AY585" s="71">
        <f t="shared" si="123"/>
        <v>0</v>
      </c>
      <c r="AZ585" s="72">
        <f t="shared" si="124"/>
        <v>1946.9077777777777</v>
      </c>
      <c r="BA585" s="66">
        <f t="shared" si="125"/>
        <v>2065.9922222222222</v>
      </c>
    </row>
    <row r="586" spans="1:53">
      <c r="A586" s="155" t="s">
        <v>639</v>
      </c>
      <c r="B586" s="242" t="s">
        <v>722</v>
      </c>
      <c r="C586" s="11"/>
      <c r="D586" s="17">
        <v>227304</v>
      </c>
      <c r="E586" s="17">
        <v>9</v>
      </c>
      <c r="F586" s="29" t="s">
        <v>75</v>
      </c>
      <c r="G586" s="16"/>
      <c r="H586" s="27">
        <v>40295</v>
      </c>
      <c r="I586" s="109">
        <v>28411</v>
      </c>
      <c r="J586" s="27">
        <v>18956</v>
      </c>
      <c r="K586" s="150">
        <v>21050</v>
      </c>
      <c r="L586" s="27">
        <v>5126</v>
      </c>
      <c r="M586" s="150">
        <v>5766</v>
      </c>
      <c r="N586" s="27">
        <v>45361</v>
      </c>
      <c r="O586" s="150">
        <v>52983</v>
      </c>
      <c r="P586" s="64">
        <f t="shared" si="109"/>
        <v>109738</v>
      </c>
      <c r="Q586" s="65">
        <f t="shared" si="110"/>
        <v>3657.9333333333334</v>
      </c>
      <c r="R586" s="66">
        <f t="shared" si="111"/>
        <v>108210</v>
      </c>
      <c r="S586" s="67">
        <f t="shared" si="112"/>
        <v>3607</v>
      </c>
      <c r="T586" s="27">
        <v>15099</v>
      </c>
      <c r="U586" s="109">
        <v>18056</v>
      </c>
      <c r="V586" s="64">
        <f t="shared" si="113"/>
        <v>109738</v>
      </c>
      <c r="W586" s="68">
        <f>IF(ISBLANK(#REF!),0,R586)</f>
        <v>108210</v>
      </c>
      <c r="X586" s="27">
        <v>95680</v>
      </c>
      <c r="Y586" s="150">
        <v>50415</v>
      </c>
      <c r="Z586" s="27">
        <v>58820</v>
      </c>
      <c r="AA586" s="150">
        <v>53720</v>
      </c>
      <c r="AB586" s="27">
        <v>81181</v>
      </c>
      <c r="AC586" s="150">
        <v>56939</v>
      </c>
      <c r="AD586" s="27">
        <v>81454</v>
      </c>
      <c r="AE586" s="150">
        <v>62601</v>
      </c>
      <c r="AF586" s="64">
        <f t="shared" si="115"/>
        <v>317135</v>
      </c>
      <c r="AG586" s="65">
        <f t="shared" si="116"/>
        <v>352.37222222222221</v>
      </c>
      <c r="AH586" s="66">
        <f t="shared" si="127"/>
        <v>223675</v>
      </c>
      <c r="AI586" s="66">
        <f t="shared" si="117"/>
        <v>248.52777777777777</v>
      </c>
      <c r="AJ586" s="27"/>
      <c r="AL586" s="64">
        <f t="shared" si="118"/>
        <v>0</v>
      </c>
      <c r="AM586" s="67">
        <f t="shared" si="128"/>
        <v>223675</v>
      </c>
      <c r="AN586" s="27"/>
      <c r="AO586" s="26"/>
      <c r="AP586" s="27"/>
      <c r="AQ586" s="238"/>
      <c r="AR586" s="27"/>
      <c r="AS586" s="238"/>
      <c r="AT586" s="27"/>
      <c r="AU586" s="238"/>
      <c r="AV586" s="64">
        <f t="shared" si="120"/>
        <v>0</v>
      </c>
      <c r="AW586" s="70">
        <f t="shared" si="121"/>
        <v>0</v>
      </c>
      <c r="AX586" s="66">
        <f t="shared" si="122"/>
        <v>0</v>
      </c>
      <c r="AY586" s="71">
        <f t="shared" si="123"/>
        <v>0</v>
      </c>
      <c r="AZ586" s="72">
        <f t="shared" si="124"/>
        <v>4010.3055555555557</v>
      </c>
      <c r="BA586" s="66">
        <f t="shared" si="125"/>
        <v>3855.5277777777778</v>
      </c>
    </row>
    <row r="587" spans="1:53">
      <c r="A587" s="155" t="s">
        <v>639</v>
      </c>
      <c r="B587" s="242" t="s">
        <v>723</v>
      </c>
      <c r="C587" s="11"/>
      <c r="D587" s="17">
        <v>227401</v>
      </c>
      <c r="E587" s="17">
        <v>9</v>
      </c>
      <c r="F587" s="29" t="s">
        <v>75</v>
      </c>
      <c r="G587" s="16"/>
      <c r="H587" s="27">
        <v>44847</v>
      </c>
      <c r="I587" s="109">
        <v>41051</v>
      </c>
      <c r="J587" s="27">
        <v>10828</v>
      </c>
      <c r="K587" s="150">
        <v>10068</v>
      </c>
      <c r="L587" s="27">
        <v>4807</v>
      </c>
      <c r="M587" s="238">
        <v>4946</v>
      </c>
      <c r="N587" s="27">
        <v>45945</v>
      </c>
      <c r="O587" s="150">
        <v>42579</v>
      </c>
      <c r="P587" s="64">
        <f t="shared" si="109"/>
        <v>106427</v>
      </c>
      <c r="Q587" s="65">
        <f t="shared" si="110"/>
        <v>3547.5666666666666</v>
      </c>
      <c r="R587" s="66">
        <f t="shared" si="111"/>
        <v>98644</v>
      </c>
      <c r="S587" s="67">
        <f t="shared" si="112"/>
        <v>3288.1333333333332</v>
      </c>
      <c r="T587" s="27">
        <v>15088</v>
      </c>
      <c r="U587" s="109">
        <v>17241</v>
      </c>
      <c r="V587" s="64">
        <f t="shared" si="113"/>
        <v>106427</v>
      </c>
      <c r="W587" s="68">
        <f>IF(ISBLANK(#REF!),0,R587)</f>
        <v>98644</v>
      </c>
      <c r="X587" s="27">
        <v>29825</v>
      </c>
      <c r="Y587" s="150">
        <v>25430</v>
      </c>
      <c r="Z587" s="27">
        <v>22497</v>
      </c>
      <c r="AA587" s="150">
        <v>30095</v>
      </c>
      <c r="AB587" s="27">
        <v>10301</v>
      </c>
      <c r="AC587" s="150">
        <v>23958</v>
      </c>
      <c r="AD587" s="27">
        <v>46343</v>
      </c>
      <c r="AE587" s="238">
        <v>45407</v>
      </c>
      <c r="AF587" s="64">
        <f t="shared" si="115"/>
        <v>108966</v>
      </c>
      <c r="AG587" s="65">
        <f t="shared" si="116"/>
        <v>121.07333333333334</v>
      </c>
      <c r="AH587" s="66">
        <f t="shared" si="127"/>
        <v>124890</v>
      </c>
      <c r="AI587" s="66">
        <f t="shared" si="117"/>
        <v>138.76666666666668</v>
      </c>
      <c r="AJ587" s="27"/>
      <c r="AL587" s="64">
        <f t="shared" si="118"/>
        <v>0</v>
      </c>
      <c r="AM587" s="67">
        <f t="shared" si="128"/>
        <v>124890</v>
      </c>
      <c r="AN587" s="27"/>
      <c r="AO587" s="26"/>
      <c r="AP587" s="27"/>
      <c r="AQ587" s="238"/>
      <c r="AR587" s="27"/>
      <c r="AS587" s="238"/>
      <c r="AT587" s="27"/>
      <c r="AU587" s="238"/>
      <c r="AV587" s="64">
        <f t="shared" si="120"/>
        <v>0</v>
      </c>
      <c r="AW587" s="70">
        <f t="shared" si="121"/>
        <v>0</v>
      </c>
      <c r="AX587" s="66">
        <f t="shared" si="122"/>
        <v>0</v>
      </c>
      <c r="AY587" s="71">
        <f t="shared" si="123"/>
        <v>0</v>
      </c>
      <c r="AZ587" s="72">
        <f t="shared" si="124"/>
        <v>3668.64</v>
      </c>
      <c r="BA587" s="66">
        <f t="shared" si="125"/>
        <v>3426.9</v>
      </c>
    </row>
    <row r="588" spans="1:53">
      <c r="A588" s="155" t="s">
        <v>639</v>
      </c>
      <c r="B588" s="242" t="s">
        <v>724</v>
      </c>
      <c r="C588" s="11"/>
      <c r="D588" s="17">
        <v>228316</v>
      </c>
      <c r="E588" s="17">
        <v>9</v>
      </c>
      <c r="F588" s="29" t="s">
        <v>75</v>
      </c>
      <c r="G588" s="16"/>
      <c r="H588" s="27">
        <v>42948</v>
      </c>
      <c r="I588" s="26">
        <v>44037</v>
      </c>
      <c r="J588" s="27">
        <v>6668</v>
      </c>
      <c r="K588" s="150">
        <v>5567</v>
      </c>
      <c r="L588" s="27">
        <v>4139</v>
      </c>
      <c r="M588" s="238">
        <v>4007</v>
      </c>
      <c r="N588" s="27">
        <v>46902</v>
      </c>
      <c r="O588" s="150">
        <v>50721</v>
      </c>
      <c r="P588" s="64">
        <f t="shared" si="109"/>
        <v>100657</v>
      </c>
      <c r="Q588" s="65">
        <f t="shared" si="110"/>
        <v>3355.2333333333331</v>
      </c>
      <c r="R588" s="66">
        <f t="shared" si="111"/>
        <v>104332</v>
      </c>
      <c r="S588" s="67">
        <f t="shared" si="112"/>
        <v>3477.7333333333331</v>
      </c>
      <c r="T588" s="27">
        <v>17172</v>
      </c>
      <c r="U588" s="109">
        <v>19781</v>
      </c>
      <c r="V588" s="64">
        <f t="shared" si="113"/>
        <v>100657</v>
      </c>
      <c r="W588" s="68">
        <f>IF(ISBLANK(#REF!),0,R588)</f>
        <v>104332</v>
      </c>
      <c r="X588" s="27">
        <v>10052</v>
      </c>
      <c r="Y588" s="150">
        <v>22108</v>
      </c>
      <c r="Z588" s="27">
        <v>15014</v>
      </c>
      <c r="AA588" s="150">
        <v>33395</v>
      </c>
      <c r="AB588" s="27">
        <v>40085</v>
      </c>
      <c r="AC588" s="150">
        <v>10335</v>
      </c>
      <c r="AD588" s="27">
        <v>10304</v>
      </c>
      <c r="AE588" s="238">
        <v>9905</v>
      </c>
      <c r="AF588" s="64">
        <f t="shared" si="115"/>
        <v>75455</v>
      </c>
      <c r="AG588" s="65">
        <f t="shared" si="116"/>
        <v>83.838888888888889</v>
      </c>
      <c r="AH588" s="66">
        <f t="shared" si="127"/>
        <v>75743</v>
      </c>
      <c r="AI588" s="66">
        <f t="shared" si="117"/>
        <v>84.158888888888896</v>
      </c>
      <c r="AJ588" s="27"/>
      <c r="AL588" s="64">
        <f t="shared" si="118"/>
        <v>0</v>
      </c>
      <c r="AM588" s="67">
        <f t="shared" si="128"/>
        <v>75743</v>
      </c>
      <c r="AN588" s="27"/>
      <c r="AO588" s="26"/>
      <c r="AP588" s="27"/>
      <c r="AQ588" s="238"/>
      <c r="AR588" s="27"/>
      <c r="AS588" s="238"/>
      <c r="AT588" s="27"/>
      <c r="AU588" s="238"/>
      <c r="AV588" s="64">
        <f t="shared" si="120"/>
        <v>0</v>
      </c>
      <c r="AW588" s="70">
        <f t="shared" si="121"/>
        <v>0</v>
      </c>
      <c r="AX588" s="66">
        <f t="shared" si="122"/>
        <v>0</v>
      </c>
      <c r="AY588" s="71">
        <f t="shared" si="123"/>
        <v>0</v>
      </c>
      <c r="AZ588" s="72">
        <f t="shared" si="124"/>
        <v>3439.0722222222221</v>
      </c>
      <c r="BA588" s="66">
        <f t="shared" si="125"/>
        <v>3561.8922222222218</v>
      </c>
    </row>
    <row r="589" spans="1:53">
      <c r="A589" s="155" t="s">
        <v>639</v>
      </c>
      <c r="B589" s="242" t="s">
        <v>725</v>
      </c>
      <c r="C589" s="11"/>
      <c r="D589" s="17">
        <v>228608</v>
      </c>
      <c r="E589" s="17">
        <v>9</v>
      </c>
      <c r="F589" s="29" t="s">
        <v>75</v>
      </c>
      <c r="G589" s="16"/>
      <c r="H589" s="27">
        <v>44901</v>
      </c>
      <c r="I589" s="26">
        <v>42993</v>
      </c>
      <c r="J589" s="27">
        <v>12076</v>
      </c>
      <c r="K589" s="238">
        <v>12018</v>
      </c>
      <c r="L589" s="27">
        <v>0</v>
      </c>
      <c r="M589" s="238">
        <v>0</v>
      </c>
      <c r="N589" s="27">
        <v>46935</v>
      </c>
      <c r="O589" s="149">
        <v>45302</v>
      </c>
      <c r="P589" s="64">
        <f t="shared" si="109"/>
        <v>103912</v>
      </c>
      <c r="Q589" s="65">
        <f t="shared" si="110"/>
        <v>3463.7333333333331</v>
      </c>
      <c r="R589" s="66">
        <f t="shared" si="111"/>
        <v>100313</v>
      </c>
      <c r="S589" s="67">
        <f t="shared" si="112"/>
        <v>3343.7666666666669</v>
      </c>
      <c r="T589" s="27">
        <v>13259</v>
      </c>
      <c r="U589" s="26">
        <v>13610</v>
      </c>
      <c r="V589" s="64">
        <f t="shared" si="113"/>
        <v>103912</v>
      </c>
      <c r="W589" s="68">
        <f>IF(ISBLANK(#REF!),0,R589)</f>
        <v>100313</v>
      </c>
      <c r="X589" s="27">
        <v>20324</v>
      </c>
      <c r="Y589" s="150">
        <v>11856</v>
      </c>
      <c r="Z589" s="27">
        <v>22900</v>
      </c>
      <c r="AA589" s="150">
        <v>29955</v>
      </c>
      <c r="AB589" s="27">
        <v>19955</v>
      </c>
      <c r="AC589" s="150">
        <v>16360</v>
      </c>
      <c r="AD589" s="27">
        <v>37995</v>
      </c>
      <c r="AE589" s="150">
        <v>21111</v>
      </c>
      <c r="AF589" s="64">
        <f t="shared" si="115"/>
        <v>101174</v>
      </c>
      <c r="AG589" s="65">
        <f t="shared" si="116"/>
        <v>112.41555555555556</v>
      </c>
      <c r="AH589" s="66">
        <f t="shared" si="127"/>
        <v>79282</v>
      </c>
      <c r="AI589" s="66">
        <f t="shared" si="117"/>
        <v>88.091111111111104</v>
      </c>
      <c r="AJ589" s="27"/>
      <c r="AL589" s="64">
        <f t="shared" si="118"/>
        <v>0</v>
      </c>
      <c r="AM589" s="67">
        <f t="shared" si="128"/>
        <v>79282</v>
      </c>
      <c r="AN589" s="27"/>
      <c r="AO589" s="26"/>
      <c r="AP589" s="27"/>
      <c r="AQ589" s="238"/>
      <c r="AR589" s="27"/>
      <c r="AS589" s="238"/>
      <c r="AT589" s="27"/>
      <c r="AU589" s="238"/>
      <c r="AV589" s="64">
        <f t="shared" si="120"/>
        <v>0</v>
      </c>
      <c r="AW589" s="70">
        <f t="shared" si="121"/>
        <v>0</v>
      </c>
      <c r="AX589" s="66">
        <f t="shared" si="122"/>
        <v>0</v>
      </c>
      <c r="AY589" s="71">
        <f t="shared" si="123"/>
        <v>0</v>
      </c>
      <c r="AZ589" s="72">
        <f t="shared" si="124"/>
        <v>3576.1488888888889</v>
      </c>
      <c r="BA589" s="66">
        <f t="shared" si="125"/>
        <v>3431.8577777777782</v>
      </c>
    </row>
    <row r="590" spans="1:53">
      <c r="A590" s="155" t="s">
        <v>639</v>
      </c>
      <c r="B590" s="242" t="s">
        <v>726</v>
      </c>
      <c r="C590" s="11"/>
      <c r="D590" s="17">
        <v>228699</v>
      </c>
      <c r="E590" s="17">
        <v>9</v>
      </c>
      <c r="F590" s="29" t="s">
        <v>75</v>
      </c>
      <c r="G590" s="16"/>
      <c r="H590" s="27">
        <v>31878</v>
      </c>
      <c r="I590" s="109">
        <v>29921</v>
      </c>
      <c r="J590" s="27">
        <v>6844</v>
      </c>
      <c r="K590" s="150">
        <v>6327</v>
      </c>
      <c r="L590" s="27">
        <v>0</v>
      </c>
      <c r="M590" s="238">
        <v>0</v>
      </c>
      <c r="N590" s="27">
        <v>37406</v>
      </c>
      <c r="O590" s="149">
        <v>38735</v>
      </c>
      <c r="P590" s="64">
        <f t="shared" si="109"/>
        <v>76128</v>
      </c>
      <c r="Q590" s="65">
        <f t="shared" si="110"/>
        <v>2537.6</v>
      </c>
      <c r="R590" s="66">
        <f t="shared" si="111"/>
        <v>74983</v>
      </c>
      <c r="S590" s="67">
        <f t="shared" si="112"/>
        <v>2499.4333333333334</v>
      </c>
      <c r="T590" s="27">
        <v>13993</v>
      </c>
      <c r="U590" s="109">
        <v>16114</v>
      </c>
      <c r="V590" s="64">
        <f t="shared" si="113"/>
        <v>76128</v>
      </c>
      <c r="W590" s="68">
        <f>IF(ISBLANK(#REF!),0,R590)</f>
        <v>74983</v>
      </c>
      <c r="X590" s="27">
        <v>82945</v>
      </c>
      <c r="Y590" s="150">
        <v>76631</v>
      </c>
      <c r="Z590" s="27">
        <v>77155</v>
      </c>
      <c r="AA590" s="150">
        <v>82181</v>
      </c>
      <c r="AB590" s="27">
        <v>70724</v>
      </c>
      <c r="AC590" s="150">
        <v>80581</v>
      </c>
      <c r="AD590" s="27">
        <v>93032</v>
      </c>
      <c r="AE590" s="150">
        <v>80104</v>
      </c>
      <c r="AF590" s="64">
        <f t="shared" si="115"/>
        <v>323856</v>
      </c>
      <c r="AG590" s="65">
        <f t="shared" si="116"/>
        <v>359.84</v>
      </c>
      <c r="AH590" s="66">
        <f t="shared" si="127"/>
        <v>319497</v>
      </c>
      <c r="AI590" s="66">
        <f t="shared" si="117"/>
        <v>354.99666666666667</v>
      </c>
      <c r="AJ590" s="27"/>
      <c r="AL590" s="64">
        <f t="shared" si="118"/>
        <v>0</v>
      </c>
      <c r="AM590" s="67">
        <f t="shared" si="128"/>
        <v>319497</v>
      </c>
      <c r="AN590" s="27"/>
      <c r="AO590" s="26"/>
      <c r="AP590" s="27"/>
      <c r="AQ590" s="238"/>
      <c r="AR590" s="27"/>
      <c r="AS590" s="238"/>
      <c r="AT590" s="27"/>
      <c r="AU590" s="238"/>
      <c r="AV590" s="64">
        <f t="shared" si="120"/>
        <v>0</v>
      </c>
      <c r="AW590" s="70">
        <f t="shared" si="121"/>
        <v>0</v>
      </c>
      <c r="AX590" s="66">
        <f t="shared" si="122"/>
        <v>0</v>
      </c>
      <c r="AY590" s="71">
        <f t="shared" si="123"/>
        <v>0</v>
      </c>
      <c r="AZ590" s="72">
        <f t="shared" si="124"/>
        <v>2897.44</v>
      </c>
      <c r="BA590" s="66">
        <f t="shared" si="125"/>
        <v>2854.4300000000003</v>
      </c>
    </row>
    <row r="591" spans="1:53">
      <c r="A591" s="155" t="s">
        <v>639</v>
      </c>
      <c r="B591" s="242" t="s">
        <v>727</v>
      </c>
      <c r="C591" s="18"/>
      <c r="D591" s="17">
        <v>229072</v>
      </c>
      <c r="E591" s="17">
        <v>9</v>
      </c>
      <c r="F591" s="29" t="s">
        <v>75</v>
      </c>
      <c r="G591" s="16"/>
      <c r="H591" s="27">
        <v>34144</v>
      </c>
      <c r="I591" s="26">
        <v>35045</v>
      </c>
      <c r="J591" s="27">
        <v>2395</v>
      </c>
      <c r="K591" s="238">
        <v>2279</v>
      </c>
      <c r="L591" s="27">
        <v>2533</v>
      </c>
      <c r="M591" s="150">
        <v>1361</v>
      </c>
      <c r="N591" s="27">
        <v>31235</v>
      </c>
      <c r="O591" s="150">
        <v>38436</v>
      </c>
      <c r="P591" s="64">
        <f t="shared" si="109"/>
        <v>70307</v>
      </c>
      <c r="Q591" s="65">
        <f t="shared" si="110"/>
        <v>2343.5666666666666</v>
      </c>
      <c r="R591" s="66">
        <f t="shared" si="111"/>
        <v>77121</v>
      </c>
      <c r="S591" s="67">
        <f t="shared" si="112"/>
        <v>2570.6999999999998</v>
      </c>
      <c r="T591" s="27">
        <v>10397</v>
      </c>
      <c r="U591" s="109">
        <v>12785</v>
      </c>
      <c r="V591" s="64">
        <f t="shared" si="113"/>
        <v>70307</v>
      </c>
      <c r="W591" s="68">
        <f>IF(ISBLANK(#REF!),0,R591)</f>
        <v>77121</v>
      </c>
      <c r="X591" s="27">
        <v>33532</v>
      </c>
      <c r="Y591" s="150">
        <v>8096</v>
      </c>
      <c r="Z591" s="27">
        <v>10040</v>
      </c>
      <c r="AA591" s="150">
        <v>3800</v>
      </c>
      <c r="AB591" s="27">
        <v>13840</v>
      </c>
      <c r="AC591" s="150">
        <v>8496</v>
      </c>
      <c r="AD591" s="27">
        <v>13080</v>
      </c>
      <c r="AE591" s="150">
        <v>8148</v>
      </c>
      <c r="AF591" s="64">
        <f t="shared" si="115"/>
        <v>70492</v>
      </c>
      <c r="AG591" s="65">
        <f t="shared" si="116"/>
        <v>78.324444444444438</v>
      </c>
      <c r="AH591" s="66">
        <f t="shared" si="127"/>
        <v>28540</v>
      </c>
      <c r="AI591" s="66">
        <f t="shared" si="117"/>
        <v>31.711111111111112</v>
      </c>
      <c r="AJ591" s="27"/>
      <c r="AL591" s="64">
        <f t="shared" si="118"/>
        <v>0</v>
      </c>
      <c r="AM591" s="67">
        <f t="shared" si="128"/>
        <v>28540</v>
      </c>
      <c r="AN591" s="27"/>
      <c r="AO591" s="26"/>
      <c r="AP591" s="27"/>
      <c r="AQ591" s="238"/>
      <c r="AR591" s="27"/>
      <c r="AS591" s="238"/>
      <c r="AT591" s="27"/>
      <c r="AU591" s="238"/>
      <c r="AV591" s="64">
        <f t="shared" si="120"/>
        <v>0</v>
      </c>
      <c r="AW591" s="70">
        <f t="shared" si="121"/>
        <v>0</v>
      </c>
      <c r="AX591" s="66">
        <f t="shared" si="122"/>
        <v>0</v>
      </c>
      <c r="AY591" s="71">
        <f t="shared" si="123"/>
        <v>0</v>
      </c>
      <c r="AZ591" s="72">
        <f t="shared" si="124"/>
        <v>2421.8911111111111</v>
      </c>
      <c r="BA591" s="66">
        <f t="shared" si="125"/>
        <v>2602.411111111111</v>
      </c>
    </row>
    <row r="592" spans="1:53">
      <c r="A592" s="155" t="s">
        <v>639</v>
      </c>
      <c r="B592" s="242" t="s">
        <v>728</v>
      </c>
      <c r="C592" s="18"/>
      <c r="D592" s="17">
        <v>229319</v>
      </c>
      <c r="E592" s="17">
        <v>9</v>
      </c>
      <c r="F592" s="29" t="s">
        <v>75</v>
      </c>
      <c r="G592" s="16"/>
      <c r="H592" s="27">
        <v>43512</v>
      </c>
      <c r="I592" s="109">
        <v>40201</v>
      </c>
      <c r="J592" s="27">
        <v>24557</v>
      </c>
      <c r="K592" s="150">
        <v>26173</v>
      </c>
      <c r="L592" s="27">
        <v>0</v>
      </c>
      <c r="M592" s="238">
        <v>0</v>
      </c>
      <c r="N592" s="27">
        <v>43519</v>
      </c>
      <c r="O592" s="150">
        <v>48886</v>
      </c>
      <c r="P592" s="64">
        <f t="shared" si="109"/>
        <v>111588</v>
      </c>
      <c r="Q592" s="65">
        <f t="shared" si="110"/>
        <v>3719.6</v>
      </c>
      <c r="R592" s="66">
        <f t="shared" si="111"/>
        <v>115260</v>
      </c>
      <c r="S592" s="67">
        <f t="shared" si="112"/>
        <v>3842</v>
      </c>
      <c r="T592" s="27">
        <v>12502</v>
      </c>
      <c r="U592" s="109">
        <v>18542</v>
      </c>
      <c r="V592" s="64">
        <f t="shared" si="113"/>
        <v>111588</v>
      </c>
      <c r="W592" s="68">
        <f>IF(ISBLANK(#REF!),0,R592)</f>
        <v>115260</v>
      </c>
      <c r="X592" s="27">
        <v>29972</v>
      </c>
      <c r="Y592" s="150">
        <v>22780</v>
      </c>
      <c r="Z592" s="27">
        <v>55465</v>
      </c>
      <c r="AA592" s="150">
        <v>41022</v>
      </c>
      <c r="AB592" s="27">
        <v>34193</v>
      </c>
      <c r="AC592" s="150">
        <v>22091</v>
      </c>
      <c r="AD592" s="27">
        <v>30247</v>
      </c>
      <c r="AE592" s="150">
        <v>17002</v>
      </c>
      <c r="AF592" s="64">
        <f t="shared" si="115"/>
        <v>149877</v>
      </c>
      <c r="AG592" s="65">
        <f t="shared" si="116"/>
        <v>166.53</v>
      </c>
      <c r="AH592" s="66">
        <f t="shared" si="127"/>
        <v>102895</v>
      </c>
      <c r="AI592" s="66">
        <f t="shared" si="117"/>
        <v>114.32777777777778</v>
      </c>
      <c r="AJ592" s="27"/>
      <c r="AL592" s="64">
        <f t="shared" si="118"/>
        <v>0</v>
      </c>
      <c r="AM592" s="67">
        <f t="shared" si="128"/>
        <v>102895</v>
      </c>
      <c r="AN592" s="27"/>
      <c r="AO592" s="26"/>
      <c r="AP592" s="27"/>
      <c r="AQ592" s="238"/>
      <c r="AR592" s="27"/>
      <c r="AS592" s="238"/>
      <c r="AT592" s="27"/>
      <c r="AU592" s="238"/>
      <c r="AV592" s="64">
        <f t="shared" si="120"/>
        <v>0</v>
      </c>
      <c r="AW592" s="70">
        <f t="shared" si="121"/>
        <v>0</v>
      </c>
      <c r="AX592" s="66">
        <f t="shared" si="122"/>
        <v>0</v>
      </c>
      <c r="AY592" s="71">
        <f t="shared" si="123"/>
        <v>0</v>
      </c>
      <c r="AZ592" s="72">
        <f t="shared" si="124"/>
        <v>3886.13</v>
      </c>
      <c r="BA592" s="66">
        <f t="shared" si="125"/>
        <v>3956.3277777777776</v>
      </c>
    </row>
    <row r="593" spans="1:53">
      <c r="A593" s="155" t="s">
        <v>639</v>
      </c>
      <c r="B593" s="19" t="s">
        <v>729</v>
      </c>
      <c r="C593" s="18"/>
      <c r="D593" s="17">
        <v>228680</v>
      </c>
      <c r="E593" s="17">
        <v>9</v>
      </c>
      <c r="F593" s="29" t="s">
        <v>75</v>
      </c>
      <c r="G593" s="16"/>
      <c r="H593" s="27">
        <v>40694</v>
      </c>
      <c r="I593" s="26">
        <v>39122</v>
      </c>
      <c r="J593" s="27">
        <v>29051</v>
      </c>
      <c r="K593" s="238">
        <v>27868</v>
      </c>
      <c r="L593" s="27">
        <v>0</v>
      </c>
      <c r="M593" s="238">
        <v>0</v>
      </c>
      <c r="N593" s="27">
        <v>41289</v>
      </c>
      <c r="O593" s="150">
        <v>43939</v>
      </c>
      <c r="P593" s="64">
        <f t="shared" si="109"/>
        <v>111034</v>
      </c>
      <c r="Q593" s="65">
        <f t="shared" si="110"/>
        <v>3701.1333333333332</v>
      </c>
      <c r="R593" s="66">
        <f t="shared" si="111"/>
        <v>110929</v>
      </c>
      <c r="S593" s="67">
        <f t="shared" si="112"/>
        <v>3697.6333333333332</v>
      </c>
      <c r="T593" s="27">
        <v>3614</v>
      </c>
      <c r="U593" s="109">
        <v>4318</v>
      </c>
      <c r="V593" s="64">
        <f t="shared" si="113"/>
        <v>111034</v>
      </c>
      <c r="W593" s="68">
        <f>IF(ISBLANK(#REF!),0,R593)</f>
        <v>110929</v>
      </c>
      <c r="X593" s="27">
        <v>3980</v>
      </c>
      <c r="Y593" s="150">
        <v>1120</v>
      </c>
      <c r="Z593" s="27">
        <v>3800</v>
      </c>
      <c r="AA593" s="150">
        <v>4216</v>
      </c>
      <c r="AB593" s="27">
        <v>1128</v>
      </c>
      <c r="AC593" s="150">
        <v>2658</v>
      </c>
      <c r="AD593" s="27">
        <v>0</v>
      </c>
      <c r="AE593" s="150">
        <v>1190</v>
      </c>
      <c r="AF593" s="64">
        <f t="shared" si="115"/>
        <v>8908</v>
      </c>
      <c r="AG593" s="65">
        <f t="shared" si="116"/>
        <v>9.8977777777777778</v>
      </c>
      <c r="AH593" s="66">
        <f t="shared" si="127"/>
        <v>9184</v>
      </c>
      <c r="AI593" s="66">
        <f t="shared" si="117"/>
        <v>10.204444444444444</v>
      </c>
      <c r="AJ593" s="27"/>
      <c r="AL593" s="64">
        <f t="shared" si="118"/>
        <v>0</v>
      </c>
      <c r="AM593" s="67">
        <f t="shared" si="128"/>
        <v>9184</v>
      </c>
      <c r="AN593" s="27"/>
      <c r="AO593" s="26"/>
      <c r="AP593" s="27"/>
      <c r="AQ593" s="238"/>
      <c r="AR593" s="27"/>
      <c r="AS593" s="238"/>
      <c r="AT593" s="27"/>
      <c r="AU593" s="238"/>
      <c r="AV593" s="64">
        <f t="shared" si="120"/>
        <v>0</v>
      </c>
      <c r="AW593" s="70">
        <f t="shared" si="121"/>
        <v>0</v>
      </c>
      <c r="AX593" s="66">
        <f t="shared" si="122"/>
        <v>0</v>
      </c>
      <c r="AY593" s="71">
        <f t="shared" si="123"/>
        <v>0</v>
      </c>
      <c r="AZ593" s="72">
        <f t="shared" si="124"/>
        <v>3711.0311111111109</v>
      </c>
      <c r="BA593" s="66">
        <f t="shared" si="125"/>
        <v>3707.8377777777778</v>
      </c>
    </row>
    <row r="594" spans="1:53">
      <c r="A594" s="155" t="s">
        <v>639</v>
      </c>
      <c r="B594" s="242" t="s">
        <v>730</v>
      </c>
      <c r="C594" s="11"/>
      <c r="D594" s="17">
        <v>229504</v>
      </c>
      <c r="E594" s="243">
        <v>9</v>
      </c>
      <c r="F594" s="29" t="s">
        <v>75</v>
      </c>
      <c r="G594" s="16"/>
      <c r="H594" s="27">
        <v>25202</v>
      </c>
      <c r="I594" s="26">
        <v>25245</v>
      </c>
      <c r="J594" s="27">
        <v>2997</v>
      </c>
      <c r="K594" s="238">
        <v>3000</v>
      </c>
      <c r="L594" s="27">
        <v>4565</v>
      </c>
      <c r="M594" s="150">
        <v>4158</v>
      </c>
      <c r="N594" s="27">
        <v>25557</v>
      </c>
      <c r="O594" s="149">
        <v>26227</v>
      </c>
      <c r="P594" s="64">
        <f t="shared" si="109"/>
        <v>58321</v>
      </c>
      <c r="Q594" s="65">
        <f t="shared" si="110"/>
        <v>1944.0333333333333</v>
      </c>
      <c r="R594" s="66">
        <f t="shared" si="111"/>
        <v>58630</v>
      </c>
      <c r="S594" s="67">
        <f t="shared" si="112"/>
        <v>1954.3333333333333</v>
      </c>
      <c r="T594" s="27">
        <v>4375</v>
      </c>
      <c r="U594" s="109">
        <v>5739</v>
      </c>
      <c r="V594" s="64">
        <f t="shared" si="113"/>
        <v>58321</v>
      </c>
      <c r="W594" s="68">
        <f>IF(ISBLANK(#REF!),0,R594)</f>
        <v>58630</v>
      </c>
      <c r="X594" s="27">
        <v>65312</v>
      </c>
      <c r="Y594" s="150">
        <v>61735</v>
      </c>
      <c r="Z594" s="27">
        <v>50689</v>
      </c>
      <c r="AA594" s="238">
        <v>48328</v>
      </c>
      <c r="AB594" s="27">
        <v>35088</v>
      </c>
      <c r="AC594" s="150">
        <v>46400</v>
      </c>
      <c r="AD594" s="27">
        <v>89631</v>
      </c>
      <c r="AE594" s="150">
        <v>54249</v>
      </c>
      <c r="AF594" s="64">
        <f t="shared" si="115"/>
        <v>240720</v>
      </c>
      <c r="AG594" s="65">
        <f t="shared" si="116"/>
        <v>267.46666666666664</v>
      </c>
      <c r="AH594" s="66">
        <f t="shared" si="127"/>
        <v>210712</v>
      </c>
      <c r="AI594" s="66">
        <f t="shared" si="117"/>
        <v>234.12444444444444</v>
      </c>
      <c r="AJ594" s="27"/>
      <c r="AL594" s="64">
        <f t="shared" si="118"/>
        <v>0</v>
      </c>
      <c r="AM594" s="67">
        <f t="shared" si="128"/>
        <v>210712</v>
      </c>
      <c r="AN594" s="27"/>
      <c r="AO594" s="26"/>
      <c r="AP594" s="27"/>
      <c r="AQ594" s="238"/>
      <c r="AR594" s="27"/>
      <c r="AS594" s="238"/>
      <c r="AT594" s="27"/>
      <c r="AU594" s="238"/>
      <c r="AV594" s="64">
        <f t="shared" si="120"/>
        <v>0</v>
      </c>
      <c r="AW594" s="70">
        <f t="shared" si="121"/>
        <v>0</v>
      </c>
      <c r="AX594" s="66">
        <f t="shared" si="122"/>
        <v>0</v>
      </c>
      <c r="AY594" s="71">
        <f t="shared" si="123"/>
        <v>0</v>
      </c>
      <c r="AZ594" s="72">
        <f t="shared" si="124"/>
        <v>2211.5</v>
      </c>
      <c r="BA594" s="66">
        <f t="shared" si="125"/>
        <v>2188.4577777777777</v>
      </c>
    </row>
    <row r="595" spans="1:53">
      <c r="A595" s="155" t="s">
        <v>639</v>
      </c>
      <c r="B595" s="242" t="s">
        <v>731</v>
      </c>
      <c r="C595" s="11"/>
      <c r="D595" s="17">
        <v>229540</v>
      </c>
      <c r="E595" s="17">
        <v>9</v>
      </c>
      <c r="F595" s="29" t="s">
        <v>75</v>
      </c>
      <c r="G595" s="16"/>
      <c r="H595" s="27">
        <v>29339</v>
      </c>
      <c r="I595" s="26">
        <v>28856</v>
      </c>
      <c r="J595" s="27">
        <v>9092</v>
      </c>
      <c r="K595" s="150">
        <v>8308</v>
      </c>
      <c r="L595" s="27">
        <v>0</v>
      </c>
      <c r="M595" s="238">
        <v>0</v>
      </c>
      <c r="N595" s="27">
        <v>32053</v>
      </c>
      <c r="O595" s="149">
        <v>31258</v>
      </c>
      <c r="P595" s="64">
        <f t="shared" si="109"/>
        <v>70484</v>
      </c>
      <c r="Q595" s="65">
        <f t="shared" si="110"/>
        <v>2349.4666666666667</v>
      </c>
      <c r="R595" s="66">
        <f t="shared" si="111"/>
        <v>68422</v>
      </c>
      <c r="S595" s="67">
        <f t="shared" si="112"/>
        <v>2280.7333333333331</v>
      </c>
      <c r="T595" s="27">
        <v>6117</v>
      </c>
      <c r="U595" s="109">
        <v>6858</v>
      </c>
      <c r="V595" s="64">
        <f t="shared" si="113"/>
        <v>70484</v>
      </c>
      <c r="W595" s="68">
        <f>IF(ISBLANK(#REF!),0,R595)</f>
        <v>68422</v>
      </c>
      <c r="X595" s="27">
        <v>50333</v>
      </c>
      <c r="Y595" s="150">
        <v>44248</v>
      </c>
      <c r="Z595" s="27">
        <v>19263</v>
      </c>
      <c r="AA595" s="150">
        <v>21531</v>
      </c>
      <c r="AB595" s="27">
        <v>38952</v>
      </c>
      <c r="AC595" s="150">
        <v>13741</v>
      </c>
      <c r="AD595" s="27">
        <v>63824</v>
      </c>
      <c r="AE595" s="150">
        <v>44716</v>
      </c>
      <c r="AF595" s="64">
        <f t="shared" si="115"/>
        <v>172372</v>
      </c>
      <c r="AG595" s="65">
        <f t="shared" si="116"/>
        <v>191.52444444444444</v>
      </c>
      <c r="AH595" s="66">
        <f t="shared" si="127"/>
        <v>124236</v>
      </c>
      <c r="AI595" s="66">
        <f t="shared" si="117"/>
        <v>138.04</v>
      </c>
      <c r="AJ595" s="27"/>
      <c r="AL595" s="64">
        <f t="shared" si="118"/>
        <v>0</v>
      </c>
      <c r="AM595" s="67">
        <f t="shared" si="128"/>
        <v>124236</v>
      </c>
      <c r="AN595" s="27"/>
      <c r="AO595" s="26"/>
      <c r="AP595" s="27"/>
      <c r="AQ595" s="238"/>
      <c r="AR595" s="27"/>
      <c r="AS595" s="238"/>
      <c r="AT595" s="27"/>
      <c r="AU595" s="238"/>
      <c r="AV595" s="64">
        <f t="shared" si="120"/>
        <v>0</v>
      </c>
      <c r="AW595" s="70">
        <f t="shared" si="121"/>
        <v>0</v>
      </c>
      <c r="AX595" s="66">
        <f t="shared" si="122"/>
        <v>0</v>
      </c>
      <c r="AY595" s="71">
        <f t="shared" si="123"/>
        <v>0</v>
      </c>
      <c r="AZ595" s="72">
        <f t="shared" si="124"/>
        <v>2540.991111111111</v>
      </c>
      <c r="BA595" s="66">
        <f t="shared" si="125"/>
        <v>2418.7733333333331</v>
      </c>
    </row>
    <row r="596" spans="1:53">
      <c r="A596" s="155" t="s">
        <v>639</v>
      </c>
      <c r="B596" s="242" t="s">
        <v>732</v>
      </c>
      <c r="C596" s="11"/>
      <c r="D596" s="17">
        <v>229799</v>
      </c>
      <c r="E596" s="17">
        <v>9</v>
      </c>
      <c r="F596" s="29" t="s">
        <v>75</v>
      </c>
      <c r="G596" s="16"/>
      <c r="H596" s="27">
        <v>46464</v>
      </c>
      <c r="I596" s="26">
        <v>46450</v>
      </c>
      <c r="J596" s="27">
        <v>7626</v>
      </c>
      <c r="K596" s="238">
        <v>7546</v>
      </c>
      <c r="L596" s="27">
        <v>4464</v>
      </c>
      <c r="M596" s="150">
        <v>4130</v>
      </c>
      <c r="N596" s="27">
        <v>48854</v>
      </c>
      <c r="O596" s="149">
        <v>49346</v>
      </c>
      <c r="P596" s="64">
        <f t="shared" si="109"/>
        <v>107408</v>
      </c>
      <c r="Q596" s="65">
        <f t="shared" si="110"/>
        <v>3580.2666666666669</v>
      </c>
      <c r="R596" s="66">
        <f t="shared" si="111"/>
        <v>107472</v>
      </c>
      <c r="S596" s="67">
        <f t="shared" si="112"/>
        <v>3582.4</v>
      </c>
      <c r="T596" s="27">
        <v>10827</v>
      </c>
      <c r="U596" s="109">
        <v>11651</v>
      </c>
      <c r="V596" s="64">
        <f t="shared" si="113"/>
        <v>107408</v>
      </c>
      <c r="W596" s="68">
        <f>IF(ISBLANK(#REF!),0,R596)</f>
        <v>107472</v>
      </c>
      <c r="X596" s="27">
        <v>149568</v>
      </c>
      <c r="Y596" s="150">
        <v>43637</v>
      </c>
      <c r="Z596" s="27">
        <v>30466</v>
      </c>
      <c r="AA596" s="150">
        <v>36491</v>
      </c>
      <c r="AB596" s="27">
        <v>42369</v>
      </c>
      <c r="AC596" s="150">
        <v>29866</v>
      </c>
      <c r="AD596" s="27">
        <v>211390</v>
      </c>
      <c r="AE596" s="150">
        <v>29744</v>
      </c>
      <c r="AF596" s="64">
        <f t="shared" si="115"/>
        <v>433793</v>
      </c>
      <c r="AG596" s="65">
        <f t="shared" si="116"/>
        <v>481.99222222222221</v>
      </c>
      <c r="AH596" s="66">
        <f t="shared" si="127"/>
        <v>139738</v>
      </c>
      <c r="AI596" s="66">
        <f t="shared" si="117"/>
        <v>155.26444444444445</v>
      </c>
      <c r="AJ596" s="27"/>
      <c r="AL596" s="64">
        <f t="shared" si="118"/>
        <v>0</v>
      </c>
      <c r="AM596" s="67">
        <f t="shared" si="128"/>
        <v>139738</v>
      </c>
      <c r="AN596" s="27"/>
      <c r="AO596" s="26"/>
      <c r="AP596" s="27"/>
      <c r="AQ596" s="238"/>
      <c r="AR596" s="27"/>
      <c r="AS596" s="238"/>
      <c r="AT596" s="27"/>
      <c r="AU596" s="238"/>
      <c r="AV596" s="64">
        <f t="shared" si="120"/>
        <v>0</v>
      </c>
      <c r="AW596" s="70">
        <f t="shared" si="121"/>
        <v>0</v>
      </c>
      <c r="AX596" s="66">
        <f t="shared" si="122"/>
        <v>0</v>
      </c>
      <c r="AY596" s="71">
        <f t="shared" si="123"/>
        <v>0</v>
      </c>
      <c r="AZ596" s="72">
        <f t="shared" si="124"/>
        <v>4062.258888888889</v>
      </c>
      <c r="BA596" s="66">
        <f t="shared" si="125"/>
        <v>3737.6644444444446</v>
      </c>
    </row>
    <row r="597" spans="1:53">
      <c r="A597" s="155" t="s">
        <v>639</v>
      </c>
      <c r="B597" s="242" t="s">
        <v>733</v>
      </c>
      <c r="C597" s="11"/>
      <c r="D597" s="17">
        <v>229841</v>
      </c>
      <c r="E597" s="17">
        <v>9</v>
      </c>
      <c r="F597" s="29" t="s">
        <v>75</v>
      </c>
      <c r="G597" s="16"/>
      <c r="H597" s="27">
        <v>59698</v>
      </c>
      <c r="I597" s="26">
        <v>59887</v>
      </c>
      <c r="J597" s="27">
        <v>13036</v>
      </c>
      <c r="K597" s="150">
        <v>11956</v>
      </c>
      <c r="L597" s="27">
        <v>6056</v>
      </c>
      <c r="M597" s="238">
        <v>6096</v>
      </c>
      <c r="N597" s="27">
        <v>65723</v>
      </c>
      <c r="O597" s="149">
        <v>65395</v>
      </c>
      <c r="P597" s="64">
        <f t="shared" si="109"/>
        <v>144513</v>
      </c>
      <c r="Q597" s="65">
        <f t="shared" si="110"/>
        <v>4817.1000000000004</v>
      </c>
      <c r="R597" s="66">
        <f t="shared" si="111"/>
        <v>143334</v>
      </c>
      <c r="S597" s="67">
        <f t="shared" si="112"/>
        <v>4777.8</v>
      </c>
      <c r="T597" s="27">
        <v>9399</v>
      </c>
      <c r="U597" s="109">
        <v>8099</v>
      </c>
      <c r="V597" s="64">
        <f t="shared" si="113"/>
        <v>144513</v>
      </c>
      <c r="W597" s="68">
        <f>IF(ISBLANK(#REF!),0,R597)</f>
        <v>143334</v>
      </c>
      <c r="X597" s="27">
        <v>13943</v>
      </c>
      <c r="Y597" s="150">
        <v>10885</v>
      </c>
      <c r="Z597" s="27">
        <v>7840</v>
      </c>
      <c r="AA597" s="150">
        <v>9653</v>
      </c>
      <c r="AB597" s="27">
        <v>12724</v>
      </c>
      <c r="AC597" s="150">
        <v>9847</v>
      </c>
      <c r="AD597" s="27">
        <v>10761</v>
      </c>
      <c r="AE597" s="150">
        <v>7402</v>
      </c>
      <c r="AF597" s="64">
        <f t="shared" si="115"/>
        <v>45268</v>
      </c>
      <c r="AG597" s="65">
        <f t="shared" si="116"/>
        <v>50.297777777777775</v>
      </c>
      <c r="AH597" s="66">
        <f t="shared" si="127"/>
        <v>37787</v>
      </c>
      <c r="AI597" s="66">
        <f t="shared" si="117"/>
        <v>41.985555555555557</v>
      </c>
      <c r="AJ597" s="27"/>
      <c r="AL597" s="64">
        <f t="shared" si="118"/>
        <v>0</v>
      </c>
      <c r="AM597" s="67">
        <f t="shared" si="128"/>
        <v>37787</v>
      </c>
      <c r="AN597" s="27"/>
      <c r="AO597" s="26"/>
      <c r="AP597" s="27"/>
      <c r="AQ597" s="238"/>
      <c r="AR597" s="27"/>
      <c r="AS597" s="238"/>
      <c r="AT597" s="27"/>
      <c r="AU597" s="238"/>
      <c r="AV597" s="64">
        <f t="shared" si="120"/>
        <v>0</v>
      </c>
      <c r="AW597" s="70">
        <f t="shared" si="121"/>
        <v>0</v>
      </c>
      <c r="AX597" s="66">
        <f t="shared" si="122"/>
        <v>0</v>
      </c>
      <c r="AY597" s="71">
        <f t="shared" si="123"/>
        <v>0</v>
      </c>
      <c r="AZ597" s="72">
        <f t="shared" si="124"/>
        <v>4867.3977777777782</v>
      </c>
      <c r="BA597" s="66">
        <f t="shared" si="125"/>
        <v>4819.7855555555561</v>
      </c>
    </row>
    <row r="598" spans="1:53">
      <c r="A598" s="155" t="s">
        <v>639</v>
      </c>
      <c r="B598" s="242" t="s">
        <v>734</v>
      </c>
      <c r="C598" s="11"/>
      <c r="D598" s="17">
        <v>223922</v>
      </c>
      <c r="E598" s="17">
        <v>10</v>
      </c>
      <c r="F598" s="29" t="s">
        <v>75</v>
      </c>
      <c r="G598" s="16"/>
      <c r="H598" s="27">
        <v>11211</v>
      </c>
      <c r="I598" s="109">
        <v>11843</v>
      </c>
      <c r="J598" s="27">
        <v>2541</v>
      </c>
      <c r="K598" s="150">
        <v>2337</v>
      </c>
      <c r="L598" s="27">
        <v>738</v>
      </c>
      <c r="M598" s="150">
        <v>632</v>
      </c>
      <c r="N598" s="27">
        <v>12907</v>
      </c>
      <c r="O598" s="150">
        <v>14152</v>
      </c>
      <c r="P598" s="64">
        <f t="shared" si="109"/>
        <v>27397</v>
      </c>
      <c r="Q598" s="65">
        <f t="shared" si="110"/>
        <v>913.23333333333335</v>
      </c>
      <c r="R598" s="66">
        <f t="shared" si="111"/>
        <v>28964</v>
      </c>
      <c r="S598" s="67">
        <f t="shared" si="112"/>
        <v>965.4666666666667</v>
      </c>
      <c r="T598" s="27">
        <v>4439</v>
      </c>
      <c r="U598" s="109">
        <v>6044</v>
      </c>
      <c r="V598" s="64">
        <f t="shared" si="113"/>
        <v>27397</v>
      </c>
      <c r="W598" s="68">
        <f>IF(ISBLANK(#REF!),0,R598)</f>
        <v>28964</v>
      </c>
      <c r="X598" s="27">
        <v>5898</v>
      </c>
      <c r="Y598" s="150">
        <v>6780</v>
      </c>
      <c r="Z598" s="27">
        <v>6427</v>
      </c>
      <c r="AA598" s="150">
        <v>8284</v>
      </c>
      <c r="AB598" s="27">
        <v>1572</v>
      </c>
      <c r="AC598" s="150">
        <v>7632</v>
      </c>
      <c r="AD598" s="27">
        <v>6862</v>
      </c>
      <c r="AE598" s="150">
        <v>4888</v>
      </c>
      <c r="AF598" s="64">
        <f t="shared" si="115"/>
        <v>20759</v>
      </c>
      <c r="AG598" s="65">
        <f t="shared" si="116"/>
        <v>23.065555555555555</v>
      </c>
      <c r="AH598" s="66">
        <f t="shared" si="127"/>
        <v>27584</v>
      </c>
      <c r="AI598" s="66">
        <f t="shared" si="117"/>
        <v>30.648888888888887</v>
      </c>
      <c r="AJ598" s="27"/>
      <c r="AL598" s="64">
        <f t="shared" si="118"/>
        <v>0</v>
      </c>
      <c r="AM598" s="67">
        <f t="shared" si="128"/>
        <v>27584</v>
      </c>
      <c r="AN598" s="27"/>
      <c r="AO598" s="26"/>
      <c r="AP598" s="27"/>
      <c r="AQ598" s="238"/>
      <c r="AR598" s="27"/>
      <c r="AS598" s="238"/>
      <c r="AT598" s="27"/>
      <c r="AU598" s="238"/>
      <c r="AV598" s="64">
        <f t="shared" si="120"/>
        <v>0</v>
      </c>
      <c r="AW598" s="70">
        <f t="shared" si="121"/>
        <v>0</v>
      </c>
      <c r="AX598" s="66">
        <f t="shared" si="122"/>
        <v>0</v>
      </c>
      <c r="AY598" s="71">
        <f t="shared" si="123"/>
        <v>0</v>
      </c>
      <c r="AZ598" s="72">
        <f t="shared" si="124"/>
        <v>936.29888888888888</v>
      </c>
      <c r="BA598" s="66">
        <f t="shared" si="125"/>
        <v>996.1155555555556</v>
      </c>
    </row>
    <row r="599" spans="1:53">
      <c r="A599" s="155" t="s">
        <v>639</v>
      </c>
      <c r="B599" s="242" t="s">
        <v>735</v>
      </c>
      <c r="C599" s="11"/>
      <c r="D599" s="17">
        <v>224891</v>
      </c>
      <c r="E599" s="17">
        <v>10</v>
      </c>
      <c r="F599" s="29" t="s">
        <v>75</v>
      </c>
      <c r="G599" s="16"/>
      <c r="H599" s="27">
        <v>11655</v>
      </c>
      <c r="I599" s="26">
        <v>11867</v>
      </c>
      <c r="J599" s="27">
        <v>1641</v>
      </c>
      <c r="K599" s="150">
        <v>1732</v>
      </c>
      <c r="L599" s="27">
        <v>618</v>
      </c>
      <c r="M599" s="150">
        <v>700</v>
      </c>
      <c r="N599" s="27">
        <v>12372</v>
      </c>
      <c r="O599" s="150">
        <v>13426</v>
      </c>
      <c r="P599" s="64">
        <f t="shared" si="109"/>
        <v>26286</v>
      </c>
      <c r="Q599" s="65">
        <f t="shared" si="110"/>
        <v>876.2</v>
      </c>
      <c r="R599" s="66">
        <f t="shared" si="111"/>
        <v>27725</v>
      </c>
      <c r="S599" s="67">
        <f t="shared" si="112"/>
        <v>924.16666666666663</v>
      </c>
      <c r="T599" s="27">
        <v>7957</v>
      </c>
      <c r="U599" s="109">
        <v>10224</v>
      </c>
      <c r="V599" s="64">
        <f t="shared" si="113"/>
        <v>26286</v>
      </c>
      <c r="W599" s="68">
        <f>IF(ISBLANK(#REF!),0,R599)</f>
        <v>27725</v>
      </c>
      <c r="X599" s="27">
        <v>33357</v>
      </c>
      <c r="Y599" s="238">
        <v>32739</v>
      </c>
      <c r="Z599" s="27">
        <v>28725</v>
      </c>
      <c r="AA599" s="150">
        <v>18032</v>
      </c>
      <c r="AB599" s="27">
        <v>25851</v>
      </c>
      <c r="AC599" s="150">
        <v>14588</v>
      </c>
      <c r="AD599" s="27">
        <v>15387</v>
      </c>
      <c r="AE599" s="150">
        <v>24711</v>
      </c>
      <c r="AF599" s="64">
        <f t="shared" si="115"/>
        <v>103320</v>
      </c>
      <c r="AG599" s="65">
        <f t="shared" si="116"/>
        <v>114.8</v>
      </c>
      <c r="AH599" s="66">
        <f t="shared" si="127"/>
        <v>90070</v>
      </c>
      <c r="AI599" s="66">
        <f t="shared" si="117"/>
        <v>100.07777777777778</v>
      </c>
      <c r="AJ599" s="27"/>
      <c r="AL599" s="64">
        <f t="shared" si="118"/>
        <v>0</v>
      </c>
      <c r="AM599" s="67">
        <f t="shared" si="128"/>
        <v>90070</v>
      </c>
      <c r="AN599" s="27"/>
      <c r="AO599" s="26"/>
      <c r="AP599" s="27"/>
      <c r="AQ599" s="238"/>
      <c r="AR599" s="27"/>
      <c r="AS599" s="238"/>
      <c r="AT599" s="27"/>
      <c r="AU599" s="238"/>
      <c r="AV599" s="64">
        <f t="shared" si="120"/>
        <v>0</v>
      </c>
      <c r="AW599" s="70">
        <f t="shared" si="121"/>
        <v>0</v>
      </c>
      <c r="AX599" s="66">
        <f t="shared" si="122"/>
        <v>0</v>
      </c>
      <c r="AY599" s="71">
        <f t="shared" si="123"/>
        <v>0</v>
      </c>
      <c r="AZ599" s="72">
        <f t="shared" si="124"/>
        <v>991</v>
      </c>
      <c r="BA599" s="66">
        <f t="shared" si="125"/>
        <v>1024.2444444444445</v>
      </c>
    </row>
    <row r="600" spans="1:53">
      <c r="A600" s="155" t="s">
        <v>639</v>
      </c>
      <c r="B600" s="242" t="s">
        <v>736</v>
      </c>
      <c r="C600" s="11"/>
      <c r="D600" s="17">
        <v>224961</v>
      </c>
      <c r="E600" s="17">
        <v>10</v>
      </c>
      <c r="F600" s="29" t="s">
        <v>75</v>
      </c>
      <c r="G600" s="16"/>
      <c r="H600" s="27">
        <v>17400</v>
      </c>
      <c r="I600" s="26">
        <v>16715</v>
      </c>
      <c r="J600" s="27">
        <v>4252</v>
      </c>
      <c r="K600" s="238">
        <v>4218</v>
      </c>
      <c r="L600" s="27">
        <v>3435</v>
      </c>
      <c r="M600" s="238">
        <v>3592</v>
      </c>
      <c r="N600" s="27">
        <v>16412</v>
      </c>
      <c r="O600" s="150">
        <v>17295</v>
      </c>
      <c r="P600" s="64">
        <f t="shared" si="109"/>
        <v>41499</v>
      </c>
      <c r="Q600" s="65">
        <f t="shared" si="110"/>
        <v>1383.3</v>
      </c>
      <c r="R600" s="66">
        <f t="shared" si="111"/>
        <v>41820</v>
      </c>
      <c r="S600" s="67">
        <f t="shared" si="112"/>
        <v>1394</v>
      </c>
      <c r="T600" s="27">
        <v>3458</v>
      </c>
      <c r="U600" s="109">
        <v>4515</v>
      </c>
      <c r="V600" s="64">
        <f t="shared" si="113"/>
        <v>41499</v>
      </c>
      <c r="W600" s="68">
        <f>IF(ISBLANK(#REF!),0,R600)</f>
        <v>41820</v>
      </c>
      <c r="X600" s="27">
        <v>7520</v>
      </c>
      <c r="Y600" s="150">
        <v>11599</v>
      </c>
      <c r="Z600" s="27">
        <v>3704</v>
      </c>
      <c r="AA600" s="150">
        <v>8337</v>
      </c>
      <c r="AB600" s="27">
        <v>3984</v>
      </c>
      <c r="AC600" s="150">
        <v>3012</v>
      </c>
      <c r="AD600" s="27">
        <v>16315</v>
      </c>
      <c r="AE600" s="150">
        <v>19700</v>
      </c>
      <c r="AF600" s="64">
        <f t="shared" si="115"/>
        <v>31523</v>
      </c>
      <c r="AG600" s="65">
        <f t="shared" si="116"/>
        <v>35.025555555555556</v>
      </c>
      <c r="AH600" s="66">
        <f t="shared" si="127"/>
        <v>42648</v>
      </c>
      <c r="AI600" s="66">
        <f t="shared" si="117"/>
        <v>47.386666666666663</v>
      </c>
      <c r="AJ600" s="27"/>
      <c r="AL600" s="64">
        <f t="shared" si="118"/>
        <v>0</v>
      </c>
      <c r="AM600" s="67">
        <f t="shared" si="128"/>
        <v>42648</v>
      </c>
      <c r="AN600" s="27"/>
      <c r="AO600" s="26"/>
      <c r="AP600" s="27"/>
      <c r="AQ600" s="238"/>
      <c r="AR600" s="27"/>
      <c r="AS600" s="238"/>
      <c r="AT600" s="27"/>
      <c r="AU600" s="238"/>
      <c r="AV600" s="64">
        <f t="shared" si="120"/>
        <v>0</v>
      </c>
      <c r="AW600" s="70">
        <f t="shared" si="121"/>
        <v>0</v>
      </c>
      <c r="AX600" s="66">
        <f t="shared" si="122"/>
        <v>0</v>
      </c>
      <c r="AY600" s="71">
        <f t="shared" si="123"/>
        <v>0</v>
      </c>
      <c r="AZ600" s="72">
        <f t="shared" si="124"/>
        <v>1418.3255555555554</v>
      </c>
      <c r="BA600" s="66">
        <f t="shared" si="125"/>
        <v>1441.3866666666668</v>
      </c>
    </row>
    <row r="601" spans="1:53">
      <c r="A601" s="155" t="s">
        <v>639</v>
      </c>
      <c r="B601" s="242" t="s">
        <v>737</v>
      </c>
      <c r="C601" s="11"/>
      <c r="D601" s="17">
        <v>226107</v>
      </c>
      <c r="E601" s="243">
        <v>10</v>
      </c>
      <c r="F601" s="29" t="s">
        <v>75</v>
      </c>
      <c r="G601" s="16"/>
      <c r="H601" s="27">
        <v>19087</v>
      </c>
      <c r="I601" s="26">
        <v>18905</v>
      </c>
      <c r="J601" s="27">
        <v>5696</v>
      </c>
      <c r="K601" s="238">
        <v>5798</v>
      </c>
      <c r="L601" s="27">
        <v>0</v>
      </c>
      <c r="M601" s="238">
        <v>0</v>
      </c>
      <c r="N601" s="27">
        <v>21101</v>
      </c>
      <c r="O601" s="149">
        <v>21007</v>
      </c>
      <c r="P601" s="64">
        <f t="shared" si="109"/>
        <v>45884</v>
      </c>
      <c r="Q601" s="65">
        <f t="shared" si="110"/>
        <v>1529.4666666666667</v>
      </c>
      <c r="R601" s="66">
        <f t="shared" si="111"/>
        <v>45710</v>
      </c>
      <c r="S601" s="67">
        <f t="shared" si="112"/>
        <v>1523.6666666666667</v>
      </c>
      <c r="T601" s="27">
        <v>3825</v>
      </c>
      <c r="U601" s="109">
        <v>3320</v>
      </c>
      <c r="V601" s="64">
        <f t="shared" si="113"/>
        <v>45884</v>
      </c>
      <c r="W601" s="68">
        <f>IF(ISBLANK(#REF!),0,R601)</f>
        <v>45710</v>
      </c>
      <c r="X601" s="27">
        <v>11059</v>
      </c>
      <c r="Y601" s="150">
        <v>3239</v>
      </c>
      <c r="Z601" s="27">
        <v>4067</v>
      </c>
      <c r="AA601" s="150">
        <v>1349</v>
      </c>
      <c r="AB601" s="27">
        <v>4764</v>
      </c>
      <c r="AC601" s="150">
        <v>1528</v>
      </c>
      <c r="AD601" s="27">
        <v>6916</v>
      </c>
      <c r="AE601" s="150">
        <v>1804</v>
      </c>
      <c r="AF601" s="64">
        <f t="shared" si="115"/>
        <v>26806</v>
      </c>
      <c r="AG601" s="65">
        <f t="shared" si="116"/>
        <v>29.784444444444443</v>
      </c>
      <c r="AH601" s="66">
        <f t="shared" si="127"/>
        <v>7920</v>
      </c>
      <c r="AI601" s="66">
        <f t="shared" si="117"/>
        <v>8.8000000000000007</v>
      </c>
      <c r="AJ601" s="27"/>
      <c r="AL601" s="64">
        <f t="shared" si="118"/>
        <v>0</v>
      </c>
      <c r="AM601" s="67">
        <f t="shared" si="128"/>
        <v>7920</v>
      </c>
      <c r="AN601" s="27"/>
      <c r="AO601" s="26"/>
      <c r="AP601" s="27"/>
      <c r="AQ601" s="238"/>
      <c r="AR601" s="27"/>
      <c r="AS601" s="238"/>
      <c r="AT601" s="27"/>
      <c r="AU601" s="238"/>
      <c r="AV601" s="64">
        <f t="shared" si="120"/>
        <v>0</v>
      </c>
      <c r="AW601" s="70">
        <f t="shared" si="121"/>
        <v>0</v>
      </c>
      <c r="AX601" s="66">
        <f t="shared" si="122"/>
        <v>0</v>
      </c>
      <c r="AY601" s="71">
        <f t="shared" si="123"/>
        <v>0</v>
      </c>
      <c r="AZ601" s="72">
        <f t="shared" si="124"/>
        <v>1559.2511111111112</v>
      </c>
      <c r="BA601" s="66">
        <f t="shared" si="125"/>
        <v>1532.4666666666667</v>
      </c>
    </row>
    <row r="602" spans="1:53">
      <c r="A602" s="155" t="s">
        <v>639</v>
      </c>
      <c r="B602" s="251" t="s">
        <v>738</v>
      </c>
      <c r="C602" s="11"/>
      <c r="D602" s="249" t="s">
        <v>739</v>
      </c>
      <c r="E602" s="243">
        <v>10</v>
      </c>
      <c r="F602" s="29" t="s">
        <v>75</v>
      </c>
      <c r="G602" s="16"/>
      <c r="H602" s="27">
        <v>15964</v>
      </c>
      <c r="I602" s="109">
        <v>24471</v>
      </c>
      <c r="J602" s="27">
        <v>7755</v>
      </c>
      <c r="K602" s="150">
        <v>8443</v>
      </c>
      <c r="L602" s="27">
        <v>0</v>
      </c>
      <c r="M602" s="238">
        <v>0</v>
      </c>
      <c r="N602" s="27">
        <v>19402</v>
      </c>
      <c r="O602" s="150">
        <v>22699</v>
      </c>
      <c r="P602" s="64">
        <f t="shared" si="109"/>
        <v>43121</v>
      </c>
      <c r="Q602" s="65">
        <f t="shared" si="110"/>
        <v>1437.3666666666666</v>
      </c>
      <c r="R602" s="66">
        <f t="shared" si="111"/>
        <v>55613</v>
      </c>
      <c r="S602" s="67">
        <f t="shared" si="112"/>
        <v>1853.7666666666667</v>
      </c>
      <c r="T602" s="27">
        <v>24</v>
      </c>
      <c r="U602" s="109">
        <v>0</v>
      </c>
      <c r="V602" s="64">
        <f t="shared" si="113"/>
        <v>43121</v>
      </c>
      <c r="W602" s="68">
        <f>IF(ISBLANK(#REF!),0,R602)</f>
        <v>55613</v>
      </c>
      <c r="X602" s="27">
        <v>1808</v>
      </c>
      <c r="Y602" s="150">
        <v>4520</v>
      </c>
      <c r="Z602" s="27">
        <v>552</v>
      </c>
      <c r="AA602" s="150">
        <v>10052</v>
      </c>
      <c r="AB602" s="27">
        <v>6528</v>
      </c>
      <c r="AC602" s="150">
        <v>2536</v>
      </c>
      <c r="AD602" s="27">
        <v>2680</v>
      </c>
      <c r="AE602" s="150">
        <v>1320</v>
      </c>
      <c r="AF602" s="64">
        <f t="shared" si="115"/>
        <v>11568</v>
      </c>
      <c r="AG602" s="65">
        <f t="shared" si="116"/>
        <v>12.853333333333333</v>
      </c>
      <c r="AH602" s="66">
        <f t="shared" si="127"/>
        <v>18428</v>
      </c>
      <c r="AI602" s="66">
        <f t="shared" si="117"/>
        <v>20.475555555555555</v>
      </c>
      <c r="AJ602" s="27"/>
      <c r="AL602" s="64">
        <f t="shared" si="118"/>
        <v>0</v>
      </c>
      <c r="AM602" s="67">
        <f t="shared" si="128"/>
        <v>18428</v>
      </c>
      <c r="AN602" s="27"/>
      <c r="AO602" s="26"/>
      <c r="AP602" s="27"/>
      <c r="AQ602" s="238"/>
      <c r="AR602" s="27"/>
      <c r="AS602" s="238"/>
      <c r="AT602" s="27"/>
      <c r="AU602" s="238"/>
      <c r="AV602" s="64">
        <f t="shared" si="120"/>
        <v>0</v>
      </c>
      <c r="AW602" s="70">
        <f t="shared" si="121"/>
        <v>0</v>
      </c>
      <c r="AX602" s="66">
        <f t="shared" si="122"/>
        <v>0</v>
      </c>
      <c r="AY602" s="71">
        <f t="shared" si="123"/>
        <v>0</v>
      </c>
      <c r="AZ602" s="72">
        <f t="shared" si="124"/>
        <v>1450.2199999999998</v>
      </c>
      <c r="BA602" s="66">
        <f t="shared" si="125"/>
        <v>1874.2422222222222</v>
      </c>
    </row>
    <row r="603" spans="1:53">
      <c r="A603" s="155" t="s">
        <v>639</v>
      </c>
      <c r="B603" s="242" t="s">
        <v>740</v>
      </c>
      <c r="C603" s="11"/>
      <c r="D603" s="17">
        <v>227386</v>
      </c>
      <c r="E603" s="17">
        <v>10</v>
      </c>
      <c r="F603" s="29" t="s">
        <v>75</v>
      </c>
      <c r="G603" s="16"/>
      <c r="H603" s="27">
        <v>24672</v>
      </c>
      <c r="I603" s="26">
        <v>24360</v>
      </c>
      <c r="J603" s="27">
        <v>2848</v>
      </c>
      <c r="K603" s="150">
        <v>3983</v>
      </c>
      <c r="L603" s="27">
        <v>1766</v>
      </c>
      <c r="M603" s="150">
        <v>1399</v>
      </c>
      <c r="N603" s="27">
        <v>27379</v>
      </c>
      <c r="O603" s="149">
        <v>27374</v>
      </c>
      <c r="P603" s="64">
        <f t="shared" si="109"/>
        <v>56665</v>
      </c>
      <c r="Q603" s="65">
        <f t="shared" si="110"/>
        <v>1888.8333333333333</v>
      </c>
      <c r="R603" s="66">
        <f t="shared" si="111"/>
        <v>57116</v>
      </c>
      <c r="S603" s="67">
        <f t="shared" si="112"/>
        <v>1903.8666666666666</v>
      </c>
      <c r="T603" s="27">
        <v>6149</v>
      </c>
      <c r="U603" s="109">
        <v>6650</v>
      </c>
      <c r="V603" s="64">
        <f t="shared" si="113"/>
        <v>56665</v>
      </c>
      <c r="W603" s="68">
        <f>IF(ISBLANK(#REF!),0,R603)</f>
        <v>57116</v>
      </c>
      <c r="X603" s="27">
        <v>13245</v>
      </c>
      <c r="Y603" s="150">
        <v>10454</v>
      </c>
      <c r="Z603" s="27">
        <v>7942</v>
      </c>
      <c r="AA603" s="150">
        <v>9625</v>
      </c>
      <c r="AB603" s="27">
        <v>12179</v>
      </c>
      <c r="AC603" s="238">
        <v>12748</v>
      </c>
      <c r="AD603" s="27">
        <v>7868</v>
      </c>
      <c r="AE603" s="150">
        <v>9159</v>
      </c>
      <c r="AF603" s="64">
        <f t="shared" si="115"/>
        <v>41234</v>
      </c>
      <c r="AG603" s="65">
        <f t="shared" si="116"/>
        <v>45.815555555555555</v>
      </c>
      <c r="AH603" s="66">
        <f t="shared" si="127"/>
        <v>41986</v>
      </c>
      <c r="AI603" s="66">
        <f t="shared" si="117"/>
        <v>46.651111111111113</v>
      </c>
      <c r="AJ603" s="27"/>
      <c r="AL603" s="64">
        <f t="shared" si="118"/>
        <v>0</v>
      </c>
      <c r="AM603" s="67">
        <f t="shared" si="128"/>
        <v>41986</v>
      </c>
      <c r="AN603" s="27"/>
      <c r="AO603" s="26"/>
      <c r="AP603" s="27"/>
      <c r="AQ603" s="238"/>
      <c r="AR603" s="27"/>
      <c r="AS603" s="238"/>
      <c r="AT603" s="27"/>
      <c r="AU603" s="238"/>
      <c r="AV603" s="64">
        <f t="shared" si="120"/>
        <v>0</v>
      </c>
      <c r="AW603" s="70">
        <f t="shared" si="121"/>
        <v>0</v>
      </c>
      <c r="AX603" s="66">
        <f t="shared" si="122"/>
        <v>0</v>
      </c>
      <c r="AY603" s="71">
        <f t="shared" si="123"/>
        <v>0</v>
      </c>
      <c r="AZ603" s="72">
        <f t="shared" si="124"/>
        <v>1934.6488888888889</v>
      </c>
      <c r="BA603" s="66">
        <f t="shared" si="125"/>
        <v>1950.5177777777776</v>
      </c>
    </row>
    <row r="604" spans="1:53">
      <c r="A604" s="155" t="s">
        <v>639</v>
      </c>
      <c r="B604" s="242" t="s">
        <v>741</v>
      </c>
      <c r="C604" s="11"/>
      <c r="D604" s="17">
        <v>227687</v>
      </c>
      <c r="E604" s="17">
        <v>10</v>
      </c>
      <c r="F604" s="29" t="s">
        <v>75</v>
      </c>
      <c r="G604" s="16"/>
      <c r="H604" s="27">
        <v>19111</v>
      </c>
      <c r="I604" s="26">
        <v>18614</v>
      </c>
      <c r="J604" s="27">
        <v>3510</v>
      </c>
      <c r="K604" s="150">
        <v>3927</v>
      </c>
      <c r="L604" s="27">
        <v>1060</v>
      </c>
      <c r="M604" s="238">
        <v>1032</v>
      </c>
      <c r="N604" s="27">
        <v>20731</v>
      </c>
      <c r="O604" s="150">
        <v>21783</v>
      </c>
      <c r="P604" s="64">
        <f t="shared" si="109"/>
        <v>44412</v>
      </c>
      <c r="Q604" s="65">
        <f t="shared" si="110"/>
        <v>1480.4</v>
      </c>
      <c r="R604" s="66">
        <f t="shared" si="111"/>
        <v>45356</v>
      </c>
      <c r="S604" s="67">
        <f t="shared" si="112"/>
        <v>1511.8666666666666</v>
      </c>
      <c r="T604" s="27">
        <v>8345</v>
      </c>
      <c r="U604" s="109">
        <v>10180</v>
      </c>
      <c r="V604" s="64">
        <f t="shared" si="113"/>
        <v>44412</v>
      </c>
      <c r="W604" s="68">
        <f>IF(ISBLANK(#REF!),0,R604)</f>
        <v>45356</v>
      </c>
      <c r="X604" s="27">
        <v>8711</v>
      </c>
      <c r="Y604" s="150">
        <v>5612</v>
      </c>
      <c r="Z604" s="27">
        <v>24916</v>
      </c>
      <c r="AA604" s="150">
        <v>45020</v>
      </c>
      <c r="AB604" s="27">
        <v>12542</v>
      </c>
      <c r="AC604" s="150">
        <v>24890</v>
      </c>
      <c r="AD604" s="27">
        <v>10075</v>
      </c>
      <c r="AE604" s="150">
        <v>12548</v>
      </c>
      <c r="AF604" s="64">
        <f t="shared" si="115"/>
        <v>56244</v>
      </c>
      <c r="AG604" s="65">
        <f t="shared" si="116"/>
        <v>62.493333333333332</v>
      </c>
      <c r="AH604" s="66">
        <f t="shared" si="127"/>
        <v>88070</v>
      </c>
      <c r="AI604" s="66">
        <f t="shared" si="117"/>
        <v>97.855555555555554</v>
      </c>
      <c r="AJ604" s="27"/>
      <c r="AL604" s="64">
        <f t="shared" si="118"/>
        <v>0</v>
      </c>
      <c r="AM604" s="67">
        <f t="shared" si="128"/>
        <v>88070</v>
      </c>
      <c r="AN604" s="27"/>
      <c r="AO604" s="26"/>
      <c r="AP604" s="27"/>
      <c r="AQ604" s="238"/>
      <c r="AR604" s="27"/>
      <c r="AS604" s="238"/>
      <c r="AT604" s="27"/>
      <c r="AU604" s="238"/>
      <c r="AV604" s="64">
        <f t="shared" si="120"/>
        <v>0</v>
      </c>
      <c r="AW604" s="70">
        <f t="shared" si="121"/>
        <v>0</v>
      </c>
      <c r="AX604" s="66">
        <f t="shared" si="122"/>
        <v>0</v>
      </c>
      <c r="AY604" s="71">
        <f t="shared" si="123"/>
        <v>0</v>
      </c>
      <c r="AZ604" s="72">
        <f t="shared" si="124"/>
        <v>1542.8933333333334</v>
      </c>
      <c r="BA604" s="66">
        <f t="shared" si="125"/>
        <v>1609.7222222222222</v>
      </c>
    </row>
    <row r="605" spans="1:53">
      <c r="A605" s="155" t="s">
        <v>639</v>
      </c>
      <c r="B605" s="252" t="s">
        <v>742</v>
      </c>
      <c r="C605" s="11"/>
      <c r="D605" s="17">
        <v>382911</v>
      </c>
      <c r="E605" s="17">
        <v>10</v>
      </c>
      <c r="F605" s="29" t="s">
        <v>75</v>
      </c>
      <c r="G605" s="16"/>
      <c r="H605" s="27">
        <v>1121</v>
      </c>
      <c r="I605" s="26">
        <v>1079</v>
      </c>
      <c r="J605" s="27">
        <v>0</v>
      </c>
      <c r="K605" s="150">
        <v>3</v>
      </c>
      <c r="L605" s="27">
        <v>0</v>
      </c>
      <c r="M605" s="238">
        <v>0</v>
      </c>
      <c r="N605" s="27">
        <v>1219</v>
      </c>
      <c r="O605" s="150">
        <v>1141</v>
      </c>
      <c r="P605" s="64">
        <f t="shared" si="109"/>
        <v>2340</v>
      </c>
      <c r="Q605" s="65">
        <f t="shared" si="110"/>
        <v>78</v>
      </c>
      <c r="R605" s="66">
        <f t="shared" si="111"/>
        <v>2223</v>
      </c>
      <c r="S605" s="67">
        <f t="shared" si="112"/>
        <v>74.099999999999994</v>
      </c>
      <c r="T605" s="27">
        <v>0</v>
      </c>
      <c r="U605" s="26">
        <v>0</v>
      </c>
      <c r="V605" s="64">
        <f t="shared" si="113"/>
        <v>2340</v>
      </c>
      <c r="W605" s="68">
        <f>IF(ISBLANK(#REF!),0,R605)</f>
        <v>2223</v>
      </c>
      <c r="X605" s="27"/>
      <c r="Y605" s="238"/>
      <c r="Z605" s="27"/>
      <c r="AA605" s="238"/>
      <c r="AB605" s="27"/>
      <c r="AC605" s="238"/>
      <c r="AD605" s="27"/>
      <c r="AE605" s="238"/>
      <c r="AF605" s="64">
        <f t="shared" si="115"/>
        <v>0</v>
      </c>
      <c r="AG605" s="65">
        <f t="shared" si="116"/>
        <v>0</v>
      </c>
      <c r="AH605" s="66">
        <f t="shared" si="127"/>
        <v>0</v>
      </c>
      <c r="AI605" s="66">
        <f t="shared" si="117"/>
        <v>0</v>
      </c>
      <c r="AJ605" s="27"/>
      <c r="AL605" s="64">
        <f t="shared" si="118"/>
        <v>0</v>
      </c>
      <c r="AM605" s="67">
        <f t="shared" si="128"/>
        <v>0</v>
      </c>
      <c r="AN605" s="27"/>
      <c r="AO605" s="26"/>
      <c r="AP605" s="27"/>
      <c r="AQ605" s="238"/>
      <c r="AR605" s="27"/>
      <c r="AS605" s="238"/>
      <c r="AT605" s="27"/>
      <c r="AU605" s="238"/>
      <c r="AV605" s="64">
        <f t="shared" si="120"/>
        <v>0</v>
      </c>
      <c r="AW605" s="70">
        <f t="shared" si="121"/>
        <v>0</v>
      </c>
      <c r="AX605" s="66">
        <f t="shared" si="122"/>
        <v>0</v>
      </c>
      <c r="AY605" s="71">
        <f t="shared" si="123"/>
        <v>0</v>
      </c>
      <c r="AZ605" s="72">
        <f t="shared" si="124"/>
        <v>78</v>
      </c>
      <c r="BA605" s="66">
        <f t="shared" si="125"/>
        <v>74.099999999999994</v>
      </c>
    </row>
    <row r="606" spans="1:53">
      <c r="A606" s="155" t="s">
        <v>639</v>
      </c>
      <c r="B606" s="242" t="s">
        <v>743</v>
      </c>
      <c r="C606" s="11"/>
      <c r="D606" s="17">
        <v>408394</v>
      </c>
      <c r="E606" s="17">
        <v>10</v>
      </c>
      <c r="F606" s="29" t="s">
        <v>75</v>
      </c>
      <c r="G606" s="16"/>
      <c r="H606" s="27">
        <v>6613</v>
      </c>
      <c r="I606" s="109">
        <v>8155</v>
      </c>
      <c r="J606" s="27">
        <v>4029</v>
      </c>
      <c r="K606" s="150">
        <v>4904</v>
      </c>
      <c r="L606" s="27">
        <v>0</v>
      </c>
      <c r="M606" s="238">
        <v>0</v>
      </c>
      <c r="N606" s="27">
        <v>7917</v>
      </c>
      <c r="O606" s="149">
        <v>7917</v>
      </c>
      <c r="P606" s="64">
        <f t="shared" si="109"/>
        <v>18559</v>
      </c>
      <c r="Q606" s="65">
        <f t="shared" si="110"/>
        <v>618.63333333333333</v>
      </c>
      <c r="R606" s="66">
        <f t="shared" si="111"/>
        <v>20976</v>
      </c>
      <c r="S606" s="67">
        <f t="shared" si="112"/>
        <v>699.2</v>
      </c>
      <c r="T606" s="27">
        <v>1829</v>
      </c>
      <c r="U606" s="26">
        <v>1829</v>
      </c>
      <c r="V606" s="64">
        <f t="shared" si="113"/>
        <v>18559</v>
      </c>
      <c r="W606" s="68">
        <f>IF(ISBLANK(#REF!),0,R606)</f>
        <v>20976</v>
      </c>
      <c r="X606" s="27">
        <v>7368</v>
      </c>
      <c r="Y606" s="150">
        <v>2984</v>
      </c>
      <c r="Z606" s="27">
        <v>6032</v>
      </c>
      <c r="AA606" s="150">
        <v>4848</v>
      </c>
      <c r="AB606" s="27">
        <v>7408</v>
      </c>
      <c r="AC606" s="150">
        <v>5288</v>
      </c>
      <c r="AD606" s="27">
        <v>4312</v>
      </c>
      <c r="AE606" s="150">
        <v>5664</v>
      </c>
      <c r="AF606" s="64">
        <f t="shared" si="115"/>
        <v>25120</v>
      </c>
      <c r="AG606" s="65">
        <f t="shared" si="116"/>
        <v>27.911111111111111</v>
      </c>
      <c r="AH606" s="66">
        <f t="shared" si="127"/>
        <v>18784</v>
      </c>
      <c r="AI606" s="66">
        <f t="shared" si="117"/>
        <v>20.871111111111112</v>
      </c>
      <c r="AJ606" s="27"/>
      <c r="AL606" s="64">
        <f t="shared" si="118"/>
        <v>0</v>
      </c>
      <c r="AM606" s="67">
        <f t="shared" si="128"/>
        <v>18784</v>
      </c>
      <c r="AN606" s="27"/>
      <c r="AO606" s="26"/>
      <c r="AP606" s="27"/>
      <c r="AQ606" s="238"/>
      <c r="AR606" s="27"/>
      <c r="AS606" s="238"/>
      <c r="AT606" s="27"/>
      <c r="AU606" s="238"/>
      <c r="AV606" s="64">
        <f t="shared" si="120"/>
        <v>0</v>
      </c>
      <c r="AW606" s="70">
        <f t="shared" si="121"/>
        <v>0</v>
      </c>
      <c r="AX606" s="66">
        <f t="shared" si="122"/>
        <v>0</v>
      </c>
      <c r="AY606" s="71">
        <f t="shared" si="123"/>
        <v>0</v>
      </c>
      <c r="AZ606" s="72">
        <f t="shared" si="124"/>
        <v>646.54444444444448</v>
      </c>
      <c r="BA606" s="66">
        <f t="shared" si="125"/>
        <v>720.07111111111112</v>
      </c>
    </row>
    <row r="607" spans="1:53">
      <c r="A607" s="155" t="s">
        <v>639</v>
      </c>
      <c r="B607" s="242" t="s">
        <v>744</v>
      </c>
      <c r="C607" s="11"/>
      <c r="D607" s="17">
        <v>229328</v>
      </c>
      <c r="E607" s="243">
        <v>10</v>
      </c>
      <c r="F607" s="29" t="s">
        <v>75</v>
      </c>
      <c r="G607" s="16"/>
      <c r="H607" s="27">
        <v>10066</v>
      </c>
      <c r="I607" s="109">
        <v>8926</v>
      </c>
      <c r="J607" s="27">
        <v>6532</v>
      </c>
      <c r="K607" s="238">
        <v>6684</v>
      </c>
      <c r="L607" s="27">
        <v>0</v>
      </c>
      <c r="M607" s="238">
        <v>0</v>
      </c>
      <c r="N607" s="27">
        <v>10833</v>
      </c>
      <c r="O607" s="150">
        <v>12266</v>
      </c>
      <c r="P607" s="64">
        <f t="shared" si="109"/>
        <v>27431</v>
      </c>
      <c r="Q607" s="65">
        <f t="shared" si="110"/>
        <v>914.36666666666667</v>
      </c>
      <c r="R607" s="66">
        <f t="shared" si="111"/>
        <v>27876</v>
      </c>
      <c r="S607" s="67">
        <f t="shared" si="112"/>
        <v>929.2</v>
      </c>
      <c r="T607" s="27">
        <v>2817</v>
      </c>
      <c r="U607" s="109">
        <v>1901</v>
      </c>
      <c r="V607" s="64">
        <f t="shared" si="113"/>
        <v>27431</v>
      </c>
      <c r="W607" s="68">
        <f>IF(ISBLANK(#REF!),0,R607)</f>
        <v>27876</v>
      </c>
      <c r="X607" s="27">
        <v>1513</v>
      </c>
      <c r="Y607" s="150">
        <v>0</v>
      </c>
      <c r="Z607" s="27">
        <v>1547</v>
      </c>
      <c r="AA607" s="150">
        <v>1176</v>
      </c>
      <c r="AB607" s="27">
        <v>945</v>
      </c>
      <c r="AC607" s="150">
        <v>672</v>
      </c>
      <c r="AD607" s="27">
        <v>1752</v>
      </c>
      <c r="AE607" s="150">
        <v>0</v>
      </c>
      <c r="AF607" s="64">
        <f t="shared" si="115"/>
        <v>5757</v>
      </c>
      <c r="AG607" s="65">
        <f t="shared" si="116"/>
        <v>6.3966666666666665</v>
      </c>
      <c r="AH607" s="66">
        <f t="shared" ref="AH607:AH670" si="129">SUM(Y607,AA607,AC607,AE607)</f>
        <v>1848</v>
      </c>
      <c r="AI607" s="66">
        <f t="shared" si="117"/>
        <v>2.0533333333333332</v>
      </c>
      <c r="AJ607" s="27"/>
      <c r="AL607" s="64">
        <f t="shared" si="118"/>
        <v>0</v>
      </c>
      <c r="AM607" s="67">
        <f t="shared" si="128"/>
        <v>1848</v>
      </c>
      <c r="AN607" s="27"/>
      <c r="AO607" s="26"/>
      <c r="AP607" s="27"/>
      <c r="AQ607" s="238"/>
      <c r="AR607" s="27"/>
      <c r="AS607" s="238"/>
      <c r="AT607" s="27"/>
      <c r="AU607" s="238"/>
      <c r="AV607" s="64">
        <f t="shared" si="120"/>
        <v>0</v>
      </c>
      <c r="AW607" s="70">
        <f t="shared" si="121"/>
        <v>0</v>
      </c>
      <c r="AX607" s="66">
        <f t="shared" si="122"/>
        <v>0</v>
      </c>
      <c r="AY607" s="71">
        <f t="shared" si="123"/>
        <v>0</v>
      </c>
      <c r="AZ607" s="72">
        <f t="shared" si="124"/>
        <v>920.76333333333332</v>
      </c>
      <c r="BA607" s="66">
        <f t="shared" si="125"/>
        <v>931.25333333333333</v>
      </c>
    </row>
    <row r="608" spans="1:53">
      <c r="A608" s="155" t="s">
        <v>639</v>
      </c>
      <c r="B608" s="242" t="s">
        <v>745</v>
      </c>
      <c r="C608" s="11"/>
      <c r="D608" s="17">
        <v>229832</v>
      </c>
      <c r="E608" s="17">
        <v>10</v>
      </c>
      <c r="F608" s="29" t="s">
        <v>75</v>
      </c>
      <c r="G608" s="16"/>
      <c r="H608" s="27">
        <v>16396</v>
      </c>
      <c r="I608" s="26">
        <v>16761</v>
      </c>
      <c r="J608" s="27">
        <v>7275</v>
      </c>
      <c r="K608" s="150">
        <v>8006</v>
      </c>
      <c r="L608" s="27">
        <v>2918</v>
      </c>
      <c r="M608" s="150">
        <v>3929</v>
      </c>
      <c r="N608" s="27">
        <v>16972</v>
      </c>
      <c r="O608" s="149">
        <v>17048</v>
      </c>
      <c r="P608" s="64">
        <f t="shared" si="109"/>
        <v>43561</v>
      </c>
      <c r="Q608" s="65">
        <f t="shared" si="110"/>
        <v>1452.0333333333333</v>
      </c>
      <c r="R608" s="66">
        <f t="shared" si="111"/>
        <v>45744</v>
      </c>
      <c r="S608" s="67">
        <f t="shared" si="112"/>
        <v>1524.8</v>
      </c>
      <c r="T608" s="27">
        <v>8621</v>
      </c>
      <c r="U608" s="26">
        <v>8855</v>
      </c>
      <c r="V608" s="64">
        <f t="shared" si="113"/>
        <v>43561</v>
      </c>
      <c r="W608" s="68">
        <f>IF(ISBLANK(#REF!),0,R608)</f>
        <v>45744</v>
      </c>
      <c r="X608" s="27">
        <v>12853</v>
      </c>
      <c r="Y608" s="150">
        <v>32671</v>
      </c>
      <c r="Z608" s="27">
        <v>25382</v>
      </c>
      <c r="AA608" s="150">
        <v>23447</v>
      </c>
      <c r="AB608" s="27">
        <v>11821</v>
      </c>
      <c r="AC608" s="150">
        <v>7234</v>
      </c>
      <c r="AD608" s="27">
        <v>29433</v>
      </c>
      <c r="AE608" s="150">
        <v>33968</v>
      </c>
      <c r="AF608" s="64">
        <f t="shared" si="115"/>
        <v>79489</v>
      </c>
      <c r="AG608" s="65">
        <f t="shared" si="116"/>
        <v>88.321111111111108</v>
      </c>
      <c r="AH608" s="66">
        <f t="shared" si="129"/>
        <v>97320</v>
      </c>
      <c r="AI608" s="66">
        <f t="shared" si="117"/>
        <v>108.13333333333334</v>
      </c>
      <c r="AJ608" s="27"/>
      <c r="AL608" s="64">
        <f t="shared" si="118"/>
        <v>0</v>
      </c>
      <c r="AM608" s="67">
        <f t="shared" si="128"/>
        <v>97320</v>
      </c>
      <c r="AN608" s="27"/>
      <c r="AO608" s="26"/>
      <c r="AP608" s="27"/>
      <c r="AQ608" s="238"/>
      <c r="AR608" s="27"/>
      <c r="AS608" s="238"/>
      <c r="AT608" s="27"/>
      <c r="AU608" s="238"/>
      <c r="AV608" s="64">
        <f t="shared" si="120"/>
        <v>0</v>
      </c>
      <c r="AW608" s="70">
        <f t="shared" si="121"/>
        <v>0</v>
      </c>
      <c r="AX608" s="66">
        <f t="shared" si="122"/>
        <v>0</v>
      </c>
      <c r="AY608" s="71">
        <f t="shared" si="123"/>
        <v>0</v>
      </c>
      <c r="AZ608" s="72">
        <f t="shared" si="124"/>
        <v>1540.3544444444444</v>
      </c>
      <c r="BA608" s="66">
        <f t="shared" si="125"/>
        <v>1632.9333333333334</v>
      </c>
    </row>
    <row r="609" spans="1:53">
      <c r="A609" s="155" t="s">
        <v>639</v>
      </c>
      <c r="B609" s="244" t="s">
        <v>746</v>
      </c>
      <c r="C609" s="247"/>
      <c r="D609" s="20"/>
      <c r="E609" s="253">
        <v>11</v>
      </c>
      <c r="F609" s="29" t="s">
        <v>75</v>
      </c>
      <c r="G609" s="16"/>
      <c r="H609" s="254">
        <v>446949</v>
      </c>
      <c r="I609" s="255">
        <f>I613+I617</f>
        <v>457529</v>
      </c>
      <c r="J609" s="254">
        <v>177199</v>
      </c>
      <c r="K609" s="255">
        <f>K613+K617</f>
        <v>172238</v>
      </c>
      <c r="L609" s="254">
        <v>0</v>
      </c>
      <c r="M609" s="255">
        <f>M613+M617</f>
        <v>0</v>
      </c>
      <c r="N609" s="254">
        <v>409197</v>
      </c>
      <c r="O609" s="255">
        <f>O613+O617</f>
        <v>413107</v>
      </c>
      <c r="P609" s="64">
        <f t="shared" si="109"/>
        <v>1033345</v>
      </c>
      <c r="Q609" s="65">
        <f t="shared" si="110"/>
        <v>34444.833333333336</v>
      </c>
      <c r="R609" s="66">
        <f t="shared" si="111"/>
        <v>1042874</v>
      </c>
      <c r="S609" s="67">
        <f t="shared" si="112"/>
        <v>34762.466666666667</v>
      </c>
      <c r="T609" s="254">
        <v>101860</v>
      </c>
      <c r="U609" s="256">
        <f>U613+U617</f>
        <v>122203</v>
      </c>
      <c r="V609" s="64">
        <f t="shared" si="113"/>
        <v>1033345</v>
      </c>
      <c r="W609" s="68">
        <f>IF(ISBLANK(#REF!),0,R609)</f>
        <v>1042874</v>
      </c>
      <c r="X609" s="254">
        <v>123642</v>
      </c>
      <c r="Y609" s="256">
        <f>Y613+Y617</f>
        <v>94588</v>
      </c>
      <c r="Z609" s="254">
        <v>125171</v>
      </c>
      <c r="AA609" s="256">
        <f>AA613+AA617</f>
        <v>101166</v>
      </c>
      <c r="AB609" s="254">
        <v>119697</v>
      </c>
      <c r="AC609" s="256">
        <f>AC613+AC617</f>
        <v>79333</v>
      </c>
      <c r="AD609" s="254">
        <v>111508</v>
      </c>
      <c r="AE609" s="255">
        <f>AE613+AE617</f>
        <v>111993</v>
      </c>
      <c r="AF609" s="64">
        <f t="shared" si="115"/>
        <v>480018</v>
      </c>
      <c r="AG609" s="65">
        <f t="shared" si="116"/>
        <v>533.35333333333335</v>
      </c>
      <c r="AH609" s="66">
        <f t="shared" si="129"/>
        <v>387080</v>
      </c>
      <c r="AI609" s="66">
        <f t="shared" si="117"/>
        <v>430.0888888888889</v>
      </c>
      <c r="AJ609" s="254"/>
      <c r="AL609" s="64">
        <f t="shared" si="118"/>
        <v>0</v>
      </c>
      <c r="AM609" s="67">
        <f t="shared" si="128"/>
        <v>387080</v>
      </c>
      <c r="AN609" s="254"/>
      <c r="AO609" s="257"/>
      <c r="AP609" s="254"/>
      <c r="AQ609" s="238"/>
      <c r="AR609" s="254"/>
      <c r="AS609" s="238"/>
      <c r="AT609" s="254"/>
      <c r="AU609" s="238"/>
      <c r="AV609" s="64">
        <f t="shared" si="120"/>
        <v>0</v>
      </c>
      <c r="AW609" s="70">
        <f t="shared" si="121"/>
        <v>0</v>
      </c>
      <c r="AX609" s="66">
        <f t="shared" si="122"/>
        <v>0</v>
      </c>
      <c r="AY609" s="71">
        <f t="shared" si="123"/>
        <v>0</v>
      </c>
      <c r="AZ609" s="72">
        <f t="shared" si="124"/>
        <v>34978.186666666668</v>
      </c>
      <c r="BA609" s="66">
        <f t="shared" si="125"/>
        <v>35192.555555555555</v>
      </c>
    </row>
    <row r="610" spans="1:53">
      <c r="A610" s="155" t="s">
        <v>639</v>
      </c>
      <c r="B610" s="244" t="s">
        <v>747</v>
      </c>
      <c r="C610" s="245"/>
      <c r="D610" s="20"/>
      <c r="E610" s="253">
        <v>11</v>
      </c>
      <c r="F610" s="29" t="s">
        <v>75</v>
      </c>
      <c r="G610" s="16"/>
      <c r="H610" s="254">
        <v>550686</v>
      </c>
      <c r="I610" s="255">
        <f>I614+I615</f>
        <v>538585</v>
      </c>
      <c r="J610" s="254">
        <v>303598</v>
      </c>
      <c r="K610" s="256">
        <f>K614+K615</f>
        <v>325288</v>
      </c>
      <c r="L610" s="254">
        <v>0</v>
      </c>
      <c r="M610" s="255">
        <f>M614+M615</f>
        <v>0</v>
      </c>
      <c r="N610" s="254">
        <v>466836</v>
      </c>
      <c r="O610" s="255">
        <f>O614+O615</f>
        <v>456803</v>
      </c>
      <c r="P610" s="64">
        <f t="shared" si="109"/>
        <v>1321120</v>
      </c>
      <c r="Q610" s="65">
        <f t="shared" si="110"/>
        <v>44037.333333333336</v>
      </c>
      <c r="R610" s="66">
        <f t="shared" si="111"/>
        <v>1320676</v>
      </c>
      <c r="S610" s="67">
        <f t="shared" si="112"/>
        <v>44022.533333333333</v>
      </c>
      <c r="T610" s="254">
        <v>134601</v>
      </c>
      <c r="U610" s="256">
        <f>U614+U615</f>
        <v>156958</v>
      </c>
      <c r="V610" s="64">
        <f t="shared" si="113"/>
        <v>1321120</v>
      </c>
      <c r="W610" s="68">
        <f>IF(ISBLANK(#REF!),0,R610)</f>
        <v>1320676</v>
      </c>
      <c r="X610" s="254">
        <v>737303</v>
      </c>
      <c r="Y610" s="256">
        <f>Y614+Y615</f>
        <v>778165</v>
      </c>
      <c r="Z610" s="254">
        <v>822144</v>
      </c>
      <c r="AA610" s="256">
        <f>AA614+AA615</f>
        <v>679422</v>
      </c>
      <c r="AB610" s="254">
        <v>750388</v>
      </c>
      <c r="AC610" s="256">
        <f>AC614+AC615</f>
        <v>582214</v>
      </c>
      <c r="AD610" s="254">
        <v>957130</v>
      </c>
      <c r="AE610" s="256">
        <f>AE614+AE615</f>
        <v>742438</v>
      </c>
      <c r="AF610" s="64">
        <f t="shared" si="115"/>
        <v>3266965</v>
      </c>
      <c r="AG610" s="65">
        <f t="shared" si="116"/>
        <v>3629.9611111111112</v>
      </c>
      <c r="AH610" s="66">
        <f t="shared" si="129"/>
        <v>2782239</v>
      </c>
      <c r="AI610" s="66">
        <f t="shared" si="117"/>
        <v>3091.3766666666666</v>
      </c>
      <c r="AJ610" s="254"/>
      <c r="AL610" s="64">
        <f t="shared" si="118"/>
        <v>0</v>
      </c>
      <c r="AM610" s="67">
        <f t="shared" si="128"/>
        <v>2782239</v>
      </c>
      <c r="AN610" s="254"/>
      <c r="AO610" s="257"/>
      <c r="AP610" s="254"/>
      <c r="AQ610" s="238"/>
      <c r="AR610" s="254"/>
      <c r="AS610" s="238"/>
      <c r="AT610" s="254"/>
      <c r="AU610" s="238"/>
      <c r="AV610" s="64">
        <f t="shared" si="120"/>
        <v>0</v>
      </c>
      <c r="AW610" s="70">
        <f t="shared" si="121"/>
        <v>0</v>
      </c>
      <c r="AX610" s="66">
        <f t="shared" si="122"/>
        <v>0</v>
      </c>
      <c r="AY610" s="71">
        <f t="shared" si="123"/>
        <v>0</v>
      </c>
      <c r="AZ610" s="72">
        <f t="shared" si="124"/>
        <v>47667.294444444444</v>
      </c>
      <c r="BA610" s="66">
        <f t="shared" si="125"/>
        <v>47113.909999999996</v>
      </c>
    </row>
    <row r="611" spans="1:53">
      <c r="A611" s="155" t="s">
        <v>639</v>
      </c>
      <c r="B611" s="244" t="s">
        <v>748</v>
      </c>
      <c r="C611" s="248"/>
      <c r="D611" s="20"/>
      <c r="E611" s="253">
        <v>11</v>
      </c>
      <c r="F611" s="29" t="s">
        <v>75</v>
      </c>
      <c r="G611" s="16"/>
      <c r="H611" s="254">
        <v>27177</v>
      </c>
      <c r="I611" s="255">
        <f>I616+I618</f>
        <v>27274</v>
      </c>
      <c r="J611" s="254">
        <v>3688</v>
      </c>
      <c r="K611" s="256">
        <f>K616+K618</f>
        <v>4179</v>
      </c>
      <c r="L611" s="254">
        <v>1600</v>
      </c>
      <c r="M611" s="256">
        <f>M616+M618</f>
        <v>1988</v>
      </c>
      <c r="N611" s="254">
        <v>30772</v>
      </c>
      <c r="O611" s="256">
        <f>O616+O618</f>
        <v>33142</v>
      </c>
      <c r="P611" s="64">
        <f t="shared" si="109"/>
        <v>63237</v>
      </c>
      <c r="Q611" s="65">
        <f t="shared" si="110"/>
        <v>2107.9</v>
      </c>
      <c r="R611" s="66">
        <f t="shared" si="111"/>
        <v>66583</v>
      </c>
      <c r="S611" s="67">
        <f t="shared" si="112"/>
        <v>2219.4333333333334</v>
      </c>
      <c r="T611" s="254">
        <v>17667</v>
      </c>
      <c r="U611" s="256">
        <f>U616+U618</f>
        <v>19478</v>
      </c>
      <c r="V611" s="64">
        <f t="shared" si="113"/>
        <v>63237</v>
      </c>
      <c r="W611" s="68">
        <f>IF(ISBLANK(#REF!),0,R611)</f>
        <v>66583</v>
      </c>
      <c r="X611" s="254">
        <v>130658</v>
      </c>
      <c r="Y611" s="255">
        <f>Y616+Y618</f>
        <v>124964</v>
      </c>
      <c r="Z611" s="254">
        <v>128260</v>
      </c>
      <c r="AA611" s="256">
        <f>AA616+AA618</f>
        <v>137861</v>
      </c>
      <c r="AB611" s="254">
        <v>140947</v>
      </c>
      <c r="AC611" s="256">
        <f>AC616+AC618</f>
        <v>132667</v>
      </c>
      <c r="AD611" s="254">
        <v>131190</v>
      </c>
      <c r="AE611" s="255">
        <f>AE616+AE618</f>
        <v>136533</v>
      </c>
      <c r="AF611" s="64">
        <f t="shared" si="115"/>
        <v>531055</v>
      </c>
      <c r="AG611" s="65">
        <f t="shared" si="116"/>
        <v>590.06111111111113</v>
      </c>
      <c r="AH611" s="66">
        <f t="shared" si="129"/>
        <v>532025</v>
      </c>
      <c r="AI611" s="66">
        <f t="shared" si="117"/>
        <v>591.13888888888891</v>
      </c>
      <c r="AJ611" s="254"/>
      <c r="AL611" s="64">
        <f t="shared" si="118"/>
        <v>0</v>
      </c>
      <c r="AM611" s="67">
        <f t="shared" si="128"/>
        <v>532025</v>
      </c>
      <c r="AN611" s="254"/>
      <c r="AO611" s="257"/>
      <c r="AP611" s="254"/>
      <c r="AQ611" s="238"/>
      <c r="AR611" s="254"/>
      <c r="AS611" s="238"/>
      <c r="AT611" s="254"/>
      <c r="AU611" s="238"/>
      <c r="AV611" s="64">
        <f t="shared" si="120"/>
        <v>0</v>
      </c>
      <c r="AW611" s="70">
        <f t="shared" si="121"/>
        <v>0</v>
      </c>
      <c r="AX611" s="66">
        <f t="shared" si="122"/>
        <v>0</v>
      </c>
      <c r="AY611" s="71">
        <f t="shared" si="123"/>
        <v>0</v>
      </c>
      <c r="AZ611" s="72">
        <f t="shared" si="124"/>
        <v>2697.9611111111112</v>
      </c>
      <c r="BA611" s="66">
        <f t="shared" si="125"/>
        <v>2810.5722222222221</v>
      </c>
    </row>
    <row r="612" spans="1:53">
      <c r="A612" s="155" t="s">
        <v>639</v>
      </c>
      <c r="B612" s="19" t="s">
        <v>749</v>
      </c>
      <c r="C612" s="11" t="s">
        <v>750</v>
      </c>
      <c r="D612" s="17">
        <v>443711</v>
      </c>
      <c r="E612" s="17">
        <v>99</v>
      </c>
      <c r="F612" s="29" t="s">
        <v>75</v>
      </c>
      <c r="G612" s="16"/>
      <c r="H612" s="27">
        <v>0</v>
      </c>
      <c r="I612" s="255">
        <v>0</v>
      </c>
      <c r="J612" s="27">
        <v>17970</v>
      </c>
      <c r="K612" s="150">
        <v>19606</v>
      </c>
      <c r="L612" s="27">
        <v>5282</v>
      </c>
      <c r="M612" s="238">
        <v>5332</v>
      </c>
      <c r="N612" s="27">
        <v>20795</v>
      </c>
      <c r="O612" s="150">
        <v>25236</v>
      </c>
      <c r="P612" s="64">
        <f t="shared" si="109"/>
        <v>44047</v>
      </c>
      <c r="Q612" s="65">
        <f t="shared" si="110"/>
        <v>1468.2333333333333</v>
      </c>
      <c r="R612" s="66">
        <f t="shared" si="111"/>
        <v>50174</v>
      </c>
      <c r="S612" s="67">
        <f t="shared" si="112"/>
        <v>1672.4666666666667</v>
      </c>
      <c r="T612" s="27">
        <v>0</v>
      </c>
      <c r="U612" s="255">
        <v>0</v>
      </c>
      <c r="V612" s="64">
        <f t="shared" si="113"/>
        <v>44047</v>
      </c>
      <c r="W612" s="68">
        <f>IF(ISBLANK(#REF!),0,R612)</f>
        <v>50174</v>
      </c>
      <c r="X612" s="27"/>
      <c r="Y612" s="255"/>
      <c r="Z612" s="27"/>
      <c r="AA612" s="255"/>
      <c r="AB612" s="27"/>
      <c r="AC612" s="255"/>
      <c r="AD612" s="27"/>
      <c r="AE612" s="255"/>
      <c r="AF612" s="64">
        <f t="shared" si="115"/>
        <v>0</v>
      </c>
      <c r="AG612" s="65">
        <f t="shared" si="116"/>
        <v>0</v>
      </c>
      <c r="AH612" s="66">
        <f t="shared" si="129"/>
        <v>0</v>
      </c>
      <c r="AI612" s="66">
        <f t="shared" si="117"/>
        <v>0</v>
      </c>
      <c r="AJ612" s="27"/>
      <c r="AL612" s="64">
        <f t="shared" si="118"/>
        <v>0</v>
      </c>
      <c r="AM612" s="67">
        <f t="shared" si="128"/>
        <v>0</v>
      </c>
      <c r="AN612" s="27"/>
      <c r="AO612" s="255"/>
      <c r="AP612" s="27">
        <v>1668</v>
      </c>
      <c r="AQ612" s="150">
        <v>5146</v>
      </c>
      <c r="AR612" s="27">
        <v>1343</v>
      </c>
      <c r="AS612" s="150">
        <v>2451</v>
      </c>
      <c r="AT612" s="27">
        <v>5211</v>
      </c>
      <c r="AU612" s="150">
        <v>7154</v>
      </c>
      <c r="AV612" s="64">
        <f t="shared" si="120"/>
        <v>8222</v>
      </c>
      <c r="AW612" s="70">
        <f t="shared" si="121"/>
        <v>342.58333333333331</v>
      </c>
      <c r="AX612" s="66">
        <f t="shared" si="122"/>
        <v>14751</v>
      </c>
      <c r="AY612" s="71">
        <f t="shared" si="123"/>
        <v>614.625</v>
      </c>
      <c r="AZ612" s="72">
        <f t="shared" si="124"/>
        <v>1810.8166666666666</v>
      </c>
      <c r="BA612" s="66">
        <f t="shared" si="125"/>
        <v>2287.0916666666667</v>
      </c>
    </row>
    <row r="613" spans="1:53">
      <c r="A613" s="155" t="s">
        <v>639</v>
      </c>
      <c r="B613" s="244" t="s">
        <v>746</v>
      </c>
      <c r="C613" s="258"/>
      <c r="D613" s="20"/>
      <c r="E613" s="259" t="s">
        <v>751</v>
      </c>
      <c r="F613" s="29" t="s">
        <v>75</v>
      </c>
      <c r="G613" s="16"/>
      <c r="H613" s="260">
        <v>430985</v>
      </c>
      <c r="I613" s="261">
        <f>SUM(I561,I562,I564,I567)</f>
        <v>433058</v>
      </c>
      <c r="J613" s="260">
        <v>169444</v>
      </c>
      <c r="K613" s="261">
        <f>SUM(K561,K562,K564,K567)</f>
        <v>163795</v>
      </c>
      <c r="L613" s="260">
        <v>0</v>
      </c>
      <c r="M613" s="261">
        <f>SUM(M561,M562,M564,M567)</f>
        <v>0</v>
      </c>
      <c r="N613" s="260">
        <v>389795</v>
      </c>
      <c r="O613" s="261">
        <f>SUM(O561,O562,O564,O567)</f>
        <v>390408</v>
      </c>
      <c r="P613" s="64">
        <f t="shared" si="109"/>
        <v>990224</v>
      </c>
      <c r="Q613" s="65">
        <f t="shared" si="110"/>
        <v>33007.466666666667</v>
      </c>
      <c r="R613" s="66">
        <f t="shared" si="111"/>
        <v>987261</v>
      </c>
      <c r="S613" s="67">
        <f t="shared" si="112"/>
        <v>32908.699999999997</v>
      </c>
      <c r="T613" s="260">
        <v>101836</v>
      </c>
      <c r="U613" s="256">
        <f>SUM(U561,U562,U564,U567)</f>
        <v>122203</v>
      </c>
      <c r="V613" s="64">
        <f t="shared" si="113"/>
        <v>990224</v>
      </c>
      <c r="W613" s="68">
        <f>IF(ISBLANK(#REF!),0,R613)</f>
        <v>987261</v>
      </c>
      <c r="X613" s="260">
        <v>121834</v>
      </c>
      <c r="Y613" s="256">
        <f>SUM(Y561,Y562,Y564,Y567)</f>
        <v>90068</v>
      </c>
      <c r="Z613" s="260">
        <v>124619</v>
      </c>
      <c r="AA613" s="256">
        <f>SUM(AA561,AA562,AA564,AA567)</f>
        <v>91114</v>
      </c>
      <c r="AB613" s="260">
        <v>113169</v>
      </c>
      <c r="AC613" s="256">
        <f>SUM(AC561,AC562,AC564,AC567)</f>
        <v>76797</v>
      </c>
      <c r="AD613" s="260">
        <v>108828</v>
      </c>
      <c r="AE613" s="261">
        <f>SUM(AE561,AE562,AE564,AE567)</f>
        <v>110673</v>
      </c>
      <c r="AF613" s="64">
        <f t="shared" si="115"/>
        <v>468450</v>
      </c>
      <c r="AG613" s="65">
        <f t="shared" si="116"/>
        <v>520.5</v>
      </c>
      <c r="AH613" s="66">
        <f t="shared" si="129"/>
        <v>368652</v>
      </c>
      <c r="AI613" s="66">
        <f t="shared" si="117"/>
        <v>409.61333333333334</v>
      </c>
      <c r="AJ613" s="254"/>
      <c r="AL613" s="64">
        <f t="shared" si="118"/>
        <v>0</v>
      </c>
      <c r="AM613" s="67">
        <f t="shared" si="128"/>
        <v>368652</v>
      </c>
      <c r="AN613" s="254"/>
      <c r="AO613" s="257"/>
      <c r="AP613" s="254"/>
      <c r="AQ613" s="238"/>
      <c r="AR613" s="254"/>
      <c r="AS613" s="238"/>
      <c r="AT613" s="254"/>
      <c r="AU613" s="238"/>
      <c r="AV613" s="64">
        <f t="shared" si="120"/>
        <v>0</v>
      </c>
      <c r="AW613" s="70">
        <f t="shared" si="121"/>
        <v>0</v>
      </c>
      <c r="AX613" s="66">
        <f t="shared" si="122"/>
        <v>0</v>
      </c>
      <c r="AY613" s="71">
        <f t="shared" si="123"/>
        <v>0</v>
      </c>
      <c r="AZ613" s="72">
        <f t="shared" si="124"/>
        <v>33527.966666666667</v>
      </c>
      <c r="BA613" s="66">
        <f t="shared" si="125"/>
        <v>33318.313333333332</v>
      </c>
    </row>
    <row r="614" spans="1:53">
      <c r="A614" s="155" t="s">
        <v>639</v>
      </c>
      <c r="B614" s="244" t="s">
        <v>747</v>
      </c>
      <c r="C614" s="262"/>
      <c r="D614" s="20"/>
      <c r="E614" s="259" t="s">
        <v>751</v>
      </c>
      <c r="F614" s="29" t="s">
        <v>75</v>
      </c>
      <c r="G614" s="16"/>
      <c r="H614" s="260">
        <v>452073</v>
      </c>
      <c r="I614" s="261">
        <f>SUM(I547,I551,I552,I560,I563)</f>
        <v>435538</v>
      </c>
      <c r="J614" s="260">
        <v>246005</v>
      </c>
      <c r="K614" s="256">
        <f>SUM(K547,K551,K552,K560,K563)</f>
        <v>265859</v>
      </c>
      <c r="L614" s="260">
        <v>0</v>
      </c>
      <c r="M614" s="261">
        <f>SUM(M547,M551,M552,M560,M563)</f>
        <v>0</v>
      </c>
      <c r="N614" s="260">
        <v>372587</v>
      </c>
      <c r="O614" s="261">
        <f>SUM(O547,O551,O552,O560,O563)</f>
        <v>361256</v>
      </c>
      <c r="P614" s="64">
        <f t="shared" si="109"/>
        <v>1070665</v>
      </c>
      <c r="Q614" s="65">
        <f t="shared" si="110"/>
        <v>35688.833333333336</v>
      </c>
      <c r="R614" s="66">
        <f t="shared" si="111"/>
        <v>1062653</v>
      </c>
      <c r="S614" s="67">
        <f t="shared" si="112"/>
        <v>35421.76666666667</v>
      </c>
      <c r="T614" s="260">
        <v>99402</v>
      </c>
      <c r="U614" s="256">
        <f>SUM(U547,U551,U552,U560,U563)</f>
        <v>115921</v>
      </c>
      <c r="V614" s="64">
        <f t="shared" si="113"/>
        <v>1070665</v>
      </c>
      <c r="W614" s="68">
        <f>IF(ISBLANK(#REF!),0,R614)</f>
        <v>1062653</v>
      </c>
      <c r="X614" s="260">
        <v>667581</v>
      </c>
      <c r="Y614" s="256">
        <f>SUM(Y547,Y551,Y552,Y560,Y563)</f>
        <v>704337</v>
      </c>
      <c r="Z614" s="260">
        <v>743759</v>
      </c>
      <c r="AA614" s="256">
        <f>SUM(AA547,AA551,AA552,AA560,AA563)</f>
        <v>619999</v>
      </c>
      <c r="AB614" s="260">
        <v>668339</v>
      </c>
      <c r="AC614" s="256">
        <f>SUM(AC547,AC551,AC552,AC560,AC563)</f>
        <v>483643</v>
      </c>
      <c r="AD614" s="260">
        <v>857965</v>
      </c>
      <c r="AE614" s="256">
        <f>SUM(AE547,AE551,AE552,AE560,AE563)</f>
        <v>683424</v>
      </c>
      <c r="AF614" s="64">
        <f t="shared" si="115"/>
        <v>2937644</v>
      </c>
      <c r="AG614" s="65">
        <f t="shared" si="116"/>
        <v>3264.048888888889</v>
      </c>
      <c r="AH614" s="66">
        <f t="shared" si="129"/>
        <v>2491403</v>
      </c>
      <c r="AI614" s="66">
        <f t="shared" si="117"/>
        <v>2768.2255555555557</v>
      </c>
      <c r="AJ614" s="254"/>
      <c r="AL614" s="64">
        <f t="shared" si="118"/>
        <v>0</v>
      </c>
      <c r="AM614" s="67">
        <f t="shared" si="128"/>
        <v>2491403</v>
      </c>
      <c r="AN614" s="254"/>
      <c r="AO614" s="257"/>
      <c r="AP614" s="254"/>
      <c r="AQ614" s="238"/>
      <c r="AR614" s="254"/>
      <c r="AS614" s="238"/>
      <c r="AT614" s="254"/>
      <c r="AU614" s="238"/>
      <c r="AV614" s="64">
        <f t="shared" si="120"/>
        <v>0</v>
      </c>
      <c r="AW614" s="70">
        <f t="shared" si="121"/>
        <v>0</v>
      </c>
      <c r="AX614" s="66">
        <f t="shared" si="122"/>
        <v>0</v>
      </c>
      <c r="AY614" s="71">
        <f t="shared" si="123"/>
        <v>0</v>
      </c>
      <c r="AZ614" s="72">
        <f t="shared" si="124"/>
        <v>38952.882222222222</v>
      </c>
      <c r="BA614" s="66">
        <f t="shared" si="125"/>
        <v>38189.992222222223</v>
      </c>
    </row>
    <row r="615" spans="1:53">
      <c r="A615" s="155" t="s">
        <v>639</v>
      </c>
      <c r="B615" s="244" t="s">
        <v>747</v>
      </c>
      <c r="C615" s="263"/>
      <c r="D615" s="20"/>
      <c r="E615" s="259" t="s">
        <v>752</v>
      </c>
      <c r="F615" s="29" t="s">
        <v>75</v>
      </c>
      <c r="G615" s="16"/>
      <c r="H615" s="260">
        <v>98613</v>
      </c>
      <c r="I615" s="261">
        <f>SUM(I584,I573)</f>
        <v>103047</v>
      </c>
      <c r="J615" s="260">
        <v>57593</v>
      </c>
      <c r="K615" s="261">
        <f>SUM(K584,K573)</f>
        <v>59429</v>
      </c>
      <c r="L615" s="260">
        <v>0</v>
      </c>
      <c r="M615" s="261">
        <f>SUM(M584,M573)</f>
        <v>0</v>
      </c>
      <c r="N615" s="260">
        <v>94249</v>
      </c>
      <c r="O615" s="261">
        <f>SUM(O584,O573)</f>
        <v>95547</v>
      </c>
      <c r="P615" s="64">
        <f t="shared" si="109"/>
        <v>250455</v>
      </c>
      <c r="Q615" s="65">
        <f t="shared" si="110"/>
        <v>8348.5</v>
      </c>
      <c r="R615" s="66">
        <f t="shared" si="111"/>
        <v>258023</v>
      </c>
      <c r="S615" s="67">
        <f t="shared" si="112"/>
        <v>8600.7666666666664</v>
      </c>
      <c r="T615" s="260">
        <v>35199</v>
      </c>
      <c r="U615" s="256">
        <f>SUM(U584,U573)</f>
        <v>41037</v>
      </c>
      <c r="V615" s="64">
        <f t="shared" si="113"/>
        <v>250455</v>
      </c>
      <c r="W615" s="68">
        <f>IF(ISBLANK(#REF!),0,R615)</f>
        <v>258023</v>
      </c>
      <c r="X615" s="260">
        <v>69722</v>
      </c>
      <c r="Y615" s="256">
        <f>SUM(Y584,Y573)</f>
        <v>73828</v>
      </c>
      <c r="Z615" s="260">
        <v>78385</v>
      </c>
      <c r="AA615" s="256">
        <f>SUM(AA584,AA573)</f>
        <v>59423</v>
      </c>
      <c r="AB615" s="260">
        <v>82049</v>
      </c>
      <c r="AC615" s="256">
        <f>SUM(AC584,AC573)</f>
        <v>98571</v>
      </c>
      <c r="AD615" s="260">
        <v>99165</v>
      </c>
      <c r="AE615" s="256">
        <f>SUM(AE584,AE573)</f>
        <v>59014</v>
      </c>
      <c r="AF615" s="64">
        <f t="shared" si="115"/>
        <v>329321</v>
      </c>
      <c r="AG615" s="65">
        <f t="shared" si="116"/>
        <v>365.91222222222223</v>
      </c>
      <c r="AH615" s="66">
        <f t="shared" si="129"/>
        <v>290836</v>
      </c>
      <c r="AI615" s="66">
        <f t="shared" si="117"/>
        <v>323.15111111111111</v>
      </c>
      <c r="AJ615" s="254"/>
      <c r="AL615" s="64">
        <f t="shared" si="118"/>
        <v>0</v>
      </c>
      <c r="AM615" s="67">
        <f t="shared" si="128"/>
        <v>290836</v>
      </c>
      <c r="AN615" s="254"/>
      <c r="AO615" s="257"/>
      <c r="AP615" s="254"/>
      <c r="AQ615" s="238"/>
      <c r="AR615" s="254"/>
      <c r="AS615" s="238"/>
      <c r="AT615" s="254"/>
      <c r="AU615" s="238"/>
      <c r="AV615" s="64">
        <f t="shared" si="120"/>
        <v>0</v>
      </c>
      <c r="AW615" s="70">
        <f t="shared" si="121"/>
        <v>0</v>
      </c>
      <c r="AX615" s="66">
        <f t="shared" si="122"/>
        <v>0</v>
      </c>
      <c r="AY615" s="71">
        <f t="shared" si="123"/>
        <v>0</v>
      </c>
      <c r="AZ615" s="72">
        <f t="shared" si="124"/>
        <v>8714.4122222222213</v>
      </c>
      <c r="BA615" s="66">
        <f t="shared" si="125"/>
        <v>8923.9177777777768</v>
      </c>
    </row>
    <row r="616" spans="1:53">
      <c r="A616" s="155" t="s">
        <v>639</v>
      </c>
      <c r="B616" s="244" t="s">
        <v>748</v>
      </c>
      <c r="C616" s="264"/>
      <c r="D616" s="20"/>
      <c r="E616" s="259" t="s">
        <v>752</v>
      </c>
      <c r="F616" s="29" t="s">
        <v>75</v>
      </c>
      <c r="G616" s="16"/>
      <c r="H616" s="260">
        <v>26056</v>
      </c>
      <c r="I616" s="261">
        <f>I579</f>
        <v>26195</v>
      </c>
      <c r="J616" s="260">
        <v>3688</v>
      </c>
      <c r="K616" s="256">
        <f>K579</f>
        <v>4176</v>
      </c>
      <c r="L616" s="260">
        <v>1600</v>
      </c>
      <c r="M616" s="256">
        <f>M579</f>
        <v>1988</v>
      </c>
      <c r="N616" s="260">
        <v>29553</v>
      </c>
      <c r="O616" s="256">
        <f>O579</f>
        <v>32001</v>
      </c>
      <c r="P616" s="64">
        <f t="shared" si="109"/>
        <v>60897</v>
      </c>
      <c r="Q616" s="65">
        <f t="shared" si="110"/>
        <v>2029.9</v>
      </c>
      <c r="R616" s="66">
        <f t="shared" si="111"/>
        <v>64360</v>
      </c>
      <c r="S616" s="67">
        <f t="shared" si="112"/>
        <v>2145.3333333333335</v>
      </c>
      <c r="T616" s="260">
        <v>17667</v>
      </c>
      <c r="U616" s="256">
        <f>U579</f>
        <v>19478</v>
      </c>
      <c r="V616" s="64">
        <f t="shared" si="113"/>
        <v>60897</v>
      </c>
      <c r="W616" s="68">
        <f>IF(ISBLANK(#REF!),0,R616)</f>
        <v>64360</v>
      </c>
      <c r="X616" s="260">
        <v>130658</v>
      </c>
      <c r="Y616" s="261">
        <f>Y579</f>
        <v>124964</v>
      </c>
      <c r="Z616" s="260">
        <v>128260</v>
      </c>
      <c r="AA616" s="256">
        <f>AA579</f>
        <v>137861</v>
      </c>
      <c r="AB616" s="260">
        <v>140947</v>
      </c>
      <c r="AC616" s="256">
        <f>AC579</f>
        <v>132667</v>
      </c>
      <c r="AD616" s="260">
        <v>131190</v>
      </c>
      <c r="AE616" s="261">
        <f>AE579</f>
        <v>136533</v>
      </c>
      <c r="AF616" s="64">
        <f t="shared" si="115"/>
        <v>531055</v>
      </c>
      <c r="AG616" s="65">
        <f t="shared" si="116"/>
        <v>590.06111111111113</v>
      </c>
      <c r="AH616" s="66">
        <f t="shared" si="129"/>
        <v>532025</v>
      </c>
      <c r="AI616" s="66">
        <f t="shared" si="117"/>
        <v>591.13888888888891</v>
      </c>
      <c r="AJ616" s="254"/>
      <c r="AL616" s="64">
        <f t="shared" si="118"/>
        <v>0</v>
      </c>
      <c r="AM616" s="67">
        <f t="shared" si="128"/>
        <v>532025</v>
      </c>
      <c r="AN616" s="254"/>
      <c r="AO616" s="257"/>
      <c r="AP616" s="254"/>
      <c r="AQ616" s="238"/>
      <c r="AR616" s="254"/>
      <c r="AS616" s="238"/>
      <c r="AT616" s="254"/>
      <c r="AU616" s="238"/>
      <c r="AV616" s="64">
        <f t="shared" si="120"/>
        <v>0</v>
      </c>
      <c r="AW616" s="70">
        <f t="shared" si="121"/>
        <v>0</v>
      </c>
      <c r="AX616" s="66">
        <f t="shared" si="122"/>
        <v>0</v>
      </c>
      <c r="AY616" s="71">
        <f t="shared" si="123"/>
        <v>0</v>
      </c>
      <c r="AZ616" s="72">
        <f t="shared" si="124"/>
        <v>2619.9611111111112</v>
      </c>
      <c r="BA616" s="66">
        <f t="shared" si="125"/>
        <v>2736.4722222222226</v>
      </c>
    </row>
    <row r="617" spans="1:53">
      <c r="A617" s="155" t="s">
        <v>639</v>
      </c>
      <c r="B617" s="244" t="s">
        <v>746</v>
      </c>
      <c r="C617" s="265"/>
      <c r="D617" s="20"/>
      <c r="E617" s="259" t="s">
        <v>753</v>
      </c>
      <c r="F617" s="29" t="s">
        <v>75</v>
      </c>
      <c r="G617" s="16"/>
      <c r="H617" s="260">
        <v>15964</v>
      </c>
      <c r="I617" s="256">
        <f>I602</f>
        <v>24471</v>
      </c>
      <c r="J617" s="260">
        <v>7755</v>
      </c>
      <c r="K617" s="256">
        <f>K602</f>
        <v>8443</v>
      </c>
      <c r="L617" s="260">
        <v>0</v>
      </c>
      <c r="M617" s="261">
        <f>M602</f>
        <v>0</v>
      </c>
      <c r="N617" s="260">
        <v>19402</v>
      </c>
      <c r="O617" s="256">
        <f>O602</f>
        <v>22699</v>
      </c>
      <c r="P617" s="64">
        <f t="shared" si="109"/>
        <v>43121</v>
      </c>
      <c r="Q617" s="65">
        <f t="shared" si="110"/>
        <v>1437.3666666666666</v>
      </c>
      <c r="R617" s="66">
        <f t="shared" si="111"/>
        <v>55613</v>
      </c>
      <c r="S617" s="67">
        <f t="shared" si="112"/>
        <v>1853.7666666666667</v>
      </c>
      <c r="T617" s="260">
        <v>24</v>
      </c>
      <c r="U617" s="256">
        <f>U602</f>
        <v>0</v>
      </c>
      <c r="V617" s="64">
        <f t="shared" si="113"/>
        <v>43121</v>
      </c>
      <c r="W617" s="68">
        <f>IF(ISBLANK(#REF!),0,R617)</f>
        <v>55613</v>
      </c>
      <c r="X617" s="260">
        <v>1808</v>
      </c>
      <c r="Y617" s="256">
        <f>Y602</f>
        <v>4520</v>
      </c>
      <c r="Z617" s="260">
        <v>552</v>
      </c>
      <c r="AA617" s="256">
        <f>AA602</f>
        <v>10052</v>
      </c>
      <c r="AB617" s="260">
        <v>6528</v>
      </c>
      <c r="AC617" s="256">
        <f>AC602</f>
        <v>2536</v>
      </c>
      <c r="AD617" s="260">
        <v>2680</v>
      </c>
      <c r="AE617" s="256">
        <f>AE602</f>
        <v>1320</v>
      </c>
      <c r="AF617" s="64">
        <f t="shared" si="115"/>
        <v>11568</v>
      </c>
      <c r="AG617" s="65">
        <f t="shared" si="116"/>
        <v>12.853333333333333</v>
      </c>
      <c r="AH617" s="66">
        <f t="shared" si="129"/>
        <v>18428</v>
      </c>
      <c r="AI617" s="66">
        <f t="shared" si="117"/>
        <v>20.475555555555555</v>
      </c>
      <c r="AJ617" s="254"/>
      <c r="AL617" s="64">
        <f t="shared" si="118"/>
        <v>0</v>
      </c>
      <c r="AM617" s="67">
        <f t="shared" si="128"/>
        <v>18428</v>
      </c>
      <c r="AN617" s="254"/>
      <c r="AO617" s="257"/>
      <c r="AP617" s="254"/>
      <c r="AR617" s="254"/>
      <c r="AT617" s="254"/>
      <c r="AV617" s="64">
        <f t="shared" si="120"/>
        <v>0</v>
      </c>
      <c r="AW617" s="70">
        <f t="shared" si="121"/>
        <v>0</v>
      </c>
      <c r="AX617" s="66">
        <f t="shared" si="122"/>
        <v>0</v>
      </c>
      <c r="AY617" s="71">
        <f t="shared" si="123"/>
        <v>0</v>
      </c>
      <c r="AZ617" s="72">
        <f t="shared" si="124"/>
        <v>1450.2199999999998</v>
      </c>
      <c r="BA617" s="66">
        <f t="shared" si="125"/>
        <v>1874.2422222222222</v>
      </c>
    </row>
    <row r="618" spans="1:53">
      <c r="A618" s="155" t="s">
        <v>639</v>
      </c>
      <c r="B618" s="244" t="s">
        <v>748</v>
      </c>
      <c r="C618" s="266"/>
      <c r="D618" s="20"/>
      <c r="E618" s="259" t="s">
        <v>753</v>
      </c>
      <c r="F618" s="29" t="s">
        <v>75</v>
      </c>
      <c r="G618" s="16"/>
      <c r="H618" s="260">
        <v>1121</v>
      </c>
      <c r="I618" s="261">
        <f>I605</f>
        <v>1079</v>
      </c>
      <c r="J618" s="260">
        <v>0</v>
      </c>
      <c r="K618" s="256">
        <f>K605</f>
        <v>3</v>
      </c>
      <c r="L618" s="260">
        <v>0</v>
      </c>
      <c r="M618" s="261">
        <f>M605</f>
        <v>0</v>
      </c>
      <c r="N618" s="260">
        <v>1219</v>
      </c>
      <c r="O618" s="256">
        <f>O605</f>
        <v>1141</v>
      </c>
      <c r="P618" s="64">
        <f t="shared" si="109"/>
        <v>2340</v>
      </c>
      <c r="Q618" s="65">
        <f t="shared" si="110"/>
        <v>78</v>
      </c>
      <c r="R618" s="66">
        <f t="shared" si="111"/>
        <v>2223</v>
      </c>
      <c r="S618" s="67">
        <f t="shared" si="112"/>
        <v>74.099999999999994</v>
      </c>
      <c r="T618" s="260">
        <v>0</v>
      </c>
      <c r="U618" s="261">
        <f>U605</f>
        <v>0</v>
      </c>
      <c r="V618" s="64">
        <f t="shared" si="113"/>
        <v>2340</v>
      </c>
      <c r="W618" s="68">
        <f>IF(ISBLANK(#REF!),0,R618)</f>
        <v>2223</v>
      </c>
      <c r="X618" s="260">
        <v>0</v>
      </c>
      <c r="Y618" s="261">
        <f>Y605</f>
        <v>0</v>
      </c>
      <c r="Z618" s="260">
        <v>0</v>
      </c>
      <c r="AA618" s="261">
        <f>AA605</f>
        <v>0</v>
      </c>
      <c r="AB618" s="260">
        <v>0</v>
      </c>
      <c r="AC618" s="261">
        <f>AC605</f>
        <v>0</v>
      </c>
      <c r="AD618" s="260">
        <v>0</v>
      </c>
      <c r="AE618" s="261">
        <f>AE605</f>
        <v>0</v>
      </c>
      <c r="AF618" s="64">
        <f t="shared" si="115"/>
        <v>0</v>
      </c>
      <c r="AG618" s="65">
        <f t="shared" si="116"/>
        <v>0</v>
      </c>
      <c r="AH618" s="66">
        <f t="shared" si="129"/>
        <v>0</v>
      </c>
      <c r="AI618" s="66">
        <f t="shared" si="117"/>
        <v>0</v>
      </c>
      <c r="AJ618" s="254"/>
      <c r="AL618" s="64">
        <f t="shared" si="118"/>
        <v>0</v>
      </c>
      <c r="AM618" s="67">
        <f t="shared" si="128"/>
        <v>0</v>
      </c>
      <c r="AN618" s="254"/>
      <c r="AO618" s="257"/>
      <c r="AP618" s="254"/>
      <c r="AR618" s="254"/>
      <c r="AT618" s="254"/>
      <c r="AV618" s="64">
        <f t="shared" si="120"/>
        <v>0</v>
      </c>
      <c r="AW618" s="70">
        <f t="shared" si="121"/>
        <v>0</v>
      </c>
      <c r="AX618" s="66">
        <f t="shared" si="122"/>
        <v>0</v>
      </c>
      <c r="AY618" s="71">
        <f t="shared" si="123"/>
        <v>0</v>
      </c>
      <c r="AZ618" s="72">
        <f t="shared" si="124"/>
        <v>78</v>
      </c>
      <c r="BA618" s="66">
        <f t="shared" si="125"/>
        <v>74.099999999999994</v>
      </c>
    </row>
    <row r="619" spans="1:53">
      <c r="A619" s="155" t="s">
        <v>639</v>
      </c>
      <c r="B619" s="244" t="s">
        <v>754</v>
      </c>
      <c r="C619" s="11" t="s">
        <v>755</v>
      </c>
      <c r="D619" s="17"/>
      <c r="E619" s="243">
        <v>99</v>
      </c>
      <c r="F619" s="29" t="s">
        <v>75</v>
      </c>
      <c r="G619" s="16"/>
      <c r="H619" s="27"/>
      <c r="I619" s="26">
        <v>0</v>
      </c>
      <c r="J619" s="27"/>
      <c r="K619" s="26">
        <v>0</v>
      </c>
      <c r="L619" s="27"/>
      <c r="M619" s="26">
        <v>0</v>
      </c>
      <c r="N619" s="27"/>
      <c r="O619" s="109">
        <v>2566</v>
      </c>
      <c r="P619" s="64">
        <f t="shared" si="109"/>
        <v>0</v>
      </c>
      <c r="Q619" s="65">
        <f t="shared" si="110"/>
        <v>0</v>
      </c>
      <c r="R619" s="66">
        <f t="shared" si="111"/>
        <v>2566</v>
      </c>
      <c r="S619" s="67">
        <f t="shared" si="112"/>
        <v>85.533333333333331</v>
      </c>
      <c r="T619" s="27"/>
      <c r="U619" s="267">
        <v>0</v>
      </c>
      <c r="V619" s="64">
        <f t="shared" si="113"/>
        <v>0</v>
      </c>
      <c r="W619" s="68">
        <f>IF(ISBLANK(#REF!),0,R619)</f>
        <v>2566</v>
      </c>
      <c r="X619" s="27"/>
      <c r="Y619" s="26"/>
      <c r="Z619" s="27"/>
      <c r="AA619" s="26"/>
      <c r="AB619" s="27"/>
      <c r="AC619" s="26"/>
      <c r="AD619" s="27"/>
      <c r="AE619" s="26"/>
      <c r="AF619" s="64">
        <f t="shared" si="115"/>
        <v>0</v>
      </c>
      <c r="AG619" s="65">
        <f t="shared" si="116"/>
        <v>0</v>
      </c>
      <c r="AH619" s="66">
        <f t="shared" si="129"/>
        <v>0</v>
      </c>
      <c r="AI619" s="66">
        <f t="shared" si="117"/>
        <v>0</v>
      </c>
      <c r="AJ619" s="27"/>
      <c r="AK619" s="26"/>
      <c r="AL619" s="64">
        <f t="shared" si="118"/>
        <v>0</v>
      </c>
      <c r="AM619" s="67">
        <f t="shared" si="128"/>
        <v>0</v>
      </c>
      <c r="AN619" s="27"/>
      <c r="AO619" s="26"/>
      <c r="AP619" s="27"/>
      <c r="AQ619" s="26"/>
      <c r="AR619" s="27"/>
      <c r="AS619" s="26"/>
      <c r="AT619" s="27"/>
      <c r="AU619" s="26"/>
      <c r="AV619" s="64">
        <f t="shared" si="120"/>
        <v>0</v>
      </c>
      <c r="AW619" s="70">
        <f t="shared" si="121"/>
        <v>0</v>
      </c>
      <c r="AX619" s="66">
        <f t="shared" si="122"/>
        <v>0</v>
      </c>
      <c r="AY619" s="71">
        <f t="shared" si="123"/>
        <v>0</v>
      </c>
      <c r="AZ619" s="72">
        <f t="shared" si="124"/>
        <v>0</v>
      </c>
      <c r="BA619" s="66">
        <f t="shared" si="125"/>
        <v>85.533333333333331</v>
      </c>
    </row>
    <row r="620" spans="1:53">
      <c r="A620" s="155" t="s">
        <v>639</v>
      </c>
      <c r="B620" s="244" t="s">
        <v>756</v>
      </c>
      <c r="C620" s="11" t="s">
        <v>755</v>
      </c>
      <c r="D620" s="17"/>
      <c r="E620" s="243">
        <v>99</v>
      </c>
      <c r="F620" s="29" t="s">
        <v>75</v>
      </c>
      <c r="G620" s="16"/>
      <c r="H620" s="27"/>
      <c r="I620" s="26">
        <v>0</v>
      </c>
      <c r="J620" s="27"/>
      <c r="K620" s="26">
        <v>0</v>
      </c>
      <c r="L620" s="27"/>
      <c r="M620" s="26">
        <v>0</v>
      </c>
      <c r="N620" s="27"/>
      <c r="O620" s="109">
        <v>2830</v>
      </c>
      <c r="P620" s="64">
        <f t="shared" si="109"/>
        <v>0</v>
      </c>
      <c r="Q620" s="65">
        <f t="shared" si="110"/>
        <v>0</v>
      </c>
      <c r="R620" s="66">
        <f t="shared" si="111"/>
        <v>2830</v>
      </c>
      <c r="S620" s="67">
        <f t="shared" si="112"/>
        <v>94.333333333333329</v>
      </c>
      <c r="T620" s="27"/>
      <c r="U620" s="267">
        <v>0</v>
      </c>
      <c r="V620" s="64">
        <f t="shared" si="113"/>
        <v>0</v>
      </c>
      <c r="W620" s="68">
        <f>IF(ISBLANK(#REF!),0,R620)</f>
        <v>2830</v>
      </c>
      <c r="X620" s="27"/>
      <c r="Y620" s="26"/>
      <c r="Z620" s="27"/>
      <c r="AA620" s="26"/>
      <c r="AB620" s="27"/>
      <c r="AC620" s="26"/>
      <c r="AD620" s="27"/>
      <c r="AE620" s="26"/>
      <c r="AF620" s="64">
        <f t="shared" si="115"/>
        <v>0</v>
      </c>
      <c r="AG620" s="65">
        <f t="shared" si="116"/>
        <v>0</v>
      </c>
      <c r="AH620" s="66">
        <f t="shared" si="129"/>
        <v>0</v>
      </c>
      <c r="AI620" s="66">
        <f t="shared" si="117"/>
        <v>0</v>
      </c>
      <c r="AJ620" s="27"/>
      <c r="AK620" s="26"/>
      <c r="AL620" s="64">
        <f t="shared" si="118"/>
        <v>0</v>
      </c>
      <c r="AM620" s="67">
        <f t="shared" si="128"/>
        <v>0</v>
      </c>
      <c r="AN620" s="27"/>
      <c r="AO620" s="26"/>
      <c r="AP620" s="27"/>
      <c r="AQ620" s="26"/>
      <c r="AR620" s="27"/>
      <c r="AS620" s="26"/>
      <c r="AT620" s="27"/>
      <c r="AU620" s="26"/>
      <c r="AV620" s="64">
        <f t="shared" si="120"/>
        <v>0</v>
      </c>
      <c r="AW620" s="70">
        <f t="shared" si="121"/>
        <v>0</v>
      </c>
      <c r="AX620" s="66">
        <f t="shared" si="122"/>
        <v>0</v>
      </c>
      <c r="AY620" s="71">
        <f t="shared" si="123"/>
        <v>0</v>
      </c>
      <c r="AZ620" s="72">
        <f t="shared" si="124"/>
        <v>0</v>
      </c>
      <c r="BA620" s="66">
        <f t="shared" si="125"/>
        <v>94.333333333333329</v>
      </c>
    </row>
    <row r="621" spans="1:53" s="729" customFormat="1">
      <c r="A621" s="710" t="s">
        <v>757</v>
      </c>
      <c r="B621" s="711" t="s">
        <v>758</v>
      </c>
      <c r="C621" s="7"/>
      <c r="D621" s="712">
        <v>232186</v>
      </c>
      <c r="E621" s="713">
        <v>1</v>
      </c>
      <c r="F621" s="714" t="s">
        <v>75</v>
      </c>
      <c r="G621" s="715"/>
      <c r="H621" s="716"/>
      <c r="I621" s="717"/>
      <c r="J621" s="716">
        <v>284102</v>
      </c>
      <c r="K621" s="718">
        <v>294967.5</v>
      </c>
      <c r="L621" s="716">
        <v>53435</v>
      </c>
      <c r="M621" s="718">
        <v>52960</v>
      </c>
      <c r="N621" s="716">
        <v>302855.5</v>
      </c>
      <c r="O621" s="409">
        <v>316483</v>
      </c>
      <c r="P621" s="719">
        <f t="shared" si="109"/>
        <v>640392.5</v>
      </c>
      <c r="Q621" s="720">
        <f t="shared" si="110"/>
        <v>21346.416666666668</v>
      </c>
      <c r="R621" s="721">
        <f t="shared" si="111"/>
        <v>664410.5</v>
      </c>
      <c r="S621" s="722">
        <f t="shared" si="112"/>
        <v>22147.016666666666</v>
      </c>
      <c r="T621" s="723">
        <v>16141</v>
      </c>
      <c r="U621" s="724">
        <v>15812</v>
      </c>
      <c r="V621" s="719">
        <f t="shared" si="113"/>
        <v>640392.5</v>
      </c>
      <c r="W621" s="725">
        <f t="shared" ref="W621:W663" si="130">IF(ISBLANK(U621),0,R621)</f>
        <v>664410.5</v>
      </c>
      <c r="X621" s="723"/>
      <c r="Y621" s="724"/>
      <c r="Z621" s="723"/>
      <c r="AA621" s="724"/>
      <c r="AB621" s="723"/>
      <c r="AC621" s="724"/>
      <c r="AD621" s="723"/>
      <c r="AE621" s="724"/>
      <c r="AF621" s="719">
        <f t="shared" si="115"/>
        <v>0</v>
      </c>
      <c r="AG621" s="720">
        <f t="shared" si="116"/>
        <v>0</v>
      </c>
      <c r="AH621" s="721">
        <f t="shared" si="129"/>
        <v>0</v>
      </c>
      <c r="AI621" s="721">
        <f t="shared" si="117"/>
        <v>0</v>
      </c>
      <c r="AJ621" s="723"/>
      <c r="AK621" s="724"/>
      <c r="AL621" s="719">
        <f t="shared" si="118"/>
        <v>0</v>
      </c>
      <c r="AM621" s="722">
        <f t="shared" ref="AM621:AM663" si="131">IF(ISBLANK(AK621),0,AH621)</f>
        <v>0</v>
      </c>
      <c r="AN621" s="723"/>
      <c r="AO621" s="724"/>
      <c r="AP621" s="723">
        <v>72782</v>
      </c>
      <c r="AQ621" s="724">
        <v>71093.8</v>
      </c>
      <c r="AR621" s="723">
        <v>18432</v>
      </c>
      <c r="AS621" s="724">
        <v>17389</v>
      </c>
      <c r="AT621" s="723">
        <v>72083.5</v>
      </c>
      <c r="AU621" s="724">
        <v>74714.5</v>
      </c>
      <c r="AV621" s="719">
        <f t="shared" si="120"/>
        <v>163297.5</v>
      </c>
      <c r="AW621" s="726">
        <f t="shared" si="121"/>
        <v>6804.0625</v>
      </c>
      <c r="AX621" s="721">
        <f t="shared" si="122"/>
        <v>163197.29999999999</v>
      </c>
      <c r="AY621" s="727">
        <f t="shared" si="123"/>
        <v>6799.8874999999998</v>
      </c>
      <c r="AZ621" s="728">
        <f t="shared" si="124"/>
        <v>28150.479166666668</v>
      </c>
      <c r="BA621" s="721">
        <f t="shared" si="125"/>
        <v>28946.904166666667</v>
      </c>
    </row>
    <row r="622" spans="1:53" s="729" customFormat="1">
      <c r="A622" s="710" t="s">
        <v>757</v>
      </c>
      <c r="B622" s="730" t="s">
        <v>759</v>
      </c>
      <c r="C622" s="7"/>
      <c r="D622" s="712">
        <v>232982</v>
      </c>
      <c r="E622" s="713">
        <v>1</v>
      </c>
      <c r="F622" s="714" t="s">
        <v>75</v>
      </c>
      <c r="G622" s="715"/>
      <c r="H622" s="716"/>
      <c r="I622" s="717"/>
      <c r="J622" s="716">
        <v>224529</v>
      </c>
      <c r="K622" s="718">
        <v>224955</v>
      </c>
      <c r="L622" s="716">
        <v>55397</v>
      </c>
      <c r="M622" s="718">
        <v>54737</v>
      </c>
      <c r="N622" s="716">
        <v>245454</v>
      </c>
      <c r="O622" s="409">
        <v>242315</v>
      </c>
      <c r="P622" s="719">
        <f t="shared" si="109"/>
        <v>525380</v>
      </c>
      <c r="Q622" s="720">
        <f t="shared" si="110"/>
        <v>17512.666666666668</v>
      </c>
      <c r="R622" s="721">
        <f t="shared" si="111"/>
        <v>522007</v>
      </c>
      <c r="S622" s="722">
        <f t="shared" si="112"/>
        <v>17400.233333333334</v>
      </c>
      <c r="T622" s="723">
        <v>66</v>
      </c>
      <c r="U622" s="724">
        <v>73</v>
      </c>
      <c r="V622" s="719">
        <f t="shared" si="113"/>
        <v>525380</v>
      </c>
      <c r="W622" s="725">
        <f t="shared" si="130"/>
        <v>522007</v>
      </c>
      <c r="X622" s="723"/>
      <c r="Y622" s="724"/>
      <c r="Z622" s="723"/>
      <c r="AA622" s="724"/>
      <c r="AB622" s="723"/>
      <c r="AC622" s="724"/>
      <c r="AD622" s="723"/>
      <c r="AE622" s="724"/>
      <c r="AF622" s="719">
        <f t="shared" si="115"/>
        <v>0</v>
      </c>
      <c r="AG622" s="720">
        <f t="shared" si="116"/>
        <v>0</v>
      </c>
      <c r="AH622" s="721">
        <f t="shared" si="129"/>
        <v>0</v>
      </c>
      <c r="AI622" s="721">
        <f t="shared" si="117"/>
        <v>0</v>
      </c>
      <c r="AJ622" s="723"/>
      <c r="AK622" s="724"/>
      <c r="AL622" s="719">
        <f t="shared" si="118"/>
        <v>0</v>
      </c>
      <c r="AM622" s="722">
        <f t="shared" si="131"/>
        <v>0</v>
      </c>
      <c r="AN622" s="723"/>
      <c r="AO622" s="724"/>
      <c r="AP622" s="723">
        <v>27242</v>
      </c>
      <c r="AQ622" s="724">
        <v>25957</v>
      </c>
      <c r="AR622" s="723">
        <v>13603</v>
      </c>
      <c r="AS622" s="724">
        <v>13362</v>
      </c>
      <c r="AT622" s="723">
        <v>27178</v>
      </c>
      <c r="AU622" s="724">
        <v>26908</v>
      </c>
      <c r="AV622" s="719">
        <f t="shared" si="120"/>
        <v>68023</v>
      </c>
      <c r="AW622" s="726">
        <f t="shared" si="121"/>
        <v>2834.2916666666665</v>
      </c>
      <c r="AX622" s="721">
        <f t="shared" si="122"/>
        <v>66227</v>
      </c>
      <c r="AY622" s="727">
        <f t="shared" si="123"/>
        <v>2759.4583333333335</v>
      </c>
      <c r="AZ622" s="728">
        <f t="shared" si="124"/>
        <v>20346.958333333336</v>
      </c>
      <c r="BA622" s="721">
        <f t="shared" si="125"/>
        <v>20159.691666666666</v>
      </c>
    </row>
    <row r="623" spans="1:53" s="729" customFormat="1">
      <c r="A623" s="710" t="s">
        <v>757</v>
      </c>
      <c r="B623" s="730" t="s">
        <v>760</v>
      </c>
      <c r="C623" s="7"/>
      <c r="D623" s="712">
        <v>234076</v>
      </c>
      <c r="E623" s="713">
        <v>1</v>
      </c>
      <c r="F623" s="714" t="s">
        <v>75</v>
      </c>
      <c r="G623" s="715"/>
      <c r="H623" s="716"/>
      <c r="I623" s="717"/>
      <c r="J623" s="716">
        <v>230413</v>
      </c>
      <c r="K623" s="718">
        <v>236143</v>
      </c>
      <c r="L623" s="716">
        <v>18270</v>
      </c>
      <c r="M623" s="718">
        <v>17273</v>
      </c>
      <c r="N623" s="716">
        <v>239828.5</v>
      </c>
      <c r="O623" s="409">
        <v>237561</v>
      </c>
      <c r="P623" s="719">
        <f t="shared" si="109"/>
        <v>488511.5</v>
      </c>
      <c r="Q623" s="720">
        <f t="shared" si="110"/>
        <v>16283.716666666667</v>
      </c>
      <c r="R623" s="721">
        <f t="shared" si="111"/>
        <v>490977</v>
      </c>
      <c r="S623" s="722">
        <f t="shared" si="112"/>
        <v>16365.9</v>
      </c>
      <c r="T623" s="723">
        <v>0</v>
      </c>
      <c r="U623" s="724">
        <v>0</v>
      </c>
      <c r="V623" s="719">
        <f t="shared" si="113"/>
        <v>488511.5</v>
      </c>
      <c r="W623" s="725">
        <f t="shared" si="130"/>
        <v>490977</v>
      </c>
      <c r="X623" s="723"/>
      <c r="Y623" s="724"/>
      <c r="Z623" s="723"/>
      <c r="AA623" s="724"/>
      <c r="AB623" s="723"/>
      <c r="AC623" s="724"/>
      <c r="AD623" s="723"/>
      <c r="AE623" s="724"/>
      <c r="AF623" s="719">
        <f t="shared" si="115"/>
        <v>0</v>
      </c>
      <c r="AG623" s="720">
        <f t="shared" si="116"/>
        <v>0</v>
      </c>
      <c r="AH623" s="721">
        <f t="shared" si="129"/>
        <v>0</v>
      </c>
      <c r="AI623" s="721">
        <f t="shared" si="117"/>
        <v>0</v>
      </c>
      <c r="AJ623" s="723"/>
      <c r="AK623" s="724"/>
      <c r="AL623" s="719">
        <f t="shared" si="118"/>
        <v>0</v>
      </c>
      <c r="AM623" s="722">
        <f t="shared" si="131"/>
        <v>0</v>
      </c>
      <c r="AN623" s="723"/>
      <c r="AO623" s="724"/>
      <c r="AP623" s="723">
        <v>83438.5</v>
      </c>
      <c r="AQ623" s="724">
        <v>82177</v>
      </c>
      <c r="AR623" s="723">
        <v>14352</v>
      </c>
      <c r="AS623" s="724">
        <v>14278</v>
      </c>
      <c r="AT623" s="723">
        <v>83050</v>
      </c>
      <c r="AU623" s="724">
        <v>85854</v>
      </c>
      <c r="AV623" s="719">
        <f t="shared" si="120"/>
        <v>180840.5</v>
      </c>
      <c r="AW623" s="726">
        <f t="shared" si="121"/>
        <v>7535.020833333333</v>
      </c>
      <c r="AX623" s="721">
        <f t="shared" si="122"/>
        <v>182309</v>
      </c>
      <c r="AY623" s="727">
        <f t="shared" si="123"/>
        <v>7596.208333333333</v>
      </c>
      <c r="AZ623" s="728">
        <f t="shared" si="124"/>
        <v>23818.737499999999</v>
      </c>
      <c r="BA623" s="721">
        <f t="shared" si="125"/>
        <v>23962.108333333334</v>
      </c>
    </row>
    <row r="624" spans="1:53" s="729" customFormat="1">
      <c r="A624" s="710" t="s">
        <v>757</v>
      </c>
      <c r="B624" s="730" t="s">
        <v>761</v>
      </c>
      <c r="C624" s="3"/>
      <c r="D624" s="712">
        <v>234030</v>
      </c>
      <c r="E624" s="731">
        <v>1</v>
      </c>
      <c r="F624" s="714" t="s">
        <v>75</v>
      </c>
      <c r="G624" s="715"/>
      <c r="H624" s="716"/>
      <c r="I624" s="717"/>
      <c r="J624" s="716">
        <v>298822</v>
      </c>
      <c r="K624" s="718">
        <v>295047.5</v>
      </c>
      <c r="L624" s="716">
        <v>39960.5</v>
      </c>
      <c r="M624" s="718">
        <v>37762.5</v>
      </c>
      <c r="N624" s="716">
        <v>322337.5</v>
      </c>
      <c r="O624" s="409">
        <v>323259</v>
      </c>
      <c r="P624" s="719">
        <f t="shared" si="109"/>
        <v>661120</v>
      </c>
      <c r="Q624" s="720">
        <f t="shared" si="110"/>
        <v>22037.333333333332</v>
      </c>
      <c r="R624" s="721">
        <f t="shared" si="111"/>
        <v>656069</v>
      </c>
      <c r="S624" s="722">
        <f t="shared" si="112"/>
        <v>21868.966666666667</v>
      </c>
      <c r="T624" s="723">
        <v>7673</v>
      </c>
      <c r="U624" s="724">
        <v>7729</v>
      </c>
      <c r="V624" s="719">
        <f t="shared" si="113"/>
        <v>661120</v>
      </c>
      <c r="W624" s="725">
        <f t="shared" si="130"/>
        <v>656069</v>
      </c>
      <c r="X624" s="723"/>
      <c r="Y624" s="724"/>
      <c r="Z624" s="723"/>
      <c r="AA624" s="724"/>
      <c r="AB624" s="723"/>
      <c r="AC624" s="724"/>
      <c r="AD624" s="723"/>
      <c r="AE624" s="724"/>
      <c r="AF624" s="719">
        <f t="shared" si="115"/>
        <v>0</v>
      </c>
      <c r="AG624" s="720">
        <f t="shared" si="116"/>
        <v>0</v>
      </c>
      <c r="AH624" s="721">
        <f t="shared" si="129"/>
        <v>0</v>
      </c>
      <c r="AI624" s="721">
        <f t="shared" si="117"/>
        <v>0</v>
      </c>
      <c r="AJ624" s="723"/>
      <c r="AK624" s="724"/>
      <c r="AL624" s="719">
        <f t="shared" si="118"/>
        <v>0</v>
      </c>
      <c r="AM624" s="722">
        <f t="shared" si="131"/>
        <v>0</v>
      </c>
      <c r="AN624" s="723"/>
      <c r="AO624" s="724"/>
      <c r="AP624" s="723">
        <v>59693.5</v>
      </c>
      <c r="AQ624" s="724">
        <v>60278</v>
      </c>
      <c r="AR624" s="723">
        <v>11708.5</v>
      </c>
      <c r="AS624" s="724">
        <v>11847.5</v>
      </c>
      <c r="AT624" s="723">
        <v>61948.5</v>
      </c>
      <c r="AU624" s="724">
        <v>60692.5</v>
      </c>
      <c r="AV624" s="719">
        <f t="shared" si="120"/>
        <v>133350.5</v>
      </c>
      <c r="AW624" s="726">
        <f t="shared" si="121"/>
        <v>5556.270833333333</v>
      </c>
      <c r="AX624" s="721">
        <f t="shared" si="122"/>
        <v>132818</v>
      </c>
      <c r="AY624" s="727">
        <f t="shared" si="123"/>
        <v>5534.083333333333</v>
      </c>
      <c r="AZ624" s="728">
        <f t="shared" si="124"/>
        <v>27593.604166666664</v>
      </c>
      <c r="BA624" s="721">
        <f t="shared" si="125"/>
        <v>27403.05</v>
      </c>
    </row>
    <row r="625" spans="1:53" s="729" customFormat="1">
      <c r="A625" s="710" t="s">
        <v>757</v>
      </c>
      <c r="B625" s="730" t="s">
        <v>762</v>
      </c>
      <c r="C625" s="7"/>
      <c r="D625" s="712">
        <v>233921</v>
      </c>
      <c r="E625" s="713">
        <v>1</v>
      </c>
      <c r="F625" s="714" t="s">
        <v>75</v>
      </c>
      <c r="G625" s="715"/>
      <c r="H625" s="716"/>
      <c r="I625" s="717"/>
      <c r="J625" s="716">
        <v>359738</v>
      </c>
      <c r="K625" s="718">
        <v>374222</v>
      </c>
      <c r="L625" s="716">
        <v>33893</v>
      </c>
      <c r="M625" s="718">
        <v>33106</v>
      </c>
      <c r="N625" s="716">
        <v>389183</v>
      </c>
      <c r="O625" s="409">
        <v>394355</v>
      </c>
      <c r="P625" s="719">
        <f t="shared" si="109"/>
        <v>782814</v>
      </c>
      <c r="Q625" s="720">
        <f t="shared" si="110"/>
        <v>26093.8</v>
      </c>
      <c r="R625" s="721">
        <f t="shared" si="111"/>
        <v>801683</v>
      </c>
      <c r="S625" s="722">
        <f t="shared" si="112"/>
        <v>26722.766666666666</v>
      </c>
      <c r="T625" s="723">
        <v>0</v>
      </c>
      <c r="U625" s="724">
        <v>0</v>
      </c>
      <c r="V625" s="719">
        <f t="shared" si="113"/>
        <v>782814</v>
      </c>
      <c r="W625" s="725">
        <f t="shared" si="130"/>
        <v>801683</v>
      </c>
      <c r="X625" s="723"/>
      <c r="Y625" s="724"/>
      <c r="Z625" s="723"/>
      <c r="AA625" s="724"/>
      <c r="AB625" s="723"/>
      <c r="AC625" s="724"/>
      <c r="AD625" s="723"/>
      <c r="AE625" s="724"/>
      <c r="AF625" s="719">
        <f t="shared" si="115"/>
        <v>0</v>
      </c>
      <c r="AG625" s="720">
        <f t="shared" si="116"/>
        <v>0</v>
      </c>
      <c r="AH625" s="721">
        <f t="shared" si="129"/>
        <v>0</v>
      </c>
      <c r="AI625" s="721">
        <f t="shared" si="117"/>
        <v>0</v>
      </c>
      <c r="AJ625" s="723"/>
      <c r="AK625" s="724"/>
      <c r="AL625" s="719">
        <f t="shared" si="118"/>
        <v>0</v>
      </c>
      <c r="AM625" s="722">
        <f t="shared" si="131"/>
        <v>0</v>
      </c>
      <c r="AN625" s="723"/>
      <c r="AO625" s="724"/>
      <c r="AP625" s="723">
        <v>64843</v>
      </c>
      <c r="AQ625" s="724">
        <v>67544</v>
      </c>
      <c r="AR625" s="723">
        <v>7661</v>
      </c>
      <c r="AS625" s="724">
        <v>6357</v>
      </c>
      <c r="AT625" s="723">
        <v>69586</v>
      </c>
      <c r="AU625" s="724">
        <v>72129</v>
      </c>
      <c r="AV625" s="719">
        <f t="shared" si="120"/>
        <v>142090</v>
      </c>
      <c r="AW625" s="726">
        <f t="shared" si="121"/>
        <v>5920.416666666667</v>
      </c>
      <c r="AX625" s="721">
        <f t="shared" si="122"/>
        <v>146030</v>
      </c>
      <c r="AY625" s="727">
        <f t="shared" si="123"/>
        <v>6084.583333333333</v>
      </c>
      <c r="AZ625" s="728">
        <f t="shared" si="124"/>
        <v>32014.216666666667</v>
      </c>
      <c r="BA625" s="721">
        <f t="shared" si="125"/>
        <v>32807.35</v>
      </c>
    </row>
    <row r="626" spans="1:53" s="729" customFormat="1">
      <c r="A626" s="710" t="s">
        <v>757</v>
      </c>
      <c r="B626" s="730" t="s">
        <v>763</v>
      </c>
      <c r="C626" s="7"/>
      <c r="D626" s="712">
        <v>231624</v>
      </c>
      <c r="E626" s="713">
        <v>2</v>
      </c>
      <c r="F626" s="714" t="s">
        <v>75</v>
      </c>
      <c r="G626" s="715"/>
      <c r="H626" s="716"/>
      <c r="I626" s="717"/>
      <c r="J626" s="716">
        <v>86903.6</v>
      </c>
      <c r="K626" s="718">
        <v>87109.3</v>
      </c>
      <c r="L626" s="716">
        <v>8631</v>
      </c>
      <c r="M626" s="718">
        <v>8911</v>
      </c>
      <c r="N626" s="716">
        <v>90795.3</v>
      </c>
      <c r="O626" s="409">
        <v>90343.3</v>
      </c>
      <c r="P626" s="719">
        <f t="shared" si="109"/>
        <v>186329.90000000002</v>
      </c>
      <c r="Q626" s="720">
        <f t="shared" si="110"/>
        <v>6210.9966666666678</v>
      </c>
      <c r="R626" s="721">
        <f t="shared" si="111"/>
        <v>186363.6</v>
      </c>
      <c r="S626" s="722">
        <f t="shared" si="112"/>
        <v>6212.12</v>
      </c>
      <c r="T626" s="723">
        <v>0</v>
      </c>
      <c r="U626" s="724">
        <v>0</v>
      </c>
      <c r="V626" s="719">
        <f t="shared" si="113"/>
        <v>186329.90000000002</v>
      </c>
      <c r="W626" s="725">
        <f t="shared" si="130"/>
        <v>186363.6</v>
      </c>
      <c r="X626" s="723"/>
      <c r="Y626" s="724"/>
      <c r="Z626" s="723"/>
      <c r="AA626" s="724"/>
      <c r="AB626" s="723"/>
      <c r="AC626" s="724"/>
      <c r="AD626" s="723"/>
      <c r="AE626" s="724"/>
      <c r="AF626" s="719">
        <f t="shared" si="115"/>
        <v>0</v>
      </c>
      <c r="AG626" s="720">
        <f t="shared" si="116"/>
        <v>0</v>
      </c>
      <c r="AH626" s="721">
        <f t="shared" si="129"/>
        <v>0</v>
      </c>
      <c r="AI626" s="721">
        <f t="shared" si="117"/>
        <v>0</v>
      </c>
      <c r="AJ626" s="723"/>
      <c r="AK626" s="724"/>
      <c r="AL626" s="719">
        <f t="shared" si="118"/>
        <v>0</v>
      </c>
      <c r="AM626" s="722">
        <f t="shared" si="131"/>
        <v>0</v>
      </c>
      <c r="AN626" s="723"/>
      <c r="AO626" s="724"/>
      <c r="AP626" s="723">
        <v>24289.5</v>
      </c>
      <c r="AQ626" s="724">
        <v>25992.5</v>
      </c>
      <c r="AR626" s="723">
        <v>4353.5</v>
      </c>
      <c r="AS626" s="724">
        <v>3994</v>
      </c>
      <c r="AT626" s="723">
        <v>26074</v>
      </c>
      <c r="AU626" s="724">
        <v>27906.5</v>
      </c>
      <c r="AV626" s="719">
        <f t="shared" si="120"/>
        <v>54717</v>
      </c>
      <c r="AW626" s="726">
        <f t="shared" si="121"/>
        <v>2279.875</v>
      </c>
      <c r="AX626" s="721">
        <f t="shared" si="122"/>
        <v>57893</v>
      </c>
      <c r="AY626" s="727">
        <f t="shared" si="123"/>
        <v>2412.2083333333335</v>
      </c>
      <c r="AZ626" s="728">
        <f t="shared" si="124"/>
        <v>8490.8716666666678</v>
      </c>
      <c r="BA626" s="721">
        <f t="shared" si="125"/>
        <v>8624.3283333333329</v>
      </c>
    </row>
    <row r="627" spans="1:53" s="729" customFormat="1">
      <c r="A627" s="710" t="s">
        <v>757</v>
      </c>
      <c r="B627" s="730" t="s">
        <v>764</v>
      </c>
      <c r="C627" s="7"/>
      <c r="D627" s="712">
        <v>232423</v>
      </c>
      <c r="E627" s="713">
        <v>3</v>
      </c>
      <c r="F627" s="714" t="s">
        <v>75</v>
      </c>
      <c r="G627" s="715"/>
      <c r="H627" s="716"/>
      <c r="I627" s="717"/>
      <c r="J627" s="716">
        <v>261923</v>
      </c>
      <c r="K627" s="718">
        <v>266631</v>
      </c>
      <c r="L627" s="716">
        <v>27605</v>
      </c>
      <c r="M627" s="718">
        <v>29862</v>
      </c>
      <c r="N627" s="716">
        <v>283191</v>
      </c>
      <c r="O627" s="409">
        <v>284856</v>
      </c>
      <c r="P627" s="719">
        <f t="shared" si="109"/>
        <v>572719</v>
      </c>
      <c r="Q627" s="720">
        <f t="shared" si="110"/>
        <v>19090.633333333335</v>
      </c>
      <c r="R627" s="721">
        <f t="shared" si="111"/>
        <v>581349</v>
      </c>
      <c r="S627" s="722">
        <f t="shared" si="112"/>
        <v>19378.3</v>
      </c>
      <c r="T627" s="723">
        <v>6114</v>
      </c>
      <c r="U627" s="724">
        <v>4824</v>
      </c>
      <c r="V627" s="719">
        <f t="shared" si="113"/>
        <v>572719</v>
      </c>
      <c r="W627" s="725">
        <f t="shared" si="130"/>
        <v>581349</v>
      </c>
      <c r="X627" s="723"/>
      <c r="Y627" s="724"/>
      <c r="Z627" s="723"/>
      <c r="AA627" s="724"/>
      <c r="AB627" s="723"/>
      <c r="AC627" s="724"/>
      <c r="AD627" s="723"/>
      <c r="AE627" s="724"/>
      <c r="AF627" s="719">
        <f t="shared" si="115"/>
        <v>0</v>
      </c>
      <c r="AG627" s="720">
        <f t="shared" si="116"/>
        <v>0</v>
      </c>
      <c r="AH627" s="721">
        <f t="shared" si="129"/>
        <v>0</v>
      </c>
      <c r="AI627" s="721">
        <f t="shared" si="117"/>
        <v>0</v>
      </c>
      <c r="AJ627" s="723"/>
      <c r="AK627" s="724"/>
      <c r="AL627" s="719">
        <f t="shared" si="118"/>
        <v>0</v>
      </c>
      <c r="AM627" s="722">
        <f t="shared" si="131"/>
        <v>0</v>
      </c>
      <c r="AN627" s="723"/>
      <c r="AO627" s="724"/>
      <c r="AP627" s="723">
        <v>13061</v>
      </c>
      <c r="AQ627" s="724">
        <v>13550</v>
      </c>
      <c r="AR627" s="723">
        <v>7160</v>
      </c>
      <c r="AS627" s="724">
        <v>7325</v>
      </c>
      <c r="AT627" s="723">
        <v>15034</v>
      </c>
      <c r="AU627" s="724">
        <v>14382</v>
      </c>
      <c r="AV627" s="719">
        <f t="shared" si="120"/>
        <v>35255</v>
      </c>
      <c r="AW627" s="726">
        <f t="shared" si="121"/>
        <v>1468.9583333333333</v>
      </c>
      <c r="AX627" s="721">
        <f t="shared" si="122"/>
        <v>35257</v>
      </c>
      <c r="AY627" s="727">
        <f t="shared" si="123"/>
        <v>1469.0416666666667</v>
      </c>
      <c r="AZ627" s="728">
        <f t="shared" si="124"/>
        <v>20559.591666666667</v>
      </c>
      <c r="BA627" s="721">
        <f t="shared" si="125"/>
        <v>20847.341666666667</v>
      </c>
    </row>
    <row r="628" spans="1:53" s="729" customFormat="1">
      <c r="A628" s="710" t="s">
        <v>757</v>
      </c>
      <c r="B628" s="730" t="s">
        <v>765</v>
      </c>
      <c r="C628" s="3"/>
      <c r="D628" s="732">
        <v>232566</v>
      </c>
      <c r="E628" s="733">
        <v>3</v>
      </c>
      <c r="F628" s="714" t="s">
        <v>75</v>
      </c>
      <c r="G628" s="715"/>
      <c r="H628" s="716"/>
      <c r="I628" s="717"/>
      <c r="J628" s="716">
        <v>61851</v>
      </c>
      <c r="K628" s="718">
        <v>61622</v>
      </c>
      <c r="L628" s="716">
        <v>9954</v>
      </c>
      <c r="M628" s="718">
        <v>9765</v>
      </c>
      <c r="N628" s="716">
        <v>63561</v>
      </c>
      <c r="O628" s="409">
        <v>60712.5</v>
      </c>
      <c r="P628" s="719">
        <f t="shared" si="109"/>
        <v>135366</v>
      </c>
      <c r="Q628" s="720">
        <f t="shared" si="110"/>
        <v>4512.2</v>
      </c>
      <c r="R628" s="721">
        <f t="shared" si="111"/>
        <v>132099.5</v>
      </c>
      <c r="S628" s="722">
        <f t="shared" si="112"/>
        <v>4403.3166666666666</v>
      </c>
      <c r="T628" s="723">
        <v>1346</v>
      </c>
      <c r="U628" s="724">
        <v>1998</v>
      </c>
      <c r="V628" s="719">
        <f t="shared" si="113"/>
        <v>135366</v>
      </c>
      <c r="W628" s="725">
        <f t="shared" si="130"/>
        <v>132099.5</v>
      </c>
      <c r="X628" s="723"/>
      <c r="Y628" s="724"/>
      <c r="Z628" s="723"/>
      <c r="AA628" s="724"/>
      <c r="AB628" s="723"/>
      <c r="AC628" s="724"/>
      <c r="AD628" s="723"/>
      <c r="AE628" s="724"/>
      <c r="AF628" s="719">
        <f t="shared" si="115"/>
        <v>0</v>
      </c>
      <c r="AG628" s="720">
        <f t="shared" si="116"/>
        <v>0</v>
      </c>
      <c r="AH628" s="721">
        <f t="shared" si="129"/>
        <v>0</v>
      </c>
      <c r="AI628" s="721">
        <f t="shared" si="117"/>
        <v>0</v>
      </c>
      <c r="AJ628" s="723"/>
      <c r="AK628" s="724"/>
      <c r="AL628" s="719">
        <f t="shared" si="118"/>
        <v>0</v>
      </c>
      <c r="AM628" s="722">
        <f t="shared" si="131"/>
        <v>0</v>
      </c>
      <c r="AN628" s="723"/>
      <c r="AO628" s="724"/>
      <c r="AP628" s="723">
        <v>2818</v>
      </c>
      <c r="AQ628" s="724">
        <v>2773</v>
      </c>
      <c r="AR628" s="723">
        <v>2848</v>
      </c>
      <c r="AS628" s="724">
        <v>2303</v>
      </c>
      <c r="AT628" s="723">
        <v>2935</v>
      </c>
      <c r="AU628" s="724">
        <v>3084</v>
      </c>
      <c r="AV628" s="719">
        <f t="shared" si="120"/>
        <v>8601</v>
      </c>
      <c r="AW628" s="726">
        <f t="shared" si="121"/>
        <v>358.375</v>
      </c>
      <c r="AX628" s="721">
        <f t="shared" si="122"/>
        <v>8160</v>
      </c>
      <c r="AY628" s="727">
        <f t="shared" si="123"/>
        <v>340</v>
      </c>
      <c r="AZ628" s="728">
        <f t="shared" si="124"/>
        <v>4870.5749999999998</v>
      </c>
      <c r="BA628" s="721">
        <f t="shared" si="125"/>
        <v>4743.3166666666666</v>
      </c>
    </row>
    <row r="629" spans="1:53" s="729" customFormat="1">
      <c r="A629" s="710" t="s">
        <v>757</v>
      </c>
      <c r="B629" s="730" t="s">
        <v>766</v>
      </c>
      <c r="C629" s="7"/>
      <c r="D629" s="712">
        <v>232937</v>
      </c>
      <c r="E629" s="713">
        <v>3</v>
      </c>
      <c r="F629" s="714" t="s">
        <v>75</v>
      </c>
      <c r="G629" s="715"/>
      <c r="H629" s="716"/>
      <c r="I629" s="717"/>
      <c r="J629" s="716">
        <v>65661</v>
      </c>
      <c r="K629" s="718">
        <v>55394</v>
      </c>
      <c r="L629" s="716">
        <v>7911</v>
      </c>
      <c r="M629" s="718">
        <v>7778</v>
      </c>
      <c r="N629" s="716">
        <v>61923</v>
      </c>
      <c r="O629" s="409">
        <v>65164</v>
      </c>
      <c r="P629" s="719">
        <f t="shared" si="109"/>
        <v>135495</v>
      </c>
      <c r="Q629" s="720">
        <f t="shared" si="110"/>
        <v>4516.5</v>
      </c>
      <c r="R629" s="721">
        <f t="shared" si="111"/>
        <v>128336</v>
      </c>
      <c r="S629" s="722">
        <f t="shared" si="112"/>
        <v>4277.8666666666668</v>
      </c>
      <c r="T629" s="723">
        <v>433</v>
      </c>
      <c r="U629" s="724">
        <v>331</v>
      </c>
      <c r="V629" s="719">
        <f t="shared" si="113"/>
        <v>135495</v>
      </c>
      <c r="W629" s="725">
        <f t="shared" si="130"/>
        <v>128336</v>
      </c>
      <c r="X629" s="723"/>
      <c r="Y629" s="724"/>
      <c r="Z629" s="723"/>
      <c r="AA629" s="724"/>
      <c r="AB629" s="723"/>
      <c r="AC629" s="724"/>
      <c r="AD629" s="723"/>
      <c r="AE629" s="724"/>
      <c r="AF629" s="719">
        <f t="shared" si="115"/>
        <v>0</v>
      </c>
      <c r="AG629" s="720">
        <f t="shared" si="116"/>
        <v>0</v>
      </c>
      <c r="AH629" s="721">
        <f t="shared" si="129"/>
        <v>0</v>
      </c>
      <c r="AI629" s="721">
        <f t="shared" si="117"/>
        <v>0</v>
      </c>
      <c r="AJ629" s="723"/>
      <c r="AK629" s="724"/>
      <c r="AL629" s="719">
        <f t="shared" si="118"/>
        <v>0</v>
      </c>
      <c r="AM629" s="722">
        <f t="shared" si="131"/>
        <v>0</v>
      </c>
      <c r="AN629" s="723"/>
      <c r="AO629" s="724"/>
      <c r="AP629" s="723">
        <v>5212</v>
      </c>
      <c r="AQ629" s="724">
        <v>4807</v>
      </c>
      <c r="AR629" s="723">
        <v>701</v>
      </c>
      <c r="AS629" s="724">
        <v>608</v>
      </c>
      <c r="AT629" s="723">
        <v>5106</v>
      </c>
      <c r="AU629" s="724">
        <v>5923</v>
      </c>
      <c r="AV629" s="719">
        <f t="shared" si="120"/>
        <v>11019</v>
      </c>
      <c r="AW629" s="726">
        <f t="shared" si="121"/>
        <v>459.125</v>
      </c>
      <c r="AX629" s="721">
        <f t="shared" si="122"/>
        <v>11338</v>
      </c>
      <c r="AY629" s="727">
        <f t="shared" si="123"/>
        <v>472.41666666666669</v>
      </c>
      <c r="AZ629" s="728">
        <f t="shared" si="124"/>
        <v>4975.625</v>
      </c>
      <c r="BA629" s="721">
        <f t="shared" si="125"/>
        <v>4750.2833333333338</v>
      </c>
    </row>
    <row r="630" spans="1:53" s="729" customFormat="1" ht="15">
      <c r="A630" s="710" t="s">
        <v>757</v>
      </c>
      <c r="B630" s="730" t="s">
        <v>767</v>
      </c>
      <c r="C630" s="693" t="s">
        <v>961</v>
      </c>
      <c r="D630" s="712">
        <v>233277</v>
      </c>
      <c r="E630" s="733">
        <v>3</v>
      </c>
      <c r="F630" s="714" t="s">
        <v>75</v>
      </c>
      <c r="G630" s="715"/>
      <c r="H630" s="716"/>
      <c r="I630" s="717"/>
      <c r="J630" s="716">
        <v>121297</v>
      </c>
      <c r="K630" s="718">
        <v>120134</v>
      </c>
      <c r="L630" s="716">
        <v>11066</v>
      </c>
      <c r="M630" s="718">
        <v>10497</v>
      </c>
      <c r="N630" s="716">
        <v>130137</v>
      </c>
      <c r="O630" s="409">
        <v>124328</v>
      </c>
      <c r="P630" s="719">
        <f t="shared" si="109"/>
        <v>262500</v>
      </c>
      <c r="Q630" s="720">
        <f t="shared" si="110"/>
        <v>8750</v>
      </c>
      <c r="R630" s="721">
        <f t="shared" si="111"/>
        <v>254959</v>
      </c>
      <c r="S630" s="722">
        <f t="shared" si="112"/>
        <v>8498.6333333333332</v>
      </c>
      <c r="T630" s="723">
        <v>0</v>
      </c>
      <c r="U630" s="724">
        <v>0</v>
      </c>
      <c r="V630" s="719">
        <f t="shared" si="113"/>
        <v>262500</v>
      </c>
      <c r="W630" s="725">
        <f t="shared" si="130"/>
        <v>254959</v>
      </c>
      <c r="X630" s="723"/>
      <c r="Y630" s="724"/>
      <c r="Z630" s="723"/>
      <c r="AA630" s="724"/>
      <c r="AB630" s="723"/>
      <c r="AC630" s="724"/>
      <c r="AD630" s="723"/>
      <c r="AE630" s="724"/>
      <c r="AF630" s="719">
        <f t="shared" si="115"/>
        <v>0</v>
      </c>
      <c r="AG630" s="720">
        <f t="shared" si="116"/>
        <v>0</v>
      </c>
      <c r="AH630" s="721">
        <f t="shared" si="129"/>
        <v>0</v>
      </c>
      <c r="AI630" s="721">
        <f t="shared" si="117"/>
        <v>0</v>
      </c>
      <c r="AJ630" s="723"/>
      <c r="AK630" s="724"/>
      <c r="AL630" s="719">
        <f t="shared" si="118"/>
        <v>0</v>
      </c>
      <c r="AM630" s="722">
        <f t="shared" si="131"/>
        <v>0</v>
      </c>
      <c r="AN630" s="723"/>
      <c r="AO630" s="724"/>
      <c r="AP630" s="723">
        <v>7624</v>
      </c>
      <c r="AQ630" s="724">
        <v>7533</v>
      </c>
      <c r="AR630" s="723">
        <v>3713</v>
      </c>
      <c r="AS630" s="724">
        <v>3587</v>
      </c>
      <c r="AT630" s="723">
        <v>7863</v>
      </c>
      <c r="AU630" s="724">
        <v>8338</v>
      </c>
      <c r="AV630" s="719">
        <f t="shared" si="120"/>
        <v>19200</v>
      </c>
      <c r="AW630" s="726">
        <f t="shared" si="121"/>
        <v>800</v>
      </c>
      <c r="AX630" s="721">
        <f t="shared" si="122"/>
        <v>19458</v>
      </c>
      <c r="AY630" s="727">
        <f t="shared" si="123"/>
        <v>810.75</v>
      </c>
      <c r="AZ630" s="728">
        <f t="shared" si="124"/>
        <v>9550</v>
      </c>
      <c r="BA630" s="721">
        <f t="shared" si="125"/>
        <v>9309.3833333333332</v>
      </c>
    </row>
    <row r="631" spans="1:53" s="729" customFormat="1" ht="15">
      <c r="A631" s="710" t="s">
        <v>757</v>
      </c>
      <c r="B631" s="711" t="s">
        <v>768</v>
      </c>
      <c r="C631" s="693"/>
      <c r="D631" s="712">
        <v>232681</v>
      </c>
      <c r="E631" s="733">
        <v>3</v>
      </c>
      <c r="F631" s="714" t="s">
        <v>75</v>
      </c>
      <c r="G631" s="715"/>
      <c r="H631" s="716"/>
      <c r="I631" s="717"/>
      <c r="J631" s="716">
        <v>54910</v>
      </c>
      <c r="K631" s="718">
        <v>55543</v>
      </c>
      <c r="L631" s="716">
        <v>4690</v>
      </c>
      <c r="M631" s="718">
        <v>4894</v>
      </c>
      <c r="N631" s="716">
        <v>59702</v>
      </c>
      <c r="O631" s="409">
        <v>60157</v>
      </c>
      <c r="P631" s="719">
        <f t="shared" si="109"/>
        <v>119302</v>
      </c>
      <c r="Q631" s="720">
        <f t="shared" si="110"/>
        <v>3976.7333333333331</v>
      </c>
      <c r="R631" s="721">
        <f t="shared" si="111"/>
        <v>120594</v>
      </c>
      <c r="S631" s="722">
        <f t="shared" si="112"/>
        <v>4019.8</v>
      </c>
      <c r="T631" s="723">
        <v>54</v>
      </c>
      <c r="U631" s="724">
        <v>32</v>
      </c>
      <c r="V631" s="719">
        <f t="shared" si="113"/>
        <v>119302</v>
      </c>
      <c r="W631" s="725">
        <f t="shared" si="130"/>
        <v>120594</v>
      </c>
      <c r="X631" s="723"/>
      <c r="Y631" s="724"/>
      <c r="Z631" s="723"/>
      <c r="AA631" s="724"/>
      <c r="AB631" s="723"/>
      <c r="AC631" s="724"/>
      <c r="AD631" s="723"/>
      <c r="AE631" s="724"/>
      <c r="AF631" s="719">
        <f t="shared" si="115"/>
        <v>0</v>
      </c>
      <c r="AG631" s="720">
        <f t="shared" si="116"/>
        <v>0</v>
      </c>
      <c r="AH631" s="721">
        <f t="shared" si="129"/>
        <v>0</v>
      </c>
      <c r="AI631" s="721">
        <f t="shared" si="117"/>
        <v>0</v>
      </c>
      <c r="AJ631" s="723"/>
      <c r="AK631" s="724"/>
      <c r="AL631" s="719">
        <f t="shared" si="118"/>
        <v>0</v>
      </c>
      <c r="AM631" s="722">
        <f t="shared" si="131"/>
        <v>0</v>
      </c>
      <c r="AN631" s="723"/>
      <c r="AO631" s="724"/>
      <c r="AP631" s="723">
        <v>2164.4</v>
      </c>
      <c r="AQ631" s="724">
        <v>2041</v>
      </c>
      <c r="AR631" s="723">
        <v>1070</v>
      </c>
      <c r="AS631" s="724">
        <v>1048</v>
      </c>
      <c r="AT631" s="723">
        <v>2417</v>
      </c>
      <c r="AU631" s="724">
        <v>2470</v>
      </c>
      <c r="AV631" s="719">
        <f t="shared" si="120"/>
        <v>5651.4</v>
      </c>
      <c r="AW631" s="726">
        <f t="shared" si="121"/>
        <v>235.47499999999999</v>
      </c>
      <c r="AX631" s="721">
        <f t="shared" si="122"/>
        <v>5559</v>
      </c>
      <c r="AY631" s="727">
        <f t="shared" si="123"/>
        <v>231.625</v>
      </c>
      <c r="AZ631" s="728">
        <f t="shared" si="124"/>
        <v>4212.208333333333</v>
      </c>
      <c r="BA631" s="721">
        <f t="shared" si="125"/>
        <v>4251.4250000000002</v>
      </c>
    </row>
    <row r="632" spans="1:53" s="729" customFormat="1" ht="15">
      <c r="A632" s="710" t="s">
        <v>757</v>
      </c>
      <c r="B632" s="730" t="s">
        <v>769</v>
      </c>
      <c r="C632" s="693"/>
      <c r="D632" s="712">
        <v>234155</v>
      </c>
      <c r="E632" s="733">
        <v>3</v>
      </c>
      <c r="F632" s="714" t="s">
        <v>75</v>
      </c>
      <c r="G632" s="715"/>
      <c r="H632" s="716"/>
      <c r="I632" s="717"/>
      <c r="J632" s="716">
        <v>63192</v>
      </c>
      <c r="K632" s="718">
        <v>58666</v>
      </c>
      <c r="L632" s="716">
        <v>3465</v>
      </c>
      <c r="M632" s="718">
        <v>3911</v>
      </c>
      <c r="N632" s="716">
        <v>66136</v>
      </c>
      <c r="O632" s="409">
        <v>63436.9</v>
      </c>
      <c r="P632" s="719">
        <f t="shared" si="109"/>
        <v>132793</v>
      </c>
      <c r="Q632" s="720">
        <f t="shared" si="110"/>
        <v>4426.4333333333334</v>
      </c>
      <c r="R632" s="721">
        <f t="shared" si="111"/>
        <v>126013.9</v>
      </c>
      <c r="S632" s="722">
        <f t="shared" si="112"/>
        <v>4200.4633333333331</v>
      </c>
      <c r="T632" s="723">
        <v>0</v>
      </c>
      <c r="U632" s="724">
        <v>0</v>
      </c>
      <c r="V632" s="719">
        <f t="shared" si="113"/>
        <v>132793</v>
      </c>
      <c r="W632" s="725">
        <f t="shared" si="130"/>
        <v>126013.9</v>
      </c>
      <c r="X632" s="723"/>
      <c r="Y632" s="724"/>
      <c r="Z632" s="723"/>
      <c r="AA632" s="724"/>
      <c r="AB632" s="723"/>
      <c r="AC632" s="724"/>
      <c r="AD632" s="723"/>
      <c r="AE632" s="724"/>
      <c r="AF632" s="719">
        <f t="shared" si="115"/>
        <v>0</v>
      </c>
      <c r="AG632" s="720">
        <f t="shared" si="116"/>
        <v>0</v>
      </c>
      <c r="AH632" s="721">
        <f t="shared" si="129"/>
        <v>0</v>
      </c>
      <c r="AI632" s="721">
        <f t="shared" si="117"/>
        <v>0</v>
      </c>
      <c r="AJ632" s="723"/>
      <c r="AK632" s="724"/>
      <c r="AL632" s="719">
        <f t="shared" si="118"/>
        <v>0</v>
      </c>
      <c r="AM632" s="722">
        <f t="shared" si="131"/>
        <v>0</v>
      </c>
      <c r="AN632" s="723"/>
      <c r="AO632" s="724"/>
      <c r="AP632" s="723">
        <v>3594</v>
      </c>
      <c r="AQ632" s="724">
        <v>3134</v>
      </c>
      <c r="AR632" s="723">
        <v>609</v>
      </c>
      <c r="AS632" s="724">
        <v>447</v>
      </c>
      <c r="AT632" s="723">
        <v>3392</v>
      </c>
      <c r="AU632" s="724">
        <v>3427</v>
      </c>
      <c r="AV632" s="719">
        <f t="shared" si="120"/>
        <v>7595</v>
      </c>
      <c r="AW632" s="726">
        <f t="shared" si="121"/>
        <v>316.45833333333331</v>
      </c>
      <c r="AX632" s="721">
        <f t="shared" si="122"/>
        <v>7008</v>
      </c>
      <c r="AY632" s="727">
        <f t="shared" si="123"/>
        <v>292</v>
      </c>
      <c r="AZ632" s="728">
        <f t="shared" si="124"/>
        <v>4742.8916666666664</v>
      </c>
      <c r="BA632" s="721">
        <f t="shared" si="125"/>
        <v>4492.4633333333331</v>
      </c>
    </row>
    <row r="633" spans="1:53" s="729" customFormat="1" ht="15">
      <c r="A633" s="710" t="s">
        <v>757</v>
      </c>
      <c r="B633" s="730" t="s">
        <v>770</v>
      </c>
      <c r="C633" s="693" t="s">
        <v>988</v>
      </c>
      <c r="D633" s="712">
        <v>231712</v>
      </c>
      <c r="E633" s="713">
        <v>5</v>
      </c>
      <c r="F633" s="714" t="s">
        <v>75</v>
      </c>
      <c r="G633" s="715"/>
      <c r="H633" s="716"/>
      <c r="I633" s="717"/>
      <c r="J633" s="716">
        <v>71331</v>
      </c>
      <c r="K633" s="718">
        <v>70932</v>
      </c>
      <c r="L633" s="716">
        <v>1203</v>
      </c>
      <c r="M633" s="718">
        <v>1249</v>
      </c>
      <c r="N633" s="716">
        <v>75257</v>
      </c>
      <c r="O633" s="409">
        <v>73809</v>
      </c>
      <c r="P633" s="719">
        <f t="shared" si="109"/>
        <v>147791</v>
      </c>
      <c r="Q633" s="720">
        <f t="shared" si="110"/>
        <v>4926.3666666666668</v>
      </c>
      <c r="R633" s="721">
        <f t="shared" si="111"/>
        <v>145990</v>
      </c>
      <c r="S633" s="722">
        <f t="shared" si="112"/>
        <v>4866.333333333333</v>
      </c>
      <c r="T633" s="723">
        <v>57</v>
      </c>
      <c r="U633" s="724">
        <v>102</v>
      </c>
      <c r="V633" s="719">
        <f t="shared" si="113"/>
        <v>147791</v>
      </c>
      <c r="W633" s="725">
        <f t="shared" si="130"/>
        <v>145990</v>
      </c>
      <c r="X633" s="723"/>
      <c r="Y633" s="724"/>
      <c r="Z633" s="723"/>
      <c r="AA633" s="724"/>
      <c r="AB633" s="723"/>
      <c r="AC633" s="724"/>
      <c r="AD633" s="723"/>
      <c r="AE633" s="724"/>
      <c r="AF633" s="719">
        <f t="shared" si="115"/>
        <v>0</v>
      </c>
      <c r="AG633" s="720">
        <f t="shared" si="116"/>
        <v>0</v>
      </c>
      <c r="AH633" s="721">
        <f t="shared" si="129"/>
        <v>0</v>
      </c>
      <c r="AI633" s="721">
        <f t="shared" si="117"/>
        <v>0</v>
      </c>
      <c r="AJ633" s="723"/>
      <c r="AK633" s="724"/>
      <c r="AL633" s="719">
        <f t="shared" si="118"/>
        <v>0</v>
      </c>
      <c r="AM633" s="722">
        <f t="shared" si="131"/>
        <v>0</v>
      </c>
      <c r="AN633" s="723"/>
      <c r="AO633" s="724"/>
      <c r="AP633" s="723">
        <v>1284</v>
      </c>
      <c r="AQ633" s="724">
        <v>1250</v>
      </c>
      <c r="AR633" s="723">
        <v>613</v>
      </c>
      <c r="AS633" s="724">
        <v>638</v>
      </c>
      <c r="AT633" s="723">
        <v>1385</v>
      </c>
      <c r="AU633" s="724">
        <v>1392</v>
      </c>
      <c r="AV633" s="719">
        <f t="shared" si="120"/>
        <v>3282</v>
      </c>
      <c r="AW633" s="726">
        <f t="shared" si="121"/>
        <v>136.75</v>
      </c>
      <c r="AX633" s="721">
        <f t="shared" si="122"/>
        <v>3280</v>
      </c>
      <c r="AY633" s="727">
        <f t="shared" si="123"/>
        <v>136.66666666666666</v>
      </c>
      <c r="AZ633" s="728">
        <f t="shared" si="124"/>
        <v>5063.1166666666668</v>
      </c>
      <c r="BA633" s="721">
        <f t="shared" si="125"/>
        <v>5003</v>
      </c>
    </row>
    <row r="634" spans="1:53" s="729" customFormat="1" ht="15">
      <c r="A634" s="710" t="s">
        <v>757</v>
      </c>
      <c r="B634" s="711" t="s">
        <v>771</v>
      </c>
      <c r="C634" s="693"/>
      <c r="D634" s="712">
        <v>233897</v>
      </c>
      <c r="E634" s="713">
        <v>6</v>
      </c>
      <c r="F634" s="714" t="s">
        <v>75</v>
      </c>
      <c r="G634" s="715"/>
      <c r="H634" s="716"/>
      <c r="I634" s="717"/>
      <c r="J634" s="716">
        <v>23496</v>
      </c>
      <c r="K634" s="718">
        <v>21350</v>
      </c>
      <c r="L634" s="716">
        <v>5708</v>
      </c>
      <c r="M634" s="718">
        <v>5569</v>
      </c>
      <c r="N634" s="716">
        <v>22802</v>
      </c>
      <c r="O634" s="409">
        <v>22912</v>
      </c>
      <c r="P634" s="719">
        <f t="shared" si="109"/>
        <v>52006</v>
      </c>
      <c r="Q634" s="720">
        <f t="shared" si="110"/>
        <v>1733.5333333333333</v>
      </c>
      <c r="R634" s="721">
        <f t="shared" si="111"/>
        <v>49831</v>
      </c>
      <c r="S634" s="722">
        <f t="shared" si="112"/>
        <v>1661.0333333333333</v>
      </c>
      <c r="T634" s="723">
        <v>449</v>
      </c>
      <c r="U634" s="724">
        <v>432</v>
      </c>
      <c r="V634" s="719">
        <f t="shared" si="113"/>
        <v>52006</v>
      </c>
      <c r="W634" s="725">
        <f t="shared" si="130"/>
        <v>49831</v>
      </c>
      <c r="X634" s="723"/>
      <c r="Y634" s="724"/>
      <c r="Z634" s="723"/>
      <c r="AA634" s="724"/>
      <c r="AB634" s="723"/>
      <c r="AC634" s="724"/>
      <c r="AD634" s="723"/>
      <c r="AE634" s="724"/>
      <c r="AF634" s="719">
        <f t="shared" si="115"/>
        <v>0</v>
      </c>
      <c r="AG634" s="720">
        <f t="shared" si="116"/>
        <v>0</v>
      </c>
      <c r="AH634" s="721">
        <f t="shared" si="129"/>
        <v>0</v>
      </c>
      <c r="AI634" s="721">
        <f t="shared" si="117"/>
        <v>0</v>
      </c>
      <c r="AJ634" s="723"/>
      <c r="AK634" s="724"/>
      <c r="AL634" s="719">
        <f t="shared" si="118"/>
        <v>0</v>
      </c>
      <c r="AM634" s="722">
        <f t="shared" si="131"/>
        <v>0</v>
      </c>
      <c r="AN634" s="723"/>
      <c r="AO634" s="724"/>
      <c r="AP634" s="723"/>
      <c r="AQ634" s="724"/>
      <c r="AR634" s="723"/>
      <c r="AS634" s="724"/>
      <c r="AT634" s="723"/>
      <c r="AU634" s="724"/>
      <c r="AV634" s="719">
        <f t="shared" si="120"/>
        <v>0</v>
      </c>
      <c r="AW634" s="726">
        <f t="shared" si="121"/>
        <v>0</v>
      </c>
      <c r="AX634" s="721">
        <f t="shared" si="122"/>
        <v>0</v>
      </c>
      <c r="AY634" s="727">
        <f t="shared" si="123"/>
        <v>0</v>
      </c>
      <c r="AZ634" s="728">
        <f t="shared" si="124"/>
        <v>1733.5333333333333</v>
      </c>
      <c r="BA634" s="721">
        <f t="shared" si="125"/>
        <v>1661.0333333333333</v>
      </c>
    </row>
    <row r="635" spans="1:53" s="729" customFormat="1" ht="15">
      <c r="A635" s="710" t="s">
        <v>757</v>
      </c>
      <c r="B635" s="711" t="s">
        <v>772</v>
      </c>
      <c r="C635" s="693" t="s">
        <v>969</v>
      </c>
      <c r="D635" s="712">
        <v>232414</v>
      </c>
      <c r="E635" s="713">
        <v>8</v>
      </c>
      <c r="F635" s="714" t="s">
        <v>75</v>
      </c>
      <c r="G635" s="715"/>
      <c r="H635" s="716"/>
      <c r="I635" s="717"/>
      <c r="J635" s="716">
        <v>92271</v>
      </c>
      <c r="K635" s="718">
        <v>82868</v>
      </c>
      <c r="L635" s="716">
        <v>33671</v>
      </c>
      <c r="M635" s="718">
        <v>31545</v>
      </c>
      <c r="N635" s="716">
        <v>90084</v>
      </c>
      <c r="O635" s="409">
        <v>85469</v>
      </c>
      <c r="P635" s="719">
        <f t="shared" si="109"/>
        <v>216026</v>
      </c>
      <c r="Q635" s="720">
        <f t="shared" si="110"/>
        <v>7200.8666666666668</v>
      </c>
      <c r="R635" s="721">
        <f t="shared" si="111"/>
        <v>199882</v>
      </c>
      <c r="S635" s="722">
        <f t="shared" si="112"/>
        <v>6662.7333333333336</v>
      </c>
      <c r="T635" s="723">
        <v>16807</v>
      </c>
      <c r="U635" s="734">
        <v>23240</v>
      </c>
      <c r="V635" s="719">
        <f t="shared" si="113"/>
        <v>216026</v>
      </c>
      <c r="W635" s="725">
        <f t="shared" si="130"/>
        <v>199882</v>
      </c>
      <c r="X635" s="723"/>
      <c r="Y635" s="734"/>
      <c r="Z635" s="723"/>
      <c r="AA635" s="734"/>
      <c r="AB635" s="723"/>
      <c r="AC635" s="734"/>
      <c r="AD635" s="723"/>
      <c r="AE635" s="734"/>
      <c r="AF635" s="719">
        <f t="shared" si="115"/>
        <v>0</v>
      </c>
      <c r="AG635" s="720">
        <f t="shared" si="116"/>
        <v>0</v>
      </c>
      <c r="AH635" s="721">
        <f t="shared" si="129"/>
        <v>0</v>
      </c>
      <c r="AI635" s="721">
        <f t="shared" si="117"/>
        <v>0</v>
      </c>
      <c r="AJ635" s="723"/>
      <c r="AK635" s="734"/>
      <c r="AL635" s="719">
        <f t="shared" si="118"/>
        <v>0</v>
      </c>
      <c r="AM635" s="722">
        <f t="shared" si="131"/>
        <v>0</v>
      </c>
      <c r="AN635" s="723"/>
      <c r="AO635" s="734"/>
      <c r="AP635" s="723"/>
      <c r="AQ635" s="734"/>
      <c r="AR635" s="723"/>
      <c r="AS635" s="734"/>
      <c r="AT635" s="723"/>
      <c r="AU635" s="734"/>
      <c r="AV635" s="719">
        <f t="shared" si="120"/>
        <v>0</v>
      </c>
      <c r="AW635" s="726">
        <f t="shared" si="121"/>
        <v>0</v>
      </c>
      <c r="AX635" s="721">
        <f t="shared" si="122"/>
        <v>0</v>
      </c>
      <c r="AY635" s="727">
        <f t="shared" si="123"/>
        <v>0</v>
      </c>
      <c r="AZ635" s="728">
        <f t="shared" si="124"/>
        <v>7200.8666666666668</v>
      </c>
      <c r="BA635" s="721">
        <f t="shared" si="125"/>
        <v>6662.7333333333336</v>
      </c>
    </row>
    <row r="636" spans="1:53" s="729" customFormat="1" ht="15">
      <c r="A636" s="710" t="s">
        <v>757</v>
      </c>
      <c r="B636" s="711" t="s">
        <v>773</v>
      </c>
      <c r="C636" s="693" t="s">
        <v>969</v>
      </c>
      <c r="D636" s="712">
        <v>232450</v>
      </c>
      <c r="E636" s="713">
        <v>8</v>
      </c>
      <c r="F636" s="714" t="s">
        <v>75</v>
      </c>
      <c r="G636" s="715"/>
      <c r="H636" s="716"/>
      <c r="I636" s="717"/>
      <c r="J636" s="716">
        <v>70008</v>
      </c>
      <c r="K636" s="718">
        <v>70277</v>
      </c>
      <c r="L636" s="716">
        <v>18698</v>
      </c>
      <c r="M636" s="718">
        <v>18859</v>
      </c>
      <c r="N636" s="716">
        <v>76688</v>
      </c>
      <c r="O636" s="409">
        <v>73885</v>
      </c>
      <c r="P636" s="719">
        <f t="shared" si="109"/>
        <v>165394</v>
      </c>
      <c r="Q636" s="720">
        <f t="shared" si="110"/>
        <v>5513.1333333333332</v>
      </c>
      <c r="R636" s="721">
        <f t="shared" si="111"/>
        <v>163021</v>
      </c>
      <c r="S636" s="722">
        <f t="shared" si="112"/>
        <v>5434.0333333333338</v>
      </c>
      <c r="T636" s="723">
        <v>45125</v>
      </c>
      <c r="U636" s="734">
        <v>50106</v>
      </c>
      <c r="V636" s="719">
        <f t="shared" si="113"/>
        <v>165394</v>
      </c>
      <c r="W636" s="725">
        <f t="shared" si="130"/>
        <v>163021</v>
      </c>
      <c r="X636" s="723"/>
      <c r="Y636" s="734"/>
      <c r="Z636" s="723"/>
      <c r="AA636" s="734"/>
      <c r="AB636" s="723"/>
      <c r="AC636" s="734"/>
      <c r="AD636" s="723"/>
      <c r="AE636" s="734"/>
      <c r="AF636" s="719">
        <f t="shared" si="115"/>
        <v>0</v>
      </c>
      <c r="AG636" s="720">
        <f t="shared" si="116"/>
        <v>0</v>
      </c>
      <c r="AH636" s="721">
        <f t="shared" si="129"/>
        <v>0</v>
      </c>
      <c r="AI636" s="721">
        <f t="shared" si="117"/>
        <v>0</v>
      </c>
      <c r="AJ636" s="723"/>
      <c r="AK636" s="734"/>
      <c r="AL636" s="719">
        <f t="shared" si="118"/>
        <v>0</v>
      </c>
      <c r="AM636" s="722">
        <f t="shared" si="131"/>
        <v>0</v>
      </c>
      <c r="AN636" s="723"/>
      <c r="AO636" s="734"/>
      <c r="AP636" s="723"/>
      <c r="AQ636" s="734"/>
      <c r="AR636" s="723"/>
      <c r="AS636" s="734"/>
      <c r="AT636" s="723"/>
      <c r="AU636" s="734"/>
      <c r="AV636" s="719">
        <f t="shared" si="120"/>
        <v>0</v>
      </c>
      <c r="AW636" s="726">
        <f t="shared" si="121"/>
        <v>0</v>
      </c>
      <c r="AX636" s="721">
        <f t="shared" si="122"/>
        <v>0</v>
      </c>
      <c r="AY636" s="727">
        <f t="shared" si="123"/>
        <v>0</v>
      </c>
      <c r="AZ636" s="728">
        <f t="shared" si="124"/>
        <v>5513.1333333333332</v>
      </c>
      <c r="BA636" s="721">
        <f t="shared" si="125"/>
        <v>5434.0333333333338</v>
      </c>
    </row>
    <row r="637" spans="1:53" s="729" customFormat="1" ht="15">
      <c r="A637" s="710" t="s">
        <v>757</v>
      </c>
      <c r="B637" s="711" t="s">
        <v>774</v>
      </c>
      <c r="C637" s="693"/>
      <c r="D637" s="712">
        <v>232946</v>
      </c>
      <c r="E637" s="713">
        <v>8</v>
      </c>
      <c r="F637" s="714" t="s">
        <v>75</v>
      </c>
      <c r="G637" s="715"/>
      <c r="H637" s="716"/>
      <c r="I637" s="717"/>
      <c r="J637" s="716">
        <v>426055.5</v>
      </c>
      <c r="K637" s="718">
        <v>418452</v>
      </c>
      <c r="L637" s="716">
        <v>157192</v>
      </c>
      <c r="M637" s="718">
        <v>148052.5</v>
      </c>
      <c r="N637" s="716">
        <v>453988</v>
      </c>
      <c r="O637" s="409">
        <v>435968</v>
      </c>
      <c r="P637" s="719">
        <f t="shared" si="109"/>
        <v>1037235.5</v>
      </c>
      <c r="Q637" s="720">
        <f t="shared" si="110"/>
        <v>34574.51666666667</v>
      </c>
      <c r="R637" s="721">
        <f t="shared" si="111"/>
        <v>1002472.5</v>
      </c>
      <c r="S637" s="722">
        <f t="shared" si="112"/>
        <v>33415.75</v>
      </c>
      <c r="T637" s="723">
        <v>62676</v>
      </c>
      <c r="U637" s="734">
        <v>86358</v>
      </c>
      <c r="V637" s="719">
        <f t="shared" si="113"/>
        <v>1037235.5</v>
      </c>
      <c r="W637" s="725">
        <f t="shared" si="130"/>
        <v>1002472.5</v>
      </c>
      <c r="X637" s="723"/>
      <c r="Y637" s="734"/>
      <c r="Z637" s="723"/>
      <c r="AA637" s="734"/>
      <c r="AB637" s="723"/>
      <c r="AC637" s="734"/>
      <c r="AD637" s="723"/>
      <c r="AE637" s="734"/>
      <c r="AF637" s="719">
        <f t="shared" si="115"/>
        <v>0</v>
      </c>
      <c r="AG637" s="720">
        <f t="shared" si="116"/>
        <v>0</v>
      </c>
      <c r="AH637" s="721">
        <f t="shared" si="129"/>
        <v>0</v>
      </c>
      <c r="AI637" s="721">
        <f t="shared" si="117"/>
        <v>0</v>
      </c>
      <c r="AJ637" s="723"/>
      <c r="AK637" s="734"/>
      <c r="AL637" s="719">
        <f t="shared" si="118"/>
        <v>0</v>
      </c>
      <c r="AM637" s="722">
        <f t="shared" si="131"/>
        <v>0</v>
      </c>
      <c r="AN637" s="723"/>
      <c r="AO637" s="734"/>
      <c r="AP637" s="723"/>
      <c r="AQ637" s="734"/>
      <c r="AR637" s="723"/>
      <c r="AS637" s="734"/>
      <c r="AT637" s="723"/>
      <c r="AU637" s="734"/>
      <c r="AV637" s="719">
        <f t="shared" si="120"/>
        <v>0</v>
      </c>
      <c r="AW637" s="726">
        <f t="shared" si="121"/>
        <v>0</v>
      </c>
      <c r="AX637" s="721">
        <f t="shared" si="122"/>
        <v>0</v>
      </c>
      <c r="AY637" s="727">
        <f t="shared" si="123"/>
        <v>0</v>
      </c>
      <c r="AZ637" s="728">
        <f t="shared" si="124"/>
        <v>34574.51666666667</v>
      </c>
      <c r="BA637" s="721">
        <f t="shared" si="125"/>
        <v>33415.75</v>
      </c>
    </row>
    <row r="638" spans="1:53" s="729" customFormat="1" ht="15">
      <c r="A638" s="710" t="s">
        <v>757</v>
      </c>
      <c r="B638" s="711" t="s">
        <v>775</v>
      </c>
      <c r="C638" s="693" t="s">
        <v>969</v>
      </c>
      <c r="D638" s="712">
        <v>233754</v>
      </c>
      <c r="E638" s="713">
        <v>8</v>
      </c>
      <c r="F638" s="714" t="s">
        <v>75</v>
      </c>
      <c r="G638" s="715"/>
      <c r="H638" s="716"/>
      <c r="I638" s="717"/>
      <c r="J638" s="716">
        <v>81747</v>
      </c>
      <c r="K638" s="718">
        <v>75576</v>
      </c>
      <c r="L638" s="716">
        <v>23591</v>
      </c>
      <c r="M638" s="718">
        <v>23811</v>
      </c>
      <c r="N638" s="716">
        <v>81214</v>
      </c>
      <c r="O638" s="409">
        <v>76037</v>
      </c>
      <c r="P638" s="719">
        <f t="shared" si="109"/>
        <v>186552</v>
      </c>
      <c r="Q638" s="720">
        <f t="shared" si="110"/>
        <v>6218.4</v>
      </c>
      <c r="R638" s="721">
        <f t="shared" si="111"/>
        <v>175424</v>
      </c>
      <c r="S638" s="722">
        <f t="shared" si="112"/>
        <v>5847.4666666666662</v>
      </c>
      <c r="T638" s="723">
        <v>18578</v>
      </c>
      <c r="U638" s="734">
        <v>20873</v>
      </c>
      <c r="V638" s="719">
        <f t="shared" si="113"/>
        <v>186552</v>
      </c>
      <c r="W638" s="725">
        <f t="shared" si="130"/>
        <v>175424</v>
      </c>
      <c r="X638" s="723"/>
      <c r="Y638" s="734"/>
      <c r="Z638" s="723"/>
      <c r="AA638" s="734"/>
      <c r="AB638" s="723"/>
      <c r="AC638" s="734"/>
      <c r="AD638" s="723"/>
      <c r="AE638" s="734"/>
      <c r="AF638" s="719">
        <f t="shared" si="115"/>
        <v>0</v>
      </c>
      <c r="AG638" s="720">
        <f t="shared" si="116"/>
        <v>0</v>
      </c>
      <c r="AH638" s="721">
        <f t="shared" si="129"/>
        <v>0</v>
      </c>
      <c r="AI638" s="721">
        <f t="shared" si="117"/>
        <v>0</v>
      </c>
      <c r="AJ638" s="723"/>
      <c r="AK638" s="734"/>
      <c r="AL638" s="719">
        <f t="shared" si="118"/>
        <v>0</v>
      </c>
      <c r="AM638" s="722">
        <f t="shared" si="131"/>
        <v>0</v>
      </c>
      <c r="AN638" s="723"/>
      <c r="AO638" s="734"/>
      <c r="AP638" s="723"/>
      <c r="AQ638" s="734"/>
      <c r="AR638" s="723"/>
      <c r="AS638" s="734"/>
      <c r="AT638" s="723"/>
      <c r="AU638" s="734"/>
      <c r="AV638" s="719">
        <f t="shared" si="120"/>
        <v>0</v>
      </c>
      <c r="AW638" s="726">
        <f t="shared" si="121"/>
        <v>0</v>
      </c>
      <c r="AX638" s="721">
        <f t="shared" si="122"/>
        <v>0</v>
      </c>
      <c r="AY638" s="727">
        <f t="shared" si="123"/>
        <v>0</v>
      </c>
      <c r="AZ638" s="728">
        <f t="shared" si="124"/>
        <v>6218.4</v>
      </c>
      <c r="BA638" s="721">
        <f t="shared" si="125"/>
        <v>5847.4666666666662</v>
      </c>
    </row>
    <row r="639" spans="1:53" s="729" customFormat="1" ht="15">
      <c r="A639" s="710" t="s">
        <v>757</v>
      </c>
      <c r="B639" s="711" t="s">
        <v>776</v>
      </c>
      <c r="C639" s="693"/>
      <c r="D639" s="712">
        <v>233772</v>
      </c>
      <c r="E639" s="713">
        <v>8</v>
      </c>
      <c r="F639" s="714" t="s">
        <v>75</v>
      </c>
      <c r="G639" s="715"/>
      <c r="H639" s="716"/>
      <c r="I639" s="717"/>
      <c r="J639" s="716">
        <v>233794</v>
      </c>
      <c r="K639" s="718">
        <v>211185</v>
      </c>
      <c r="L639" s="716">
        <v>75337</v>
      </c>
      <c r="M639" s="718">
        <v>76138</v>
      </c>
      <c r="N639" s="716">
        <v>233258</v>
      </c>
      <c r="O639" s="409">
        <v>213676</v>
      </c>
      <c r="P639" s="719">
        <f t="shared" si="109"/>
        <v>542389</v>
      </c>
      <c r="Q639" s="720">
        <f t="shared" si="110"/>
        <v>18079.633333333335</v>
      </c>
      <c r="R639" s="721">
        <f t="shared" si="111"/>
        <v>500999</v>
      </c>
      <c r="S639" s="722">
        <f t="shared" si="112"/>
        <v>16699.966666666667</v>
      </c>
      <c r="T639" s="723">
        <v>23955</v>
      </c>
      <c r="U639" s="734">
        <v>26516</v>
      </c>
      <c r="V639" s="719">
        <f t="shared" si="113"/>
        <v>542389</v>
      </c>
      <c r="W639" s="725">
        <f t="shared" si="130"/>
        <v>500999</v>
      </c>
      <c r="X639" s="723"/>
      <c r="Y639" s="734"/>
      <c r="Z639" s="723"/>
      <c r="AA639" s="734"/>
      <c r="AB639" s="723"/>
      <c r="AC639" s="734"/>
      <c r="AD639" s="723"/>
      <c r="AE639" s="734"/>
      <c r="AF639" s="719">
        <f t="shared" si="115"/>
        <v>0</v>
      </c>
      <c r="AG639" s="720">
        <f t="shared" si="116"/>
        <v>0</v>
      </c>
      <c r="AH639" s="721">
        <f t="shared" si="129"/>
        <v>0</v>
      </c>
      <c r="AI639" s="721">
        <f t="shared" si="117"/>
        <v>0</v>
      </c>
      <c r="AJ639" s="723"/>
      <c r="AK639" s="734"/>
      <c r="AL639" s="719">
        <f t="shared" si="118"/>
        <v>0</v>
      </c>
      <c r="AM639" s="722">
        <f t="shared" si="131"/>
        <v>0</v>
      </c>
      <c r="AN639" s="723"/>
      <c r="AO639" s="734"/>
      <c r="AP639" s="723"/>
      <c r="AQ639" s="734"/>
      <c r="AR639" s="723"/>
      <c r="AS639" s="734"/>
      <c r="AT639" s="723"/>
      <c r="AU639" s="734"/>
      <c r="AV639" s="719">
        <f t="shared" si="120"/>
        <v>0</v>
      </c>
      <c r="AW639" s="726">
        <f t="shared" si="121"/>
        <v>0</v>
      </c>
      <c r="AX639" s="721">
        <f t="shared" si="122"/>
        <v>0</v>
      </c>
      <c r="AY639" s="727">
        <f t="shared" si="123"/>
        <v>0</v>
      </c>
      <c r="AZ639" s="728">
        <f t="shared" si="124"/>
        <v>18079.633333333335</v>
      </c>
      <c r="BA639" s="721">
        <f t="shared" si="125"/>
        <v>16699.966666666667</v>
      </c>
    </row>
    <row r="640" spans="1:53" s="729" customFormat="1" ht="15">
      <c r="A640" s="710" t="s">
        <v>757</v>
      </c>
      <c r="B640" s="711" t="s">
        <v>777</v>
      </c>
      <c r="C640" s="693" t="s">
        <v>994</v>
      </c>
      <c r="D640" s="712">
        <v>231536</v>
      </c>
      <c r="E640" s="713">
        <v>9</v>
      </c>
      <c r="F640" s="714" t="s">
        <v>75</v>
      </c>
      <c r="G640" s="715"/>
      <c r="H640" s="716"/>
      <c r="I640" s="717"/>
      <c r="J640" s="716">
        <v>35738</v>
      </c>
      <c r="K640" s="718">
        <v>32321</v>
      </c>
      <c r="L640" s="716">
        <v>9397</v>
      </c>
      <c r="M640" s="718">
        <v>9323</v>
      </c>
      <c r="N640" s="716">
        <v>36911</v>
      </c>
      <c r="O640" s="409">
        <v>34993</v>
      </c>
      <c r="P640" s="719">
        <f t="shared" si="109"/>
        <v>82046</v>
      </c>
      <c r="Q640" s="720">
        <f t="shared" si="110"/>
        <v>2734.8666666666668</v>
      </c>
      <c r="R640" s="721">
        <f t="shared" si="111"/>
        <v>76637</v>
      </c>
      <c r="S640" s="722">
        <f t="shared" si="112"/>
        <v>2554.5666666666666</v>
      </c>
      <c r="T640" s="723">
        <v>11167</v>
      </c>
      <c r="U640" s="734">
        <v>13414</v>
      </c>
      <c r="V640" s="719">
        <f t="shared" si="113"/>
        <v>82046</v>
      </c>
      <c r="W640" s="725">
        <f t="shared" si="130"/>
        <v>76637</v>
      </c>
      <c r="X640" s="723"/>
      <c r="Y640" s="734"/>
      <c r="Z640" s="723"/>
      <c r="AA640" s="734"/>
      <c r="AB640" s="723"/>
      <c r="AC640" s="734"/>
      <c r="AD640" s="723"/>
      <c r="AE640" s="734"/>
      <c r="AF640" s="719">
        <f t="shared" si="115"/>
        <v>0</v>
      </c>
      <c r="AG640" s="720">
        <f t="shared" si="116"/>
        <v>0</v>
      </c>
      <c r="AH640" s="721">
        <f t="shared" si="129"/>
        <v>0</v>
      </c>
      <c r="AI640" s="721">
        <f t="shared" si="117"/>
        <v>0</v>
      </c>
      <c r="AJ640" s="723"/>
      <c r="AK640" s="734"/>
      <c r="AL640" s="719">
        <f t="shared" si="118"/>
        <v>0</v>
      </c>
      <c r="AM640" s="722">
        <f t="shared" si="131"/>
        <v>0</v>
      </c>
      <c r="AN640" s="723"/>
      <c r="AO640" s="734"/>
      <c r="AP640" s="723"/>
      <c r="AQ640" s="734"/>
      <c r="AR640" s="723"/>
      <c r="AS640" s="734"/>
      <c r="AT640" s="723"/>
      <c r="AU640" s="734"/>
      <c r="AV640" s="719">
        <f t="shared" si="120"/>
        <v>0</v>
      </c>
      <c r="AW640" s="726">
        <f t="shared" si="121"/>
        <v>0</v>
      </c>
      <c r="AX640" s="721">
        <f t="shared" si="122"/>
        <v>0</v>
      </c>
      <c r="AY640" s="727">
        <f t="shared" si="123"/>
        <v>0</v>
      </c>
      <c r="AZ640" s="728">
        <f t="shared" si="124"/>
        <v>2734.8666666666668</v>
      </c>
      <c r="BA640" s="721">
        <f t="shared" si="125"/>
        <v>2554.5666666666666</v>
      </c>
    </row>
    <row r="641" spans="1:53" s="729" customFormat="1" ht="15">
      <c r="A641" s="710" t="s">
        <v>757</v>
      </c>
      <c r="B641" s="711" t="s">
        <v>778</v>
      </c>
      <c r="C641" s="693" t="s">
        <v>994</v>
      </c>
      <c r="D641" s="712">
        <v>231697</v>
      </c>
      <c r="E641" s="713">
        <v>9</v>
      </c>
      <c r="F641" s="714" t="s">
        <v>75</v>
      </c>
      <c r="G641" s="715"/>
      <c r="H641" s="716"/>
      <c r="I641" s="717"/>
      <c r="J641" s="716">
        <v>33880</v>
      </c>
      <c r="K641" s="718">
        <v>32641</v>
      </c>
      <c r="L641" s="716">
        <v>7373</v>
      </c>
      <c r="M641" s="718">
        <v>7733</v>
      </c>
      <c r="N641" s="716">
        <v>36608</v>
      </c>
      <c r="O641" s="409">
        <v>35006</v>
      </c>
      <c r="P641" s="719">
        <f t="shared" si="109"/>
        <v>77861</v>
      </c>
      <c r="Q641" s="720">
        <f t="shared" si="110"/>
        <v>2595.3666666666668</v>
      </c>
      <c r="R641" s="721">
        <f t="shared" si="111"/>
        <v>75380</v>
      </c>
      <c r="S641" s="722">
        <f t="shared" si="112"/>
        <v>2512.6666666666665</v>
      </c>
      <c r="T641" s="723">
        <v>35848</v>
      </c>
      <c r="U641" s="734">
        <v>35767</v>
      </c>
      <c r="V641" s="719">
        <f t="shared" si="113"/>
        <v>77861</v>
      </c>
      <c r="W641" s="725">
        <f t="shared" si="130"/>
        <v>75380</v>
      </c>
      <c r="X641" s="723"/>
      <c r="Y641" s="734"/>
      <c r="Z641" s="723"/>
      <c r="AA641" s="734"/>
      <c r="AB641" s="723"/>
      <c r="AC641" s="734"/>
      <c r="AD641" s="723"/>
      <c r="AE641" s="734"/>
      <c r="AF641" s="719">
        <f t="shared" si="115"/>
        <v>0</v>
      </c>
      <c r="AG641" s="720">
        <f t="shared" si="116"/>
        <v>0</v>
      </c>
      <c r="AH641" s="721">
        <f t="shared" si="129"/>
        <v>0</v>
      </c>
      <c r="AI641" s="721">
        <f t="shared" si="117"/>
        <v>0</v>
      </c>
      <c r="AJ641" s="723"/>
      <c r="AK641" s="734"/>
      <c r="AL641" s="719">
        <f t="shared" si="118"/>
        <v>0</v>
      </c>
      <c r="AM641" s="722">
        <f t="shared" si="131"/>
        <v>0</v>
      </c>
      <c r="AN641" s="723"/>
      <c r="AO641" s="734"/>
      <c r="AP641" s="723"/>
      <c r="AQ641" s="734"/>
      <c r="AR641" s="723"/>
      <c r="AS641" s="734"/>
      <c r="AT641" s="723"/>
      <c r="AU641" s="734"/>
      <c r="AV641" s="719">
        <f t="shared" si="120"/>
        <v>0</v>
      </c>
      <c r="AW641" s="726">
        <f t="shared" si="121"/>
        <v>0</v>
      </c>
      <c r="AX641" s="721">
        <f t="shared" si="122"/>
        <v>0</v>
      </c>
      <c r="AY641" s="727">
        <f t="shared" si="123"/>
        <v>0</v>
      </c>
      <c r="AZ641" s="728">
        <f t="shared" si="124"/>
        <v>2595.3666666666668</v>
      </c>
      <c r="BA641" s="721">
        <f t="shared" si="125"/>
        <v>2512.6666666666665</v>
      </c>
    </row>
    <row r="642" spans="1:53" s="729" customFormat="1" ht="15">
      <c r="A642" s="710" t="s">
        <v>757</v>
      </c>
      <c r="B642" s="711" t="s">
        <v>779</v>
      </c>
      <c r="C642" s="693" t="s">
        <v>994</v>
      </c>
      <c r="D642" s="712">
        <v>231882</v>
      </c>
      <c r="E642" s="713">
        <v>9</v>
      </c>
      <c r="F642" s="714" t="s">
        <v>75</v>
      </c>
      <c r="G642" s="715"/>
      <c r="H642" s="716"/>
      <c r="I642" s="717"/>
      <c r="J642" s="716">
        <v>29759</v>
      </c>
      <c r="K642" s="718">
        <v>28105</v>
      </c>
      <c r="L642" s="716">
        <v>7890</v>
      </c>
      <c r="M642" s="718">
        <v>7174</v>
      </c>
      <c r="N642" s="716">
        <v>31445</v>
      </c>
      <c r="O642" s="409">
        <v>28976</v>
      </c>
      <c r="P642" s="719">
        <f t="shared" si="109"/>
        <v>69094</v>
      </c>
      <c r="Q642" s="720">
        <f t="shared" si="110"/>
        <v>2303.1333333333332</v>
      </c>
      <c r="R642" s="721">
        <f t="shared" si="111"/>
        <v>64255</v>
      </c>
      <c r="S642" s="722">
        <f t="shared" si="112"/>
        <v>2141.8333333333335</v>
      </c>
      <c r="T642" s="723">
        <v>30058</v>
      </c>
      <c r="U642" s="734">
        <v>31375</v>
      </c>
      <c r="V642" s="719">
        <f t="shared" si="113"/>
        <v>69094</v>
      </c>
      <c r="W642" s="725">
        <f t="shared" si="130"/>
        <v>64255</v>
      </c>
      <c r="X642" s="723"/>
      <c r="Y642" s="734"/>
      <c r="Z642" s="723"/>
      <c r="AA642" s="734"/>
      <c r="AB642" s="723"/>
      <c r="AC642" s="734"/>
      <c r="AD642" s="723"/>
      <c r="AE642" s="734"/>
      <c r="AF642" s="719">
        <f t="shared" si="115"/>
        <v>0</v>
      </c>
      <c r="AG642" s="720">
        <f t="shared" si="116"/>
        <v>0</v>
      </c>
      <c r="AH642" s="721">
        <f t="shared" si="129"/>
        <v>0</v>
      </c>
      <c r="AI642" s="721">
        <f t="shared" si="117"/>
        <v>0</v>
      </c>
      <c r="AJ642" s="723"/>
      <c r="AK642" s="734"/>
      <c r="AL642" s="719">
        <f t="shared" si="118"/>
        <v>0</v>
      </c>
      <c r="AM642" s="722">
        <f t="shared" si="131"/>
        <v>0</v>
      </c>
      <c r="AN642" s="723"/>
      <c r="AO642" s="734"/>
      <c r="AP642" s="723"/>
      <c r="AQ642" s="734"/>
      <c r="AR642" s="723"/>
      <c r="AS642" s="734"/>
      <c r="AT642" s="723"/>
      <c r="AU642" s="734"/>
      <c r="AV642" s="719">
        <f t="shared" si="120"/>
        <v>0</v>
      </c>
      <c r="AW642" s="726">
        <f t="shared" si="121"/>
        <v>0</v>
      </c>
      <c r="AX642" s="721">
        <f t="shared" si="122"/>
        <v>0</v>
      </c>
      <c r="AY642" s="727">
        <f t="shared" si="123"/>
        <v>0</v>
      </c>
      <c r="AZ642" s="728">
        <f t="shared" si="124"/>
        <v>2303.1333333333332</v>
      </c>
      <c r="BA642" s="721">
        <f t="shared" si="125"/>
        <v>2141.8333333333335</v>
      </c>
    </row>
    <row r="643" spans="1:53" s="729" customFormat="1">
      <c r="A643" s="710" t="s">
        <v>757</v>
      </c>
      <c r="B643" s="711" t="s">
        <v>780</v>
      </c>
      <c r="C643" s="7"/>
      <c r="D643" s="712">
        <v>232195</v>
      </c>
      <c r="E643" s="713">
        <v>9</v>
      </c>
      <c r="F643" s="714" t="s">
        <v>75</v>
      </c>
      <c r="G643" s="715"/>
      <c r="H643" s="716"/>
      <c r="I643" s="717"/>
      <c r="J643" s="716">
        <v>57447</v>
      </c>
      <c r="K643" s="718">
        <v>53995</v>
      </c>
      <c r="L643" s="716">
        <v>16103</v>
      </c>
      <c r="M643" s="718">
        <v>15454</v>
      </c>
      <c r="N643" s="716">
        <v>59548</v>
      </c>
      <c r="O643" s="409">
        <v>56321</v>
      </c>
      <c r="P643" s="719">
        <f t="shared" si="109"/>
        <v>133098</v>
      </c>
      <c r="Q643" s="720">
        <f t="shared" si="110"/>
        <v>4436.6000000000004</v>
      </c>
      <c r="R643" s="721">
        <f t="shared" si="111"/>
        <v>125770</v>
      </c>
      <c r="S643" s="722">
        <f t="shared" si="112"/>
        <v>4192.333333333333</v>
      </c>
      <c r="T643" s="723">
        <v>21287</v>
      </c>
      <c r="U643" s="734">
        <v>22873</v>
      </c>
      <c r="V643" s="719">
        <f t="shared" si="113"/>
        <v>133098</v>
      </c>
      <c r="W643" s="725">
        <f t="shared" si="130"/>
        <v>125770</v>
      </c>
      <c r="X643" s="723"/>
      <c r="Y643" s="734"/>
      <c r="Z643" s="723"/>
      <c r="AA643" s="734"/>
      <c r="AB643" s="723"/>
      <c r="AC643" s="734"/>
      <c r="AD643" s="723"/>
      <c r="AE643" s="734"/>
      <c r="AF643" s="719">
        <f t="shared" si="115"/>
        <v>0</v>
      </c>
      <c r="AG643" s="720">
        <f t="shared" si="116"/>
        <v>0</v>
      </c>
      <c r="AH643" s="721">
        <f t="shared" si="129"/>
        <v>0</v>
      </c>
      <c r="AI643" s="721">
        <f t="shared" si="117"/>
        <v>0</v>
      </c>
      <c r="AJ643" s="723"/>
      <c r="AK643" s="734"/>
      <c r="AL643" s="719">
        <f t="shared" si="118"/>
        <v>0</v>
      </c>
      <c r="AM643" s="722">
        <f t="shared" si="131"/>
        <v>0</v>
      </c>
      <c r="AN643" s="723"/>
      <c r="AO643" s="734"/>
      <c r="AP643" s="723"/>
      <c r="AQ643" s="734"/>
      <c r="AR643" s="723"/>
      <c r="AS643" s="734"/>
      <c r="AT643" s="723"/>
      <c r="AU643" s="734"/>
      <c r="AV643" s="719">
        <f t="shared" si="120"/>
        <v>0</v>
      </c>
      <c r="AW643" s="726">
        <f t="shared" si="121"/>
        <v>0</v>
      </c>
      <c r="AX643" s="721">
        <f t="shared" si="122"/>
        <v>0</v>
      </c>
      <c r="AY643" s="727">
        <f t="shared" si="123"/>
        <v>0</v>
      </c>
      <c r="AZ643" s="728">
        <f t="shared" si="124"/>
        <v>4436.6000000000004</v>
      </c>
      <c r="BA643" s="721">
        <f t="shared" si="125"/>
        <v>4192.333333333333</v>
      </c>
    </row>
    <row r="644" spans="1:53" s="729" customFormat="1">
      <c r="A644" s="710" t="s">
        <v>757</v>
      </c>
      <c r="B644" s="711" t="s">
        <v>781</v>
      </c>
      <c r="C644" s="7"/>
      <c r="D644" s="712">
        <v>232575</v>
      </c>
      <c r="E644" s="713">
        <v>9</v>
      </c>
      <c r="F644" s="714" t="s">
        <v>75</v>
      </c>
      <c r="G644" s="715"/>
      <c r="H644" s="716"/>
      <c r="I644" s="717"/>
      <c r="J644" s="716">
        <v>50535</v>
      </c>
      <c r="K644" s="718">
        <v>48707</v>
      </c>
      <c r="L644" s="716">
        <v>12607</v>
      </c>
      <c r="M644" s="718">
        <v>12209</v>
      </c>
      <c r="N644" s="716">
        <v>57424</v>
      </c>
      <c r="O644" s="409">
        <v>57039</v>
      </c>
      <c r="P644" s="719">
        <f t="shared" si="109"/>
        <v>120566</v>
      </c>
      <c r="Q644" s="720">
        <f t="shared" si="110"/>
        <v>4018.8666666666668</v>
      </c>
      <c r="R644" s="721">
        <f t="shared" si="111"/>
        <v>117955</v>
      </c>
      <c r="S644" s="722">
        <f t="shared" si="112"/>
        <v>3931.8333333333335</v>
      </c>
      <c r="T644" s="723">
        <v>54418</v>
      </c>
      <c r="U644" s="734">
        <v>61508</v>
      </c>
      <c r="V644" s="719">
        <f t="shared" si="113"/>
        <v>120566</v>
      </c>
      <c r="W644" s="725">
        <f t="shared" si="130"/>
        <v>117955</v>
      </c>
      <c r="X644" s="723"/>
      <c r="Y644" s="734"/>
      <c r="Z644" s="723"/>
      <c r="AA644" s="734"/>
      <c r="AB644" s="723"/>
      <c r="AC644" s="734"/>
      <c r="AD644" s="723"/>
      <c r="AE644" s="734"/>
      <c r="AF644" s="719">
        <f t="shared" si="115"/>
        <v>0</v>
      </c>
      <c r="AG644" s="720">
        <f t="shared" si="116"/>
        <v>0</v>
      </c>
      <c r="AH644" s="721">
        <f t="shared" si="129"/>
        <v>0</v>
      </c>
      <c r="AI644" s="721">
        <f t="shared" si="117"/>
        <v>0</v>
      </c>
      <c r="AJ644" s="723"/>
      <c r="AK644" s="734"/>
      <c r="AL644" s="719">
        <f t="shared" si="118"/>
        <v>0</v>
      </c>
      <c r="AM644" s="722">
        <f t="shared" si="131"/>
        <v>0</v>
      </c>
      <c r="AN644" s="723"/>
      <c r="AO644" s="734"/>
      <c r="AP644" s="723"/>
      <c r="AQ644" s="734"/>
      <c r="AR644" s="723"/>
      <c r="AS644" s="734"/>
      <c r="AT644" s="723"/>
      <c r="AU644" s="734"/>
      <c r="AV644" s="719">
        <f t="shared" si="120"/>
        <v>0</v>
      </c>
      <c r="AW644" s="726">
        <f t="shared" si="121"/>
        <v>0</v>
      </c>
      <c r="AX644" s="721">
        <f t="shared" si="122"/>
        <v>0</v>
      </c>
      <c r="AY644" s="727">
        <f t="shared" si="123"/>
        <v>0</v>
      </c>
      <c r="AZ644" s="728">
        <f t="shared" si="124"/>
        <v>4018.8666666666668</v>
      </c>
      <c r="BA644" s="721">
        <f t="shared" si="125"/>
        <v>3931.8333333333335</v>
      </c>
    </row>
    <row r="645" spans="1:53" s="729" customFormat="1" ht="15">
      <c r="A645" s="710" t="s">
        <v>757</v>
      </c>
      <c r="B645" s="711" t="s">
        <v>782</v>
      </c>
      <c r="C645" s="693" t="s">
        <v>994</v>
      </c>
      <c r="D645" s="712">
        <v>232867</v>
      </c>
      <c r="E645" s="713">
        <v>9</v>
      </c>
      <c r="F645" s="714" t="s">
        <v>75</v>
      </c>
      <c r="G645" s="715"/>
      <c r="H645" s="716"/>
      <c r="I645" s="717"/>
      <c r="J645" s="716">
        <v>38000</v>
      </c>
      <c r="K645" s="718">
        <v>36576</v>
      </c>
      <c r="L645" s="716">
        <v>6990</v>
      </c>
      <c r="M645" s="718">
        <v>7546</v>
      </c>
      <c r="N645" s="716">
        <v>40612</v>
      </c>
      <c r="O645" s="409">
        <v>40547</v>
      </c>
      <c r="P645" s="719">
        <f t="shared" si="109"/>
        <v>85602</v>
      </c>
      <c r="Q645" s="720">
        <f t="shared" si="110"/>
        <v>2853.4</v>
      </c>
      <c r="R645" s="721">
        <f t="shared" si="111"/>
        <v>84669</v>
      </c>
      <c r="S645" s="722">
        <f t="shared" si="112"/>
        <v>2822.3</v>
      </c>
      <c r="T645" s="723">
        <v>32411</v>
      </c>
      <c r="U645" s="734">
        <v>34733</v>
      </c>
      <c r="V645" s="719">
        <f t="shared" si="113"/>
        <v>85602</v>
      </c>
      <c r="W645" s="725">
        <f t="shared" si="130"/>
        <v>84669</v>
      </c>
      <c r="X645" s="723"/>
      <c r="Y645" s="734"/>
      <c r="Z645" s="723"/>
      <c r="AA645" s="734"/>
      <c r="AB645" s="723"/>
      <c r="AC645" s="734"/>
      <c r="AD645" s="723"/>
      <c r="AE645" s="734"/>
      <c r="AF645" s="719">
        <f t="shared" si="115"/>
        <v>0</v>
      </c>
      <c r="AG645" s="720">
        <f t="shared" si="116"/>
        <v>0</v>
      </c>
      <c r="AH645" s="721">
        <f t="shared" si="129"/>
        <v>0</v>
      </c>
      <c r="AI645" s="721">
        <f t="shared" si="117"/>
        <v>0</v>
      </c>
      <c r="AJ645" s="723"/>
      <c r="AK645" s="734"/>
      <c r="AL645" s="719">
        <f t="shared" si="118"/>
        <v>0</v>
      </c>
      <c r="AM645" s="722">
        <f t="shared" si="131"/>
        <v>0</v>
      </c>
      <c r="AN645" s="723"/>
      <c r="AO645" s="734"/>
      <c r="AP645" s="723"/>
      <c r="AQ645" s="734"/>
      <c r="AR645" s="723"/>
      <c r="AS645" s="734"/>
      <c r="AT645" s="723"/>
      <c r="AU645" s="734"/>
      <c r="AV645" s="719">
        <f t="shared" si="120"/>
        <v>0</v>
      </c>
      <c r="AW645" s="726">
        <f t="shared" si="121"/>
        <v>0</v>
      </c>
      <c r="AX645" s="721">
        <f t="shared" si="122"/>
        <v>0</v>
      </c>
      <c r="AY645" s="727">
        <f t="shared" si="123"/>
        <v>0</v>
      </c>
      <c r="AZ645" s="728">
        <f t="shared" si="124"/>
        <v>2853.4</v>
      </c>
      <c r="BA645" s="721">
        <f t="shared" si="125"/>
        <v>2822.3</v>
      </c>
    </row>
    <row r="646" spans="1:53" s="729" customFormat="1" ht="15">
      <c r="A646" s="710" t="s">
        <v>757</v>
      </c>
      <c r="B646" s="735" t="s">
        <v>783</v>
      </c>
      <c r="C646" s="693" t="s">
        <v>970</v>
      </c>
      <c r="D646" s="712">
        <v>233019</v>
      </c>
      <c r="E646" s="713">
        <v>9</v>
      </c>
      <c r="F646" s="714" t="s">
        <v>75</v>
      </c>
      <c r="G646" s="715"/>
      <c r="H646" s="716"/>
      <c r="I646" s="717"/>
      <c r="J646" s="716">
        <v>26551</v>
      </c>
      <c r="K646" s="718">
        <v>23661</v>
      </c>
      <c r="L646" s="716">
        <v>5567</v>
      </c>
      <c r="M646" s="718">
        <v>4084</v>
      </c>
      <c r="N646" s="716">
        <v>26748</v>
      </c>
      <c r="O646" s="409">
        <v>25433</v>
      </c>
      <c r="P646" s="719">
        <f t="shared" si="109"/>
        <v>58866</v>
      </c>
      <c r="Q646" s="720">
        <f t="shared" si="110"/>
        <v>1962.2</v>
      </c>
      <c r="R646" s="721">
        <f t="shared" si="111"/>
        <v>53178</v>
      </c>
      <c r="S646" s="722">
        <f t="shared" si="112"/>
        <v>1772.6</v>
      </c>
      <c r="T646" s="723">
        <v>28079</v>
      </c>
      <c r="U646" s="734">
        <v>27314</v>
      </c>
      <c r="V646" s="719">
        <f t="shared" si="113"/>
        <v>58866</v>
      </c>
      <c r="W646" s="725">
        <f t="shared" si="130"/>
        <v>53178</v>
      </c>
      <c r="X646" s="723"/>
      <c r="Y646" s="734"/>
      <c r="Z646" s="723"/>
      <c r="AA646" s="734"/>
      <c r="AB646" s="723"/>
      <c r="AC646" s="734"/>
      <c r="AD646" s="723"/>
      <c r="AE646" s="734"/>
      <c r="AF646" s="719">
        <f t="shared" si="115"/>
        <v>0</v>
      </c>
      <c r="AG646" s="720">
        <f t="shared" si="116"/>
        <v>0</v>
      </c>
      <c r="AH646" s="721">
        <f t="shared" si="129"/>
        <v>0</v>
      </c>
      <c r="AI646" s="721">
        <f t="shared" si="117"/>
        <v>0</v>
      </c>
      <c r="AJ646" s="723"/>
      <c r="AK646" s="734"/>
      <c r="AL646" s="719">
        <f t="shared" si="118"/>
        <v>0</v>
      </c>
      <c r="AM646" s="722">
        <f t="shared" si="131"/>
        <v>0</v>
      </c>
      <c r="AN646" s="723"/>
      <c r="AO646" s="734"/>
      <c r="AP646" s="723"/>
      <c r="AQ646" s="734"/>
      <c r="AR646" s="723"/>
      <c r="AS646" s="734"/>
      <c r="AT646" s="723"/>
      <c r="AU646" s="734"/>
      <c r="AV646" s="719">
        <f t="shared" si="120"/>
        <v>0</v>
      </c>
      <c r="AW646" s="726">
        <f t="shared" si="121"/>
        <v>0</v>
      </c>
      <c r="AX646" s="721">
        <f t="shared" si="122"/>
        <v>0</v>
      </c>
      <c r="AY646" s="727">
        <f t="shared" si="123"/>
        <v>0</v>
      </c>
      <c r="AZ646" s="728">
        <f t="shared" si="124"/>
        <v>1962.2</v>
      </c>
      <c r="BA646" s="721">
        <f t="shared" si="125"/>
        <v>1772.6</v>
      </c>
    </row>
    <row r="647" spans="1:53" s="729" customFormat="1" ht="15">
      <c r="A647" s="710" t="s">
        <v>757</v>
      </c>
      <c r="B647" s="711" t="s">
        <v>784</v>
      </c>
      <c r="C647" s="693" t="s">
        <v>994</v>
      </c>
      <c r="D647" s="712">
        <v>233116</v>
      </c>
      <c r="E647" s="713">
        <v>9</v>
      </c>
      <c r="F647" s="714" t="s">
        <v>75</v>
      </c>
      <c r="G647" s="715"/>
      <c r="H647" s="716"/>
      <c r="I647" s="717"/>
      <c r="J647" s="716">
        <v>37878</v>
      </c>
      <c r="K647" s="718">
        <v>37876</v>
      </c>
      <c r="L647" s="716">
        <v>10353</v>
      </c>
      <c r="M647" s="718">
        <v>10543</v>
      </c>
      <c r="N647" s="716">
        <v>41071</v>
      </c>
      <c r="O647" s="409">
        <v>41340</v>
      </c>
      <c r="P647" s="719">
        <f t="shared" si="109"/>
        <v>89302</v>
      </c>
      <c r="Q647" s="720">
        <f t="shared" si="110"/>
        <v>2976.7333333333331</v>
      </c>
      <c r="R647" s="721">
        <f t="shared" si="111"/>
        <v>89759</v>
      </c>
      <c r="S647" s="722">
        <f t="shared" si="112"/>
        <v>2991.9666666666667</v>
      </c>
      <c r="T647" s="723">
        <v>31786</v>
      </c>
      <c r="U647" s="734">
        <v>35215</v>
      </c>
      <c r="V647" s="719">
        <f t="shared" si="113"/>
        <v>89302</v>
      </c>
      <c r="W647" s="725">
        <f t="shared" si="130"/>
        <v>89759</v>
      </c>
      <c r="X647" s="723"/>
      <c r="Y647" s="734"/>
      <c r="Z647" s="723"/>
      <c r="AA647" s="734"/>
      <c r="AB647" s="723"/>
      <c r="AC647" s="734"/>
      <c r="AD647" s="723"/>
      <c r="AE647" s="734"/>
      <c r="AF647" s="719">
        <f t="shared" si="115"/>
        <v>0</v>
      </c>
      <c r="AG647" s="720">
        <f t="shared" si="116"/>
        <v>0</v>
      </c>
      <c r="AH647" s="721">
        <f t="shared" si="129"/>
        <v>0</v>
      </c>
      <c r="AI647" s="721">
        <f t="shared" si="117"/>
        <v>0</v>
      </c>
      <c r="AJ647" s="723"/>
      <c r="AK647" s="734"/>
      <c r="AL647" s="719">
        <f t="shared" si="118"/>
        <v>0</v>
      </c>
      <c r="AM647" s="722">
        <f t="shared" si="131"/>
        <v>0</v>
      </c>
      <c r="AN647" s="723"/>
      <c r="AO647" s="734"/>
      <c r="AP647" s="723"/>
      <c r="AQ647" s="734"/>
      <c r="AR647" s="723"/>
      <c r="AS647" s="734"/>
      <c r="AT647" s="723"/>
      <c r="AU647" s="734"/>
      <c r="AV647" s="719">
        <f t="shared" si="120"/>
        <v>0</v>
      </c>
      <c r="AW647" s="726">
        <f t="shared" si="121"/>
        <v>0</v>
      </c>
      <c r="AX647" s="721">
        <f t="shared" si="122"/>
        <v>0</v>
      </c>
      <c r="AY647" s="727">
        <f t="shared" si="123"/>
        <v>0</v>
      </c>
      <c r="AZ647" s="728">
        <f t="shared" si="124"/>
        <v>2976.7333333333331</v>
      </c>
      <c r="BA647" s="721">
        <f t="shared" si="125"/>
        <v>2991.9666666666667</v>
      </c>
    </row>
    <row r="648" spans="1:53" s="729" customFormat="1" ht="15">
      <c r="A648" s="710" t="s">
        <v>757</v>
      </c>
      <c r="B648" s="711" t="s">
        <v>785</v>
      </c>
      <c r="C648" s="693" t="s">
        <v>994</v>
      </c>
      <c r="D648" s="712">
        <v>233639</v>
      </c>
      <c r="E648" s="713">
        <v>9</v>
      </c>
      <c r="F648" s="714" t="s">
        <v>75</v>
      </c>
      <c r="G648" s="715"/>
      <c r="H648" s="716"/>
      <c r="I648" s="717"/>
      <c r="J648" s="716">
        <v>40879</v>
      </c>
      <c r="K648" s="718">
        <v>35617</v>
      </c>
      <c r="L648" s="716">
        <v>9566</v>
      </c>
      <c r="M648" s="718">
        <v>8554</v>
      </c>
      <c r="N648" s="716">
        <v>39757</v>
      </c>
      <c r="O648" s="409">
        <v>34593</v>
      </c>
      <c r="P648" s="719">
        <f t="shared" si="109"/>
        <v>90202</v>
      </c>
      <c r="Q648" s="720">
        <f t="shared" si="110"/>
        <v>3006.7333333333331</v>
      </c>
      <c r="R648" s="721">
        <f t="shared" si="111"/>
        <v>78764</v>
      </c>
      <c r="S648" s="722">
        <f t="shared" si="112"/>
        <v>2625.4666666666667</v>
      </c>
      <c r="T648" s="723">
        <v>67449</v>
      </c>
      <c r="U648" s="734">
        <v>63570</v>
      </c>
      <c r="V648" s="719">
        <f t="shared" si="113"/>
        <v>90202</v>
      </c>
      <c r="W648" s="725">
        <f t="shared" si="130"/>
        <v>78764</v>
      </c>
      <c r="X648" s="723"/>
      <c r="Y648" s="734"/>
      <c r="Z648" s="723"/>
      <c r="AA648" s="734"/>
      <c r="AB648" s="723"/>
      <c r="AC648" s="734"/>
      <c r="AD648" s="723"/>
      <c r="AE648" s="734"/>
      <c r="AF648" s="719">
        <f t="shared" si="115"/>
        <v>0</v>
      </c>
      <c r="AG648" s="720">
        <f t="shared" si="116"/>
        <v>0</v>
      </c>
      <c r="AH648" s="721">
        <f t="shared" si="129"/>
        <v>0</v>
      </c>
      <c r="AI648" s="721">
        <f t="shared" si="117"/>
        <v>0</v>
      </c>
      <c r="AJ648" s="723"/>
      <c r="AK648" s="734"/>
      <c r="AL648" s="719">
        <f t="shared" si="118"/>
        <v>0</v>
      </c>
      <c r="AM648" s="722">
        <f t="shared" si="131"/>
        <v>0</v>
      </c>
      <c r="AN648" s="723"/>
      <c r="AO648" s="734"/>
      <c r="AP648" s="723"/>
      <c r="AQ648" s="734"/>
      <c r="AR648" s="723"/>
      <c r="AS648" s="734"/>
      <c r="AT648" s="723"/>
      <c r="AU648" s="734"/>
      <c r="AV648" s="719">
        <f t="shared" si="120"/>
        <v>0</v>
      </c>
      <c r="AW648" s="726">
        <f t="shared" si="121"/>
        <v>0</v>
      </c>
      <c r="AX648" s="721">
        <f t="shared" si="122"/>
        <v>0</v>
      </c>
      <c r="AY648" s="727">
        <f t="shared" si="123"/>
        <v>0</v>
      </c>
      <c r="AZ648" s="728">
        <f t="shared" si="124"/>
        <v>3006.7333333333331</v>
      </c>
      <c r="BA648" s="721">
        <f t="shared" si="125"/>
        <v>2625.4666666666667</v>
      </c>
    </row>
    <row r="649" spans="1:53" s="729" customFormat="1" ht="15">
      <c r="A649" s="710" t="s">
        <v>757</v>
      </c>
      <c r="B649" s="730" t="s">
        <v>786</v>
      </c>
      <c r="C649" s="693"/>
      <c r="D649" s="712">
        <v>233949</v>
      </c>
      <c r="E649" s="713">
        <v>9</v>
      </c>
      <c r="F649" s="714" t="s">
        <v>75</v>
      </c>
      <c r="G649" s="715"/>
      <c r="H649" s="716"/>
      <c r="I649" s="717"/>
      <c r="J649" s="716">
        <v>65732</v>
      </c>
      <c r="K649" s="718">
        <v>59662</v>
      </c>
      <c r="L649" s="716">
        <v>15306</v>
      </c>
      <c r="M649" s="718">
        <v>14829</v>
      </c>
      <c r="N649" s="716">
        <v>62563</v>
      </c>
      <c r="O649" s="409">
        <v>62890</v>
      </c>
      <c r="P649" s="719">
        <f t="shared" si="109"/>
        <v>143601</v>
      </c>
      <c r="Q649" s="720">
        <f t="shared" si="110"/>
        <v>4786.7</v>
      </c>
      <c r="R649" s="721">
        <f t="shared" si="111"/>
        <v>137381</v>
      </c>
      <c r="S649" s="722">
        <f t="shared" si="112"/>
        <v>4579.3666666666668</v>
      </c>
      <c r="T649" s="723">
        <v>57799</v>
      </c>
      <c r="U649" s="734">
        <v>56586</v>
      </c>
      <c r="V649" s="719">
        <f t="shared" si="113"/>
        <v>143601</v>
      </c>
      <c r="W649" s="725">
        <f t="shared" si="130"/>
        <v>137381</v>
      </c>
      <c r="X649" s="723"/>
      <c r="Y649" s="734"/>
      <c r="Z649" s="723"/>
      <c r="AA649" s="734"/>
      <c r="AB649" s="723"/>
      <c r="AC649" s="734"/>
      <c r="AD649" s="723"/>
      <c r="AE649" s="734"/>
      <c r="AF649" s="719">
        <f t="shared" si="115"/>
        <v>0</v>
      </c>
      <c r="AG649" s="720">
        <f t="shared" si="116"/>
        <v>0</v>
      </c>
      <c r="AH649" s="721">
        <f t="shared" si="129"/>
        <v>0</v>
      </c>
      <c r="AI649" s="721">
        <f t="shared" si="117"/>
        <v>0</v>
      </c>
      <c r="AJ649" s="723"/>
      <c r="AK649" s="734"/>
      <c r="AL649" s="719">
        <f t="shared" si="118"/>
        <v>0</v>
      </c>
      <c r="AM649" s="722">
        <f t="shared" si="131"/>
        <v>0</v>
      </c>
      <c r="AN649" s="723"/>
      <c r="AO649" s="734"/>
      <c r="AP649" s="723"/>
      <c r="AQ649" s="734"/>
      <c r="AR649" s="723"/>
      <c r="AS649" s="734"/>
      <c r="AT649" s="723"/>
      <c r="AU649" s="734"/>
      <c r="AV649" s="719">
        <f t="shared" si="120"/>
        <v>0</v>
      </c>
      <c r="AW649" s="726">
        <f t="shared" si="121"/>
        <v>0</v>
      </c>
      <c r="AX649" s="721">
        <f t="shared" si="122"/>
        <v>0</v>
      </c>
      <c r="AY649" s="727">
        <f t="shared" si="123"/>
        <v>0</v>
      </c>
      <c r="AZ649" s="728">
        <f t="shared" si="124"/>
        <v>4786.7</v>
      </c>
      <c r="BA649" s="721">
        <f t="shared" si="125"/>
        <v>4579.3666666666668</v>
      </c>
    </row>
    <row r="650" spans="1:53" s="729" customFormat="1" ht="15">
      <c r="A650" s="710" t="s">
        <v>757</v>
      </c>
      <c r="B650" s="730" t="s">
        <v>787</v>
      </c>
      <c r="C650" s="693" t="s">
        <v>970</v>
      </c>
      <c r="D650" s="712">
        <v>234377</v>
      </c>
      <c r="E650" s="713">
        <v>9</v>
      </c>
      <c r="F650" s="714" t="s">
        <v>75</v>
      </c>
      <c r="G650" s="715"/>
      <c r="H650" s="716"/>
      <c r="I650" s="717"/>
      <c r="J650" s="716">
        <v>24696</v>
      </c>
      <c r="K650" s="718">
        <v>22648</v>
      </c>
      <c r="L650" s="716">
        <v>6381</v>
      </c>
      <c r="M650" s="718">
        <v>6226</v>
      </c>
      <c r="N650" s="716">
        <v>24555</v>
      </c>
      <c r="O650" s="409">
        <v>23257</v>
      </c>
      <c r="P650" s="719">
        <f t="shared" si="109"/>
        <v>55632</v>
      </c>
      <c r="Q650" s="720">
        <f t="shared" si="110"/>
        <v>1854.4</v>
      </c>
      <c r="R650" s="721">
        <f t="shared" si="111"/>
        <v>52131</v>
      </c>
      <c r="S650" s="722">
        <f t="shared" si="112"/>
        <v>1737.7</v>
      </c>
      <c r="T650" s="723">
        <v>27441</v>
      </c>
      <c r="U650" s="734">
        <v>27694</v>
      </c>
      <c r="V650" s="719">
        <f t="shared" si="113"/>
        <v>55632</v>
      </c>
      <c r="W650" s="725">
        <f t="shared" si="130"/>
        <v>52131</v>
      </c>
      <c r="X650" s="723"/>
      <c r="Y650" s="734"/>
      <c r="Z650" s="723"/>
      <c r="AA650" s="734"/>
      <c r="AB650" s="723"/>
      <c r="AC650" s="734"/>
      <c r="AD650" s="723"/>
      <c r="AE650" s="734"/>
      <c r="AF650" s="719">
        <f t="shared" si="115"/>
        <v>0</v>
      </c>
      <c r="AG650" s="720">
        <f t="shared" si="116"/>
        <v>0</v>
      </c>
      <c r="AH650" s="721">
        <f t="shared" si="129"/>
        <v>0</v>
      </c>
      <c r="AI650" s="721">
        <f t="shared" si="117"/>
        <v>0</v>
      </c>
      <c r="AJ650" s="723"/>
      <c r="AK650" s="734"/>
      <c r="AL650" s="719">
        <f t="shared" si="118"/>
        <v>0</v>
      </c>
      <c r="AM650" s="722">
        <f t="shared" si="131"/>
        <v>0</v>
      </c>
      <c r="AN650" s="723"/>
      <c r="AO650" s="734"/>
      <c r="AP650" s="723"/>
      <c r="AQ650" s="734"/>
      <c r="AR650" s="723"/>
      <c r="AS650" s="734"/>
      <c r="AT650" s="723"/>
      <c r="AU650" s="734"/>
      <c r="AV650" s="719">
        <f t="shared" si="120"/>
        <v>0</v>
      </c>
      <c r="AW650" s="726">
        <f t="shared" si="121"/>
        <v>0</v>
      </c>
      <c r="AX650" s="721">
        <f t="shared" si="122"/>
        <v>0</v>
      </c>
      <c r="AY650" s="727">
        <f t="shared" si="123"/>
        <v>0</v>
      </c>
      <c r="AZ650" s="728">
        <f t="shared" si="124"/>
        <v>1854.4</v>
      </c>
      <c r="BA650" s="721">
        <f t="shared" si="125"/>
        <v>1737.7</v>
      </c>
    </row>
    <row r="651" spans="1:53" s="729" customFormat="1">
      <c r="A651" s="710" t="s">
        <v>757</v>
      </c>
      <c r="B651" s="730" t="s">
        <v>788</v>
      </c>
      <c r="C651" s="708"/>
      <c r="D651" s="712">
        <v>231873</v>
      </c>
      <c r="E651" s="713">
        <v>10</v>
      </c>
      <c r="F651" s="714" t="s">
        <v>75</v>
      </c>
      <c r="G651" s="715"/>
      <c r="H651" s="716"/>
      <c r="I651" s="717"/>
      <c r="J651" s="716">
        <v>9947</v>
      </c>
      <c r="K651" s="718">
        <v>9427</v>
      </c>
      <c r="L651" s="716">
        <v>1449</v>
      </c>
      <c r="M651" s="718">
        <v>1702</v>
      </c>
      <c r="N651" s="716">
        <v>10286</v>
      </c>
      <c r="O651" s="409">
        <v>11432</v>
      </c>
      <c r="P651" s="719">
        <f t="shared" si="109"/>
        <v>21682</v>
      </c>
      <c r="Q651" s="720">
        <f t="shared" si="110"/>
        <v>722.73333333333335</v>
      </c>
      <c r="R651" s="721">
        <f t="shared" si="111"/>
        <v>22561</v>
      </c>
      <c r="S651" s="722">
        <f t="shared" si="112"/>
        <v>752.0333333333333</v>
      </c>
      <c r="T651" s="723">
        <v>9335</v>
      </c>
      <c r="U651" s="734">
        <v>10335</v>
      </c>
      <c r="V651" s="719">
        <f t="shared" si="113"/>
        <v>21682</v>
      </c>
      <c r="W651" s="725">
        <f t="shared" si="130"/>
        <v>22561</v>
      </c>
      <c r="X651" s="723"/>
      <c r="Y651" s="734"/>
      <c r="Z651" s="723"/>
      <c r="AA651" s="734"/>
      <c r="AB651" s="723"/>
      <c r="AC651" s="734"/>
      <c r="AD651" s="723"/>
      <c r="AE651" s="734"/>
      <c r="AF651" s="719">
        <f t="shared" si="115"/>
        <v>0</v>
      </c>
      <c r="AG651" s="720">
        <f t="shared" si="116"/>
        <v>0</v>
      </c>
      <c r="AH651" s="721">
        <f t="shared" si="129"/>
        <v>0</v>
      </c>
      <c r="AI651" s="721">
        <f t="shared" si="117"/>
        <v>0</v>
      </c>
      <c r="AJ651" s="723"/>
      <c r="AK651" s="734"/>
      <c r="AL651" s="719">
        <f t="shared" si="118"/>
        <v>0</v>
      </c>
      <c r="AM651" s="722">
        <f t="shared" si="131"/>
        <v>0</v>
      </c>
      <c r="AN651" s="723"/>
      <c r="AO651" s="734"/>
      <c r="AP651" s="723"/>
      <c r="AQ651" s="734"/>
      <c r="AR651" s="723"/>
      <c r="AS651" s="734"/>
      <c r="AT651" s="723"/>
      <c r="AU651" s="734"/>
      <c r="AV651" s="719">
        <f t="shared" si="120"/>
        <v>0</v>
      </c>
      <c r="AW651" s="726">
        <f t="shared" si="121"/>
        <v>0</v>
      </c>
      <c r="AX651" s="721">
        <f t="shared" si="122"/>
        <v>0</v>
      </c>
      <c r="AY651" s="727">
        <f t="shared" si="123"/>
        <v>0</v>
      </c>
      <c r="AZ651" s="728">
        <f t="shared" si="124"/>
        <v>722.73333333333335</v>
      </c>
      <c r="BA651" s="721">
        <f t="shared" si="125"/>
        <v>752.0333333333333</v>
      </c>
    </row>
    <row r="652" spans="1:53" s="729" customFormat="1">
      <c r="A652" s="710" t="s">
        <v>757</v>
      </c>
      <c r="B652" s="730" t="s">
        <v>789</v>
      </c>
      <c r="C652" s="708"/>
      <c r="D652" s="712">
        <v>232052</v>
      </c>
      <c r="E652" s="713">
        <v>10</v>
      </c>
      <c r="F652" s="714" t="s">
        <v>75</v>
      </c>
      <c r="G652" s="715"/>
      <c r="H652" s="716"/>
      <c r="I652" s="717"/>
      <c r="J652" s="716">
        <v>6843</v>
      </c>
      <c r="K652" s="718">
        <v>5633</v>
      </c>
      <c r="L652" s="716">
        <v>893</v>
      </c>
      <c r="M652" s="718">
        <v>821</v>
      </c>
      <c r="N652" s="716">
        <v>6041</v>
      </c>
      <c r="O652" s="409">
        <v>5531</v>
      </c>
      <c r="P652" s="719">
        <f t="shared" si="109"/>
        <v>13777</v>
      </c>
      <c r="Q652" s="720">
        <f t="shared" si="110"/>
        <v>459.23333333333335</v>
      </c>
      <c r="R652" s="721">
        <f t="shared" si="111"/>
        <v>11985</v>
      </c>
      <c r="S652" s="722">
        <f t="shared" si="112"/>
        <v>399.5</v>
      </c>
      <c r="T652" s="723">
        <v>5505</v>
      </c>
      <c r="U652" s="734">
        <v>4941</v>
      </c>
      <c r="V652" s="719">
        <f t="shared" si="113"/>
        <v>13777</v>
      </c>
      <c r="W652" s="725">
        <f t="shared" si="130"/>
        <v>11985</v>
      </c>
      <c r="X652" s="723"/>
      <c r="Y652" s="734"/>
      <c r="Z652" s="723"/>
      <c r="AA652" s="734"/>
      <c r="AB652" s="723"/>
      <c r="AC652" s="734"/>
      <c r="AD652" s="723"/>
      <c r="AE652" s="734"/>
      <c r="AF652" s="719">
        <f t="shared" si="115"/>
        <v>0</v>
      </c>
      <c r="AG652" s="720">
        <f t="shared" si="116"/>
        <v>0</v>
      </c>
      <c r="AH652" s="721">
        <f t="shared" si="129"/>
        <v>0</v>
      </c>
      <c r="AI652" s="721">
        <f t="shared" si="117"/>
        <v>0</v>
      </c>
      <c r="AJ652" s="723"/>
      <c r="AK652" s="734"/>
      <c r="AL652" s="719">
        <f t="shared" si="118"/>
        <v>0</v>
      </c>
      <c r="AM652" s="722">
        <f t="shared" si="131"/>
        <v>0</v>
      </c>
      <c r="AN652" s="723"/>
      <c r="AO652" s="734"/>
      <c r="AP652" s="723"/>
      <c r="AQ652" s="734"/>
      <c r="AR652" s="723"/>
      <c r="AS652" s="734"/>
      <c r="AT652" s="723"/>
      <c r="AU652" s="734"/>
      <c r="AV652" s="719">
        <f t="shared" si="120"/>
        <v>0</v>
      </c>
      <c r="AW652" s="726">
        <f t="shared" si="121"/>
        <v>0</v>
      </c>
      <c r="AX652" s="721">
        <f t="shared" si="122"/>
        <v>0</v>
      </c>
      <c r="AY652" s="727">
        <f t="shared" si="123"/>
        <v>0</v>
      </c>
      <c r="AZ652" s="728">
        <f t="shared" si="124"/>
        <v>459.23333333333335</v>
      </c>
      <c r="BA652" s="721">
        <f t="shared" si="125"/>
        <v>399.5</v>
      </c>
    </row>
    <row r="653" spans="1:53" s="729" customFormat="1">
      <c r="A653" s="710" t="s">
        <v>757</v>
      </c>
      <c r="B653" s="730" t="s">
        <v>790</v>
      </c>
      <c r="C653" s="709"/>
      <c r="D653" s="712">
        <v>232788</v>
      </c>
      <c r="E653" s="731">
        <v>10</v>
      </c>
      <c r="F653" s="714" t="s">
        <v>75</v>
      </c>
      <c r="G653" s="715"/>
      <c r="H653" s="716"/>
      <c r="I653" s="717"/>
      <c r="J653" s="716">
        <v>22336</v>
      </c>
      <c r="K653" s="718">
        <v>22822</v>
      </c>
      <c r="L653" s="716">
        <v>5391</v>
      </c>
      <c r="M653" s="718">
        <v>5304</v>
      </c>
      <c r="N653" s="716">
        <v>25394</v>
      </c>
      <c r="O653" s="409">
        <v>24168</v>
      </c>
      <c r="P653" s="719">
        <f t="shared" si="109"/>
        <v>53121</v>
      </c>
      <c r="Q653" s="720">
        <f t="shared" si="110"/>
        <v>1770.7</v>
      </c>
      <c r="R653" s="721">
        <f t="shared" si="111"/>
        <v>52294</v>
      </c>
      <c r="S653" s="722">
        <f t="shared" si="112"/>
        <v>1743.1333333333334</v>
      </c>
      <c r="T653" s="723">
        <v>23769</v>
      </c>
      <c r="U653" s="734">
        <v>25012</v>
      </c>
      <c r="V653" s="719">
        <f t="shared" si="113"/>
        <v>53121</v>
      </c>
      <c r="W653" s="725">
        <f t="shared" si="130"/>
        <v>52294</v>
      </c>
      <c r="X653" s="723"/>
      <c r="Y653" s="734"/>
      <c r="Z653" s="723"/>
      <c r="AA653" s="734"/>
      <c r="AB653" s="723"/>
      <c r="AC653" s="734"/>
      <c r="AD653" s="723"/>
      <c r="AE653" s="734"/>
      <c r="AF653" s="719">
        <f t="shared" si="115"/>
        <v>0</v>
      </c>
      <c r="AG653" s="720">
        <f t="shared" si="116"/>
        <v>0</v>
      </c>
      <c r="AH653" s="721">
        <f t="shared" si="129"/>
        <v>0</v>
      </c>
      <c r="AI653" s="721">
        <f t="shared" si="117"/>
        <v>0</v>
      </c>
      <c r="AJ653" s="723"/>
      <c r="AK653" s="734"/>
      <c r="AL653" s="719">
        <f t="shared" si="118"/>
        <v>0</v>
      </c>
      <c r="AM653" s="722">
        <f t="shared" si="131"/>
        <v>0</v>
      </c>
      <c r="AN653" s="723"/>
      <c r="AO653" s="734"/>
      <c r="AP653" s="723"/>
      <c r="AQ653" s="734"/>
      <c r="AR653" s="723"/>
      <c r="AS653" s="734"/>
      <c r="AT653" s="723"/>
      <c r="AU653" s="734"/>
      <c r="AV653" s="719">
        <f t="shared" si="120"/>
        <v>0</v>
      </c>
      <c r="AW653" s="726">
        <f t="shared" si="121"/>
        <v>0</v>
      </c>
      <c r="AX653" s="721">
        <f t="shared" si="122"/>
        <v>0</v>
      </c>
      <c r="AY653" s="727">
        <f t="shared" si="123"/>
        <v>0</v>
      </c>
      <c r="AZ653" s="728">
        <f t="shared" si="124"/>
        <v>1770.7</v>
      </c>
      <c r="BA653" s="721">
        <f t="shared" si="125"/>
        <v>1743.1333333333334</v>
      </c>
    </row>
    <row r="654" spans="1:53" s="729" customFormat="1">
      <c r="A654" s="710" t="s">
        <v>757</v>
      </c>
      <c r="B654" s="730" t="s">
        <v>791</v>
      </c>
      <c r="C654" s="708"/>
      <c r="D654" s="712">
        <v>233037</v>
      </c>
      <c r="E654" s="713">
        <v>10</v>
      </c>
      <c r="F654" s="714" t="s">
        <v>75</v>
      </c>
      <c r="G654" s="715"/>
      <c r="H654" s="716"/>
      <c r="I654" s="717"/>
      <c r="J654" s="716">
        <v>9679</v>
      </c>
      <c r="K654" s="718">
        <v>10778</v>
      </c>
      <c r="L654" s="716">
        <v>3586</v>
      </c>
      <c r="M654" s="718">
        <v>3161</v>
      </c>
      <c r="N654" s="716">
        <v>11021</v>
      </c>
      <c r="O654" s="409">
        <v>11367</v>
      </c>
      <c r="P654" s="719">
        <f t="shared" si="109"/>
        <v>24286</v>
      </c>
      <c r="Q654" s="720">
        <f t="shared" si="110"/>
        <v>809.5333333333333</v>
      </c>
      <c r="R654" s="721">
        <f t="shared" si="111"/>
        <v>25306</v>
      </c>
      <c r="S654" s="722">
        <f t="shared" si="112"/>
        <v>843.5333333333333</v>
      </c>
      <c r="T654" s="723">
        <v>11633</v>
      </c>
      <c r="U654" s="734">
        <v>16040</v>
      </c>
      <c r="V654" s="719">
        <f t="shared" si="113"/>
        <v>24286</v>
      </c>
      <c r="W654" s="725">
        <f t="shared" si="130"/>
        <v>25306</v>
      </c>
      <c r="X654" s="723"/>
      <c r="Y654" s="734"/>
      <c r="Z654" s="723"/>
      <c r="AA654" s="734"/>
      <c r="AB654" s="723"/>
      <c r="AC654" s="734"/>
      <c r="AD654" s="723"/>
      <c r="AE654" s="734"/>
      <c r="AF654" s="719">
        <f t="shared" si="115"/>
        <v>0</v>
      </c>
      <c r="AG654" s="720">
        <f t="shared" si="116"/>
        <v>0</v>
      </c>
      <c r="AH654" s="721">
        <f t="shared" si="129"/>
        <v>0</v>
      </c>
      <c r="AI654" s="721">
        <f t="shared" si="117"/>
        <v>0</v>
      </c>
      <c r="AJ654" s="723"/>
      <c r="AK654" s="734"/>
      <c r="AL654" s="719">
        <f t="shared" si="118"/>
        <v>0</v>
      </c>
      <c r="AM654" s="722">
        <f t="shared" si="131"/>
        <v>0</v>
      </c>
      <c r="AN654" s="723"/>
      <c r="AO654" s="734"/>
      <c r="AP654" s="723"/>
      <c r="AQ654" s="734"/>
      <c r="AR654" s="723"/>
      <c r="AS654" s="734"/>
      <c r="AT654" s="723"/>
      <c r="AU654" s="734"/>
      <c r="AV654" s="719">
        <f t="shared" si="120"/>
        <v>0</v>
      </c>
      <c r="AW654" s="726">
        <f t="shared" si="121"/>
        <v>0</v>
      </c>
      <c r="AX654" s="721">
        <f t="shared" si="122"/>
        <v>0</v>
      </c>
      <c r="AY654" s="727">
        <f t="shared" si="123"/>
        <v>0</v>
      </c>
      <c r="AZ654" s="728">
        <f t="shared" si="124"/>
        <v>809.5333333333333</v>
      </c>
      <c r="BA654" s="721">
        <f t="shared" si="125"/>
        <v>843.5333333333333</v>
      </c>
    </row>
    <row r="655" spans="1:53" s="729" customFormat="1">
      <c r="A655" s="710" t="s">
        <v>757</v>
      </c>
      <c r="B655" s="730" t="s">
        <v>792</v>
      </c>
      <c r="C655" s="708"/>
      <c r="D655" s="712">
        <v>233310</v>
      </c>
      <c r="E655" s="713">
        <v>10</v>
      </c>
      <c r="F655" s="714" t="s">
        <v>75</v>
      </c>
      <c r="G655" s="715"/>
      <c r="H655" s="716"/>
      <c r="I655" s="717"/>
      <c r="J655" s="716">
        <v>23232</v>
      </c>
      <c r="K655" s="718">
        <v>23905</v>
      </c>
      <c r="L655" s="716">
        <v>4973</v>
      </c>
      <c r="M655" s="718">
        <v>5424</v>
      </c>
      <c r="N655" s="716">
        <v>27753</v>
      </c>
      <c r="O655" s="409">
        <v>27284</v>
      </c>
      <c r="P655" s="719">
        <f t="shared" si="109"/>
        <v>55958</v>
      </c>
      <c r="Q655" s="720">
        <f t="shared" si="110"/>
        <v>1865.2666666666667</v>
      </c>
      <c r="R655" s="721">
        <f t="shared" si="111"/>
        <v>56613</v>
      </c>
      <c r="S655" s="722">
        <f t="shared" si="112"/>
        <v>1887.1</v>
      </c>
      <c r="T655" s="723">
        <v>46129</v>
      </c>
      <c r="U655" s="734">
        <v>49556</v>
      </c>
      <c r="V655" s="719">
        <f t="shared" si="113"/>
        <v>55958</v>
      </c>
      <c r="W655" s="725">
        <f t="shared" si="130"/>
        <v>56613</v>
      </c>
      <c r="X655" s="723"/>
      <c r="Y655" s="734"/>
      <c r="Z655" s="723"/>
      <c r="AA655" s="734"/>
      <c r="AB655" s="723"/>
      <c r="AC655" s="734"/>
      <c r="AD655" s="723"/>
      <c r="AE655" s="734"/>
      <c r="AF655" s="719">
        <f t="shared" si="115"/>
        <v>0</v>
      </c>
      <c r="AG655" s="720">
        <f t="shared" si="116"/>
        <v>0</v>
      </c>
      <c r="AH655" s="721">
        <f t="shared" si="129"/>
        <v>0</v>
      </c>
      <c r="AI655" s="721">
        <f t="shared" si="117"/>
        <v>0</v>
      </c>
      <c r="AJ655" s="723"/>
      <c r="AK655" s="734"/>
      <c r="AL655" s="719">
        <f t="shared" si="118"/>
        <v>0</v>
      </c>
      <c r="AM655" s="722">
        <f t="shared" si="131"/>
        <v>0</v>
      </c>
      <c r="AN655" s="723"/>
      <c r="AO655" s="734"/>
      <c r="AP655" s="723"/>
      <c r="AQ655" s="734"/>
      <c r="AR655" s="723"/>
      <c r="AS655" s="734"/>
      <c r="AT655" s="723"/>
      <c r="AU655" s="734"/>
      <c r="AV655" s="719">
        <f t="shared" si="120"/>
        <v>0</v>
      </c>
      <c r="AW655" s="726">
        <f t="shared" si="121"/>
        <v>0</v>
      </c>
      <c r="AX655" s="721">
        <f t="shared" si="122"/>
        <v>0</v>
      </c>
      <c r="AY655" s="727">
        <f t="shared" si="123"/>
        <v>0</v>
      </c>
      <c r="AZ655" s="728">
        <f t="shared" si="124"/>
        <v>1865.2666666666667</v>
      </c>
      <c r="BA655" s="721">
        <f t="shared" si="125"/>
        <v>1887.1</v>
      </c>
    </row>
    <row r="656" spans="1:53" s="729" customFormat="1">
      <c r="A656" s="710" t="s">
        <v>757</v>
      </c>
      <c r="B656" s="736" t="s">
        <v>793</v>
      </c>
      <c r="C656" s="708"/>
      <c r="D656" s="712">
        <v>233338</v>
      </c>
      <c r="E656" s="713">
        <v>10</v>
      </c>
      <c r="F656" s="714" t="s">
        <v>75</v>
      </c>
      <c r="G656" s="715"/>
      <c r="H656" s="716"/>
      <c r="I656" s="717"/>
      <c r="J656" s="716">
        <v>13926</v>
      </c>
      <c r="K656" s="718">
        <v>17178</v>
      </c>
      <c r="L656" s="716">
        <v>1145</v>
      </c>
      <c r="M656" s="718">
        <v>869</v>
      </c>
      <c r="N656" s="716">
        <v>19238</v>
      </c>
      <c r="O656" s="409">
        <v>20912</v>
      </c>
      <c r="P656" s="719">
        <f t="shared" si="109"/>
        <v>34309</v>
      </c>
      <c r="Q656" s="720">
        <f t="shared" si="110"/>
        <v>1143.6333333333334</v>
      </c>
      <c r="R656" s="721">
        <f t="shared" si="111"/>
        <v>38959</v>
      </c>
      <c r="S656" s="722">
        <f t="shared" si="112"/>
        <v>1298.6333333333334</v>
      </c>
      <c r="T656" s="723">
        <v>13359</v>
      </c>
      <c r="U656" s="734">
        <v>20729</v>
      </c>
      <c r="V656" s="719">
        <f t="shared" si="113"/>
        <v>34309</v>
      </c>
      <c r="W656" s="725">
        <f t="shared" si="130"/>
        <v>38959</v>
      </c>
      <c r="X656" s="723"/>
      <c r="Y656" s="734"/>
      <c r="Z656" s="723"/>
      <c r="AA656" s="734"/>
      <c r="AB656" s="723"/>
      <c r="AC656" s="734"/>
      <c r="AD656" s="723"/>
      <c r="AE656" s="734"/>
      <c r="AF656" s="719">
        <f t="shared" si="115"/>
        <v>0</v>
      </c>
      <c r="AG656" s="720">
        <f t="shared" si="116"/>
        <v>0</v>
      </c>
      <c r="AH656" s="721">
        <f t="shared" si="129"/>
        <v>0</v>
      </c>
      <c r="AI656" s="721">
        <f t="shared" si="117"/>
        <v>0</v>
      </c>
      <c r="AJ656" s="723"/>
      <c r="AK656" s="734"/>
      <c r="AL656" s="719">
        <f t="shared" si="118"/>
        <v>0</v>
      </c>
      <c r="AM656" s="722">
        <f t="shared" si="131"/>
        <v>0</v>
      </c>
      <c r="AN656" s="723"/>
      <c r="AO656" s="734"/>
      <c r="AP656" s="723"/>
      <c r="AQ656" s="734"/>
      <c r="AR656" s="723"/>
      <c r="AS656" s="734"/>
      <c r="AT656" s="723"/>
      <c r="AU656" s="734"/>
      <c r="AV656" s="719">
        <f t="shared" si="120"/>
        <v>0</v>
      </c>
      <c r="AW656" s="726">
        <f t="shared" si="121"/>
        <v>0</v>
      </c>
      <c r="AX656" s="721">
        <f t="shared" si="122"/>
        <v>0</v>
      </c>
      <c r="AY656" s="727">
        <f t="shared" si="123"/>
        <v>0</v>
      </c>
      <c r="AZ656" s="728">
        <f t="shared" si="124"/>
        <v>1143.6333333333334</v>
      </c>
      <c r="BA656" s="721">
        <f t="shared" si="125"/>
        <v>1298.6333333333334</v>
      </c>
    </row>
    <row r="657" spans="1:53" s="729" customFormat="1">
      <c r="A657" s="710" t="s">
        <v>757</v>
      </c>
      <c r="B657" s="711" t="s">
        <v>794</v>
      </c>
      <c r="C657" s="737"/>
      <c r="D657" s="712">
        <v>233648</v>
      </c>
      <c r="E657" s="713">
        <v>10</v>
      </c>
      <c r="F657" s="714" t="s">
        <v>75</v>
      </c>
      <c r="G657" s="715"/>
      <c r="H657" s="716"/>
      <c r="I657" s="717"/>
      <c r="J657" s="716">
        <v>22410</v>
      </c>
      <c r="K657" s="718">
        <v>22437</v>
      </c>
      <c r="L657" s="716">
        <v>7164</v>
      </c>
      <c r="M657" s="718">
        <v>7483</v>
      </c>
      <c r="N657" s="716">
        <v>24576</v>
      </c>
      <c r="O657" s="409">
        <v>24060</v>
      </c>
      <c r="P657" s="719">
        <f t="shared" si="109"/>
        <v>54150</v>
      </c>
      <c r="Q657" s="720">
        <f t="shared" si="110"/>
        <v>1805</v>
      </c>
      <c r="R657" s="721">
        <f t="shared" si="111"/>
        <v>53980</v>
      </c>
      <c r="S657" s="722">
        <f t="shared" si="112"/>
        <v>1799.3333333333333</v>
      </c>
      <c r="T657" s="723">
        <v>14855</v>
      </c>
      <c r="U657" s="734">
        <v>14729</v>
      </c>
      <c r="V657" s="719">
        <f t="shared" si="113"/>
        <v>54150</v>
      </c>
      <c r="W657" s="725">
        <f t="shared" si="130"/>
        <v>53980</v>
      </c>
      <c r="X657" s="723"/>
      <c r="Y657" s="734"/>
      <c r="Z657" s="723"/>
      <c r="AA657" s="734"/>
      <c r="AB657" s="723"/>
      <c r="AC657" s="734"/>
      <c r="AD657" s="723"/>
      <c r="AE657" s="734"/>
      <c r="AF657" s="719">
        <f t="shared" si="115"/>
        <v>0</v>
      </c>
      <c r="AG657" s="720">
        <f t="shared" si="116"/>
        <v>0</v>
      </c>
      <c r="AH657" s="721">
        <f t="shared" si="129"/>
        <v>0</v>
      </c>
      <c r="AI657" s="721">
        <f t="shared" si="117"/>
        <v>0</v>
      </c>
      <c r="AJ657" s="723"/>
      <c r="AK657" s="734"/>
      <c r="AL657" s="719">
        <f t="shared" si="118"/>
        <v>0</v>
      </c>
      <c r="AM657" s="722">
        <f t="shared" si="131"/>
        <v>0</v>
      </c>
      <c r="AN657" s="723"/>
      <c r="AO657" s="734"/>
      <c r="AP657" s="723"/>
      <c r="AQ657" s="734"/>
      <c r="AR657" s="723"/>
      <c r="AS657" s="734"/>
      <c r="AT657" s="723"/>
      <c r="AU657" s="734"/>
      <c r="AV657" s="719">
        <f t="shared" si="120"/>
        <v>0</v>
      </c>
      <c r="AW657" s="726">
        <f t="shared" si="121"/>
        <v>0</v>
      </c>
      <c r="AX657" s="721">
        <f t="shared" si="122"/>
        <v>0</v>
      </c>
      <c r="AY657" s="727">
        <f t="shared" si="123"/>
        <v>0</v>
      </c>
      <c r="AZ657" s="728">
        <f t="shared" si="124"/>
        <v>1805</v>
      </c>
      <c r="BA657" s="721">
        <f t="shared" si="125"/>
        <v>1799.3333333333333</v>
      </c>
    </row>
    <row r="658" spans="1:53" s="729" customFormat="1">
      <c r="A658" s="710" t="s">
        <v>757</v>
      </c>
      <c r="B658" s="730" t="s">
        <v>795</v>
      </c>
      <c r="C658" s="708"/>
      <c r="D658" s="712">
        <v>233903</v>
      </c>
      <c r="E658" s="713">
        <v>10</v>
      </c>
      <c r="F658" s="714" t="s">
        <v>75</v>
      </c>
      <c r="G658" s="715"/>
      <c r="H658" s="716"/>
      <c r="I658" s="717"/>
      <c r="J658" s="716">
        <v>20928</v>
      </c>
      <c r="K658" s="718">
        <v>19728</v>
      </c>
      <c r="L658" s="716">
        <v>4017</v>
      </c>
      <c r="M658" s="718">
        <v>3396</v>
      </c>
      <c r="N658" s="716">
        <v>21908</v>
      </c>
      <c r="O658" s="409">
        <v>22381</v>
      </c>
      <c r="P658" s="719">
        <f t="shared" si="109"/>
        <v>46853</v>
      </c>
      <c r="Q658" s="720">
        <f t="shared" si="110"/>
        <v>1561.7666666666667</v>
      </c>
      <c r="R658" s="721">
        <f t="shared" si="111"/>
        <v>45505</v>
      </c>
      <c r="S658" s="722">
        <f t="shared" si="112"/>
        <v>1516.8333333333333</v>
      </c>
      <c r="T658" s="723">
        <v>17371</v>
      </c>
      <c r="U658" s="734">
        <v>19069</v>
      </c>
      <c r="V658" s="719">
        <f t="shared" si="113"/>
        <v>46853</v>
      </c>
      <c r="W658" s="725">
        <f t="shared" si="130"/>
        <v>45505</v>
      </c>
      <c r="X658" s="723"/>
      <c r="Y658" s="734"/>
      <c r="Z658" s="723"/>
      <c r="AA658" s="734"/>
      <c r="AB658" s="723"/>
      <c r="AC658" s="734"/>
      <c r="AD658" s="723"/>
      <c r="AE658" s="734"/>
      <c r="AF658" s="719">
        <f t="shared" si="115"/>
        <v>0</v>
      </c>
      <c r="AG658" s="720">
        <f t="shared" si="116"/>
        <v>0</v>
      </c>
      <c r="AH658" s="721">
        <f t="shared" si="129"/>
        <v>0</v>
      </c>
      <c r="AI658" s="721">
        <f t="shared" si="117"/>
        <v>0</v>
      </c>
      <c r="AJ658" s="723"/>
      <c r="AK658" s="734"/>
      <c r="AL658" s="719">
        <f t="shared" si="118"/>
        <v>0</v>
      </c>
      <c r="AM658" s="722">
        <f t="shared" si="131"/>
        <v>0</v>
      </c>
      <c r="AN658" s="723"/>
      <c r="AO658" s="734"/>
      <c r="AP658" s="723"/>
      <c r="AQ658" s="734"/>
      <c r="AR658" s="723"/>
      <c r="AS658" s="734"/>
      <c r="AT658" s="723"/>
      <c r="AU658" s="734"/>
      <c r="AV658" s="719">
        <f t="shared" si="120"/>
        <v>0</v>
      </c>
      <c r="AW658" s="726">
        <f t="shared" si="121"/>
        <v>0</v>
      </c>
      <c r="AX658" s="721">
        <f t="shared" si="122"/>
        <v>0</v>
      </c>
      <c r="AY658" s="727">
        <f t="shared" si="123"/>
        <v>0</v>
      </c>
      <c r="AZ658" s="728">
        <f t="shared" si="124"/>
        <v>1561.7666666666667</v>
      </c>
      <c r="BA658" s="721">
        <f t="shared" si="125"/>
        <v>1516.8333333333333</v>
      </c>
    </row>
    <row r="659" spans="1:53" s="729" customFormat="1">
      <c r="A659" s="738" t="s">
        <v>757</v>
      </c>
      <c r="B659" s="739" t="s">
        <v>796</v>
      </c>
      <c r="C659" s="739"/>
      <c r="D659" s="738" t="s">
        <v>797</v>
      </c>
      <c r="E659" s="740">
        <v>11</v>
      </c>
      <c r="F659" s="714" t="s">
        <v>75</v>
      </c>
      <c r="G659" s="715"/>
      <c r="H659" s="716"/>
      <c r="I659" s="717"/>
      <c r="J659" s="741">
        <v>1460345.5</v>
      </c>
      <c r="K659" s="742">
        <f>SUM(K634:K658)-K656</f>
        <v>1406247</v>
      </c>
      <c r="L659" s="741">
        <v>443495</v>
      </c>
      <c r="M659" s="742">
        <f>SUM(M634:M658)-M656</f>
        <v>434940.5</v>
      </c>
      <c r="N659" s="741">
        <v>1519453</v>
      </c>
      <c r="O659" s="742">
        <f>SUM(O634:O658)-O656</f>
        <v>1474565</v>
      </c>
      <c r="P659" s="719">
        <f t="shared" si="109"/>
        <v>3423293.5</v>
      </c>
      <c r="Q659" s="720">
        <f t="shared" si="110"/>
        <v>114109.78333333334</v>
      </c>
      <c r="R659" s="721">
        <f t="shared" si="111"/>
        <v>3315752.5</v>
      </c>
      <c r="S659" s="722">
        <f t="shared" si="112"/>
        <v>110525.08333333333</v>
      </c>
      <c r="T659" s="741">
        <v>693481</v>
      </c>
      <c r="U659" s="742">
        <f>SUM(U634:U658)-U656</f>
        <v>757256</v>
      </c>
      <c r="V659" s="719">
        <f t="shared" si="113"/>
        <v>3423293.5</v>
      </c>
      <c r="W659" s="725">
        <f t="shared" si="130"/>
        <v>3315752.5</v>
      </c>
      <c r="X659" s="741"/>
      <c r="Y659" s="743"/>
      <c r="Z659" s="741"/>
      <c r="AA659" s="743"/>
      <c r="AB659" s="741"/>
      <c r="AC659" s="743"/>
      <c r="AD659" s="741"/>
      <c r="AE659" s="743"/>
      <c r="AF659" s="719">
        <f t="shared" si="115"/>
        <v>0</v>
      </c>
      <c r="AG659" s="720">
        <f t="shared" si="116"/>
        <v>0</v>
      </c>
      <c r="AH659" s="721">
        <f t="shared" si="129"/>
        <v>0</v>
      </c>
      <c r="AI659" s="721">
        <f t="shared" si="117"/>
        <v>0</v>
      </c>
      <c r="AJ659" s="741"/>
      <c r="AK659" s="743"/>
      <c r="AL659" s="719">
        <f t="shared" si="118"/>
        <v>0</v>
      </c>
      <c r="AM659" s="722">
        <f t="shared" si="131"/>
        <v>0</v>
      </c>
      <c r="AN659" s="741"/>
      <c r="AO659" s="743"/>
      <c r="AP659" s="741"/>
      <c r="AQ659" s="743"/>
      <c r="AR659" s="741"/>
      <c r="AS659" s="743"/>
      <c r="AT659" s="741"/>
      <c r="AU659" s="743"/>
      <c r="AV659" s="719">
        <f t="shared" si="120"/>
        <v>0</v>
      </c>
      <c r="AW659" s="726">
        <f t="shared" si="121"/>
        <v>0</v>
      </c>
      <c r="AX659" s="721">
        <f t="shared" si="122"/>
        <v>0</v>
      </c>
      <c r="AY659" s="727">
        <f t="shared" si="123"/>
        <v>0</v>
      </c>
      <c r="AZ659" s="728">
        <f t="shared" si="124"/>
        <v>114109.78333333334</v>
      </c>
      <c r="BA659" s="721">
        <f t="shared" si="125"/>
        <v>110525.08333333333</v>
      </c>
    </row>
    <row r="660" spans="1:53" s="729" customFormat="1">
      <c r="A660" s="738" t="s">
        <v>757</v>
      </c>
      <c r="B660" s="744"/>
      <c r="C660" s="745" t="s">
        <v>798</v>
      </c>
      <c r="D660" s="738"/>
      <c r="E660" s="746" t="s">
        <v>751</v>
      </c>
      <c r="F660" s="714" t="s">
        <v>75</v>
      </c>
      <c r="G660" s="715"/>
      <c r="H660" s="716"/>
      <c r="I660" s="717"/>
      <c r="J660" s="741">
        <v>903875.5</v>
      </c>
      <c r="K660" s="742">
        <f>SUM(K635:K639)</f>
        <v>858358</v>
      </c>
      <c r="L660" s="741">
        <v>308489</v>
      </c>
      <c r="M660" s="742">
        <f>SUM(M635:M639)</f>
        <v>298405.5</v>
      </c>
      <c r="N660" s="741">
        <v>935232</v>
      </c>
      <c r="O660" s="742">
        <f>SUM(O635:O639)</f>
        <v>885035</v>
      </c>
      <c r="P660" s="719">
        <f t="shared" si="109"/>
        <v>2147596.5</v>
      </c>
      <c r="Q660" s="720">
        <f t="shared" si="110"/>
        <v>71586.55</v>
      </c>
      <c r="R660" s="721">
        <f t="shared" si="111"/>
        <v>2041798.5</v>
      </c>
      <c r="S660" s="722">
        <f t="shared" si="112"/>
        <v>68059.95</v>
      </c>
      <c r="T660" s="747">
        <v>167141</v>
      </c>
      <c r="U660" s="742">
        <f>SUM(U635:U639)</f>
        <v>207093</v>
      </c>
      <c r="V660" s="719">
        <f t="shared" si="113"/>
        <v>2147596.5</v>
      </c>
      <c r="W660" s="725">
        <f t="shared" si="130"/>
        <v>2041798.5</v>
      </c>
      <c r="X660" s="747"/>
      <c r="Y660" s="743"/>
      <c r="Z660" s="747"/>
      <c r="AA660" s="743"/>
      <c r="AB660" s="747"/>
      <c r="AC660" s="743"/>
      <c r="AD660" s="747"/>
      <c r="AE660" s="743"/>
      <c r="AF660" s="719">
        <f t="shared" si="115"/>
        <v>0</v>
      </c>
      <c r="AG660" s="720">
        <f t="shared" si="116"/>
        <v>0</v>
      </c>
      <c r="AH660" s="721">
        <f t="shared" si="129"/>
        <v>0</v>
      </c>
      <c r="AI660" s="721">
        <f t="shared" si="117"/>
        <v>0</v>
      </c>
      <c r="AJ660" s="747"/>
      <c r="AK660" s="743"/>
      <c r="AL660" s="719">
        <f t="shared" si="118"/>
        <v>0</v>
      </c>
      <c r="AM660" s="722">
        <f t="shared" si="131"/>
        <v>0</v>
      </c>
      <c r="AN660" s="747"/>
      <c r="AO660" s="743"/>
      <c r="AP660" s="747"/>
      <c r="AQ660" s="743"/>
      <c r="AR660" s="747"/>
      <c r="AS660" s="743"/>
      <c r="AT660" s="747"/>
      <c r="AU660" s="743"/>
      <c r="AV660" s="719">
        <f t="shared" si="120"/>
        <v>0</v>
      </c>
      <c r="AW660" s="726">
        <f t="shared" si="121"/>
        <v>0</v>
      </c>
      <c r="AX660" s="721">
        <f t="shared" si="122"/>
        <v>0</v>
      </c>
      <c r="AY660" s="727">
        <f t="shared" si="123"/>
        <v>0</v>
      </c>
      <c r="AZ660" s="728">
        <f t="shared" si="124"/>
        <v>71586.55</v>
      </c>
      <c r="BA660" s="721">
        <f t="shared" si="125"/>
        <v>68059.95</v>
      </c>
    </row>
    <row r="661" spans="1:53" s="729" customFormat="1">
      <c r="A661" s="738" t="s">
        <v>757</v>
      </c>
      <c r="B661" s="748"/>
      <c r="C661" s="749" t="s">
        <v>799</v>
      </c>
      <c r="D661" s="738"/>
      <c r="E661" s="746" t="s">
        <v>752</v>
      </c>
      <c r="F661" s="714" t="s">
        <v>75</v>
      </c>
      <c r="G661" s="715"/>
      <c r="H661" s="716"/>
      <c r="I661" s="717"/>
      <c r="J661" s="741">
        <v>463431</v>
      </c>
      <c r="K661" s="742">
        <f>SUM(K640:K650)</f>
        <v>411809</v>
      </c>
      <c r="L661" s="741">
        <v>112924</v>
      </c>
      <c r="M661" s="742">
        <f>SUM(M640:M650)</f>
        <v>103675</v>
      </c>
      <c r="N661" s="741">
        <v>482636</v>
      </c>
      <c r="O661" s="742">
        <f>SUM(O640:O650)</f>
        <v>440395</v>
      </c>
      <c r="P661" s="719">
        <f t="shared" si="109"/>
        <v>1058991</v>
      </c>
      <c r="Q661" s="720">
        <f t="shared" si="110"/>
        <v>35299.699999999997</v>
      </c>
      <c r="R661" s="721">
        <f t="shared" si="111"/>
        <v>955879</v>
      </c>
      <c r="S661" s="722">
        <f t="shared" si="112"/>
        <v>31862.633333333335</v>
      </c>
      <c r="T661" s="747">
        <v>421512</v>
      </c>
      <c r="U661" s="742">
        <f>SUM(U640:U650)</f>
        <v>410049</v>
      </c>
      <c r="V661" s="719">
        <f t="shared" si="113"/>
        <v>1058991</v>
      </c>
      <c r="W661" s="725">
        <f t="shared" si="130"/>
        <v>955879</v>
      </c>
      <c r="X661" s="747"/>
      <c r="Y661" s="743"/>
      <c r="Z661" s="747"/>
      <c r="AA661" s="743"/>
      <c r="AB661" s="747"/>
      <c r="AC661" s="743"/>
      <c r="AD661" s="747"/>
      <c r="AE661" s="743"/>
      <c r="AF661" s="719">
        <f t="shared" si="115"/>
        <v>0</v>
      </c>
      <c r="AG661" s="720">
        <f t="shared" si="116"/>
        <v>0</v>
      </c>
      <c r="AH661" s="721">
        <f t="shared" si="129"/>
        <v>0</v>
      </c>
      <c r="AI661" s="721">
        <f t="shared" si="117"/>
        <v>0</v>
      </c>
      <c r="AJ661" s="747"/>
      <c r="AK661" s="743"/>
      <c r="AL661" s="719">
        <f t="shared" si="118"/>
        <v>0</v>
      </c>
      <c r="AM661" s="722">
        <f t="shared" si="131"/>
        <v>0</v>
      </c>
      <c r="AN661" s="747"/>
      <c r="AO661" s="743"/>
      <c r="AP661" s="747"/>
      <c r="AQ661" s="743"/>
      <c r="AR661" s="747"/>
      <c r="AS661" s="743"/>
      <c r="AT661" s="747"/>
      <c r="AU661" s="743"/>
      <c r="AV661" s="719">
        <f t="shared" si="120"/>
        <v>0</v>
      </c>
      <c r="AW661" s="726">
        <f t="shared" si="121"/>
        <v>0</v>
      </c>
      <c r="AX661" s="721">
        <f t="shared" si="122"/>
        <v>0</v>
      </c>
      <c r="AY661" s="727">
        <f t="shared" si="123"/>
        <v>0</v>
      </c>
      <c r="AZ661" s="728">
        <f t="shared" si="124"/>
        <v>35299.699999999997</v>
      </c>
      <c r="BA661" s="721">
        <f t="shared" si="125"/>
        <v>31862.633333333335</v>
      </c>
    </row>
    <row r="662" spans="1:53" s="729" customFormat="1">
      <c r="A662" s="738" t="s">
        <v>757</v>
      </c>
      <c r="B662" s="736" t="s">
        <v>800</v>
      </c>
      <c r="C662" s="736"/>
      <c r="D662" s="738">
        <v>233338</v>
      </c>
      <c r="E662" s="746" t="s">
        <v>753</v>
      </c>
      <c r="F662" s="714" t="s">
        <v>75</v>
      </c>
      <c r="G662" s="715"/>
      <c r="H662" s="716"/>
      <c r="I662" s="717"/>
      <c r="J662" s="741">
        <v>13926</v>
      </c>
      <c r="K662" s="742">
        <f>K656</f>
        <v>17178</v>
      </c>
      <c r="L662" s="741">
        <v>1145</v>
      </c>
      <c r="M662" s="742">
        <f>M656</f>
        <v>869</v>
      </c>
      <c r="N662" s="741">
        <v>19238</v>
      </c>
      <c r="O662" s="742">
        <f>O656</f>
        <v>20912</v>
      </c>
      <c r="P662" s="719">
        <f t="shared" si="109"/>
        <v>34309</v>
      </c>
      <c r="Q662" s="720">
        <f t="shared" si="110"/>
        <v>1143.6333333333334</v>
      </c>
      <c r="R662" s="721">
        <f t="shared" si="111"/>
        <v>38959</v>
      </c>
      <c r="S662" s="722">
        <f t="shared" si="112"/>
        <v>1298.6333333333334</v>
      </c>
      <c r="T662" s="747">
        <v>13359</v>
      </c>
      <c r="U662" s="742">
        <f>U656</f>
        <v>20729</v>
      </c>
      <c r="V662" s="719">
        <f t="shared" si="113"/>
        <v>34309</v>
      </c>
      <c r="W662" s="725">
        <f t="shared" si="130"/>
        <v>38959</v>
      </c>
      <c r="X662" s="747"/>
      <c r="Y662" s="743"/>
      <c r="Z662" s="747"/>
      <c r="AA662" s="743"/>
      <c r="AB662" s="747"/>
      <c r="AC662" s="743"/>
      <c r="AD662" s="747"/>
      <c r="AE662" s="743"/>
      <c r="AF662" s="719">
        <f t="shared" si="115"/>
        <v>0</v>
      </c>
      <c r="AG662" s="720">
        <f t="shared" si="116"/>
        <v>0</v>
      </c>
      <c r="AH662" s="721">
        <f t="shared" si="129"/>
        <v>0</v>
      </c>
      <c r="AI662" s="721">
        <f t="shared" si="117"/>
        <v>0</v>
      </c>
      <c r="AJ662" s="747"/>
      <c r="AK662" s="743"/>
      <c r="AL662" s="719">
        <f t="shared" si="118"/>
        <v>0</v>
      </c>
      <c r="AM662" s="722">
        <f t="shared" si="131"/>
        <v>0</v>
      </c>
      <c r="AN662" s="747"/>
      <c r="AO662" s="743"/>
      <c r="AP662" s="747"/>
      <c r="AQ662" s="743"/>
      <c r="AR662" s="747"/>
      <c r="AS662" s="743"/>
      <c r="AT662" s="747"/>
      <c r="AU662" s="743"/>
      <c r="AV662" s="719">
        <f t="shared" si="120"/>
        <v>0</v>
      </c>
      <c r="AW662" s="726">
        <f t="shared" si="121"/>
        <v>0</v>
      </c>
      <c r="AX662" s="721">
        <f t="shared" si="122"/>
        <v>0</v>
      </c>
      <c r="AY662" s="727">
        <f t="shared" si="123"/>
        <v>0</v>
      </c>
      <c r="AZ662" s="728">
        <f t="shared" si="124"/>
        <v>1143.6333333333334</v>
      </c>
      <c r="BA662" s="721">
        <f t="shared" si="125"/>
        <v>1298.6333333333334</v>
      </c>
    </row>
    <row r="663" spans="1:53" s="729" customFormat="1">
      <c r="A663" s="738" t="s">
        <v>757</v>
      </c>
      <c r="B663" s="750"/>
      <c r="C663" s="751" t="s">
        <v>801</v>
      </c>
      <c r="D663" s="738"/>
      <c r="E663" s="746" t="s">
        <v>753</v>
      </c>
      <c r="F663" s="714" t="s">
        <v>75</v>
      </c>
      <c r="G663" s="715"/>
      <c r="H663" s="716"/>
      <c r="I663" s="717"/>
      <c r="J663" s="741">
        <v>93039</v>
      </c>
      <c r="K663" s="742">
        <f>SUM(K651:K658)-K656</f>
        <v>114730</v>
      </c>
      <c r="L663" s="741">
        <v>22082</v>
      </c>
      <c r="M663" s="742">
        <f>SUM(M651:M658)-M656</f>
        <v>27291</v>
      </c>
      <c r="N663" s="741">
        <v>101585</v>
      </c>
      <c r="O663" s="742">
        <f>SUM(O651:O658)-O656</f>
        <v>126223</v>
      </c>
      <c r="P663" s="719">
        <f t="shared" si="109"/>
        <v>216706</v>
      </c>
      <c r="Q663" s="720">
        <f t="shared" si="110"/>
        <v>7223.5333333333338</v>
      </c>
      <c r="R663" s="721">
        <f t="shared" si="111"/>
        <v>268244</v>
      </c>
      <c r="S663" s="722">
        <f t="shared" si="112"/>
        <v>8941.4666666666672</v>
      </c>
      <c r="T663" s="747">
        <v>104828</v>
      </c>
      <c r="U663" s="742">
        <f>SUM(U651:U658)-U656</f>
        <v>139682</v>
      </c>
      <c r="V663" s="719">
        <f t="shared" si="113"/>
        <v>216706</v>
      </c>
      <c r="W663" s="725">
        <f t="shared" si="130"/>
        <v>268244</v>
      </c>
      <c r="X663" s="747"/>
      <c r="Y663" s="743"/>
      <c r="Z663" s="747"/>
      <c r="AA663" s="743"/>
      <c r="AB663" s="747"/>
      <c r="AC663" s="743"/>
      <c r="AD663" s="747"/>
      <c r="AE663" s="743"/>
      <c r="AF663" s="719">
        <f t="shared" si="115"/>
        <v>0</v>
      </c>
      <c r="AG663" s="720">
        <f t="shared" si="116"/>
        <v>0</v>
      </c>
      <c r="AH663" s="721">
        <f t="shared" si="129"/>
        <v>0</v>
      </c>
      <c r="AI663" s="721">
        <f t="shared" si="117"/>
        <v>0</v>
      </c>
      <c r="AJ663" s="747"/>
      <c r="AK663" s="743"/>
      <c r="AL663" s="719">
        <f t="shared" si="118"/>
        <v>0</v>
      </c>
      <c r="AM663" s="722">
        <f t="shared" si="131"/>
        <v>0</v>
      </c>
      <c r="AN663" s="747"/>
      <c r="AO663" s="743"/>
      <c r="AP663" s="747"/>
      <c r="AQ663" s="743"/>
      <c r="AR663" s="747"/>
      <c r="AS663" s="743"/>
      <c r="AT663" s="747"/>
      <c r="AU663" s="743"/>
      <c r="AV663" s="719">
        <f t="shared" si="120"/>
        <v>0</v>
      </c>
      <c r="AW663" s="726">
        <f t="shared" si="121"/>
        <v>0</v>
      </c>
      <c r="AX663" s="721">
        <f t="shared" si="122"/>
        <v>0</v>
      </c>
      <c r="AY663" s="727">
        <f t="shared" si="123"/>
        <v>0</v>
      </c>
      <c r="AZ663" s="728">
        <f t="shared" si="124"/>
        <v>7223.5333333333338</v>
      </c>
      <c r="BA663" s="721">
        <f t="shared" si="125"/>
        <v>8941.4666666666672</v>
      </c>
    </row>
    <row r="664" spans="1:53" s="54" customFormat="1" ht="13.5" customHeight="1">
      <c r="A664" s="166" t="s">
        <v>519</v>
      </c>
      <c r="B664" s="167" t="s">
        <v>520</v>
      </c>
      <c r="C664" s="168"/>
      <c r="D664" s="169">
        <v>238032</v>
      </c>
      <c r="E664" s="169">
        <v>1</v>
      </c>
      <c r="F664" s="29" t="s">
        <v>75</v>
      </c>
      <c r="G664" s="16" t="s">
        <v>75</v>
      </c>
      <c r="H664" s="27"/>
      <c r="I664" s="26"/>
      <c r="J664" s="27">
        <v>295191</v>
      </c>
      <c r="K664" s="26">
        <v>291463</v>
      </c>
      <c r="L664" s="27">
        <v>41586</v>
      </c>
      <c r="M664" s="26">
        <v>41350</v>
      </c>
      <c r="N664" s="27">
        <v>315348</v>
      </c>
      <c r="O664" s="26">
        <v>312694</v>
      </c>
      <c r="P664" s="64">
        <f t="shared" si="109"/>
        <v>652125</v>
      </c>
      <c r="Q664" s="65">
        <f t="shared" si="110"/>
        <v>21737.5</v>
      </c>
      <c r="R664" s="66">
        <f t="shared" si="111"/>
        <v>645507</v>
      </c>
      <c r="S664" s="67">
        <f t="shared" si="112"/>
        <v>21516.9</v>
      </c>
      <c r="T664" s="27">
        <v>4737</v>
      </c>
      <c r="U664" s="109">
        <v>6112</v>
      </c>
      <c r="V664" s="64">
        <f t="shared" si="113"/>
        <v>652125</v>
      </c>
      <c r="W664" s="68">
        <f t="shared" ref="W664:W683" si="132">IF(ISBLANK(U664),0,R664)</f>
        <v>645507</v>
      </c>
      <c r="X664" s="27"/>
      <c r="Y664" s="26"/>
      <c r="Z664" s="27"/>
      <c r="AA664" s="26"/>
      <c r="AB664" s="27"/>
      <c r="AC664" s="26"/>
      <c r="AD664" s="27"/>
      <c r="AE664" s="26"/>
      <c r="AF664" s="64">
        <f t="shared" si="115"/>
        <v>0</v>
      </c>
      <c r="AG664" s="65">
        <f t="shared" si="116"/>
        <v>0</v>
      </c>
      <c r="AH664" s="66">
        <f t="shared" si="129"/>
        <v>0</v>
      </c>
      <c r="AI664" s="66">
        <f t="shared" si="117"/>
        <v>0</v>
      </c>
      <c r="AJ664" s="27"/>
      <c r="AK664" s="26"/>
      <c r="AL664" s="64">
        <f t="shared" si="118"/>
        <v>0</v>
      </c>
      <c r="AM664" s="67">
        <f t="shared" ref="AM664:AM683" si="133">IF(ISBLANK(AK664),0,AH664)</f>
        <v>0</v>
      </c>
      <c r="AN664" s="27"/>
      <c r="AO664" s="26"/>
      <c r="AP664" s="27">
        <v>45511</v>
      </c>
      <c r="AQ664" s="26">
        <v>44297</v>
      </c>
      <c r="AR664" s="27">
        <v>13052</v>
      </c>
      <c r="AS664" s="26">
        <v>12596</v>
      </c>
      <c r="AT664" s="27">
        <v>45441</v>
      </c>
      <c r="AU664" s="109">
        <v>43081</v>
      </c>
      <c r="AV664" s="64">
        <f t="shared" si="120"/>
        <v>104004</v>
      </c>
      <c r="AW664" s="70">
        <f t="shared" si="121"/>
        <v>4333.5</v>
      </c>
      <c r="AX664" s="66">
        <f t="shared" si="122"/>
        <v>99974</v>
      </c>
      <c r="AY664" s="71">
        <f t="shared" si="123"/>
        <v>4165.583333333333</v>
      </c>
      <c r="AZ664" s="72">
        <f t="shared" si="124"/>
        <v>26071</v>
      </c>
      <c r="BA664" s="66">
        <f t="shared" si="125"/>
        <v>25682.483333333334</v>
      </c>
    </row>
    <row r="665" spans="1:53">
      <c r="A665" s="185" t="s">
        <v>519</v>
      </c>
      <c r="B665" s="167" t="s">
        <v>521</v>
      </c>
      <c r="C665" s="168"/>
      <c r="D665" s="169">
        <v>237525</v>
      </c>
      <c r="E665" s="169">
        <v>3</v>
      </c>
      <c r="F665" s="29" t="s">
        <v>75</v>
      </c>
      <c r="G665" s="16" t="s">
        <v>75</v>
      </c>
      <c r="H665" s="27"/>
      <c r="I665" s="26"/>
      <c r="J665" s="27">
        <v>117475</v>
      </c>
      <c r="K665" s="26">
        <v>117073</v>
      </c>
      <c r="L665" s="27">
        <v>13801</v>
      </c>
      <c r="M665" s="109">
        <v>11988</v>
      </c>
      <c r="N665" s="27">
        <v>130472</v>
      </c>
      <c r="O665" s="26">
        <v>131018</v>
      </c>
      <c r="P665" s="64">
        <f t="shared" si="109"/>
        <v>261748</v>
      </c>
      <c r="Q665" s="65">
        <f t="shared" si="110"/>
        <v>8724.9333333333325</v>
      </c>
      <c r="R665" s="66">
        <f t="shared" si="111"/>
        <v>260079</v>
      </c>
      <c r="S665" s="67">
        <f t="shared" si="112"/>
        <v>8669.2999999999993</v>
      </c>
      <c r="T665" s="27">
        <v>5608</v>
      </c>
      <c r="U665" s="109">
        <v>7934</v>
      </c>
      <c r="V665" s="64">
        <f t="shared" si="113"/>
        <v>261748</v>
      </c>
      <c r="W665" s="68">
        <f t="shared" si="132"/>
        <v>260079</v>
      </c>
      <c r="X665" s="27"/>
      <c r="Y665" s="26"/>
      <c r="Z665" s="27"/>
      <c r="AA665" s="26"/>
      <c r="AB665" s="27"/>
      <c r="AC665" s="26"/>
      <c r="AD665" s="27"/>
      <c r="AE665" s="26"/>
      <c r="AF665" s="64">
        <f t="shared" si="115"/>
        <v>0</v>
      </c>
      <c r="AG665" s="65">
        <f t="shared" si="116"/>
        <v>0</v>
      </c>
      <c r="AH665" s="66">
        <f t="shared" si="129"/>
        <v>0</v>
      </c>
      <c r="AI665" s="66">
        <f t="shared" si="117"/>
        <v>0</v>
      </c>
      <c r="AJ665" s="27"/>
      <c r="AK665" s="26"/>
      <c r="AL665" s="64">
        <f t="shared" si="118"/>
        <v>0</v>
      </c>
      <c r="AM665" s="67">
        <f t="shared" si="133"/>
        <v>0</v>
      </c>
      <c r="AN665" s="27"/>
      <c r="AO665" s="26"/>
      <c r="AP665" s="27">
        <v>28637</v>
      </c>
      <c r="AQ665" s="109">
        <v>31725</v>
      </c>
      <c r="AR665" s="27">
        <v>11744</v>
      </c>
      <c r="AS665" s="109">
        <v>12423</v>
      </c>
      <c r="AT665" s="27">
        <v>29487</v>
      </c>
      <c r="AU665" s="26">
        <v>30363</v>
      </c>
      <c r="AV665" s="64">
        <f t="shared" si="120"/>
        <v>69868</v>
      </c>
      <c r="AW665" s="70">
        <f t="shared" si="121"/>
        <v>2911.1666666666665</v>
      </c>
      <c r="AX665" s="66">
        <f t="shared" si="122"/>
        <v>74511</v>
      </c>
      <c r="AY665" s="71">
        <f t="shared" si="123"/>
        <v>3104.625</v>
      </c>
      <c r="AZ665" s="72">
        <f t="shared" si="124"/>
        <v>11636.099999999999</v>
      </c>
      <c r="BA665" s="66">
        <f t="shared" si="125"/>
        <v>11773.924999999999</v>
      </c>
    </row>
    <row r="666" spans="1:53">
      <c r="A666" s="185" t="s">
        <v>519</v>
      </c>
      <c r="B666" s="167" t="s">
        <v>522</v>
      </c>
      <c r="C666" s="168"/>
      <c r="D666" s="169">
        <v>237367</v>
      </c>
      <c r="E666" s="169">
        <v>5</v>
      </c>
      <c r="F666" s="29" t="s">
        <v>75</v>
      </c>
      <c r="G666" s="16" t="s">
        <v>75</v>
      </c>
      <c r="H666" s="27"/>
      <c r="I666" s="26"/>
      <c r="J666" s="27">
        <v>45683</v>
      </c>
      <c r="K666" s="26">
        <v>47392</v>
      </c>
      <c r="L666" s="27">
        <v>4549</v>
      </c>
      <c r="M666" s="109">
        <v>4893</v>
      </c>
      <c r="N666" s="27">
        <v>51351</v>
      </c>
      <c r="O666" s="26">
        <v>51782</v>
      </c>
      <c r="P666" s="64">
        <f t="shared" si="109"/>
        <v>101583</v>
      </c>
      <c r="Q666" s="65">
        <f t="shared" si="110"/>
        <v>3386.1</v>
      </c>
      <c r="R666" s="66">
        <f t="shared" si="111"/>
        <v>104067</v>
      </c>
      <c r="S666" s="67">
        <f t="shared" si="112"/>
        <v>3468.9</v>
      </c>
      <c r="T666" s="27">
        <v>283</v>
      </c>
      <c r="U666" s="109">
        <v>311</v>
      </c>
      <c r="V666" s="64">
        <f t="shared" si="113"/>
        <v>101583</v>
      </c>
      <c r="W666" s="68">
        <f t="shared" si="132"/>
        <v>104067</v>
      </c>
      <c r="X666" s="27"/>
      <c r="Y666" s="26"/>
      <c r="Z666" s="27"/>
      <c r="AA666" s="26"/>
      <c r="AB666" s="27"/>
      <c r="AC666" s="26"/>
      <c r="AD666" s="27"/>
      <c r="AE666" s="26"/>
      <c r="AF666" s="64">
        <f t="shared" si="115"/>
        <v>0</v>
      </c>
      <c r="AG666" s="65">
        <f t="shared" si="116"/>
        <v>0</v>
      </c>
      <c r="AH666" s="66">
        <f t="shared" si="129"/>
        <v>0</v>
      </c>
      <c r="AI666" s="66">
        <f t="shared" si="117"/>
        <v>0</v>
      </c>
      <c r="AJ666" s="27"/>
      <c r="AK666" s="26"/>
      <c r="AL666" s="64">
        <f t="shared" si="118"/>
        <v>0</v>
      </c>
      <c r="AM666" s="67">
        <f t="shared" si="133"/>
        <v>0</v>
      </c>
      <c r="AN666" s="27"/>
      <c r="AO666" s="26"/>
      <c r="AP666" s="27">
        <v>1703</v>
      </c>
      <c r="AQ666" s="109">
        <v>1610</v>
      </c>
      <c r="AR666" s="27">
        <v>716</v>
      </c>
      <c r="AS666" s="109">
        <v>926</v>
      </c>
      <c r="AT666" s="27">
        <v>1588</v>
      </c>
      <c r="AU666" s="109">
        <v>1979</v>
      </c>
      <c r="AV666" s="64">
        <f t="shared" si="120"/>
        <v>4007</v>
      </c>
      <c r="AW666" s="70">
        <f t="shared" si="121"/>
        <v>166.95833333333334</v>
      </c>
      <c r="AX666" s="66">
        <f t="shared" si="122"/>
        <v>4515</v>
      </c>
      <c r="AY666" s="71">
        <f t="shared" si="123"/>
        <v>188.125</v>
      </c>
      <c r="AZ666" s="72">
        <f t="shared" si="124"/>
        <v>3553.0583333333334</v>
      </c>
      <c r="BA666" s="66">
        <f t="shared" si="125"/>
        <v>3657.0250000000001</v>
      </c>
    </row>
    <row r="667" spans="1:53">
      <c r="A667" s="185" t="s">
        <v>519</v>
      </c>
      <c r="B667" s="167" t="s">
        <v>523</v>
      </c>
      <c r="C667" s="168"/>
      <c r="D667" s="169">
        <v>237792</v>
      </c>
      <c r="E667" s="186">
        <v>5</v>
      </c>
      <c r="F667" s="29" t="s">
        <v>75</v>
      </c>
      <c r="G667" s="16" t="s">
        <v>75</v>
      </c>
      <c r="H667" s="27"/>
      <c r="I667" s="26"/>
      <c r="J667" s="27">
        <v>45057</v>
      </c>
      <c r="K667" s="109">
        <v>42770</v>
      </c>
      <c r="L667" s="27">
        <v>4045</v>
      </c>
      <c r="M667" s="26">
        <v>4092</v>
      </c>
      <c r="N667" s="27">
        <v>47486</v>
      </c>
      <c r="O667" s="109">
        <v>44187</v>
      </c>
      <c r="P667" s="64">
        <f t="shared" si="109"/>
        <v>96588</v>
      </c>
      <c r="Q667" s="65">
        <f t="shared" si="110"/>
        <v>3219.6</v>
      </c>
      <c r="R667" s="66">
        <f t="shared" si="111"/>
        <v>91049</v>
      </c>
      <c r="S667" s="67">
        <f t="shared" si="112"/>
        <v>3034.9666666666667</v>
      </c>
      <c r="T667" s="27">
        <v>118</v>
      </c>
      <c r="U667" s="109">
        <v>124</v>
      </c>
      <c r="V667" s="64">
        <f t="shared" si="113"/>
        <v>96588</v>
      </c>
      <c r="W667" s="68">
        <f t="shared" si="132"/>
        <v>91049</v>
      </c>
      <c r="X667" s="27"/>
      <c r="Y667" s="26"/>
      <c r="Z667" s="27"/>
      <c r="AA667" s="26"/>
      <c r="AB667" s="27"/>
      <c r="AC667" s="26"/>
      <c r="AD667" s="27"/>
      <c r="AE667" s="26"/>
      <c r="AF667" s="64">
        <f t="shared" si="115"/>
        <v>0</v>
      </c>
      <c r="AG667" s="65">
        <f t="shared" si="116"/>
        <v>0</v>
      </c>
      <c r="AH667" s="66">
        <f t="shared" si="129"/>
        <v>0</v>
      </c>
      <c r="AI667" s="66">
        <f t="shared" si="117"/>
        <v>0</v>
      </c>
      <c r="AJ667" s="27"/>
      <c r="AK667" s="26"/>
      <c r="AL667" s="64">
        <f t="shared" si="118"/>
        <v>0</v>
      </c>
      <c r="AM667" s="67">
        <f t="shared" si="133"/>
        <v>0</v>
      </c>
      <c r="AN667" s="27"/>
      <c r="AO667" s="26"/>
      <c r="AP667" s="27">
        <v>1848</v>
      </c>
      <c r="AQ667" s="26">
        <v>1916</v>
      </c>
      <c r="AR667" s="27">
        <v>955</v>
      </c>
      <c r="AS667" s="109">
        <v>1153</v>
      </c>
      <c r="AT667" s="27">
        <v>1492</v>
      </c>
      <c r="AU667" s="109">
        <v>2224</v>
      </c>
      <c r="AV667" s="64">
        <f t="shared" si="120"/>
        <v>4295</v>
      </c>
      <c r="AW667" s="70">
        <f t="shared" si="121"/>
        <v>178.95833333333334</v>
      </c>
      <c r="AX667" s="66">
        <f t="shared" si="122"/>
        <v>5293</v>
      </c>
      <c r="AY667" s="71">
        <f t="shared" si="123"/>
        <v>220.54166666666666</v>
      </c>
      <c r="AZ667" s="72">
        <f t="shared" si="124"/>
        <v>3398.5583333333334</v>
      </c>
      <c r="BA667" s="66">
        <f t="shared" si="125"/>
        <v>3255.5083333333332</v>
      </c>
    </row>
    <row r="668" spans="1:53">
      <c r="A668" s="185" t="s">
        <v>519</v>
      </c>
      <c r="B668" s="167" t="s">
        <v>524</v>
      </c>
      <c r="C668" s="168"/>
      <c r="D668" s="169">
        <v>237215</v>
      </c>
      <c r="E668" s="169">
        <v>6</v>
      </c>
      <c r="F668" s="29" t="s">
        <v>75</v>
      </c>
      <c r="G668" s="16" t="s">
        <v>75</v>
      </c>
      <c r="H668" s="27"/>
      <c r="I668" s="26"/>
      <c r="J668" s="27">
        <v>18472</v>
      </c>
      <c r="K668" s="26">
        <v>17879</v>
      </c>
      <c r="L668" s="27">
        <v>1470</v>
      </c>
      <c r="M668" s="26">
        <v>1456</v>
      </c>
      <c r="N668" s="27">
        <v>19537</v>
      </c>
      <c r="O668" s="109">
        <v>17904</v>
      </c>
      <c r="P668" s="64">
        <f t="shared" si="109"/>
        <v>39479</v>
      </c>
      <c r="Q668" s="65">
        <f t="shared" si="110"/>
        <v>1315.9666666666667</v>
      </c>
      <c r="R668" s="66">
        <f t="shared" si="111"/>
        <v>37239</v>
      </c>
      <c r="S668" s="67">
        <f t="shared" si="112"/>
        <v>1241.3</v>
      </c>
      <c r="T668" s="27">
        <v>302</v>
      </c>
      <c r="U668" s="109">
        <v>197</v>
      </c>
      <c r="V668" s="64">
        <f t="shared" si="113"/>
        <v>39479</v>
      </c>
      <c r="W668" s="68">
        <f t="shared" si="132"/>
        <v>37239</v>
      </c>
      <c r="X668" s="27"/>
      <c r="Y668" s="26"/>
      <c r="Z668" s="27"/>
      <c r="AA668" s="26"/>
      <c r="AB668" s="27"/>
      <c r="AC668" s="26"/>
      <c r="AD668" s="27"/>
      <c r="AE668" s="26"/>
      <c r="AF668" s="64">
        <f t="shared" si="115"/>
        <v>0</v>
      </c>
      <c r="AG668" s="65">
        <f t="shared" si="116"/>
        <v>0</v>
      </c>
      <c r="AH668" s="66">
        <f t="shared" si="129"/>
        <v>0</v>
      </c>
      <c r="AI668" s="66">
        <f t="shared" si="117"/>
        <v>0</v>
      </c>
      <c r="AJ668" s="27"/>
      <c r="AK668" s="26"/>
      <c r="AL668" s="64">
        <f t="shared" si="118"/>
        <v>0</v>
      </c>
      <c r="AM668" s="67">
        <f t="shared" si="133"/>
        <v>0</v>
      </c>
      <c r="AN668" s="27"/>
      <c r="AO668" s="26"/>
      <c r="AP668" s="27"/>
      <c r="AQ668" s="26"/>
      <c r="AR668" s="27"/>
      <c r="AS668" s="26"/>
      <c r="AT668" s="27"/>
      <c r="AU668" s="26"/>
      <c r="AV668" s="64">
        <f t="shared" si="120"/>
        <v>0</v>
      </c>
      <c r="AW668" s="70">
        <f t="shared" si="121"/>
        <v>0</v>
      </c>
      <c r="AX668" s="66">
        <f t="shared" si="122"/>
        <v>0</v>
      </c>
      <c r="AY668" s="71">
        <f t="shared" si="123"/>
        <v>0</v>
      </c>
      <c r="AZ668" s="72">
        <f t="shared" si="124"/>
        <v>1315.9666666666667</v>
      </c>
      <c r="BA668" s="66">
        <f t="shared" si="125"/>
        <v>1241.3</v>
      </c>
    </row>
    <row r="669" spans="1:53" ht="15">
      <c r="A669" s="185" t="s">
        <v>519</v>
      </c>
      <c r="B669" s="167" t="s">
        <v>525</v>
      </c>
      <c r="C669" s="706" t="s">
        <v>992</v>
      </c>
      <c r="D669" s="169">
        <v>237330</v>
      </c>
      <c r="E669" s="187">
        <v>5</v>
      </c>
      <c r="F669" s="29" t="s">
        <v>75</v>
      </c>
      <c r="G669" s="16" t="s">
        <v>75</v>
      </c>
      <c r="H669" s="27"/>
      <c r="I669" s="26"/>
      <c r="J669" s="27">
        <v>28993</v>
      </c>
      <c r="K669" s="26">
        <v>28578</v>
      </c>
      <c r="L669" s="27">
        <v>3035</v>
      </c>
      <c r="M669" s="26">
        <v>2908</v>
      </c>
      <c r="N669" s="27">
        <v>31002</v>
      </c>
      <c r="O669" s="26">
        <v>29564</v>
      </c>
      <c r="P669" s="64">
        <f t="shared" si="109"/>
        <v>63030</v>
      </c>
      <c r="Q669" s="65">
        <f t="shared" si="110"/>
        <v>2101</v>
      </c>
      <c r="R669" s="66">
        <f t="shared" si="111"/>
        <v>61050</v>
      </c>
      <c r="S669" s="67">
        <f t="shared" si="112"/>
        <v>2035</v>
      </c>
      <c r="T669" s="27">
        <v>287</v>
      </c>
      <c r="U669" s="109">
        <v>325</v>
      </c>
      <c r="V669" s="64">
        <f t="shared" si="113"/>
        <v>63030</v>
      </c>
      <c r="W669" s="68">
        <f t="shared" si="132"/>
        <v>61050</v>
      </c>
      <c r="X669" s="27"/>
      <c r="Y669" s="26"/>
      <c r="Z669" s="27"/>
      <c r="AA669" s="26"/>
      <c r="AB669" s="27"/>
      <c r="AC669" s="26"/>
      <c r="AD669" s="27"/>
      <c r="AE669" s="26"/>
      <c r="AF669" s="64">
        <f t="shared" si="115"/>
        <v>0</v>
      </c>
      <c r="AG669" s="65">
        <f t="shared" si="116"/>
        <v>0</v>
      </c>
      <c r="AH669" s="66">
        <f t="shared" si="129"/>
        <v>0</v>
      </c>
      <c r="AI669" s="66">
        <f t="shared" si="117"/>
        <v>0</v>
      </c>
      <c r="AJ669" s="27"/>
      <c r="AK669" s="26"/>
      <c r="AL669" s="64">
        <f t="shared" si="118"/>
        <v>0</v>
      </c>
      <c r="AM669" s="67">
        <f t="shared" si="133"/>
        <v>0</v>
      </c>
      <c r="AN669" s="27"/>
      <c r="AO669" s="26"/>
      <c r="AP669" s="27">
        <v>2113</v>
      </c>
      <c r="AQ669" s="26">
        <v>2020</v>
      </c>
      <c r="AR669" s="27">
        <v>1566</v>
      </c>
      <c r="AS669" s="109">
        <v>1779</v>
      </c>
      <c r="AT669" s="27">
        <v>2319</v>
      </c>
      <c r="AU669" s="26">
        <v>2262</v>
      </c>
      <c r="AV669" s="64">
        <f t="shared" si="120"/>
        <v>5998</v>
      </c>
      <c r="AW669" s="70">
        <f t="shared" si="121"/>
        <v>249.91666666666666</v>
      </c>
      <c r="AX669" s="66">
        <f t="shared" si="122"/>
        <v>6061</v>
      </c>
      <c r="AY669" s="71">
        <f t="shared" si="123"/>
        <v>252.54166666666666</v>
      </c>
      <c r="AZ669" s="72">
        <f t="shared" si="124"/>
        <v>2350.9166666666665</v>
      </c>
      <c r="BA669" s="66">
        <f t="shared" si="125"/>
        <v>2287.5416666666665</v>
      </c>
    </row>
    <row r="670" spans="1:53" ht="15">
      <c r="A670" s="185" t="s">
        <v>519</v>
      </c>
      <c r="B670" s="167" t="s">
        <v>526</v>
      </c>
      <c r="C670" s="702"/>
      <c r="D670" s="169">
        <v>237385</v>
      </c>
      <c r="E670" s="169">
        <v>6</v>
      </c>
      <c r="F670" s="29" t="s">
        <v>75</v>
      </c>
      <c r="G670" s="16" t="s">
        <v>75</v>
      </c>
      <c r="H670" s="27"/>
      <c r="I670" s="26"/>
      <c r="J670" s="27">
        <v>17240</v>
      </c>
      <c r="K670" s="26">
        <v>16538.400000000001</v>
      </c>
      <c r="L670" s="27">
        <v>1459</v>
      </c>
      <c r="M670" s="109">
        <v>1303</v>
      </c>
      <c r="N670" s="27">
        <v>18696.3</v>
      </c>
      <c r="O670" s="26">
        <v>18674.099999999999</v>
      </c>
      <c r="P670" s="64">
        <f t="shared" si="109"/>
        <v>37395.300000000003</v>
      </c>
      <c r="Q670" s="65">
        <f t="shared" si="110"/>
        <v>1246.51</v>
      </c>
      <c r="R670" s="66">
        <f t="shared" si="111"/>
        <v>36515.5</v>
      </c>
      <c r="S670" s="67">
        <f t="shared" si="112"/>
        <v>1217.1833333333334</v>
      </c>
      <c r="T670" s="27">
        <v>2050</v>
      </c>
      <c r="U670" s="109">
        <v>1778</v>
      </c>
      <c r="V670" s="64">
        <f t="shared" si="113"/>
        <v>37395.300000000003</v>
      </c>
      <c r="W670" s="68">
        <f t="shared" si="132"/>
        <v>36515.5</v>
      </c>
      <c r="X670" s="27"/>
      <c r="Y670" s="26"/>
      <c r="Z670" s="27"/>
      <c r="AA670" s="26"/>
      <c r="AB670" s="27"/>
      <c r="AC670" s="26"/>
      <c r="AD670" s="27"/>
      <c r="AE670" s="26"/>
      <c r="AF670" s="64">
        <f t="shared" si="115"/>
        <v>0</v>
      </c>
      <c r="AG670" s="65">
        <f t="shared" si="116"/>
        <v>0</v>
      </c>
      <c r="AH670" s="66">
        <f t="shared" si="129"/>
        <v>0</v>
      </c>
      <c r="AI670" s="66">
        <f t="shared" si="117"/>
        <v>0</v>
      </c>
      <c r="AJ670" s="27"/>
      <c r="AK670" s="26"/>
      <c r="AL670" s="64">
        <f t="shared" si="118"/>
        <v>0</v>
      </c>
      <c r="AM670" s="67">
        <f t="shared" si="133"/>
        <v>0</v>
      </c>
      <c r="AN670" s="27"/>
      <c r="AO670" s="26"/>
      <c r="AP670" s="27"/>
      <c r="AQ670" s="26"/>
      <c r="AR670" s="27"/>
      <c r="AS670" s="26"/>
      <c r="AT670" s="27"/>
      <c r="AU670" s="26"/>
      <c r="AV670" s="64">
        <f t="shared" si="120"/>
        <v>0</v>
      </c>
      <c r="AW670" s="70">
        <f t="shared" si="121"/>
        <v>0</v>
      </c>
      <c r="AX670" s="66">
        <f t="shared" si="122"/>
        <v>0</v>
      </c>
      <c r="AY670" s="71">
        <f t="shared" si="123"/>
        <v>0</v>
      </c>
      <c r="AZ670" s="72">
        <f t="shared" si="124"/>
        <v>1246.51</v>
      </c>
      <c r="BA670" s="66">
        <f t="shared" si="125"/>
        <v>1217.1833333333334</v>
      </c>
    </row>
    <row r="671" spans="1:53" ht="15">
      <c r="A671" s="185" t="s">
        <v>519</v>
      </c>
      <c r="B671" s="167" t="s">
        <v>527</v>
      </c>
      <c r="C671" s="706" t="s">
        <v>992</v>
      </c>
      <c r="D671" s="169">
        <v>237932</v>
      </c>
      <c r="E671" s="187">
        <v>5</v>
      </c>
      <c r="F671" s="29" t="s">
        <v>75</v>
      </c>
      <c r="G671" s="16" t="s">
        <v>75</v>
      </c>
      <c r="H671" s="27"/>
      <c r="I671" s="26"/>
      <c r="J671" s="27">
        <v>32120</v>
      </c>
      <c r="K671" s="109">
        <v>28573</v>
      </c>
      <c r="L671" s="27">
        <v>2255</v>
      </c>
      <c r="M671" s="109">
        <v>1648</v>
      </c>
      <c r="N671" s="27">
        <v>31549</v>
      </c>
      <c r="O671" s="26">
        <v>30800</v>
      </c>
      <c r="P671" s="64">
        <f t="shared" si="109"/>
        <v>65924</v>
      </c>
      <c r="Q671" s="65">
        <f t="shared" si="110"/>
        <v>2197.4666666666667</v>
      </c>
      <c r="R671" s="66">
        <f t="shared" si="111"/>
        <v>61021</v>
      </c>
      <c r="S671" s="67">
        <f t="shared" si="112"/>
        <v>2034.0333333333333</v>
      </c>
      <c r="T671" s="27">
        <v>1513</v>
      </c>
      <c r="U671" s="109">
        <v>1301</v>
      </c>
      <c r="V671" s="64">
        <f t="shared" si="113"/>
        <v>65924</v>
      </c>
      <c r="W671" s="68">
        <f t="shared" si="132"/>
        <v>61021</v>
      </c>
      <c r="X671" s="27"/>
      <c r="Y671" s="26"/>
      <c r="Z671" s="27"/>
      <c r="AA671" s="26"/>
      <c r="AB671" s="27"/>
      <c r="AC671" s="26"/>
      <c r="AD671" s="27"/>
      <c r="AE671" s="26"/>
      <c r="AF671" s="64">
        <f t="shared" si="115"/>
        <v>0</v>
      </c>
      <c r="AG671" s="65">
        <f t="shared" si="116"/>
        <v>0</v>
      </c>
      <c r="AH671" s="66">
        <f t="shared" ref="AH671:AH683" si="134">SUM(Y671,AA671,AC671,AE671)</f>
        <v>0</v>
      </c>
      <c r="AI671" s="66">
        <f t="shared" si="117"/>
        <v>0</v>
      </c>
      <c r="AJ671" s="27"/>
      <c r="AK671" s="26"/>
      <c r="AL671" s="64">
        <f t="shared" si="118"/>
        <v>0</v>
      </c>
      <c r="AM671" s="67">
        <f t="shared" si="133"/>
        <v>0</v>
      </c>
      <c r="AN671" s="27"/>
      <c r="AO671" s="26"/>
      <c r="AP671" s="27">
        <v>1849</v>
      </c>
      <c r="AQ671" s="109">
        <v>1627</v>
      </c>
      <c r="AR671" s="27">
        <v>1133</v>
      </c>
      <c r="AS671" s="109">
        <v>892</v>
      </c>
      <c r="AT671" s="27">
        <v>1540</v>
      </c>
      <c r="AU671" s="109">
        <v>1705</v>
      </c>
      <c r="AV671" s="64">
        <f t="shared" si="120"/>
        <v>4522</v>
      </c>
      <c r="AW671" s="70">
        <f t="shared" si="121"/>
        <v>188.41666666666666</v>
      </c>
      <c r="AX671" s="66">
        <f t="shared" si="122"/>
        <v>4224</v>
      </c>
      <c r="AY671" s="71">
        <f t="shared" si="123"/>
        <v>176</v>
      </c>
      <c r="AZ671" s="72">
        <f t="shared" si="124"/>
        <v>2385.8833333333332</v>
      </c>
      <c r="BA671" s="66">
        <f t="shared" si="125"/>
        <v>2210.0333333333333</v>
      </c>
    </row>
    <row r="672" spans="1:53" ht="15">
      <c r="A672" s="185" t="s">
        <v>519</v>
      </c>
      <c r="B672" s="167" t="s">
        <v>528</v>
      </c>
      <c r="C672" s="702"/>
      <c r="D672" s="169">
        <v>237899</v>
      </c>
      <c r="E672" s="169">
        <v>6</v>
      </c>
      <c r="F672" s="29" t="s">
        <v>75</v>
      </c>
      <c r="G672" s="16" t="s">
        <v>75</v>
      </c>
      <c r="H672" s="27"/>
      <c r="I672" s="26"/>
      <c r="J672" s="27">
        <v>30505</v>
      </c>
      <c r="K672" s="26">
        <v>29223</v>
      </c>
      <c r="L672" s="27">
        <v>2865</v>
      </c>
      <c r="M672" s="109">
        <v>2390</v>
      </c>
      <c r="N672" s="27">
        <v>33966</v>
      </c>
      <c r="O672" s="26">
        <v>34006</v>
      </c>
      <c r="P672" s="64">
        <f t="shared" si="109"/>
        <v>67336</v>
      </c>
      <c r="Q672" s="65">
        <f t="shared" si="110"/>
        <v>2244.5333333333333</v>
      </c>
      <c r="R672" s="66">
        <f t="shared" si="111"/>
        <v>65619</v>
      </c>
      <c r="S672" s="67">
        <f t="shared" si="112"/>
        <v>2187.3000000000002</v>
      </c>
      <c r="T672" s="27">
        <v>6015</v>
      </c>
      <c r="U672" s="109">
        <v>8770</v>
      </c>
      <c r="V672" s="64">
        <f t="shared" si="113"/>
        <v>67336</v>
      </c>
      <c r="W672" s="68">
        <f t="shared" si="132"/>
        <v>65619</v>
      </c>
      <c r="X672" s="27"/>
      <c r="Y672" s="26"/>
      <c r="Z672" s="27"/>
      <c r="AA672" s="26"/>
      <c r="AB672" s="27"/>
      <c r="AC672" s="26"/>
      <c r="AD672" s="27"/>
      <c r="AE672" s="26"/>
      <c r="AF672" s="64">
        <f t="shared" si="115"/>
        <v>0</v>
      </c>
      <c r="AG672" s="65">
        <f t="shared" si="116"/>
        <v>0</v>
      </c>
      <c r="AH672" s="66">
        <f t="shared" si="134"/>
        <v>0</v>
      </c>
      <c r="AI672" s="66">
        <f t="shared" si="117"/>
        <v>0</v>
      </c>
      <c r="AJ672" s="27"/>
      <c r="AK672" s="26"/>
      <c r="AL672" s="64">
        <f t="shared" si="118"/>
        <v>0</v>
      </c>
      <c r="AM672" s="67">
        <f t="shared" si="133"/>
        <v>0</v>
      </c>
      <c r="AN672" s="27"/>
      <c r="AO672" s="26"/>
      <c r="AP672" s="27">
        <v>349</v>
      </c>
      <c r="AQ672" s="109">
        <v>463</v>
      </c>
      <c r="AR672" s="27">
        <v>94</v>
      </c>
      <c r="AS672" s="109">
        <v>124</v>
      </c>
      <c r="AT672" s="27">
        <v>440</v>
      </c>
      <c r="AU672" s="109">
        <v>701</v>
      </c>
      <c r="AV672" s="64">
        <f t="shared" si="120"/>
        <v>883</v>
      </c>
      <c r="AW672" s="70">
        <f t="shared" si="121"/>
        <v>36.791666666666664</v>
      </c>
      <c r="AX672" s="66">
        <f t="shared" si="122"/>
        <v>1288</v>
      </c>
      <c r="AY672" s="71">
        <f t="shared" si="123"/>
        <v>53.666666666666664</v>
      </c>
      <c r="AZ672" s="72">
        <f t="shared" si="124"/>
        <v>2281.3249999999998</v>
      </c>
      <c r="BA672" s="66">
        <f t="shared" si="125"/>
        <v>2240.9666666666667</v>
      </c>
    </row>
    <row r="673" spans="1:53">
      <c r="A673" s="185" t="s">
        <v>519</v>
      </c>
      <c r="B673" s="167" t="s">
        <v>529</v>
      </c>
      <c r="C673" s="168"/>
      <c r="D673" s="169">
        <v>237686</v>
      </c>
      <c r="E673" s="187">
        <v>6</v>
      </c>
      <c r="F673" s="29" t="s">
        <v>75</v>
      </c>
      <c r="G673" s="16" t="s">
        <v>75</v>
      </c>
      <c r="H673" s="27"/>
      <c r="I673" s="26"/>
      <c r="J673" s="27">
        <v>27270</v>
      </c>
      <c r="K673" s="109">
        <v>25374</v>
      </c>
      <c r="L673" s="27">
        <v>5131</v>
      </c>
      <c r="M673" s="109">
        <v>4676</v>
      </c>
      <c r="N673" s="27">
        <v>28215</v>
      </c>
      <c r="O673" s="26">
        <v>27645</v>
      </c>
      <c r="P673" s="64">
        <f t="shared" si="109"/>
        <v>60616</v>
      </c>
      <c r="Q673" s="65">
        <f t="shared" si="110"/>
        <v>2020.5333333333333</v>
      </c>
      <c r="R673" s="66">
        <f t="shared" si="111"/>
        <v>57695</v>
      </c>
      <c r="S673" s="67">
        <f t="shared" si="112"/>
        <v>1923.1666666666667</v>
      </c>
      <c r="T673" s="27">
        <v>3072</v>
      </c>
      <c r="U673" s="109">
        <v>2611</v>
      </c>
      <c r="V673" s="64">
        <f t="shared" si="113"/>
        <v>60616</v>
      </c>
      <c r="W673" s="68">
        <f t="shared" si="132"/>
        <v>57695</v>
      </c>
      <c r="X673" s="27"/>
      <c r="Y673" s="26"/>
      <c r="Z673" s="27"/>
      <c r="AA673" s="26"/>
      <c r="AB673" s="27"/>
      <c r="AC673" s="26"/>
      <c r="AD673" s="27"/>
      <c r="AE673" s="26"/>
      <c r="AF673" s="64">
        <f t="shared" si="115"/>
        <v>0</v>
      </c>
      <c r="AG673" s="65">
        <f t="shared" si="116"/>
        <v>0</v>
      </c>
      <c r="AH673" s="66">
        <f t="shared" si="134"/>
        <v>0</v>
      </c>
      <c r="AI673" s="66">
        <f t="shared" si="117"/>
        <v>0</v>
      </c>
      <c r="AJ673" s="27"/>
      <c r="AK673" s="26"/>
      <c r="AL673" s="64">
        <f t="shared" si="118"/>
        <v>0</v>
      </c>
      <c r="AM673" s="67">
        <f t="shared" si="133"/>
        <v>0</v>
      </c>
      <c r="AN673" s="27"/>
      <c r="AO673" s="26"/>
      <c r="AP673" s="27"/>
      <c r="AQ673" s="26"/>
      <c r="AR673" s="27"/>
      <c r="AS673" s="26"/>
      <c r="AT673" s="27"/>
      <c r="AU673" s="26"/>
      <c r="AV673" s="64">
        <f t="shared" si="120"/>
        <v>0</v>
      </c>
      <c r="AW673" s="70">
        <f t="shared" si="121"/>
        <v>0</v>
      </c>
      <c r="AX673" s="66">
        <f t="shared" si="122"/>
        <v>0</v>
      </c>
      <c r="AY673" s="71">
        <f t="shared" si="123"/>
        <v>0</v>
      </c>
      <c r="AZ673" s="72">
        <f t="shared" si="124"/>
        <v>2020.5333333333333</v>
      </c>
      <c r="BA673" s="66">
        <f t="shared" si="125"/>
        <v>1923.1666666666667</v>
      </c>
    </row>
    <row r="674" spans="1:53" ht="15">
      <c r="A674" s="185" t="s">
        <v>519</v>
      </c>
      <c r="B674" s="167" t="s">
        <v>530</v>
      </c>
      <c r="C674" s="702"/>
      <c r="D674" s="169">
        <v>237950</v>
      </c>
      <c r="E674" s="169">
        <v>6</v>
      </c>
      <c r="F674" s="29" t="s">
        <v>75</v>
      </c>
      <c r="G674" s="16" t="s">
        <v>75</v>
      </c>
      <c r="H674" s="27"/>
      <c r="I674" s="26"/>
      <c r="J674" s="27">
        <v>15332</v>
      </c>
      <c r="K674" s="26">
        <v>15008</v>
      </c>
      <c r="L674" s="27">
        <v>1015</v>
      </c>
      <c r="M674" s="26">
        <v>1044</v>
      </c>
      <c r="N674" s="27">
        <v>16470</v>
      </c>
      <c r="O674" s="26">
        <v>16611</v>
      </c>
      <c r="P674" s="64">
        <f t="shared" si="109"/>
        <v>32817</v>
      </c>
      <c r="Q674" s="65">
        <f t="shared" si="110"/>
        <v>1093.9000000000001</v>
      </c>
      <c r="R674" s="66">
        <f t="shared" si="111"/>
        <v>32663</v>
      </c>
      <c r="S674" s="67">
        <f t="shared" si="112"/>
        <v>1088.7666666666667</v>
      </c>
      <c r="T674" s="27">
        <v>1152</v>
      </c>
      <c r="U674" s="109">
        <v>1600</v>
      </c>
      <c r="V674" s="64">
        <f t="shared" si="113"/>
        <v>32817</v>
      </c>
      <c r="W674" s="68">
        <f t="shared" si="132"/>
        <v>32663</v>
      </c>
      <c r="X674" s="27"/>
      <c r="Y674" s="26"/>
      <c r="Z674" s="27"/>
      <c r="AA674" s="26"/>
      <c r="AB674" s="27"/>
      <c r="AC674" s="26"/>
      <c r="AD674" s="27"/>
      <c r="AE674" s="26"/>
      <c r="AF674" s="64">
        <f t="shared" si="115"/>
        <v>0</v>
      </c>
      <c r="AG674" s="65">
        <f t="shared" si="116"/>
        <v>0</v>
      </c>
      <c r="AH674" s="66">
        <f t="shared" si="134"/>
        <v>0</v>
      </c>
      <c r="AI674" s="66">
        <f t="shared" si="117"/>
        <v>0</v>
      </c>
      <c r="AJ674" s="27"/>
      <c r="AK674" s="26"/>
      <c r="AL674" s="64">
        <f t="shared" si="118"/>
        <v>0</v>
      </c>
      <c r="AM674" s="67">
        <f t="shared" si="133"/>
        <v>0</v>
      </c>
      <c r="AN674" s="27"/>
      <c r="AO674" s="26"/>
      <c r="AP674" s="27"/>
      <c r="AQ674" s="26"/>
      <c r="AR674" s="27"/>
      <c r="AS674" s="26"/>
      <c r="AT674" s="27"/>
      <c r="AU674" s="26"/>
      <c r="AV674" s="64">
        <f t="shared" si="120"/>
        <v>0</v>
      </c>
      <c r="AW674" s="70">
        <f t="shared" si="121"/>
        <v>0</v>
      </c>
      <c r="AX674" s="66">
        <f t="shared" si="122"/>
        <v>0</v>
      </c>
      <c r="AY674" s="71">
        <f t="shared" si="123"/>
        <v>0</v>
      </c>
      <c r="AZ674" s="72">
        <f t="shared" si="124"/>
        <v>1093.9000000000001</v>
      </c>
      <c r="BA674" s="66">
        <f t="shared" si="125"/>
        <v>1088.7666666666667</v>
      </c>
    </row>
    <row r="675" spans="1:53" ht="15">
      <c r="A675" s="185" t="s">
        <v>519</v>
      </c>
      <c r="B675" s="188" t="s">
        <v>531</v>
      </c>
      <c r="C675" s="702"/>
      <c r="D675" s="169">
        <v>237701</v>
      </c>
      <c r="E675" s="169">
        <v>7</v>
      </c>
      <c r="F675" s="29" t="s">
        <v>75</v>
      </c>
      <c r="G675" s="16" t="s">
        <v>75</v>
      </c>
      <c r="H675" s="27"/>
      <c r="I675" s="26"/>
      <c r="J675" s="27">
        <v>17451</v>
      </c>
      <c r="K675" s="109">
        <v>16237</v>
      </c>
      <c r="L675" s="27">
        <v>1233</v>
      </c>
      <c r="M675" s="109">
        <v>1015</v>
      </c>
      <c r="N675" s="27">
        <v>18868</v>
      </c>
      <c r="O675" s="109">
        <v>17550</v>
      </c>
      <c r="P675" s="64">
        <f t="shared" si="109"/>
        <v>37552</v>
      </c>
      <c r="Q675" s="65">
        <f t="shared" si="110"/>
        <v>1251.7333333333333</v>
      </c>
      <c r="R675" s="66">
        <f t="shared" si="111"/>
        <v>34802</v>
      </c>
      <c r="S675" s="67">
        <f t="shared" si="112"/>
        <v>1160.0666666666666</v>
      </c>
      <c r="T675" s="27">
        <v>2557</v>
      </c>
      <c r="U675" s="26">
        <v>2524</v>
      </c>
      <c r="V675" s="64">
        <f t="shared" si="113"/>
        <v>37552</v>
      </c>
      <c r="W675" s="68">
        <f t="shared" si="132"/>
        <v>34802</v>
      </c>
      <c r="X675" s="27"/>
      <c r="Y675" s="26"/>
      <c r="Z675" s="27"/>
      <c r="AA675" s="26"/>
      <c r="AB675" s="27"/>
      <c r="AC675" s="26"/>
      <c r="AD675" s="27"/>
      <c r="AE675" s="26"/>
      <c r="AF675" s="64">
        <f t="shared" si="115"/>
        <v>0</v>
      </c>
      <c r="AG675" s="65">
        <f t="shared" si="116"/>
        <v>0</v>
      </c>
      <c r="AH675" s="66">
        <f t="shared" si="134"/>
        <v>0</v>
      </c>
      <c r="AI675" s="66">
        <f t="shared" si="117"/>
        <v>0</v>
      </c>
      <c r="AJ675" s="27"/>
      <c r="AK675" s="26"/>
      <c r="AL675" s="64">
        <f t="shared" si="118"/>
        <v>0</v>
      </c>
      <c r="AM675" s="67">
        <f t="shared" si="133"/>
        <v>0</v>
      </c>
      <c r="AN675" s="27"/>
      <c r="AO675" s="26"/>
      <c r="AP675" s="27"/>
      <c r="AQ675" s="26"/>
      <c r="AR675" s="27"/>
      <c r="AS675" s="26"/>
      <c r="AT675" s="27"/>
      <c r="AU675" s="26"/>
      <c r="AV675" s="64">
        <f t="shared" si="120"/>
        <v>0</v>
      </c>
      <c r="AW675" s="70">
        <f t="shared" si="121"/>
        <v>0</v>
      </c>
      <c r="AX675" s="66">
        <f t="shared" si="122"/>
        <v>0</v>
      </c>
      <c r="AY675" s="71">
        <f t="shared" si="123"/>
        <v>0</v>
      </c>
      <c r="AZ675" s="72">
        <f t="shared" si="124"/>
        <v>1251.7333333333333</v>
      </c>
      <c r="BA675" s="66">
        <f t="shared" si="125"/>
        <v>1160.0666666666666</v>
      </c>
    </row>
    <row r="676" spans="1:53" ht="15">
      <c r="A676" s="185" t="s">
        <v>519</v>
      </c>
      <c r="B676" s="167" t="s">
        <v>532</v>
      </c>
      <c r="C676" s="706" t="s">
        <v>980</v>
      </c>
      <c r="D676" s="169">
        <v>447582</v>
      </c>
      <c r="E676" s="187">
        <v>10</v>
      </c>
      <c r="F676" s="29" t="s">
        <v>75</v>
      </c>
      <c r="G676" s="16" t="s">
        <v>75</v>
      </c>
      <c r="H676" s="27"/>
      <c r="I676" s="26"/>
      <c r="J676" s="27">
        <v>21186</v>
      </c>
      <c r="K676" s="109">
        <v>16690</v>
      </c>
      <c r="L676" s="27">
        <v>2599</v>
      </c>
      <c r="M676" s="109">
        <v>3311</v>
      </c>
      <c r="N676" s="27">
        <v>18811</v>
      </c>
      <c r="O676" s="109">
        <v>16967</v>
      </c>
      <c r="P676" s="64">
        <f t="shared" si="109"/>
        <v>42596</v>
      </c>
      <c r="Q676" s="65">
        <f t="shared" si="110"/>
        <v>1419.8666666666666</v>
      </c>
      <c r="R676" s="66">
        <f t="shared" si="111"/>
        <v>36968</v>
      </c>
      <c r="S676" s="67">
        <f t="shared" si="112"/>
        <v>1232.2666666666667</v>
      </c>
      <c r="T676" s="27">
        <v>984</v>
      </c>
      <c r="U676" s="109">
        <v>1874</v>
      </c>
      <c r="V676" s="64">
        <f t="shared" si="113"/>
        <v>42596</v>
      </c>
      <c r="W676" s="68">
        <f t="shared" si="132"/>
        <v>36968</v>
      </c>
      <c r="X676" s="27"/>
      <c r="Y676" s="26"/>
      <c r="Z676" s="27"/>
      <c r="AA676" s="26"/>
      <c r="AB676" s="27"/>
      <c r="AC676" s="26"/>
      <c r="AD676" s="27"/>
      <c r="AE676" s="26"/>
      <c r="AF676" s="64">
        <f t="shared" si="115"/>
        <v>0</v>
      </c>
      <c r="AG676" s="65">
        <f t="shared" si="116"/>
        <v>0</v>
      </c>
      <c r="AH676" s="66">
        <f t="shared" si="134"/>
        <v>0</v>
      </c>
      <c r="AI676" s="66">
        <f t="shared" si="117"/>
        <v>0</v>
      </c>
      <c r="AJ676" s="27"/>
      <c r="AK676" s="26"/>
      <c r="AL676" s="64">
        <f t="shared" si="118"/>
        <v>0</v>
      </c>
      <c r="AM676" s="67">
        <f t="shared" si="133"/>
        <v>0</v>
      </c>
      <c r="AN676" s="27"/>
      <c r="AO676" s="26"/>
      <c r="AP676" s="27"/>
      <c r="AQ676" s="26"/>
      <c r="AR676" s="27"/>
      <c r="AS676" s="26"/>
      <c r="AT676" s="27"/>
      <c r="AU676" s="26"/>
      <c r="AV676" s="64">
        <f t="shared" si="120"/>
        <v>0</v>
      </c>
      <c r="AW676" s="70">
        <f t="shared" si="121"/>
        <v>0</v>
      </c>
      <c r="AX676" s="66">
        <f t="shared" si="122"/>
        <v>0</v>
      </c>
      <c r="AY676" s="71">
        <f t="shared" si="123"/>
        <v>0</v>
      </c>
      <c r="AZ676" s="72">
        <f t="shared" si="124"/>
        <v>1419.8666666666666</v>
      </c>
      <c r="BA676" s="66">
        <f t="shared" si="125"/>
        <v>1232.2666666666667</v>
      </c>
    </row>
    <row r="677" spans="1:53" ht="15">
      <c r="A677" s="185" t="s">
        <v>519</v>
      </c>
      <c r="B677" s="189" t="s">
        <v>533</v>
      </c>
      <c r="C677" s="706" t="s">
        <v>980</v>
      </c>
      <c r="D677" s="169">
        <v>443492</v>
      </c>
      <c r="E677" s="187">
        <v>10</v>
      </c>
      <c r="F677" s="29" t="s">
        <v>75</v>
      </c>
      <c r="G677" s="16" t="s">
        <v>75</v>
      </c>
      <c r="H677" s="27"/>
      <c r="I677" s="26"/>
      <c r="J677" s="27">
        <v>20117</v>
      </c>
      <c r="K677" s="109">
        <v>18506</v>
      </c>
      <c r="L677" s="27">
        <v>1976</v>
      </c>
      <c r="M677" s="26">
        <v>1954</v>
      </c>
      <c r="N677" s="27">
        <v>22666</v>
      </c>
      <c r="O677" s="109">
        <v>20581</v>
      </c>
      <c r="P677" s="64">
        <f t="shared" si="109"/>
        <v>44759</v>
      </c>
      <c r="Q677" s="65">
        <f t="shared" si="110"/>
        <v>1491.9666666666667</v>
      </c>
      <c r="R677" s="66">
        <f t="shared" si="111"/>
        <v>41041</v>
      </c>
      <c r="S677" s="67">
        <f t="shared" si="112"/>
        <v>1368.0333333333333</v>
      </c>
      <c r="T677" s="27">
        <v>4466</v>
      </c>
      <c r="U677" s="109">
        <v>4014</v>
      </c>
      <c r="V677" s="64">
        <f t="shared" si="113"/>
        <v>44759</v>
      </c>
      <c r="W677" s="68">
        <f t="shared" si="132"/>
        <v>41041</v>
      </c>
      <c r="X677" s="27"/>
      <c r="Y677" s="26"/>
      <c r="Z677" s="27"/>
      <c r="AA677" s="26"/>
      <c r="AB677" s="27"/>
      <c r="AC677" s="26"/>
      <c r="AD677" s="27"/>
      <c r="AE677" s="26"/>
      <c r="AF677" s="64">
        <f t="shared" si="115"/>
        <v>0</v>
      </c>
      <c r="AG677" s="65">
        <f t="shared" si="116"/>
        <v>0</v>
      </c>
      <c r="AH677" s="66">
        <f t="shared" si="134"/>
        <v>0</v>
      </c>
      <c r="AI677" s="66">
        <f t="shared" si="117"/>
        <v>0</v>
      </c>
      <c r="AJ677" s="27"/>
      <c r="AK677" s="26"/>
      <c r="AL677" s="64">
        <f t="shared" si="118"/>
        <v>0</v>
      </c>
      <c r="AM677" s="67">
        <f t="shared" si="133"/>
        <v>0</v>
      </c>
      <c r="AN677" s="27"/>
      <c r="AO677" s="26"/>
      <c r="AP677" s="27"/>
      <c r="AQ677" s="26"/>
      <c r="AR677" s="27"/>
      <c r="AS677" s="26"/>
      <c r="AT677" s="27"/>
      <c r="AU677" s="26"/>
      <c r="AV677" s="64">
        <f t="shared" si="120"/>
        <v>0</v>
      </c>
      <c r="AW677" s="70">
        <f t="shared" si="121"/>
        <v>0</v>
      </c>
      <c r="AX677" s="66">
        <f t="shared" si="122"/>
        <v>0</v>
      </c>
      <c r="AY677" s="71">
        <f t="shared" si="123"/>
        <v>0</v>
      </c>
      <c r="AZ677" s="72">
        <f t="shared" si="124"/>
        <v>1491.9666666666667</v>
      </c>
      <c r="BA677" s="66">
        <f t="shared" si="125"/>
        <v>1368.0333333333333</v>
      </c>
    </row>
    <row r="678" spans="1:53">
      <c r="A678" s="185" t="s">
        <v>519</v>
      </c>
      <c r="B678" s="167" t="s">
        <v>534</v>
      </c>
      <c r="C678" s="168"/>
      <c r="D678" s="169">
        <v>446774</v>
      </c>
      <c r="E678" s="169">
        <v>10</v>
      </c>
      <c r="F678" s="29" t="s">
        <v>75</v>
      </c>
      <c r="G678" s="16" t="s">
        <v>75</v>
      </c>
      <c r="H678" s="27"/>
      <c r="I678" s="26"/>
      <c r="J678" s="27">
        <v>26991.8</v>
      </c>
      <c r="K678" s="26">
        <v>26394.3</v>
      </c>
      <c r="L678" s="27">
        <v>3066</v>
      </c>
      <c r="M678" s="26">
        <v>3006</v>
      </c>
      <c r="N678" s="27">
        <v>29979.8</v>
      </c>
      <c r="O678" s="26">
        <v>29273</v>
      </c>
      <c r="P678" s="64">
        <f t="shared" si="109"/>
        <v>60037.599999999999</v>
      </c>
      <c r="Q678" s="65">
        <f t="shared" si="110"/>
        <v>2001.2533333333333</v>
      </c>
      <c r="R678" s="66">
        <f t="shared" si="111"/>
        <v>58673.3</v>
      </c>
      <c r="S678" s="67">
        <f t="shared" si="112"/>
        <v>1955.7766666666669</v>
      </c>
      <c r="T678" s="27">
        <v>1992.4</v>
      </c>
      <c r="U678" s="109">
        <v>2429.1999999999998</v>
      </c>
      <c r="V678" s="64">
        <f t="shared" si="113"/>
        <v>60037.599999999999</v>
      </c>
      <c r="W678" s="68">
        <f t="shared" si="132"/>
        <v>58673.3</v>
      </c>
      <c r="X678" s="27"/>
      <c r="Y678" s="26"/>
      <c r="Z678" s="27"/>
      <c r="AA678" s="26"/>
      <c r="AB678" s="27"/>
      <c r="AC678" s="26"/>
      <c r="AD678" s="27"/>
      <c r="AE678" s="26"/>
      <c r="AF678" s="64">
        <f t="shared" si="115"/>
        <v>0</v>
      </c>
      <c r="AG678" s="65">
        <f t="shared" si="116"/>
        <v>0</v>
      </c>
      <c r="AH678" s="66">
        <f t="shared" si="134"/>
        <v>0</v>
      </c>
      <c r="AI678" s="66">
        <f t="shared" si="117"/>
        <v>0</v>
      </c>
      <c r="AJ678" s="27"/>
      <c r="AK678" s="26"/>
      <c r="AL678" s="64">
        <f t="shared" si="118"/>
        <v>0</v>
      </c>
      <c r="AM678" s="67">
        <f t="shared" si="133"/>
        <v>0</v>
      </c>
      <c r="AN678" s="27"/>
      <c r="AO678" s="26"/>
      <c r="AP678" s="27"/>
      <c r="AQ678" s="26"/>
      <c r="AR678" s="27"/>
      <c r="AS678" s="26"/>
      <c r="AT678" s="27"/>
      <c r="AU678" s="26"/>
      <c r="AV678" s="64">
        <f t="shared" si="120"/>
        <v>0</v>
      </c>
      <c r="AW678" s="70">
        <f t="shared" si="121"/>
        <v>0</v>
      </c>
      <c r="AX678" s="66">
        <f t="shared" si="122"/>
        <v>0</v>
      </c>
      <c r="AY678" s="71">
        <f t="shared" si="123"/>
        <v>0</v>
      </c>
      <c r="AZ678" s="72">
        <f t="shared" si="124"/>
        <v>2001.2533333333333</v>
      </c>
      <c r="BA678" s="66">
        <f t="shared" si="125"/>
        <v>1955.7766666666669</v>
      </c>
    </row>
    <row r="679" spans="1:53">
      <c r="A679" s="185" t="s">
        <v>519</v>
      </c>
      <c r="B679" s="190" t="s">
        <v>535</v>
      </c>
      <c r="C679" s="168"/>
      <c r="D679" s="191">
        <v>484932</v>
      </c>
      <c r="E679" s="169">
        <v>10</v>
      </c>
      <c r="F679" s="192" t="s">
        <v>75</v>
      </c>
      <c r="G679" s="193" t="s">
        <v>75</v>
      </c>
      <c r="H679" s="139"/>
      <c r="I679" s="26"/>
      <c r="J679" s="139">
        <v>19190</v>
      </c>
      <c r="K679" s="26">
        <v>18929</v>
      </c>
      <c r="L679" s="139">
        <v>2160</v>
      </c>
      <c r="M679" s="26">
        <v>2218</v>
      </c>
      <c r="N679" s="139">
        <v>22118.5</v>
      </c>
      <c r="O679" s="109">
        <v>20551</v>
      </c>
      <c r="P679" s="64">
        <f t="shared" si="109"/>
        <v>43468.5</v>
      </c>
      <c r="Q679" s="65">
        <f t="shared" si="110"/>
        <v>1448.95</v>
      </c>
      <c r="R679" s="66">
        <f t="shared" si="111"/>
        <v>41698</v>
      </c>
      <c r="S679" s="67">
        <f t="shared" si="112"/>
        <v>1389.9333333333334</v>
      </c>
      <c r="T679" s="139">
        <v>1506</v>
      </c>
      <c r="U679" s="109">
        <v>1041</v>
      </c>
      <c r="V679" s="64">
        <f t="shared" si="113"/>
        <v>43468.5</v>
      </c>
      <c r="W679" s="68">
        <f t="shared" si="132"/>
        <v>41698</v>
      </c>
      <c r="X679" s="139"/>
      <c r="Y679" s="26"/>
      <c r="Z679" s="139"/>
      <c r="AA679" s="26"/>
      <c r="AB679" s="139"/>
      <c r="AC679" s="26"/>
      <c r="AD679" s="139"/>
      <c r="AE679" s="26"/>
      <c r="AF679" s="64">
        <f t="shared" si="115"/>
        <v>0</v>
      </c>
      <c r="AG679" s="65">
        <f t="shared" si="116"/>
        <v>0</v>
      </c>
      <c r="AH679" s="66">
        <f t="shared" si="134"/>
        <v>0</v>
      </c>
      <c r="AI679" s="66">
        <f t="shared" si="117"/>
        <v>0</v>
      </c>
      <c r="AJ679" s="139"/>
      <c r="AK679" s="26"/>
      <c r="AL679" s="64">
        <f t="shared" si="118"/>
        <v>0</v>
      </c>
      <c r="AM679" s="67">
        <f t="shared" si="133"/>
        <v>0</v>
      </c>
      <c r="AN679" s="139"/>
      <c r="AO679" s="26"/>
      <c r="AP679" s="139"/>
      <c r="AQ679" s="26"/>
      <c r="AR679" s="139"/>
      <c r="AS679" s="26"/>
      <c r="AT679" s="139"/>
      <c r="AU679" s="26"/>
      <c r="AV679" s="64">
        <f t="shared" si="120"/>
        <v>0</v>
      </c>
      <c r="AW679" s="70">
        <f t="shared" si="121"/>
        <v>0</v>
      </c>
      <c r="AX679" s="66">
        <f t="shared" si="122"/>
        <v>0</v>
      </c>
      <c r="AY679" s="71">
        <f t="shared" si="123"/>
        <v>0</v>
      </c>
      <c r="AZ679" s="72">
        <f t="shared" si="124"/>
        <v>1448.95</v>
      </c>
      <c r="BA679" s="66">
        <f t="shared" si="125"/>
        <v>1389.9333333333334</v>
      </c>
    </row>
    <row r="680" spans="1:53">
      <c r="A680" s="185" t="s">
        <v>519</v>
      </c>
      <c r="B680" s="167" t="s">
        <v>536</v>
      </c>
      <c r="C680" s="168"/>
      <c r="D680" s="169">
        <v>438708</v>
      </c>
      <c r="E680" s="169">
        <v>10</v>
      </c>
      <c r="F680" s="29" t="s">
        <v>75</v>
      </c>
      <c r="G680" s="16" t="s">
        <v>75</v>
      </c>
      <c r="H680" s="27"/>
      <c r="I680" s="26"/>
      <c r="J680" s="27">
        <v>5643</v>
      </c>
      <c r="K680" s="109">
        <v>5168</v>
      </c>
      <c r="L680" s="27">
        <v>1027</v>
      </c>
      <c r="M680" s="109">
        <v>652</v>
      </c>
      <c r="N680" s="27">
        <v>6934</v>
      </c>
      <c r="O680" s="109">
        <v>5506</v>
      </c>
      <c r="P680" s="64">
        <f t="shared" si="109"/>
        <v>13604</v>
      </c>
      <c r="Q680" s="65">
        <f t="shared" si="110"/>
        <v>453.46666666666664</v>
      </c>
      <c r="R680" s="66">
        <f t="shared" si="111"/>
        <v>11326</v>
      </c>
      <c r="S680" s="67">
        <f t="shared" si="112"/>
        <v>377.53333333333336</v>
      </c>
      <c r="T680" s="27">
        <v>2063</v>
      </c>
      <c r="U680" s="109">
        <v>2199</v>
      </c>
      <c r="V680" s="64">
        <f t="shared" si="113"/>
        <v>13604</v>
      </c>
      <c r="W680" s="68">
        <f t="shared" si="132"/>
        <v>11326</v>
      </c>
      <c r="X680" s="27"/>
      <c r="Y680" s="26"/>
      <c r="Z680" s="27"/>
      <c r="AA680" s="26"/>
      <c r="AB680" s="27"/>
      <c r="AC680" s="26"/>
      <c r="AD680" s="27"/>
      <c r="AE680" s="26"/>
      <c r="AF680" s="64">
        <f t="shared" si="115"/>
        <v>0</v>
      </c>
      <c r="AG680" s="65">
        <f t="shared" si="116"/>
        <v>0</v>
      </c>
      <c r="AH680" s="66">
        <f t="shared" si="134"/>
        <v>0</v>
      </c>
      <c r="AI680" s="66">
        <f t="shared" si="117"/>
        <v>0</v>
      </c>
      <c r="AJ680" s="27"/>
      <c r="AK680" s="26"/>
      <c r="AL680" s="64">
        <f t="shared" si="118"/>
        <v>0</v>
      </c>
      <c r="AM680" s="67">
        <f t="shared" si="133"/>
        <v>0</v>
      </c>
      <c r="AN680" s="27"/>
      <c r="AO680" s="26"/>
      <c r="AP680" s="27"/>
      <c r="AQ680" s="26"/>
      <c r="AR680" s="27"/>
      <c r="AS680" s="26"/>
      <c r="AT680" s="27"/>
      <c r="AU680" s="26"/>
      <c r="AV680" s="64">
        <f t="shared" si="120"/>
        <v>0</v>
      </c>
      <c r="AW680" s="70">
        <f t="shared" si="121"/>
        <v>0</v>
      </c>
      <c r="AX680" s="66">
        <f t="shared" si="122"/>
        <v>0</v>
      </c>
      <c r="AY680" s="71">
        <f t="shared" si="123"/>
        <v>0</v>
      </c>
      <c r="AZ680" s="72">
        <f t="shared" si="124"/>
        <v>453.46666666666664</v>
      </c>
      <c r="BA680" s="66">
        <f t="shared" si="125"/>
        <v>377.53333333333336</v>
      </c>
    </row>
    <row r="681" spans="1:53">
      <c r="A681" s="185" t="s">
        <v>519</v>
      </c>
      <c r="B681" s="167" t="s">
        <v>537</v>
      </c>
      <c r="C681" s="168"/>
      <c r="D681" s="169">
        <v>444954</v>
      </c>
      <c r="E681" s="169">
        <v>10</v>
      </c>
      <c r="F681" s="29" t="s">
        <v>75</v>
      </c>
      <c r="G681" s="16" t="s">
        <v>75</v>
      </c>
      <c r="H681" s="27"/>
      <c r="I681" s="26"/>
      <c r="J681" s="27">
        <v>19787</v>
      </c>
      <c r="K681" s="26">
        <v>19971</v>
      </c>
      <c r="L681" s="27">
        <v>3948</v>
      </c>
      <c r="M681" s="109">
        <v>3488</v>
      </c>
      <c r="N681" s="27">
        <v>21539</v>
      </c>
      <c r="O681" s="26">
        <v>22184</v>
      </c>
      <c r="P681" s="64">
        <f t="shared" si="109"/>
        <v>45274</v>
      </c>
      <c r="Q681" s="65">
        <f t="shared" si="110"/>
        <v>1509.1333333333334</v>
      </c>
      <c r="R681" s="66">
        <f t="shared" si="111"/>
        <v>45643</v>
      </c>
      <c r="S681" s="67">
        <f t="shared" si="112"/>
        <v>1521.4333333333334</v>
      </c>
      <c r="T681" s="27">
        <v>1301</v>
      </c>
      <c r="U681" s="109">
        <v>2019</v>
      </c>
      <c r="V681" s="64">
        <f t="shared" si="113"/>
        <v>45274</v>
      </c>
      <c r="W681" s="68">
        <f t="shared" si="132"/>
        <v>45643</v>
      </c>
      <c r="X681" s="27"/>
      <c r="Y681" s="26"/>
      <c r="Z681" s="27"/>
      <c r="AA681" s="26"/>
      <c r="AB681" s="27"/>
      <c r="AC681" s="26"/>
      <c r="AD681" s="27"/>
      <c r="AE681" s="26"/>
      <c r="AF681" s="64">
        <f t="shared" si="115"/>
        <v>0</v>
      </c>
      <c r="AG681" s="65">
        <f t="shared" si="116"/>
        <v>0</v>
      </c>
      <c r="AH681" s="66">
        <f t="shared" si="134"/>
        <v>0</v>
      </c>
      <c r="AI681" s="66">
        <f t="shared" si="117"/>
        <v>0</v>
      </c>
      <c r="AJ681" s="27"/>
      <c r="AK681" s="26"/>
      <c r="AL681" s="64">
        <f t="shared" si="118"/>
        <v>0</v>
      </c>
      <c r="AM681" s="67">
        <f t="shared" si="133"/>
        <v>0</v>
      </c>
      <c r="AN681" s="27"/>
      <c r="AO681" s="26"/>
      <c r="AP681" s="27"/>
      <c r="AQ681" s="26"/>
      <c r="AR681" s="27"/>
      <c r="AS681" s="26"/>
      <c r="AT681" s="27"/>
      <c r="AU681" s="26"/>
      <c r="AV681" s="64">
        <f t="shared" si="120"/>
        <v>0</v>
      </c>
      <c r="AW681" s="70">
        <f t="shared" si="121"/>
        <v>0</v>
      </c>
      <c r="AX681" s="66">
        <f t="shared" si="122"/>
        <v>0</v>
      </c>
      <c r="AY681" s="71">
        <f t="shared" si="123"/>
        <v>0</v>
      </c>
      <c r="AZ681" s="72">
        <f t="shared" si="124"/>
        <v>1509.1333333333334</v>
      </c>
      <c r="BA681" s="66">
        <f t="shared" si="125"/>
        <v>1521.4333333333334</v>
      </c>
    </row>
    <row r="682" spans="1:53">
      <c r="A682" s="185" t="s">
        <v>519</v>
      </c>
      <c r="B682" s="167" t="s">
        <v>538</v>
      </c>
      <c r="C682" s="168"/>
      <c r="D682" s="169">
        <v>237817</v>
      </c>
      <c r="E682" s="169">
        <v>10</v>
      </c>
      <c r="F682" s="29" t="s">
        <v>75</v>
      </c>
      <c r="G682" s="16" t="s">
        <v>75</v>
      </c>
      <c r="H682" s="27"/>
      <c r="I682" s="26"/>
      <c r="J682" s="27">
        <v>17542</v>
      </c>
      <c r="K682" s="26">
        <v>17642</v>
      </c>
      <c r="L682" s="27">
        <v>1238</v>
      </c>
      <c r="M682" s="26">
        <v>1289</v>
      </c>
      <c r="N682" s="27">
        <v>18681</v>
      </c>
      <c r="O682" s="26">
        <v>19457</v>
      </c>
      <c r="P682" s="64">
        <f t="shared" si="109"/>
        <v>37461</v>
      </c>
      <c r="Q682" s="65">
        <f t="shared" si="110"/>
        <v>1248.7</v>
      </c>
      <c r="R682" s="66">
        <f t="shared" si="111"/>
        <v>38388</v>
      </c>
      <c r="S682" s="67">
        <f t="shared" si="112"/>
        <v>1279.5999999999999</v>
      </c>
      <c r="T682" s="27">
        <v>1081</v>
      </c>
      <c r="U682" s="109">
        <v>776</v>
      </c>
      <c r="V682" s="64">
        <f t="shared" si="113"/>
        <v>37461</v>
      </c>
      <c r="W682" s="68">
        <f t="shared" si="132"/>
        <v>38388</v>
      </c>
      <c r="X682" s="27"/>
      <c r="Y682" s="26"/>
      <c r="Z682" s="27"/>
      <c r="AA682" s="26"/>
      <c r="AB682" s="27"/>
      <c r="AC682" s="26"/>
      <c r="AD682" s="27"/>
      <c r="AE682" s="26"/>
      <c r="AF682" s="64">
        <f t="shared" si="115"/>
        <v>0</v>
      </c>
      <c r="AG682" s="65">
        <f t="shared" si="116"/>
        <v>0</v>
      </c>
      <c r="AH682" s="66">
        <f t="shared" si="134"/>
        <v>0</v>
      </c>
      <c r="AI682" s="66">
        <f t="shared" si="117"/>
        <v>0</v>
      </c>
      <c r="AJ682" s="27"/>
      <c r="AK682" s="26"/>
      <c r="AL682" s="64">
        <f t="shared" si="118"/>
        <v>0</v>
      </c>
      <c r="AM682" s="67">
        <f t="shared" si="133"/>
        <v>0</v>
      </c>
      <c r="AN682" s="27"/>
      <c r="AO682" s="26"/>
      <c r="AP682" s="27"/>
      <c r="AQ682" s="26"/>
      <c r="AR682" s="27"/>
      <c r="AS682" s="26"/>
      <c r="AT682" s="27"/>
      <c r="AU682" s="26"/>
      <c r="AV682" s="64">
        <f t="shared" si="120"/>
        <v>0</v>
      </c>
      <c r="AW682" s="70">
        <f t="shared" si="121"/>
        <v>0</v>
      </c>
      <c r="AX682" s="66">
        <f t="shared" si="122"/>
        <v>0</v>
      </c>
      <c r="AY682" s="71">
        <f t="shared" si="123"/>
        <v>0</v>
      </c>
      <c r="AZ682" s="72">
        <f t="shared" si="124"/>
        <v>1248.7</v>
      </c>
      <c r="BA682" s="66">
        <f t="shared" si="125"/>
        <v>1279.5999999999999</v>
      </c>
    </row>
    <row r="683" spans="1:53">
      <c r="A683" s="185" t="s">
        <v>519</v>
      </c>
      <c r="B683" s="167" t="s">
        <v>539</v>
      </c>
      <c r="C683" s="170"/>
      <c r="D683" s="169">
        <v>238014</v>
      </c>
      <c r="E683" s="169">
        <v>10</v>
      </c>
      <c r="F683" s="29" t="s">
        <v>75</v>
      </c>
      <c r="G683" s="16" t="s">
        <v>75</v>
      </c>
      <c r="H683" s="27"/>
      <c r="I683" s="26"/>
      <c r="J683" s="27">
        <v>16874.2</v>
      </c>
      <c r="K683" s="26">
        <v>16133.8</v>
      </c>
      <c r="L683" s="27">
        <v>4180</v>
      </c>
      <c r="M683" s="109">
        <v>3937</v>
      </c>
      <c r="N683" s="27">
        <v>18429.400000000001</v>
      </c>
      <c r="O683" s="26">
        <v>17746.599999999999</v>
      </c>
      <c r="P683" s="64">
        <f t="shared" si="109"/>
        <v>39483.600000000006</v>
      </c>
      <c r="Q683" s="65">
        <f t="shared" si="110"/>
        <v>1316.1200000000001</v>
      </c>
      <c r="R683" s="66">
        <f t="shared" si="111"/>
        <v>37817.399999999994</v>
      </c>
      <c r="S683" s="67">
        <f t="shared" si="112"/>
        <v>1260.5799999999997</v>
      </c>
      <c r="T683" s="27">
        <v>3028</v>
      </c>
      <c r="U683" s="109">
        <v>3431</v>
      </c>
      <c r="V683" s="64">
        <f t="shared" si="113"/>
        <v>39483.600000000006</v>
      </c>
      <c r="W683" s="68">
        <f t="shared" si="132"/>
        <v>37817.399999999994</v>
      </c>
      <c r="X683" s="27"/>
      <c r="Y683" s="26"/>
      <c r="Z683" s="27"/>
      <c r="AA683" s="26"/>
      <c r="AB683" s="27"/>
      <c r="AC683" s="26"/>
      <c r="AD683" s="27"/>
      <c r="AE683" s="26"/>
      <c r="AF683" s="64">
        <f t="shared" si="115"/>
        <v>0</v>
      </c>
      <c r="AG683" s="65">
        <f t="shared" si="116"/>
        <v>0</v>
      </c>
      <c r="AH683" s="66">
        <f t="shared" si="134"/>
        <v>0</v>
      </c>
      <c r="AI683" s="66">
        <f t="shared" si="117"/>
        <v>0</v>
      </c>
      <c r="AJ683" s="27"/>
      <c r="AK683" s="26"/>
      <c r="AL683" s="64">
        <f t="shared" si="118"/>
        <v>0</v>
      </c>
      <c r="AM683" s="67">
        <f t="shared" si="133"/>
        <v>0</v>
      </c>
      <c r="AN683" s="27"/>
      <c r="AO683" s="26"/>
      <c r="AP683" s="27"/>
      <c r="AQ683" s="26"/>
      <c r="AR683" s="27"/>
      <c r="AS683" s="26"/>
      <c r="AT683" s="27"/>
      <c r="AU683" s="26"/>
      <c r="AV683" s="64">
        <f t="shared" si="120"/>
        <v>0</v>
      </c>
      <c r="AW683" s="70">
        <f t="shared" si="121"/>
        <v>0</v>
      </c>
      <c r="AX683" s="66">
        <f t="shared" si="122"/>
        <v>0</v>
      </c>
      <c r="AY683" s="71">
        <f t="shared" si="123"/>
        <v>0</v>
      </c>
      <c r="AZ683" s="72">
        <f t="shared" si="124"/>
        <v>1316.1200000000001</v>
      </c>
      <c r="BA683" s="66">
        <f t="shared" si="125"/>
        <v>1260.5799999999997</v>
      </c>
    </row>
    <row r="684" spans="1:53">
      <c r="D684" s="114"/>
      <c r="F684" s="114"/>
      <c r="G684" s="114"/>
      <c r="H684" s="114"/>
      <c r="I684" s="114"/>
      <c r="J684" s="114"/>
      <c r="K684" s="114"/>
      <c r="L684" s="114"/>
      <c r="M684" s="114"/>
      <c r="N684" s="114"/>
      <c r="O684" s="114"/>
      <c r="P684" s="114"/>
      <c r="Q684" s="114"/>
      <c r="R684" s="114"/>
      <c r="S684" s="114"/>
      <c r="T684" s="114"/>
      <c r="U684" s="114"/>
      <c r="V684" s="114"/>
      <c r="W684" s="114"/>
      <c r="X684" s="114"/>
      <c r="Y684" s="114"/>
      <c r="Z684" s="114"/>
      <c r="AA684" s="114"/>
      <c r="AB684" s="114"/>
      <c r="AC684" s="114"/>
      <c r="AD684" s="114"/>
      <c r="AE684" s="114"/>
      <c r="AF684" s="114"/>
      <c r="AG684" s="114"/>
      <c r="AH684" s="114"/>
      <c r="AI684" s="114"/>
      <c r="AJ684" s="114"/>
      <c r="AK684" s="114"/>
      <c r="AL684" s="114"/>
      <c r="AM684" s="114"/>
      <c r="AN684" s="114"/>
      <c r="AO684" s="114"/>
      <c r="AP684" s="114"/>
      <c r="AQ684" s="114"/>
      <c r="AR684" s="114"/>
      <c r="AS684" s="114"/>
      <c r="AT684" s="114"/>
      <c r="AU684" s="114"/>
      <c r="AV684" s="114"/>
      <c r="AW684" s="114"/>
      <c r="AX684" s="114"/>
    </row>
    <row r="685" spans="1:53">
      <c r="D685" s="114"/>
      <c r="F685" s="114"/>
      <c r="G685" s="114"/>
      <c r="H685" s="114"/>
      <c r="I685" s="114"/>
      <c r="J685" s="114"/>
      <c r="K685" s="114"/>
      <c r="L685" s="114"/>
      <c r="M685" s="114"/>
      <c r="N685" s="114"/>
      <c r="O685" s="114"/>
      <c r="P685" s="114"/>
      <c r="Q685" s="114"/>
      <c r="R685" s="114"/>
      <c r="S685" s="114"/>
      <c r="T685" s="114"/>
      <c r="U685" s="114"/>
      <c r="V685" s="114"/>
      <c r="W685" s="114"/>
      <c r="X685" s="114"/>
      <c r="Y685" s="114"/>
      <c r="Z685" s="114"/>
      <c r="AA685" s="114"/>
      <c r="AB685" s="114"/>
      <c r="AC685" s="114"/>
      <c r="AD685" s="114"/>
      <c r="AE685" s="114"/>
      <c r="AF685" s="114"/>
      <c r="AG685" s="114"/>
      <c r="AH685" s="114"/>
      <c r="AI685" s="114"/>
      <c r="AJ685" s="114"/>
      <c r="AK685" s="114"/>
      <c r="AL685" s="114"/>
      <c r="AM685" s="114"/>
      <c r="AN685" s="114"/>
      <c r="AO685" s="114"/>
      <c r="AP685" s="114"/>
      <c r="AQ685" s="114"/>
      <c r="AR685" s="114"/>
      <c r="AS685" s="114"/>
      <c r="AT685" s="114"/>
      <c r="AU685" s="114"/>
      <c r="AV685" s="114"/>
      <c r="AW685" s="114"/>
      <c r="AX685" s="114"/>
    </row>
    <row r="686" spans="1:53">
      <c r="D686" s="114"/>
      <c r="F686" s="114"/>
      <c r="G686" s="114"/>
      <c r="H686" s="114"/>
      <c r="I686" s="114"/>
      <c r="J686" s="114"/>
      <c r="K686" s="114"/>
      <c r="L686" s="114"/>
      <c r="M686" s="114"/>
      <c r="N686" s="114"/>
      <c r="O686" s="114"/>
      <c r="P686" s="114"/>
      <c r="Q686" s="114"/>
      <c r="R686" s="114"/>
      <c r="S686" s="114"/>
      <c r="T686" s="114"/>
      <c r="U686" s="114"/>
      <c r="V686" s="114"/>
      <c r="W686" s="114"/>
      <c r="X686" s="114"/>
      <c r="Y686" s="114"/>
      <c r="Z686" s="114"/>
      <c r="AA686" s="114"/>
      <c r="AB686" s="114"/>
      <c r="AC686" s="114"/>
      <c r="AD686" s="114"/>
      <c r="AE686" s="114"/>
      <c r="AF686" s="114"/>
      <c r="AG686" s="114"/>
      <c r="AH686" s="114"/>
      <c r="AI686" s="114"/>
      <c r="AJ686" s="114"/>
      <c r="AK686" s="114"/>
      <c r="AL686" s="114"/>
      <c r="AM686" s="114"/>
      <c r="AN686" s="114"/>
      <c r="AO686" s="114"/>
      <c r="AP686" s="114"/>
      <c r="AQ686" s="114"/>
      <c r="AR686" s="114"/>
      <c r="AS686" s="114"/>
      <c r="AT686" s="114"/>
      <c r="AU686" s="114"/>
      <c r="AV686" s="114"/>
      <c r="AW686" s="114"/>
      <c r="AX686" s="114"/>
    </row>
    <row r="687" spans="1:53">
      <c r="D687" s="114"/>
      <c r="F687" s="114"/>
      <c r="G687" s="114"/>
      <c r="H687" s="114"/>
      <c r="I687" s="114"/>
      <c r="J687" s="114"/>
      <c r="K687" s="114"/>
      <c r="L687" s="114"/>
      <c r="M687" s="114"/>
      <c r="N687" s="114"/>
      <c r="O687" s="114"/>
      <c r="P687" s="114"/>
      <c r="Q687" s="114"/>
      <c r="R687" s="114"/>
      <c r="S687" s="114"/>
      <c r="T687" s="114"/>
      <c r="U687" s="114"/>
      <c r="V687" s="114"/>
      <c r="W687" s="114"/>
      <c r="X687" s="114"/>
      <c r="Y687" s="114"/>
      <c r="Z687" s="114"/>
      <c r="AA687" s="114"/>
      <c r="AB687" s="114"/>
      <c r="AC687" s="114"/>
      <c r="AD687" s="114"/>
      <c r="AE687" s="114"/>
      <c r="AF687" s="114"/>
      <c r="AG687" s="114"/>
      <c r="AH687" s="114"/>
      <c r="AI687" s="114"/>
      <c r="AJ687" s="114"/>
      <c r="AK687" s="114"/>
      <c r="AL687" s="114"/>
      <c r="AM687" s="114"/>
      <c r="AN687" s="114"/>
      <c r="AO687" s="114"/>
      <c r="AP687" s="114"/>
      <c r="AQ687" s="114"/>
      <c r="AR687" s="114"/>
      <c r="AS687" s="114"/>
      <c r="AT687" s="114"/>
      <c r="AU687" s="114"/>
      <c r="AV687" s="114"/>
      <c r="AW687" s="114"/>
      <c r="AX687" s="114"/>
    </row>
    <row r="688" spans="1:53">
      <c r="D688" s="114"/>
      <c r="F688" s="114"/>
      <c r="G688" s="114"/>
      <c r="H688" s="114"/>
      <c r="I688" s="114"/>
      <c r="J688" s="114"/>
      <c r="K688" s="114"/>
      <c r="L688" s="114"/>
      <c r="M688" s="114"/>
      <c r="N688" s="114"/>
      <c r="O688" s="114"/>
      <c r="P688" s="114"/>
      <c r="Q688" s="114"/>
      <c r="R688" s="114"/>
      <c r="S688" s="114"/>
      <c r="T688" s="114"/>
      <c r="U688" s="114"/>
      <c r="V688" s="114"/>
      <c r="W688" s="114"/>
      <c r="X688" s="114"/>
      <c r="Y688" s="114"/>
      <c r="Z688" s="114"/>
      <c r="AA688" s="114"/>
      <c r="AB688" s="114"/>
      <c r="AC688" s="114"/>
      <c r="AD688" s="114"/>
      <c r="AE688" s="114"/>
      <c r="AF688" s="114"/>
      <c r="AG688" s="114"/>
      <c r="AH688" s="114"/>
      <c r="AI688" s="114"/>
      <c r="AJ688" s="114"/>
      <c r="AK688" s="114"/>
      <c r="AL688" s="114"/>
      <c r="AM688" s="114"/>
      <c r="AN688" s="114"/>
      <c r="AO688" s="114"/>
      <c r="AP688" s="114"/>
      <c r="AQ688" s="114"/>
      <c r="AR688" s="114"/>
      <c r="AS688" s="114"/>
      <c r="AT688" s="114"/>
      <c r="AU688" s="114"/>
      <c r="AV688" s="114"/>
      <c r="AW688" s="114"/>
      <c r="AX688" s="114"/>
    </row>
    <row r="689" spans="4:50">
      <c r="D689" s="114"/>
      <c r="F689" s="114"/>
      <c r="G689" s="114"/>
      <c r="H689" s="114"/>
      <c r="I689" s="114"/>
      <c r="J689" s="114"/>
      <c r="K689" s="114"/>
      <c r="L689" s="114"/>
      <c r="M689" s="114"/>
      <c r="N689" s="114"/>
      <c r="O689" s="114"/>
      <c r="P689" s="114"/>
      <c r="Q689" s="114"/>
      <c r="R689" s="114"/>
      <c r="S689" s="114"/>
      <c r="T689" s="114"/>
      <c r="U689" s="114"/>
      <c r="V689" s="114"/>
      <c r="W689" s="114"/>
      <c r="X689" s="114"/>
      <c r="Y689" s="114"/>
      <c r="Z689" s="114"/>
      <c r="AA689" s="114"/>
      <c r="AB689" s="114"/>
      <c r="AC689" s="114"/>
      <c r="AD689" s="114"/>
      <c r="AE689" s="114"/>
      <c r="AF689" s="114"/>
      <c r="AG689" s="114"/>
      <c r="AH689" s="114"/>
      <c r="AI689" s="114"/>
      <c r="AJ689" s="114"/>
      <c r="AK689" s="114"/>
      <c r="AL689" s="114"/>
      <c r="AM689" s="114"/>
      <c r="AN689" s="114"/>
      <c r="AO689" s="114"/>
      <c r="AP689" s="114"/>
      <c r="AQ689" s="114"/>
      <c r="AR689" s="114"/>
      <c r="AS689" s="114"/>
      <c r="AT689" s="114"/>
      <c r="AU689" s="114"/>
      <c r="AV689" s="114"/>
      <c r="AW689" s="114"/>
      <c r="AX689" s="114"/>
    </row>
    <row r="690" spans="4:50">
      <c r="D690" s="114"/>
      <c r="F690" s="114"/>
      <c r="G690" s="114"/>
      <c r="H690" s="114"/>
      <c r="I690" s="114"/>
      <c r="J690" s="114"/>
      <c r="K690" s="114"/>
      <c r="L690" s="114"/>
      <c r="M690" s="114"/>
      <c r="N690" s="114"/>
      <c r="O690" s="114"/>
      <c r="P690" s="114"/>
      <c r="Q690" s="114"/>
      <c r="R690" s="114"/>
      <c r="S690" s="114"/>
      <c r="T690" s="114"/>
      <c r="U690" s="114"/>
      <c r="V690" s="114"/>
      <c r="W690" s="114"/>
      <c r="X690" s="114"/>
      <c r="Y690" s="114"/>
      <c r="Z690" s="114"/>
      <c r="AA690" s="114"/>
      <c r="AB690" s="114"/>
      <c r="AC690" s="114"/>
      <c r="AD690" s="114"/>
      <c r="AE690" s="114"/>
      <c r="AF690" s="114"/>
      <c r="AG690" s="114"/>
      <c r="AH690" s="114"/>
      <c r="AI690" s="114"/>
      <c r="AJ690" s="114"/>
      <c r="AK690" s="114"/>
      <c r="AL690" s="114"/>
      <c r="AM690" s="114"/>
      <c r="AN690" s="114"/>
      <c r="AO690" s="114"/>
      <c r="AP690" s="114"/>
      <c r="AQ690" s="114"/>
      <c r="AR690" s="114"/>
      <c r="AS690" s="114"/>
      <c r="AT690" s="114"/>
      <c r="AU690" s="114"/>
      <c r="AV690" s="114"/>
      <c r="AW690" s="114"/>
      <c r="AX690" s="114"/>
    </row>
    <row r="691" spans="4:50">
      <c r="D691" s="114"/>
      <c r="F691" s="114"/>
      <c r="G691" s="114"/>
      <c r="H691" s="114"/>
      <c r="I691" s="114"/>
      <c r="J691" s="114"/>
      <c r="K691" s="114"/>
      <c r="L691" s="114"/>
      <c r="M691" s="114"/>
      <c r="N691" s="114"/>
      <c r="O691" s="114"/>
      <c r="P691" s="114"/>
      <c r="Q691" s="114"/>
      <c r="R691" s="114"/>
      <c r="S691" s="114"/>
      <c r="T691" s="114"/>
      <c r="U691" s="114"/>
      <c r="V691" s="114"/>
      <c r="W691" s="114"/>
      <c r="X691" s="114"/>
      <c r="Y691" s="114"/>
      <c r="Z691" s="114"/>
      <c r="AA691" s="114"/>
      <c r="AB691" s="114"/>
      <c r="AC691" s="114"/>
      <c r="AD691" s="114"/>
      <c r="AE691" s="114"/>
      <c r="AF691" s="114"/>
      <c r="AG691" s="114"/>
      <c r="AH691" s="114"/>
      <c r="AI691" s="114"/>
      <c r="AJ691" s="114"/>
      <c r="AK691" s="114"/>
      <c r="AL691" s="114"/>
      <c r="AM691" s="114"/>
      <c r="AN691" s="114"/>
      <c r="AO691" s="114"/>
      <c r="AP691" s="114"/>
      <c r="AQ691" s="114"/>
      <c r="AR691" s="114"/>
      <c r="AS691" s="114"/>
      <c r="AT691" s="114"/>
      <c r="AU691" s="114"/>
      <c r="AV691" s="114"/>
      <c r="AW691" s="114"/>
      <c r="AX691" s="114"/>
    </row>
    <row r="692" spans="4:50">
      <c r="D692" s="114"/>
      <c r="F692" s="114"/>
      <c r="G692" s="114"/>
      <c r="H692" s="114"/>
      <c r="I692" s="114"/>
      <c r="J692" s="114"/>
      <c r="K692" s="114"/>
      <c r="L692" s="114"/>
      <c r="M692" s="114"/>
      <c r="N692" s="114"/>
      <c r="O692" s="114"/>
      <c r="P692" s="114"/>
      <c r="Q692" s="114"/>
      <c r="R692" s="114"/>
      <c r="S692" s="114"/>
      <c r="T692" s="114"/>
      <c r="U692" s="114"/>
      <c r="V692" s="114"/>
      <c r="W692" s="114"/>
      <c r="X692" s="114"/>
      <c r="Y692" s="114"/>
      <c r="Z692" s="114"/>
      <c r="AA692" s="114"/>
      <c r="AB692" s="114"/>
      <c r="AC692" s="114"/>
      <c r="AD692" s="114"/>
      <c r="AE692" s="114"/>
      <c r="AF692" s="114"/>
      <c r="AG692" s="114"/>
      <c r="AH692" s="114"/>
      <c r="AI692" s="114"/>
      <c r="AJ692" s="114"/>
      <c r="AK692" s="114"/>
      <c r="AL692" s="114"/>
      <c r="AM692" s="114"/>
      <c r="AN692" s="114"/>
      <c r="AO692" s="114"/>
      <c r="AP692" s="114"/>
      <c r="AQ692" s="114"/>
      <c r="AR692" s="114"/>
      <c r="AS692" s="114"/>
      <c r="AT692" s="114"/>
      <c r="AU692" s="114"/>
      <c r="AV692" s="114"/>
      <c r="AW692" s="114"/>
      <c r="AX692" s="114"/>
    </row>
    <row r="693" spans="4:50">
      <c r="D693" s="114"/>
      <c r="F693" s="114"/>
      <c r="G693" s="114"/>
      <c r="H693" s="114"/>
      <c r="I693" s="114"/>
      <c r="J693" s="114"/>
      <c r="K693" s="114"/>
      <c r="L693" s="114"/>
      <c r="M693" s="114"/>
      <c r="N693" s="114"/>
      <c r="O693" s="114"/>
      <c r="P693" s="114"/>
      <c r="Q693" s="114"/>
      <c r="R693" s="114"/>
      <c r="S693" s="114"/>
      <c r="T693" s="114"/>
      <c r="U693" s="114"/>
      <c r="V693" s="114"/>
      <c r="W693" s="114"/>
      <c r="X693" s="114"/>
      <c r="Y693" s="114"/>
      <c r="Z693" s="114"/>
      <c r="AA693" s="114"/>
      <c r="AB693" s="114"/>
      <c r="AC693" s="114"/>
      <c r="AD693" s="114"/>
      <c r="AE693" s="114"/>
      <c r="AF693" s="114"/>
      <c r="AG693" s="114"/>
      <c r="AH693" s="114"/>
      <c r="AI693" s="114"/>
      <c r="AJ693" s="114"/>
      <c r="AK693" s="114"/>
      <c r="AL693" s="114"/>
      <c r="AM693" s="114"/>
      <c r="AN693" s="114"/>
      <c r="AO693" s="114"/>
      <c r="AP693" s="114"/>
      <c r="AQ693" s="114"/>
      <c r="AR693" s="114"/>
      <c r="AS693" s="114"/>
      <c r="AT693" s="114"/>
      <c r="AU693" s="114"/>
      <c r="AV693" s="114"/>
      <c r="AW693" s="114"/>
      <c r="AX693" s="114"/>
    </row>
    <row r="694" spans="4:50">
      <c r="D694" s="114"/>
      <c r="F694" s="114"/>
      <c r="G694" s="114"/>
      <c r="H694" s="114"/>
      <c r="I694" s="114"/>
      <c r="J694" s="114"/>
      <c r="K694" s="114"/>
      <c r="L694" s="114"/>
      <c r="M694" s="114"/>
      <c r="N694" s="114"/>
      <c r="O694" s="114"/>
      <c r="P694" s="114"/>
      <c r="Q694" s="114"/>
      <c r="R694" s="114"/>
      <c r="S694" s="114"/>
      <c r="T694" s="114"/>
      <c r="U694" s="114"/>
      <c r="V694" s="114"/>
      <c r="W694" s="114"/>
      <c r="X694" s="114"/>
      <c r="Y694" s="114"/>
      <c r="Z694" s="114"/>
      <c r="AA694" s="114"/>
      <c r="AB694" s="114"/>
      <c r="AC694" s="114"/>
      <c r="AD694" s="114"/>
      <c r="AE694" s="114"/>
      <c r="AF694" s="114"/>
      <c r="AG694" s="114"/>
      <c r="AH694" s="114"/>
      <c r="AI694" s="114"/>
      <c r="AJ694" s="114"/>
      <c r="AK694" s="114"/>
      <c r="AL694" s="114"/>
      <c r="AM694" s="114"/>
      <c r="AN694" s="114"/>
      <c r="AO694" s="114"/>
      <c r="AP694" s="114"/>
      <c r="AQ694" s="114"/>
      <c r="AR694" s="114"/>
      <c r="AS694" s="114"/>
      <c r="AT694" s="114"/>
      <c r="AU694" s="114"/>
      <c r="AV694" s="114"/>
      <c r="AW694" s="114"/>
      <c r="AX694" s="114"/>
    </row>
    <row r="695" spans="4:50">
      <c r="D695" s="114"/>
      <c r="F695" s="114"/>
      <c r="G695" s="114"/>
      <c r="H695" s="114"/>
      <c r="I695" s="114"/>
      <c r="J695" s="114"/>
      <c r="K695" s="114"/>
      <c r="L695" s="114"/>
      <c r="M695" s="114"/>
      <c r="N695" s="114"/>
      <c r="O695" s="114"/>
      <c r="P695" s="114"/>
      <c r="Q695" s="114"/>
      <c r="R695" s="114"/>
      <c r="S695" s="114"/>
      <c r="T695" s="114"/>
      <c r="U695" s="114"/>
      <c r="V695" s="114"/>
      <c r="W695" s="114"/>
      <c r="X695" s="114"/>
      <c r="Y695" s="114"/>
      <c r="Z695" s="114"/>
      <c r="AA695" s="114"/>
      <c r="AB695" s="114"/>
      <c r="AC695" s="114"/>
      <c r="AD695" s="114"/>
      <c r="AE695" s="114"/>
      <c r="AF695" s="114"/>
      <c r="AG695" s="114"/>
      <c r="AH695" s="114"/>
      <c r="AI695" s="114"/>
      <c r="AJ695" s="114"/>
      <c r="AK695" s="114"/>
      <c r="AL695" s="114"/>
      <c r="AM695" s="114"/>
      <c r="AN695" s="114"/>
      <c r="AO695" s="114"/>
      <c r="AP695" s="114"/>
      <c r="AQ695" s="114"/>
      <c r="AR695" s="114"/>
      <c r="AS695" s="114"/>
      <c r="AT695" s="114"/>
      <c r="AU695" s="114"/>
      <c r="AV695" s="114"/>
      <c r="AW695" s="114"/>
      <c r="AX695" s="114"/>
    </row>
    <row r="696" spans="4:50">
      <c r="D696" s="114"/>
      <c r="F696" s="114"/>
      <c r="G696" s="114"/>
      <c r="H696" s="114"/>
      <c r="I696" s="114"/>
      <c r="J696" s="114"/>
      <c r="K696" s="114"/>
      <c r="L696" s="114"/>
      <c r="M696" s="114"/>
      <c r="N696" s="114"/>
      <c r="O696" s="114"/>
      <c r="P696" s="114"/>
      <c r="Q696" s="114"/>
      <c r="R696" s="114"/>
      <c r="S696" s="114"/>
      <c r="T696" s="114"/>
      <c r="U696" s="114"/>
      <c r="V696" s="114"/>
      <c r="W696" s="114"/>
      <c r="X696" s="114"/>
      <c r="Y696" s="114"/>
      <c r="Z696" s="114"/>
      <c r="AA696" s="114"/>
      <c r="AB696" s="114"/>
      <c r="AC696" s="114"/>
      <c r="AD696" s="114"/>
      <c r="AE696" s="114"/>
      <c r="AF696" s="114"/>
      <c r="AG696" s="114"/>
      <c r="AH696" s="114"/>
      <c r="AI696" s="114"/>
      <c r="AJ696" s="114"/>
      <c r="AK696" s="114"/>
      <c r="AL696" s="114"/>
      <c r="AM696" s="114"/>
      <c r="AN696" s="114"/>
      <c r="AO696" s="114"/>
      <c r="AP696" s="114"/>
      <c r="AQ696" s="114"/>
      <c r="AR696" s="114"/>
      <c r="AS696" s="114"/>
      <c r="AT696" s="114"/>
      <c r="AU696" s="114"/>
      <c r="AV696" s="114"/>
      <c r="AW696" s="114"/>
      <c r="AX696" s="114"/>
    </row>
    <row r="697" spans="4:50">
      <c r="D697" s="114"/>
      <c r="F697" s="114"/>
      <c r="G697" s="114"/>
      <c r="H697" s="114"/>
      <c r="I697" s="114"/>
      <c r="J697" s="114"/>
      <c r="K697" s="114"/>
      <c r="L697" s="114"/>
      <c r="M697" s="114"/>
      <c r="N697" s="114"/>
      <c r="O697" s="114"/>
      <c r="P697" s="114"/>
      <c r="Q697" s="114"/>
      <c r="R697" s="114"/>
      <c r="S697" s="114"/>
      <c r="T697" s="114"/>
      <c r="U697" s="114"/>
      <c r="V697" s="114"/>
      <c r="W697" s="114"/>
      <c r="X697" s="114"/>
      <c r="Y697" s="114"/>
      <c r="Z697" s="114"/>
      <c r="AA697" s="114"/>
      <c r="AB697" s="114"/>
      <c r="AC697" s="114"/>
      <c r="AD697" s="114"/>
      <c r="AE697" s="114"/>
      <c r="AF697" s="114"/>
      <c r="AG697" s="114"/>
      <c r="AH697" s="114"/>
      <c r="AI697" s="114"/>
      <c r="AJ697" s="114"/>
      <c r="AK697" s="114"/>
      <c r="AL697" s="114"/>
      <c r="AM697" s="114"/>
      <c r="AN697" s="114"/>
      <c r="AO697" s="114"/>
      <c r="AP697" s="114"/>
      <c r="AQ697" s="114"/>
      <c r="AR697" s="114"/>
      <c r="AS697" s="114"/>
      <c r="AT697" s="114"/>
      <c r="AU697" s="114"/>
      <c r="AV697" s="114"/>
      <c r="AW697" s="114"/>
      <c r="AX697" s="114"/>
    </row>
    <row r="698" spans="4:50">
      <c r="D698" s="114"/>
      <c r="F698" s="114"/>
      <c r="G698" s="114"/>
      <c r="H698" s="114"/>
      <c r="I698" s="114"/>
      <c r="J698" s="114"/>
      <c r="K698" s="114"/>
      <c r="L698" s="114"/>
      <c r="M698" s="114"/>
      <c r="N698" s="114"/>
      <c r="O698" s="114"/>
      <c r="P698" s="114"/>
      <c r="Q698" s="114"/>
      <c r="R698" s="114"/>
      <c r="S698" s="114"/>
      <c r="T698" s="114"/>
      <c r="U698" s="114"/>
      <c r="V698" s="114"/>
      <c r="W698" s="114"/>
      <c r="X698" s="114"/>
      <c r="Y698" s="114"/>
      <c r="Z698" s="114"/>
      <c r="AA698" s="114"/>
      <c r="AB698" s="114"/>
      <c r="AC698" s="114"/>
      <c r="AD698" s="114"/>
      <c r="AE698" s="114"/>
      <c r="AF698" s="114"/>
      <c r="AG698" s="114"/>
      <c r="AH698" s="114"/>
      <c r="AI698" s="114"/>
      <c r="AJ698" s="114"/>
      <c r="AK698" s="114"/>
      <c r="AL698" s="114"/>
      <c r="AM698" s="114"/>
      <c r="AN698" s="114"/>
      <c r="AO698" s="114"/>
      <c r="AP698" s="114"/>
      <c r="AQ698" s="114"/>
      <c r="AR698" s="114"/>
      <c r="AS698" s="114"/>
      <c r="AT698" s="114"/>
      <c r="AU698" s="114"/>
      <c r="AV698" s="114"/>
      <c r="AW698" s="114"/>
      <c r="AX698" s="114"/>
    </row>
    <row r="699" spans="4:50">
      <c r="D699" s="114"/>
      <c r="F699" s="114"/>
      <c r="G699" s="114"/>
      <c r="H699" s="114"/>
      <c r="I699" s="114"/>
      <c r="J699" s="114"/>
      <c r="K699" s="114"/>
      <c r="L699" s="114"/>
      <c r="M699" s="114"/>
      <c r="N699" s="114"/>
      <c r="O699" s="114"/>
      <c r="P699" s="114"/>
      <c r="Q699" s="114"/>
      <c r="R699" s="114"/>
      <c r="S699" s="114"/>
      <c r="T699" s="114"/>
      <c r="U699" s="114"/>
      <c r="V699" s="114"/>
      <c r="W699" s="114"/>
      <c r="X699" s="114"/>
      <c r="Y699" s="114"/>
      <c r="Z699" s="114"/>
      <c r="AA699" s="114"/>
      <c r="AB699" s="114"/>
      <c r="AC699" s="114"/>
      <c r="AD699" s="114"/>
      <c r="AE699" s="114"/>
      <c r="AF699" s="114"/>
      <c r="AG699" s="114"/>
      <c r="AH699" s="114"/>
      <c r="AI699" s="114"/>
      <c r="AJ699" s="114"/>
      <c r="AK699" s="114"/>
      <c r="AL699" s="114"/>
      <c r="AM699" s="114"/>
      <c r="AN699" s="114"/>
      <c r="AO699" s="114"/>
      <c r="AP699" s="114"/>
      <c r="AQ699" s="114"/>
      <c r="AR699" s="114"/>
      <c r="AS699" s="114"/>
      <c r="AT699" s="114"/>
      <c r="AU699" s="114"/>
      <c r="AV699" s="114"/>
      <c r="AW699" s="114"/>
      <c r="AX699" s="114"/>
    </row>
    <row r="700" spans="4:50">
      <c r="D700" s="114"/>
      <c r="F700" s="114"/>
      <c r="G700" s="114"/>
      <c r="H700" s="114"/>
      <c r="I700" s="114"/>
      <c r="J700" s="114"/>
      <c r="K700" s="114"/>
      <c r="L700" s="114"/>
      <c r="M700" s="114"/>
      <c r="N700" s="114"/>
      <c r="O700" s="114"/>
      <c r="P700" s="114"/>
      <c r="Q700" s="114"/>
      <c r="R700" s="114"/>
      <c r="S700" s="114"/>
      <c r="T700" s="114"/>
      <c r="U700" s="114"/>
      <c r="V700" s="114"/>
      <c r="W700" s="114"/>
      <c r="X700" s="114"/>
      <c r="Y700" s="114"/>
      <c r="Z700" s="114"/>
      <c r="AA700" s="114"/>
      <c r="AB700" s="114"/>
      <c r="AC700" s="114"/>
      <c r="AD700" s="114"/>
      <c r="AE700" s="114"/>
      <c r="AF700" s="114"/>
      <c r="AG700" s="114"/>
      <c r="AH700" s="114"/>
      <c r="AI700" s="114"/>
      <c r="AJ700" s="114"/>
      <c r="AK700" s="114"/>
      <c r="AL700" s="114"/>
      <c r="AM700" s="114"/>
      <c r="AN700" s="114"/>
      <c r="AO700" s="114"/>
      <c r="AP700" s="114"/>
      <c r="AQ700" s="114"/>
      <c r="AR700" s="114"/>
      <c r="AS700" s="114"/>
      <c r="AT700" s="114"/>
      <c r="AU700" s="114"/>
      <c r="AV700" s="114"/>
      <c r="AW700" s="114"/>
      <c r="AX700" s="114"/>
    </row>
    <row r="701" spans="4:50">
      <c r="D701" s="114"/>
      <c r="F701" s="114"/>
      <c r="G701" s="114"/>
      <c r="H701" s="114"/>
      <c r="I701" s="114"/>
      <c r="J701" s="114"/>
      <c r="K701" s="114"/>
      <c r="L701" s="114"/>
      <c r="M701" s="114"/>
      <c r="N701" s="114"/>
      <c r="O701" s="114"/>
      <c r="P701" s="114"/>
      <c r="Q701" s="114"/>
      <c r="R701" s="114"/>
      <c r="S701" s="114"/>
      <c r="T701" s="114"/>
      <c r="U701" s="114"/>
      <c r="V701" s="114"/>
      <c r="W701" s="114"/>
      <c r="X701" s="114"/>
      <c r="Y701" s="114"/>
      <c r="Z701" s="114"/>
      <c r="AA701" s="114"/>
      <c r="AB701" s="114"/>
      <c r="AC701" s="114"/>
      <c r="AD701" s="114"/>
      <c r="AE701" s="114"/>
      <c r="AF701" s="114"/>
      <c r="AG701" s="114"/>
      <c r="AH701" s="114"/>
      <c r="AI701" s="114"/>
      <c r="AJ701" s="114"/>
      <c r="AK701" s="114"/>
      <c r="AL701" s="114"/>
      <c r="AM701" s="114"/>
      <c r="AN701" s="114"/>
      <c r="AO701" s="114"/>
      <c r="AP701" s="114"/>
      <c r="AQ701" s="114"/>
      <c r="AR701" s="114"/>
      <c r="AS701" s="114"/>
      <c r="AT701" s="114"/>
      <c r="AU701" s="114"/>
      <c r="AV701" s="114"/>
      <c r="AW701" s="114"/>
      <c r="AX701" s="114"/>
    </row>
    <row r="702" spans="4:50">
      <c r="D702" s="114"/>
      <c r="F702" s="114"/>
      <c r="G702" s="114"/>
      <c r="H702" s="114"/>
      <c r="I702" s="114"/>
      <c r="J702" s="114"/>
      <c r="K702" s="114"/>
      <c r="L702" s="114"/>
      <c r="M702" s="114"/>
      <c r="N702" s="114"/>
      <c r="O702" s="114"/>
      <c r="P702" s="114"/>
      <c r="Q702" s="114"/>
      <c r="R702" s="114"/>
      <c r="S702" s="114"/>
      <c r="T702" s="114"/>
      <c r="U702" s="114"/>
      <c r="V702" s="114"/>
      <c r="W702" s="114"/>
      <c r="X702" s="114"/>
      <c r="Y702" s="114"/>
      <c r="Z702" s="114"/>
      <c r="AA702" s="114"/>
      <c r="AB702" s="114"/>
      <c r="AC702" s="114"/>
      <c r="AD702" s="114"/>
      <c r="AE702" s="114"/>
      <c r="AF702" s="114"/>
      <c r="AG702" s="114"/>
      <c r="AH702" s="114"/>
      <c r="AI702" s="114"/>
      <c r="AJ702" s="114"/>
      <c r="AK702" s="114"/>
      <c r="AL702" s="114"/>
      <c r="AM702" s="114"/>
      <c r="AN702" s="114"/>
      <c r="AO702" s="114"/>
      <c r="AP702" s="114"/>
      <c r="AQ702" s="114"/>
      <c r="AR702" s="114"/>
      <c r="AS702" s="114"/>
      <c r="AT702" s="114"/>
      <c r="AU702" s="114"/>
      <c r="AV702" s="114"/>
      <c r="AW702" s="114"/>
      <c r="AX702" s="114"/>
    </row>
    <row r="703" spans="4:50">
      <c r="D703" s="114"/>
      <c r="F703" s="114"/>
      <c r="G703" s="114"/>
      <c r="H703" s="114"/>
      <c r="I703" s="114"/>
      <c r="J703" s="114"/>
      <c r="K703" s="114"/>
      <c r="L703" s="114"/>
      <c r="M703" s="114"/>
      <c r="N703" s="114"/>
      <c r="O703" s="114"/>
      <c r="P703" s="114"/>
      <c r="Q703" s="114"/>
      <c r="R703" s="114"/>
      <c r="S703" s="114"/>
      <c r="T703" s="114"/>
      <c r="U703" s="114"/>
      <c r="V703" s="114"/>
      <c r="W703" s="114"/>
      <c r="X703" s="114"/>
      <c r="Y703" s="114"/>
      <c r="Z703" s="114"/>
      <c r="AA703" s="114"/>
      <c r="AB703" s="114"/>
      <c r="AC703" s="114"/>
      <c r="AD703" s="114"/>
      <c r="AE703" s="114"/>
      <c r="AF703" s="114"/>
      <c r="AG703" s="114"/>
      <c r="AH703" s="114"/>
      <c r="AI703" s="114"/>
      <c r="AJ703" s="114"/>
      <c r="AK703" s="114"/>
      <c r="AL703" s="114"/>
      <c r="AM703" s="114"/>
      <c r="AN703" s="114"/>
      <c r="AO703" s="114"/>
      <c r="AP703" s="114"/>
      <c r="AQ703" s="114"/>
      <c r="AR703" s="114"/>
      <c r="AS703" s="114"/>
      <c r="AT703" s="114"/>
      <c r="AU703" s="114"/>
      <c r="AV703" s="114"/>
      <c r="AW703" s="114"/>
      <c r="AX703" s="114"/>
    </row>
    <row r="704" spans="4:50">
      <c r="D704" s="114"/>
      <c r="F704" s="114"/>
      <c r="G704" s="114"/>
      <c r="H704" s="114"/>
      <c r="I704" s="114"/>
      <c r="J704" s="114"/>
      <c r="K704" s="114"/>
      <c r="L704" s="114"/>
      <c r="M704" s="114"/>
      <c r="N704" s="114"/>
      <c r="O704" s="114"/>
      <c r="P704" s="114"/>
      <c r="Q704" s="114"/>
      <c r="R704" s="114"/>
      <c r="S704" s="114"/>
      <c r="T704" s="114"/>
      <c r="U704" s="114"/>
      <c r="V704" s="114"/>
      <c r="W704" s="114"/>
      <c r="X704" s="114"/>
      <c r="Y704" s="114"/>
      <c r="Z704" s="114"/>
      <c r="AA704" s="114"/>
      <c r="AB704" s="114"/>
      <c r="AC704" s="114"/>
      <c r="AD704" s="114"/>
      <c r="AE704" s="114"/>
      <c r="AF704" s="114"/>
      <c r="AG704" s="114"/>
      <c r="AH704" s="114"/>
      <c r="AI704" s="114"/>
      <c r="AJ704" s="114"/>
      <c r="AK704" s="114"/>
      <c r="AL704" s="114"/>
      <c r="AM704" s="114"/>
      <c r="AN704" s="114"/>
      <c r="AO704" s="114"/>
      <c r="AP704" s="114"/>
      <c r="AQ704" s="114"/>
      <c r="AR704" s="114"/>
      <c r="AS704" s="114"/>
      <c r="AT704" s="114"/>
      <c r="AU704" s="114"/>
      <c r="AV704" s="114"/>
      <c r="AW704" s="114"/>
      <c r="AX704" s="114"/>
    </row>
    <row r="705" spans="1:53">
      <c r="D705" s="114"/>
      <c r="F705" s="114"/>
      <c r="G705" s="114"/>
      <c r="H705" s="114"/>
      <c r="I705" s="114"/>
      <c r="J705" s="114"/>
      <c r="K705" s="114"/>
      <c r="L705" s="114"/>
      <c r="M705" s="114"/>
      <c r="N705" s="114"/>
      <c r="O705" s="114"/>
      <c r="P705" s="114"/>
      <c r="Q705" s="114"/>
      <c r="R705" s="114"/>
      <c r="S705" s="114"/>
      <c r="T705" s="114"/>
      <c r="U705" s="114"/>
      <c r="V705" s="114"/>
      <c r="W705" s="114"/>
      <c r="X705" s="114"/>
      <c r="Y705" s="114"/>
      <c r="Z705" s="114"/>
      <c r="AA705" s="114"/>
      <c r="AB705" s="114"/>
      <c r="AC705" s="114"/>
      <c r="AD705" s="114"/>
      <c r="AE705" s="114"/>
      <c r="AF705" s="114"/>
      <c r="AG705" s="114"/>
      <c r="AH705" s="114"/>
      <c r="AI705" s="114"/>
      <c r="AJ705" s="114"/>
      <c r="AK705" s="114"/>
      <c r="AL705" s="114"/>
      <c r="AM705" s="114"/>
      <c r="AN705" s="114"/>
      <c r="AO705" s="114"/>
      <c r="AP705" s="114"/>
      <c r="AQ705" s="114"/>
      <c r="AR705" s="114"/>
      <c r="AS705" s="114"/>
      <c r="AT705" s="114"/>
      <c r="AU705" s="114"/>
      <c r="AV705" s="114"/>
      <c r="AW705" s="114"/>
      <c r="AX705" s="114"/>
    </row>
    <row r="706" spans="1:53">
      <c r="D706" s="114"/>
      <c r="F706" s="114"/>
      <c r="G706" s="114"/>
      <c r="H706" s="114"/>
      <c r="I706" s="114"/>
      <c r="J706" s="114"/>
      <c r="K706" s="114"/>
      <c r="L706" s="114"/>
      <c r="M706" s="114"/>
      <c r="N706" s="114"/>
      <c r="O706" s="114"/>
      <c r="P706" s="114"/>
      <c r="Q706" s="114"/>
      <c r="R706" s="114"/>
      <c r="S706" s="114"/>
      <c r="T706" s="114"/>
      <c r="U706" s="114"/>
      <c r="V706" s="114"/>
      <c r="W706" s="114"/>
      <c r="X706" s="114"/>
      <c r="Y706" s="114"/>
      <c r="Z706" s="114"/>
      <c r="AA706" s="114"/>
      <c r="AB706" s="114"/>
      <c r="AC706" s="114"/>
      <c r="AD706" s="114"/>
      <c r="AE706" s="114"/>
      <c r="AF706" s="114"/>
      <c r="AG706" s="114"/>
      <c r="AH706" s="114"/>
      <c r="AI706" s="114"/>
      <c r="AJ706" s="114"/>
      <c r="AK706" s="114"/>
      <c r="AL706" s="114"/>
      <c r="AM706" s="114"/>
      <c r="AN706" s="114"/>
      <c r="AO706" s="114"/>
      <c r="AP706" s="114"/>
      <c r="AQ706" s="114"/>
      <c r="AR706" s="114"/>
      <c r="AS706" s="114"/>
      <c r="AT706" s="114"/>
      <c r="AU706" s="114"/>
      <c r="AV706" s="114"/>
      <c r="AW706" s="114"/>
      <c r="AX706" s="114"/>
    </row>
    <row r="707" spans="1:53">
      <c r="D707" s="114"/>
      <c r="F707" s="114"/>
      <c r="G707" s="114"/>
      <c r="H707" s="114"/>
      <c r="I707" s="114"/>
      <c r="J707" s="114"/>
      <c r="K707" s="114"/>
      <c r="L707" s="114"/>
      <c r="M707" s="114"/>
      <c r="N707" s="114"/>
      <c r="O707" s="114"/>
      <c r="P707" s="114"/>
      <c r="Q707" s="114"/>
      <c r="R707" s="114"/>
      <c r="S707" s="114"/>
      <c r="T707" s="114"/>
      <c r="U707" s="114"/>
      <c r="V707" s="114"/>
      <c r="W707" s="114"/>
      <c r="X707" s="114"/>
      <c r="Y707" s="114"/>
      <c r="Z707" s="114"/>
      <c r="AA707" s="114"/>
      <c r="AB707" s="114"/>
      <c r="AC707" s="114"/>
      <c r="AD707" s="114"/>
      <c r="AE707" s="114"/>
      <c r="AF707" s="114"/>
      <c r="AG707" s="114"/>
      <c r="AH707" s="114"/>
      <c r="AI707" s="114"/>
      <c r="AJ707" s="114"/>
      <c r="AK707" s="114"/>
      <c r="AL707" s="114"/>
      <c r="AM707" s="114"/>
      <c r="AN707" s="114"/>
      <c r="AO707" s="114"/>
      <c r="AP707" s="114"/>
      <c r="AQ707" s="114"/>
      <c r="AR707" s="114"/>
      <c r="AS707" s="114"/>
      <c r="AT707" s="114"/>
      <c r="AU707" s="114"/>
      <c r="AV707" s="114"/>
      <c r="AW707" s="114"/>
      <c r="AX707" s="114"/>
    </row>
    <row r="708" spans="1:53">
      <c r="D708" s="114"/>
      <c r="F708" s="114"/>
      <c r="G708" s="114"/>
      <c r="H708" s="114"/>
      <c r="I708" s="114"/>
      <c r="J708" s="114"/>
      <c r="K708" s="114"/>
      <c r="L708" s="114"/>
      <c r="M708" s="114"/>
      <c r="N708" s="114"/>
      <c r="O708" s="114"/>
      <c r="P708" s="114"/>
      <c r="Q708" s="114"/>
      <c r="R708" s="114"/>
      <c r="S708" s="114"/>
      <c r="T708" s="114"/>
      <c r="U708" s="114"/>
      <c r="V708" s="114"/>
      <c r="W708" s="114"/>
      <c r="X708" s="114"/>
      <c r="Y708" s="114"/>
      <c r="Z708" s="114"/>
      <c r="AA708" s="114"/>
      <c r="AB708" s="114"/>
      <c r="AC708" s="114"/>
      <c r="AD708" s="114"/>
      <c r="AE708" s="114"/>
      <c r="AF708" s="114"/>
      <c r="AG708" s="114"/>
      <c r="AH708" s="114"/>
      <c r="AI708" s="114"/>
      <c r="AJ708" s="114"/>
      <c r="AK708" s="114"/>
      <c r="AL708" s="114"/>
      <c r="AM708" s="114"/>
      <c r="AN708" s="114"/>
      <c r="AO708" s="114"/>
      <c r="AP708" s="114"/>
      <c r="AQ708" s="114"/>
      <c r="AR708" s="114"/>
      <c r="AS708" s="114"/>
      <c r="AT708" s="114"/>
      <c r="AU708" s="114"/>
      <c r="AV708" s="114"/>
      <c r="AW708" s="114"/>
      <c r="AX708" s="114"/>
    </row>
    <row r="709" spans="1:53">
      <c r="D709" s="114"/>
      <c r="F709" s="114"/>
      <c r="G709" s="114"/>
      <c r="H709" s="114"/>
      <c r="I709" s="114"/>
      <c r="J709" s="114"/>
      <c r="K709" s="114"/>
      <c r="L709" s="114"/>
      <c r="M709" s="114"/>
      <c r="N709" s="114"/>
      <c r="O709" s="114"/>
      <c r="P709" s="114"/>
      <c r="Q709" s="114"/>
      <c r="R709" s="114"/>
      <c r="S709" s="114"/>
      <c r="T709" s="114"/>
      <c r="U709" s="114"/>
      <c r="V709" s="114"/>
      <c r="W709" s="114"/>
      <c r="X709" s="114"/>
      <c r="Y709" s="114"/>
      <c r="Z709" s="114"/>
      <c r="AA709" s="114"/>
      <c r="AB709" s="114"/>
      <c r="AC709" s="114"/>
      <c r="AD709" s="114"/>
      <c r="AE709" s="114"/>
      <c r="AF709" s="114"/>
      <c r="AG709" s="114"/>
      <c r="AH709" s="114"/>
      <c r="AI709" s="114"/>
      <c r="AJ709" s="114"/>
      <c r="AK709" s="114"/>
      <c r="AL709" s="114"/>
      <c r="AM709" s="114"/>
      <c r="AN709" s="114"/>
      <c r="AO709" s="114"/>
      <c r="AP709" s="114"/>
      <c r="AQ709" s="114"/>
      <c r="AR709" s="114"/>
      <c r="AS709" s="114"/>
      <c r="AT709" s="114"/>
      <c r="AU709" s="114"/>
      <c r="AV709" s="114"/>
      <c r="AW709" s="114"/>
      <c r="AX709" s="114"/>
    </row>
    <row r="710" spans="1:53">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row>
    <row r="711" spans="1:53">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row>
    <row r="712" spans="1:53">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row>
    <row r="713" spans="1:53">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row>
    <row r="714" spans="1:53">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row>
    <row r="715" spans="1:53">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row>
    <row r="716" spans="1:53">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row>
    <row r="717" spans="1:53">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row>
    <row r="718" spans="1:53">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row>
    <row r="719" spans="1:53">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row>
    <row r="720" spans="1:53">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row>
    <row r="721" spans="1:53">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row>
    <row r="722" spans="1:53">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row>
    <row r="723" spans="1:53">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row>
    <row r="724" spans="1:53">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row>
    <row r="725" spans="1:53">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row>
    <row r="726" spans="1:53">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row>
    <row r="727" spans="1:53">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row>
    <row r="728" spans="1:53">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row>
    <row r="729" spans="1:53">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row>
    <row r="730" spans="1:53">
      <c r="D730" s="114"/>
      <c r="F730" s="114"/>
      <c r="G730" s="114"/>
      <c r="H730" s="114"/>
      <c r="I730" s="114"/>
      <c r="J730" s="114"/>
      <c r="K730" s="114"/>
      <c r="L730" s="114"/>
      <c r="M730" s="114"/>
      <c r="N730" s="114"/>
      <c r="O730" s="114"/>
      <c r="P730" s="114"/>
      <c r="Q730" s="114"/>
      <c r="R730" s="114"/>
      <c r="S730" s="114"/>
      <c r="T730" s="114"/>
      <c r="U730" s="114"/>
      <c r="V730" s="114"/>
      <c r="W730" s="114"/>
      <c r="X730" s="114"/>
      <c r="Y730" s="114"/>
      <c r="Z730" s="114"/>
      <c r="AA730" s="114"/>
      <c r="AB730" s="114"/>
      <c r="AC730" s="114"/>
      <c r="AD730" s="114"/>
      <c r="AE730" s="114"/>
      <c r="AF730" s="114"/>
      <c r="AG730" s="114"/>
      <c r="AH730" s="114"/>
      <c r="AI730" s="114"/>
      <c r="AJ730" s="114"/>
      <c r="AK730" s="114"/>
      <c r="AL730" s="114"/>
      <c r="AM730" s="114"/>
      <c r="AN730" s="114"/>
      <c r="AO730" s="114"/>
      <c r="AP730" s="114"/>
      <c r="AQ730" s="114"/>
      <c r="AR730" s="114"/>
      <c r="AS730" s="114"/>
      <c r="AT730" s="114"/>
      <c r="AU730" s="114"/>
      <c r="AV730" s="114"/>
      <c r="AW730" s="114"/>
      <c r="AX730" s="114"/>
    </row>
    <row r="731" spans="1:53">
      <c r="D731" s="114"/>
      <c r="F731" s="114"/>
      <c r="G731" s="114"/>
      <c r="H731" s="114"/>
      <c r="I731" s="114"/>
      <c r="J731" s="114"/>
      <c r="K731" s="114"/>
      <c r="L731" s="114"/>
      <c r="M731" s="114"/>
      <c r="N731" s="114"/>
      <c r="O731" s="114"/>
      <c r="P731" s="114"/>
      <c r="Q731" s="114"/>
      <c r="R731" s="114"/>
      <c r="S731" s="114"/>
      <c r="T731" s="114"/>
      <c r="U731" s="114"/>
      <c r="V731" s="114"/>
      <c r="W731" s="114"/>
      <c r="X731" s="114"/>
      <c r="Y731" s="114"/>
      <c r="Z731" s="114"/>
      <c r="AA731" s="114"/>
      <c r="AB731" s="114"/>
      <c r="AC731" s="114"/>
      <c r="AD731" s="114"/>
      <c r="AE731" s="114"/>
      <c r="AF731" s="114"/>
      <c r="AG731" s="114"/>
      <c r="AH731" s="114"/>
      <c r="AI731" s="114"/>
      <c r="AJ731" s="114"/>
      <c r="AK731" s="114"/>
      <c r="AL731" s="114"/>
      <c r="AM731" s="114"/>
      <c r="AN731" s="114"/>
      <c r="AO731" s="114"/>
      <c r="AP731" s="114"/>
      <c r="AQ731" s="114"/>
      <c r="AR731" s="114"/>
      <c r="AS731" s="114"/>
      <c r="AT731" s="114"/>
      <c r="AU731" s="114"/>
      <c r="AV731" s="114"/>
      <c r="AW731" s="114"/>
      <c r="AX731" s="114"/>
    </row>
    <row r="732" spans="1:53">
      <c r="D732" s="114"/>
      <c r="F732" s="114"/>
      <c r="G732" s="114"/>
      <c r="H732" s="114"/>
      <c r="I732" s="114"/>
      <c r="J732" s="114"/>
      <c r="K732" s="114"/>
      <c r="L732" s="114"/>
      <c r="M732" s="114"/>
      <c r="N732" s="114"/>
      <c r="O732" s="114"/>
      <c r="P732" s="114"/>
      <c r="Q732" s="114"/>
      <c r="R732" s="114"/>
      <c r="S732" s="114"/>
      <c r="T732" s="114"/>
      <c r="U732" s="114"/>
      <c r="V732" s="114"/>
      <c r="W732" s="114"/>
      <c r="X732" s="114"/>
      <c r="Y732" s="114"/>
      <c r="Z732" s="114"/>
      <c r="AA732" s="114"/>
      <c r="AB732" s="114"/>
      <c r="AC732" s="114"/>
      <c r="AD732" s="114"/>
      <c r="AE732" s="114"/>
      <c r="AF732" s="114"/>
      <c r="AG732" s="114"/>
      <c r="AH732" s="114"/>
      <c r="AI732" s="114"/>
      <c r="AJ732" s="114"/>
      <c r="AK732" s="114"/>
      <c r="AL732" s="114"/>
      <c r="AM732" s="114"/>
      <c r="AN732" s="114"/>
      <c r="AO732" s="114"/>
      <c r="AP732" s="114"/>
      <c r="AQ732" s="114"/>
      <c r="AR732" s="114"/>
      <c r="AS732" s="114"/>
      <c r="AT732" s="114"/>
      <c r="AU732" s="114"/>
      <c r="AV732" s="114"/>
      <c r="AW732" s="114"/>
      <c r="AX732" s="114"/>
    </row>
    <row r="733" spans="1:53">
      <c r="D733" s="114"/>
      <c r="F733" s="114"/>
      <c r="G733" s="114"/>
      <c r="H733" s="114"/>
      <c r="I733" s="114"/>
      <c r="J733" s="114"/>
      <c r="K733" s="114"/>
      <c r="L733" s="114"/>
      <c r="M733" s="114"/>
      <c r="N733" s="114"/>
      <c r="O733" s="114"/>
      <c r="P733" s="114"/>
      <c r="Q733" s="114"/>
      <c r="R733" s="114"/>
      <c r="S733" s="114"/>
      <c r="T733" s="114"/>
      <c r="U733" s="114"/>
      <c r="V733" s="114"/>
      <c r="W733" s="114"/>
      <c r="X733" s="114"/>
      <c r="Y733" s="114"/>
      <c r="Z733" s="114"/>
      <c r="AA733" s="114"/>
      <c r="AB733" s="114"/>
      <c r="AC733" s="114"/>
      <c r="AD733" s="114"/>
      <c r="AE733" s="114"/>
      <c r="AF733" s="114"/>
      <c r="AG733" s="114"/>
      <c r="AH733" s="114"/>
      <c r="AI733" s="114"/>
      <c r="AJ733" s="114"/>
      <c r="AK733" s="114"/>
      <c r="AL733" s="114"/>
      <c r="AM733" s="114"/>
      <c r="AN733" s="114"/>
      <c r="AO733" s="114"/>
      <c r="AP733" s="114"/>
      <c r="AQ733" s="114"/>
      <c r="AR733" s="114"/>
      <c r="AS733" s="114"/>
      <c r="AT733" s="114"/>
      <c r="AU733" s="114"/>
      <c r="AV733" s="114"/>
      <c r="AW733" s="114"/>
      <c r="AX733" s="114"/>
    </row>
    <row r="734" spans="1:53">
      <c r="D734" s="114"/>
      <c r="F734" s="114"/>
      <c r="G734" s="114"/>
      <c r="H734" s="114"/>
      <c r="I734" s="114"/>
      <c r="J734" s="114"/>
      <c r="K734" s="114"/>
      <c r="L734" s="114"/>
      <c r="M734" s="114"/>
      <c r="N734" s="114"/>
      <c r="O734" s="114"/>
      <c r="P734" s="114"/>
      <c r="Q734" s="114"/>
      <c r="R734" s="114"/>
      <c r="S734" s="114"/>
      <c r="T734" s="114"/>
      <c r="U734" s="114"/>
      <c r="V734" s="114"/>
      <c r="W734" s="114"/>
      <c r="X734" s="114"/>
      <c r="Y734" s="114"/>
      <c r="Z734" s="114"/>
      <c r="AA734" s="114"/>
      <c r="AB734" s="114"/>
      <c r="AC734" s="114"/>
      <c r="AD734" s="114"/>
      <c r="AE734" s="114"/>
      <c r="AF734" s="114"/>
      <c r="AG734" s="114"/>
      <c r="AH734" s="114"/>
      <c r="AI734" s="114"/>
      <c r="AJ734" s="114"/>
      <c r="AK734" s="114"/>
      <c r="AL734" s="114"/>
      <c r="AM734" s="114"/>
      <c r="AN734" s="114"/>
      <c r="AO734" s="114"/>
      <c r="AP734" s="114"/>
      <c r="AQ734" s="114"/>
      <c r="AR734" s="114"/>
      <c r="AS734" s="114"/>
      <c r="AT734" s="114"/>
      <c r="AU734" s="114"/>
      <c r="AV734" s="114"/>
      <c r="AW734" s="114"/>
      <c r="AX734" s="114"/>
    </row>
    <row r="735" spans="1:53">
      <c r="D735" s="114"/>
      <c r="F735" s="114"/>
      <c r="G735" s="114"/>
      <c r="H735" s="114"/>
      <c r="I735" s="114"/>
      <c r="J735" s="114"/>
      <c r="K735" s="114"/>
      <c r="L735" s="114"/>
      <c r="M735" s="114"/>
      <c r="N735" s="114"/>
      <c r="O735" s="114"/>
      <c r="P735" s="114"/>
      <c r="Q735" s="114"/>
      <c r="R735" s="114"/>
      <c r="S735" s="114"/>
      <c r="T735" s="114"/>
      <c r="U735" s="114"/>
      <c r="V735" s="114"/>
      <c r="W735" s="114"/>
      <c r="X735" s="114"/>
      <c r="Y735" s="114"/>
      <c r="Z735" s="114"/>
      <c r="AA735" s="114"/>
      <c r="AB735" s="114"/>
      <c r="AC735" s="114"/>
      <c r="AD735" s="114"/>
      <c r="AE735" s="114"/>
      <c r="AF735" s="114"/>
      <c r="AG735" s="114"/>
      <c r="AH735" s="114"/>
      <c r="AI735" s="114"/>
      <c r="AJ735" s="114"/>
      <c r="AK735" s="114"/>
      <c r="AL735" s="114"/>
      <c r="AM735" s="114"/>
      <c r="AN735" s="114"/>
      <c r="AO735" s="114"/>
      <c r="AP735" s="114"/>
      <c r="AQ735" s="114"/>
      <c r="AR735" s="114"/>
      <c r="AS735" s="114"/>
      <c r="AT735" s="114"/>
      <c r="AU735" s="114"/>
      <c r="AV735" s="114"/>
      <c r="AW735" s="114"/>
      <c r="AX735" s="114"/>
    </row>
    <row r="736" spans="1:53">
      <c r="D736" s="114"/>
      <c r="F736" s="114"/>
      <c r="G736" s="114"/>
      <c r="H736" s="114"/>
      <c r="I736" s="114"/>
      <c r="J736" s="114"/>
      <c r="K736" s="114"/>
      <c r="L736" s="114"/>
      <c r="M736" s="114"/>
      <c r="N736" s="114"/>
      <c r="O736" s="114"/>
      <c r="P736" s="114"/>
      <c r="Q736" s="114"/>
      <c r="R736" s="114"/>
      <c r="S736" s="114"/>
      <c r="T736" s="114"/>
      <c r="U736" s="114"/>
      <c r="V736" s="114"/>
      <c r="W736" s="114"/>
      <c r="X736" s="114"/>
      <c r="Y736" s="114"/>
      <c r="Z736" s="114"/>
      <c r="AA736" s="114"/>
      <c r="AB736" s="114"/>
      <c r="AC736" s="114"/>
      <c r="AD736" s="114"/>
      <c r="AE736" s="114"/>
      <c r="AF736" s="114"/>
      <c r="AG736" s="114"/>
      <c r="AH736" s="114"/>
      <c r="AI736" s="114"/>
      <c r="AJ736" s="114"/>
      <c r="AK736" s="114"/>
      <c r="AL736" s="114"/>
      <c r="AM736" s="114"/>
      <c r="AN736" s="114"/>
      <c r="AO736" s="114"/>
      <c r="AP736" s="114"/>
      <c r="AQ736" s="114"/>
      <c r="AR736" s="114"/>
      <c r="AS736" s="114"/>
      <c r="AT736" s="114"/>
      <c r="AU736" s="114"/>
      <c r="AV736" s="114"/>
      <c r="AW736" s="114"/>
      <c r="AX736" s="114"/>
    </row>
    <row r="737" spans="4:50">
      <c r="D737" s="114"/>
      <c r="F737" s="114"/>
      <c r="G737" s="114"/>
      <c r="H737" s="114"/>
      <c r="I737" s="114"/>
      <c r="J737" s="114"/>
      <c r="K737" s="114"/>
      <c r="L737" s="114"/>
      <c r="M737" s="114"/>
      <c r="N737" s="114"/>
      <c r="O737" s="114"/>
      <c r="P737" s="114"/>
      <c r="Q737" s="114"/>
      <c r="R737" s="114"/>
      <c r="S737" s="114"/>
      <c r="T737" s="114"/>
      <c r="U737" s="114"/>
      <c r="V737" s="114"/>
      <c r="W737" s="114"/>
      <c r="X737" s="114"/>
      <c r="Y737" s="114"/>
      <c r="Z737" s="114"/>
      <c r="AA737" s="114"/>
      <c r="AB737" s="114"/>
      <c r="AC737" s="114"/>
      <c r="AD737" s="114"/>
      <c r="AE737" s="114"/>
      <c r="AF737" s="114"/>
      <c r="AG737" s="114"/>
      <c r="AH737" s="114"/>
      <c r="AI737" s="114"/>
      <c r="AJ737" s="114"/>
      <c r="AK737" s="114"/>
      <c r="AL737" s="114"/>
      <c r="AM737" s="114"/>
      <c r="AN737" s="114"/>
      <c r="AO737" s="114"/>
      <c r="AP737" s="114"/>
      <c r="AQ737" s="114"/>
      <c r="AR737" s="114"/>
      <c r="AS737" s="114"/>
      <c r="AT737" s="114"/>
      <c r="AU737" s="114"/>
      <c r="AV737" s="114"/>
      <c r="AW737" s="114"/>
      <c r="AX737" s="114"/>
    </row>
    <row r="738" spans="4:50">
      <c r="D738" s="114"/>
      <c r="F738" s="114"/>
      <c r="G738" s="114"/>
      <c r="H738" s="114"/>
      <c r="I738" s="114"/>
      <c r="J738" s="114"/>
      <c r="K738" s="114"/>
      <c r="L738" s="114"/>
      <c r="M738" s="114"/>
      <c r="N738" s="114"/>
      <c r="O738" s="114"/>
      <c r="P738" s="114"/>
      <c r="Q738" s="114"/>
      <c r="R738" s="114"/>
      <c r="S738" s="114"/>
      <c r="T738" s="114"/>
      <c r="U738" s="114"/>
      <c r="V738" s="114"/>
      <c r="W738" s="114"/>
      <c r="X738" s="114"/>
      <c r="Y738" s="114"/>
      <c r="Z738" s="114"/>
      <c r="AA738" s="114"/>
      <c r="AB738" s="114"/>
      <c r="AC738" s="114"/>
      <c r="AD738" s="114"/>
      <c r="AE738" s="114"/>
      <c r="AF738" s="114"/>
      <c r="AG738" s="114"/>
      <c r="AH738" s="114"/>
      <c r="AI738" s="114"/>
      <c r="AJ738" s="114"/>
      <c r="AK738" s="114"/>
      <c r="AL738" s="114"/>
      <c r="AM738" s="114"/>
      <c r="AN738" s="114"/>
      <c r="AO738" s="114"/>
      <c r="AP738" s="114"/>
      <c r="AQ738" s="114"/>
      <c r="AR738" s="114"/>
      <c r="AS738" s="114"/>
      <c r="AT738" s="114"/>
      <c r="AU738" s="114"/>
      <c r="AV738" s="114"/>
      <c r="AW738" s="114"/>
      <c r="AX738" s="114"/>
    </row>
    <row r="739" spans="4:50">
      <c r="D739" s="114"/>
      <c r="F739" s="114"/>
      <c r="G739" s="114"/>
      <c r="H739" s="114"/>
      <c r="I739" s="114"/>
      <c r="J739" s="114"/>
      <c r="K739" s="114"/>
      <c r="L739" s="114"/>
      <c r="M739" s="114"/>
      <c r="N739" s="114"/>
      <c r="O739" s="114"/>
      <c r="P739" s="114"/>
      <c r="Q739" s="114"/>
      <c r="R739" s="114"/>
      <c r="S739" s="114"/>
      <c r="T739" s="114"/>
      <c r="U739" s="114"/>
      <c r="V739" s="114"/>
      <c r="W739" s="114"/>
      <c r="X739" s="114"/>
      <c r="Y739" s="114"/>
      <c r="Z739" s="114"/>
      <c r="AA739" s="114"/>
      <c r="AB739" s="114"/>
      <c r="AC739" s="114"/>
      <c r="AD739" s="114"/>
      <c r="AE739" s="114"/>
      <c r="AF739" s="114"/>
      <c r="AG739" s="114"/>
      <c r="AH739" s="114"/>
      <c r="AI739" s="114"/>
      <c r="AJ739" s="114"/>
      <c r="AK739" s="114"/>
      <c r="AL739" s="114"/>
      <c r="AM739" s="114"/>
      <c r="AN739" s="114"/>
      <c r="AO739" s="114"/>
      <c r="AP739" s="114"/>
      <c r="AQ739" s="114"/>
      <c r="AR739" s="114"/>
      <c r="AS739" s="114"/>
      <c r="AT739" s="114"/>
      <c r="AU739" s="114"/>
      <c r="AV739" s="114"/>
      <c r="AW739" s="114"/>
      <c r="AX739" s="114"/>
    </row>
    <row r="740" spans="4:50">
      <c r="D740" s="114"/>
      <c r="F740" s="114"/>
      <c r="G740" s="114"/>
      <c r="H740" s="114"/>
      <c r="I740" s="114"/>
      <c r="J740" s="114"/>
      <c r="K740" s="114"/>
      <c r="L740" s="114"/>
      <c r="M740" s="114"/>
      <c r="N740" s="114"/>
      <c r="O740" s="114"/>
      <c r="P740" s="114"/>
      <c r="Q740" s="114"/>
      <c r="R740" s="114"/>
      <c r="S740" s="114"/>
      <c r="T740" s="114"/>
      <c r="U740" s="114"/>
      <c r="V740" s="114"/>
      <c r="W740" s="114"/>
      <c r="X740" s="114"/>
      <c r="Y740" s="114"/>
      <c r="Z740" s="114"/>
      <c r="AA740" s="114"/>
      <c r="AB740" s="114"/>
      <c r="AC740" s="114"/>
      <c r="AD740" s="114"/>
      <c r="AE740" s="114"/>
      <c r="AF740" s="114"/>
      <c r="AG740" s="114"/>
      <c r="AH740" s="114"/>
      <c r="AI740" s="114"/>
      <c r="AJ740" s="114"/>
      <c r="AK740" s="114"/>
      <c r="AL740" s="114"/>
      <c r="AM740" s="114"/>
      <c r="AN740" s="114"/>
      <c r="AO740" s="114"/>
      <c r="AP740" s="114"/>
      <c r="AQ740" s="114"/>
      <c r="AR740" s="114"/>
      <c r="AS740" s="114"/>
      <c r="AT740" s="114"/>
      <c r="AU740" s="114"/>
      <c r="AV740" s="114"/>
      <c r="AW740" s="114"/>
      <c r="AX740" s="114"/>
    </row>
    <row r="741" spans="4:50">
      <c r="D741" s="114"/>
      <c r="F741" s="114"/>
      <c r="G741" s="114"/>
      <c r="H741" s="114"/>
      <c r="I741" s="114"/>
      <c r="J741" s="114"/>
      <c r="K741" s="114"/>
      <c r="L741" s="114"/>
      <c r="M741" s="114"/>
      <c r="N741" s="114"/>
      <c r="O741" s="114"/>
      <c r="P741" s="114"/>
      <c r="Q741" s="114"/>
      <c r="R741" s="114"/>
      <c r="S741" s="114"/>
      <c r="T741" s="114"/>
      <c r="U741" s="114"/>
      <c r="V741" s="114"/>
      <c r="W741" s="114"/>
      <c r="X741" s="114"/>
      <c r="Y741" s="114"/>
      <c r="Z741" s="114"/>
      <c r="AA741" s="114"/>
      <c r="AB741" s="114"/>
      <c r="AC741" s="114"/>
      <c r="AD741" s="114"/>
      <c r="AE741" s="114"/>
      <c r="AF741" s="114"/>
      <c r="AG741" s="114"/>
      <c r="AH741" s="114"/>
      <c r="AI741" s="114"/>
      <c r="AJ741" s="114"/>
      <c r="AK741" s="114"/>
      <c r="AL741" s="114"/>
      <c r="AM741" s="114"/>
      <c r="AN741" s="114"/>
      <c r="AO741" s="114"/>
      <c r="AP741" s="114"/>
      <c r="AQ741" s="114"/>
      <c r="AR741" s="114"/>
      <c r="AS741" s="114"/>
      <c r="AT741" s="114"/>
      <c r="AU741" s="114"/>
      <c r="AV741" s="114"/>
      <c r="AW741" s="114"/>
      <c r="AX741" s="114"/>
    </row>
    <row r="742" spans="4:50">
      <c r="D742" s="114"/>
      <c r="F742" s="114"/>
      <c r="G742" s="114"/>
      <c r="H742" s="114"/>
      <c r="I742" s="114"/>
      <c r="J742" s="114"/>
      <c r="K742" s="114"/>
      <c r="L742" s="114"/>
      <c r="M742" s="114"/>
      <c r="N742" s="114"/>
      <c r="O742" s="114"/>
      <c r="P742" s="114"/>
      <c r="Q742" s="114"/>
      <c r="R742" s="114"/>
      <c r="S742" s="114"/>
      <c r="T742" s="114"/>
      <c r="U742" s="114"/>
      <c r="V742" s="114"/>
      <c r="W742" s="114"/>
      <c r="X742" s="114"/>
      <c r="Y742" s="114"/>
      <c r="Z742" s="114"/>
      <c r="AA742" s="114"/>
      <c r="AB742" s="114"/>
      <c r="AC742" s="114"/>
      <c r="AD742" s="114"/>
      <c r="AE742" s="114"/>
      <c r="AF742" s="114"/>
      <c r="AG742" s="114"/>
      <c r="AH742" s="114"/>
      <c r="AI742" s="114"/>
      <c r="AJ742" s="114"/>
      <c r="AK742" s="114"/>
      <c r="AL742" s="114"/>
      <c r="AM742" s="114"/>
      <c r="AN742" s="114"/>
      <c r="AO742" s="114"/>
      <c r="AP742" s="114"/>
      <c r="AQ742" s="114"/>
      <c r="AR742" s="114"/>
      <c r="AS742" s="114"/>
      <c r="AT742" s="114"/>
      <c r="AU742" s="114"/>
      <c r="AV742" s="114"/>
      <c r="AW742" s="114"/>
      <c r="AX742" s="114"/>
    </row>
    <row r="743" spans="4:50">
      <c r="D743" s="114"/>
      <c r="F743" s="114"/>
      <c r="G743" s="114"/>
      <c r="H743" s="114"/>
      <c r="I743" s="114"/>
      <c r="J743" s="114"/>
      <c r="K743" s="114"/>
      <c r="L743" s="114"/>
      <c r="M743" s="114"/>
      <c r="N743" s="114"/>
      <c r="O743" s="114"/>
      <c r="P743" s="114"/>
      <c r="Q743" s="114"/>
      <c r="R743" s="114"/>
      <c r="S743" s="114"/>
      <c r="T743" s="114"/>
      <c r="U743" s="114"/>
      <c r="V743" s="114"/>
      <c r="W743" s="114"/>
      <c r="X743" s="114"/>
      <c r="Y743" s="114"/>
      <c r="Z743" s="114"/>
      <c r="AA743" s="114"/>
      <c r="AB743" s="114"/>
      <c r="AC743" s="114"/>
      <c r="AD743" s="114"/>
      <c r="AE743" s="114"/>
      <c r="AF743" s="114"/>
      <c r="AG743" s="114"/>
      <c r="AH743" s="114"/>
      <c r="AI743" s="114"/>
      <c r="AJ743" s="114"/>
      <c r="AK743" s="114"/>
      <c r="AL743" s="114"/>
      <c r="AM743" s="114"/>
      <c r="AN743" s="114"/>
      <c r="AO743" s="114"/>
      <c r="AP743" s="114"/>
      <c r="AQ743" s="114"/>
      <c r="AR743" s="114"/>
      <c r="AS743" s="114"/>
      <c r="AT743" s="114"/>
      <c r="AU743" s="114"/>
      <c r="AV743" s="114"/>
      <c r="AW743" s="114"/>
      <c r="AX743" s="114"/>
    </row>
    <row r="744" spans="4:50">
      <c r="D744" s="114"/>
      <c r="F744" s="114"/>
      <c r="G744" s="114"/>
      <c r="H744" s="114"/>
      <c r="I744" s="114"/>
      <c r="J744" s="114"/>
      <c r="K744" s="114"/>
      <c r="L744" s="114"/>
      <c r="M744" s="114"/>
      <c r="N744" s="114"/>
      <c r="O744" s="114"/>
      <c r="P744" s="114"/>
      <c r="Q744" s="114"/>
      <c r="R744" s="114"/>
      <c r="S744" s="114"/>
      <c r="T744" s="114"/>
      <c r="U744" s="114"/>
      <c r="V744" s="114"/>
      <c r="W744" s="114"/>
      <c r="X744" s="114"/>
      <c r="Y744" s="114"/>
      <c r="Z744" s="114"/>
      <c r="AA744" s="114"/>
      <c r="AB744" s="114"/>
      <c r="AC744" s="114"/>
      <c r="AD744" s="114"/>
      <c r="AE744" s="114"/>
      <c r="AF744" s="114"/>
      <c r="AG744" s="114"/>
      <c r="AH744" s="114"/>
      <c r="AI744" s="114"/>
      <c r="AJ744" s="114"/>
      <c r="AK744" s="114"/>
      <c r="AL744" s="114"/>
      <c r="AM744" s="114"/>
      <c r="AN744" s="114"/>
      <c r="AO744" s="114"/>
      <c r="AP744" s="114"/>
      <c r="AQ744" s="114"/>
      <c r="AR744" s="114"/>
      <c r="AS744" s="114"/>
      <c r="AT744" s="114"/>
      <c r="AU744" s="114"/>
      <c r="AV744" s="114"/>
      <c r="AW744" s="114"/>
      <c r="AX744" s="114"/>
    </row>
    <row r="745" spans="4:50">
      <c r="D745" s="114"/>
      <c r="F745" s="114"/>
      <c r="G745" s="114"/>
      <c r="H745" s="114"/>
      <c r="I745" s="114"/>
      <c r="J745" s="114"/>
      <c r="K745" s="114"/>
      <c r="L745" s="114"/>
      <c r="M745" s="114"/>
      <c r="N745" s="114"/>
      <c r="O745" s="114"/>
      <c r="P745" s="114"/>
      <c r="Q745" s="114"/>
      <c r="R745" s="114"/>
      <c r="S745" s="114"/>
      <c r="T745" s="114"/>
      <c r="U745" s="114"/>
      <c r="V745" s="114"/>
      <c r="W745" s="114"/>
      <c r="X745" s="114"/>
      <c r="Y745" s="114"/>
      <c r="Z745" s="114"/>
      <c r="AA745" s="114"/>
      <c r="AB745" s="114"/>
      <c r="AC745" s="114"/>
      <c r="AD745" s="114"/>
      <c r="AE745" s="114"/>
      <c r="AF745" s="114"/>
      <c r="AG745" s="114"/>
      <c r="AH745" s="114"/>
      <c r="AI745" s="114"/>
      <c r="AJ745" s="114"/>
      <c r="AK745" s="114"/>
      <c r="AL745" s="114"/>
      <c r="AM745" s="114"/>
      <c r="AN745" s="114"/>
      <c r="AO745" s="114"/>
      <c r="AP745" s="114"/>
      <c r="AQ745" s="114"/>
      <c r="AR745" s="114"/>
      <c r="AS745" s="114"/>
      <c r="AT745" s="114"/>
      <c r="AU745" s="114"/>
      <c r="AV745" s="114"/>
      <c r="AW745" s="114"/>
      <c r="AX745" s="114"/>
    </row>
    <row r="746" spans="4:50">
      <c r="D746" s="114"/>
      <c r="F746" s="114"/>
      <c r="G746" s="114"/>
      <c r="H746" s="114"/>
      <c r="I746" s="114"/>
      <c r="J746" s="114"/>
      <c r="K746" s="114"/>
      <c r="L746" s="114"/>
      <c r="M746" s="114"/>
      <c r="N746" s="114"/>
      <c r="O746" s="114"/>
      <c r="P746" s="114"/>
      <c r="Q746" s="114"/>
      <c r="R746" s="114"/>
      <c r="S746" s="114"/>
      <c r="T746" s="114"/>
      <c r="U746" s="114"/>
      <c r="V746" s="114"/>
      <c r="W746" s="114"/>
      <c r="X746" s="114"/>
      <c r="Y746" s="114"/>
      <c r="Z746" s="114"/>
      <c r="AA746" s="114"/>
      <c r="AB746" s="114"/>
      <c r="AC746" s="114"/>
      <c r="AD746" s="114"/>
      <c r="AE746" s="114"/>
      <c r="AF746" s="114"/>
      <c r="AG746" s="114"/>
      <c r="AH746" s="114"/>
      <c r="AI746" s="114"/>
      <c r="AJ746" s="114"/>
      <c r="AK746" s="114"/>
      <c r="AL746" s="114"/>
      <c r="AM746" s="114"/>
      <c r="AN746" s="114"/>
      <c r="AO746" s="114"/>
      <c r="AP746" s="114"/>
      <c r="AQ746" s="114"/>
      <c r="AR746" s="114"/>
      <c r="AS746" s="114"/>
      <c r="AT746" s="114"/>
      <c r="AU746" s="114"/>
      <c r="AV746" s="114"/>
      <c r="AW746" s="114"/>
      <c r="AX746" s="114"/>
    </row>
    <row r="747" spans="4:50">
      <c r="D747" s="114"/>
      <c r="F747" s="114"/>
      <c r="G747" s="114"/>
      <c r="H747" s="114"/>
      <c r="I747" s="114"/>
      <c r="J747" s="114"/>
      <c r="K747" s="114"/>
      <c r="L747" s="114"/>
      <c r="M747" s="114"/>
      <c r="N747" s="114"/>
      <c r="O747" s="114"/>
      <c r="P747" s="114"/>
      <c r="Q747" s="114"/>
      <c r="R747" s="114"/>
      <c r="S747" s="114"/>
      <c r="T747" s="114"/>
      <c r="U747" s="114"/>
      <c r="V747" s="114"/>
      <c r="W747" s="114"/>
      <c r="X747" s="114"/>
      <c r="Y747" s="114"/>
      <c r="Z747" s="114"/>
      <c r="AA747" s="114"/>
      <c r="AB747" s="114"/>
      <c r="AC747" s="114"/>
      <c r="AD747" s="114"/>
      <c r="AE747" s="114"/>
      <c r="AF747" s="114"/>
      <c r="AG747" s="114"/>
      <c r="AH747" s="114"/>
      <c r="AI747" s="114"/>
      <c r="AJ747" s="114"/>
      <c r="AK747" s="114"/>
      <c r="AL747" s="114"/>
      <c r="AM747" s="114"/>
      <c r="AN747" s="114"/>
      <c r="AO747" s="114"/>
      <c r="AP747" s="114"/>
      <c r="AQ747" s="114"/>
      <c r="AR747" s="114"/>
      <c r="AS747" s="114"/>
      <c r="AT747" s="114"/>
      <c r="AU747" s="114"/>
      <c r="AV747" s="114"/>
      <c r="AW747" s="114"/>
      <c r="AX747" s="114"/>
    </row>
    <row r="748" spans="4:50">
      <c r="D748" s="114"/>
      <c r="F748" s="114"/>
      <c r="G748" s="114"/>
      <c r="H748" s="114"/>
      <c r="I748" s="114"/>
      <c r="J748" s="114"/>
      <c r="K748" s="114"/>
      <c r="L748" s="114"/>
      <c r="M748" s="114"/>
      <c r="N748" s="114"/>
      <c r="O748" s="114"/>
      <c r="P748" s="114"/>
      <c r="Q748" s="114"/>
      <c r="R748" s="114"/>
      <c r="S748" s="114"/>
      <c r="T748" s="114"/>
      <c r="U748" s="114"/>
      <c r="V748" s="114"/>
      <c r="W748" s="114"/>
      <c r="X748" s="114"/>
      <c r="Y748" s="114"/>
      <c r="Z748" s="114"/>
      <c r="AA748" s="114"/>
      <c r="AB748" s="114"/>
      <c r="AC748" s="114"/>
      <c r="AD748" s="114"/>
      <c r="AE748" s="114"/>
      <c r="AF748" s="114"/>
      <c r="AG748" s="114"/>
      <c r="AH748" s="114"/>
      <c r="AI748" s="114"/>
      <c r="AJ748" s="114"/>
      <c r="AK748" s="114"/>
      <c r="AL748" s="114"/>
      <c r="AM748" s="114"/>
      <c r="AN748" s="114"/>
      <c r="AO748" s="114"/>
      <c r="AP748" s="114"/>
      <c r="AQ748" s="114"/>
      <c r="AR748" s="114"/>
      <c r="AS748" s="114"/>
      <c r="AT748" s="114"/>
      <c r="AU748" s="114"/>
      <c r="AV748" s="114"/>
      <c r="AW748" s="114"/>
      <c r="AX748" s="114"/>
    </row>
    <row r="749" spans="4:50">
      <c r="D749" s="114"/>
      <c r="F749" s="114"/>
      <c r="G749" s="114"/>
      <c r="H749" s="114"/>
      <c r="I749" s="114"/>
      <c r="J749" s="114"/>
      <c r="K749" s="114"/>
      <c r="L749" s="114"/>
      <c r="M749" s="114"/>
      <c r="N749" s="114"/>
      <c r="O749" s="114"/>
      <c r="P749" s="114"/>
      <c r="Q749" s="114"/>
      <c r="R749" s="114"/>
      <c r="S749" s="114"/>
      <c r="T749" s="114"/>
      <c r="U749" s="114"/>
      <c r="V749" s="114"/>
      <c r="W749" s="114"/>
      <c r="X749" s="114"/>
      <c r="Y749" s="114"/>
      <c r="Z749" s="114"/>
      <c r="AA749" s="114"/>
      <c r="AB749" s="114"/>
      <c r="AC749" s="114"/>
      <c r="AD749" s="114"/>
      <c r="AE749" s="114"/>
      <c r="AF749" s="114"/>
      <c r="AG749" s="114"/>
      <c r="AH749" s="114"/>
      <c r="AI749" s="114"/>
      <c r="AJ749" s="114"/>
      <c r="AK749" s="114"/>
      <c r="AL749" s="114"/>
      <c r="AM749" s="114"/>
      <c r="AN749" s="114"/>
      <c r="AO749" s="114"/>
      <c r="AP749" s="114"/>
      <c r="AQ749" s="114"/>
      <c r="AR749" s="114"/>
      <c r="AS749" s="114"/>
      <c r="AT749" s="114"/>
      <c r="AU749" s="114"/>
      <c r="AV749" s="114"/>
      <c r="AW749" s="114"/>
      <c r="AX749" s="114"/>
    </row>
    <row r="750" spans="4:50">
      <c r="D750" s="114"/>
      <c r="F750" s="114"/>
      <c r="G750" s="114"/>
      <c r="H750" s="114"/>
      <c r="I750" s="114"/>
      <c r="J750" s="114"/>
      <c r="K750" s="114"/>
      <c r="L750" s="114"/>
      <c r="M750" s="114"/>
      <c r="N750" s="114"/>
      <c r="O750" s="114"/>
      <c r="P750" s="114"/>
      <c r="Q750" s="114"/>
      <c r="R750" s="114"/>
      <c r="S750" s="114"/>
      <c r="T750" s="114"/>
      <c r="U750" s="114"/>
      <c r="V750" s="114"/>
      <c r="W750" s="114"/>
      <c r="X750" s="114"/>
      <c r="Y750" s="114"/>
      <c r="Z750" s="114"/>
      <c r="AA750" s="114"/>
      <c r="AB750" s="114"/>
      <c r="AC750" s="114"/>
      <c r="AD750" s="114"/>
      <c r="AE750" s="114"/>
      <c r="AF750" s="114"/>
      <c r="AG750" s="114"/>
      <c r="AH750" s="114"/>
      <c r="AI750" s="114"/>
      <c r="AJ750" s="114"/>
      <c r="AK750" s="114"/>
      <c r="AL750" s="114"/>
      <c r="AM750" s="114"/>
      <c r="AN750" s="114"/>
      <c r="AO750" s="114"/>
      <c r="AP750" s="114"/>
      <c r="AQ750" s="114"/>
      <c r="AR750" s="114"/>
      <c r="AS750" s="114"/>
      <c r="AT750" s="114"/>
      <c r="AU750" s="114"/>
      <c r="AV750" s="114"/>
      <c r="AW750" s="114"/>
      <c r="AX750" s="114"/>
    </row>
    <row r="751" spans="4:50">
      <c r="D751" s="114"/>
      <c r="F751" s="114"/>
      <c r="G751" s="114"/>
      <c r="H751" s="114"/>
      <c r="I751" s="114"/>
      <c r="J751" s="114"/>
      <c r="K751" s="114"/>
      <c r="L751" s="114"/>
      <c r="M751" s="114"/>
      <c r="N751" s="114"/>
      <c r="O751" s="114"/>
      <c r="P751" s="114"/>
      <c r="Q751" s="114"/>
      <c r="R751" s="114"/>
      <c r="S751" s="114"/>
      <c r="T751" s="114"/>
      <c r="U751" s="114"/>
      <c r="V751" s="114"/>
      <c r="W751" s="114"/>
      <c r="X751" s="114"/>
      <c r="Y751" s="114"/>
      <c r="Z751" s="114"/>
      <c r="AA751" s="114"/>
      <c r="AB751" s="114"/>
      <c r="AC751" s="114"/>
      <c r="AD751" s="114"/>
      <c r="AE751" s="114"/>
      <c r="AF751" s="114"/>
      <c r="AG751" s="114"/>
      <c r="AH751" s="114"/>
      <c r="AI751" s="114"/>
      <c r="AJ751" s="114"/>
      <c r="AK751" s="114"/>
      <c r="AL751" s="114"/>
      <c r="AM751" s="114"/>
      <c r="AN751" s="114"/>
      <c r="AO751" s="114"/>
      <c r="AP751" s="114"/>
      <c r="AQ751" s="114"/>
      <c r="AR751" s="114"/>
      <c r="AS751" s="114"/>
      <c r="AT751" s="114"/>
      <c r="AU751" s="114"/>
      <c r="AV751" s="114"/>
      <c r="AW751" s="114"/>
      <c r="AX751" s="114"/>
    </row>
    <row r="752" spans="4:50">
      <c r="D752" s="114"/>
      <c r="F752" s="114"/>
      <c r="G752" s="114"/>
      <c r="H752" s="114"/>
      <c r="I752" s="114"/>
      <c r="J752" s="114"/>
      <c r="K752" s="114"/>
      <c r="L752" s="114"/>
      <c r="M752" s="114"/>
      <c r="N752" s="114"/>
      <c r="O752" s="114"/>
      <c r="P752" s="114"/>
      <c r="Q752" s="114"/>
      <c r="R752" s="114"/>
      <c r="S752" s="114"/>
      <c r="T752" s="114"/>
      <c r="U752" s="114"/>
      <c r="V752" s="114"/>
      <c r="W752" s="114"/>
      <c r="X752" s="114"/>
      <c r="Y752" s="114"/>
      <c r="Z752" s="114"/>
      <c r="AA752" s="114"/>
      <c r="AB752" s="114"/>
      <c r="AC752" s="114"/>
      <c r="AD752" s="114"/>
      <c r="AE752" s="114"/>
      <c r="AF752" s="114"/>
      <c r="AG752" s="114"/>
      <c r="AH752" s="114"/>
      <c r="AI752" s="114"/>
      <c r="AJ752" s="114"/>
      <c r="AK752" s="114"/>
      <c r="AL752" s="114"/>
      <c r="AM752" s="114"/>
      <c r="AN752" s="114"/>
      <c r="AO752" s="114"/>
      <c r="AP752" s="114"/>
      <c r="AQ752" s="114"/>
      <c r="AR752" s="114"/>
      <c r="AS752" s="114"/>
      <c r="AT752" s="114"/>
      <c r="AU752" s="114"/>
      <c r="AV752" s="114"/>
      <c r="AW752" s="114"/>
      <c r="AX752" s="114"/>
    </row>
    <row r="753" spans="4:50">
      <c r="D753" s="114"/>
      <c r="F753" s="114"/>
      <c r="G753" s="114"/>
      <c r="H753" s="114"/>
      <c r="I753" s="114"/>
      <c r="J753" s="114"/>
      <c r="K753" s="114"/>
      <c r="L753" s="114"/>
      <c r="M753" s="114"/>
      <c r="N753" s="114"/>
      <c r="O753" s="114"/>
      <c r="P753" s="114"/>
      <c r="Q753" s="114"/>
      <c r="R753" s="114"/>
      <c r="S753" s="114"/>
      <c r="T753" s="114"/>
      <c r="U753" s="114"/>
      <c r="V753" s="114"/>
      <c r="W753" s="114"/>
      <c r="X753" s="114"/>
      <c r="Y753" s="114"/>
      <c r="Z753" s="114"/>
      <c r="AA753" s="114"/>
      <c r="AB753" s="114"/>
      <c r="AC753" s="114"/>
      <c r="AD753" s="114"/>
      <c r="AE753" s="114"/>
      <c r="AF753" s="114"/>
      <c r="AG753" s="114"/>
      <c r="AH753" s="114"/>
      <c r="AI753" s="114"/>
      <c r="AJ753" s="114"/>
      <c r="AK753" s="114"/>
      <c r="AL753" s="114"/>
      <c r="AM753" s="114"/>
      <c r="AN753" s="114"/>
      <c r="AO753" s="114"/>
      <c r="AP753" s="114"/>
      <c r="AQ753" s="114"/>
      <c r="AR753" s="114"/>
      <c r="AS753" s="114"/>
      <c r="AT753" s="114"/>
      <c r="AU753" s="114"/>
      <c r="AV753" s="114"/>
      <c r="AW753" s="114"/>
      <c r="AX753" s="114"/>
    </row>
    <row r="754" spans="4:50">
      <c r="D754" s="114"/>
      <c r="F754" s="114"/>
      <c r="G754" s="114"/>
      <c r="H754" s="114"/>
      <c r="I754" s="114"/>
      <c r="J754" s="114"/>
      <c r="K754" s="114"/>
      <c r="L754" s="114"/>
      <c r="M754" s="114"/>
      <c r="N754" s="114"/>
      <c r="O754" s="114"/>
      <c r="P754" s="114"/>
      <c r="Q754" s="114"/>
      <c r="R754" s="114"/>
      <c r="S754" s="114"/>
      <c r="T754" s="114"/>
      <c r="U754" s="114"/>
      <c r="V754" s="114"/>
      <c r="W754" s="114"/>
      <c r="X754" s="114"/>
      <c r="Y754" s="114"/>
      <c r="Z754" s="114"/>
      <c r="AA754" s="114"/>
      <c r="AB754" s="114"/>
      <c r="AC754" s="114"/>
      <c r="AD754" s="114"/>
      <c r="AE754" s="114"/>
      <c r="AF754" s="114"/>
      <c r="AG754" s="114"/>
      <c r="AH754" s="114"/>
      <c r="AI754" s="114"/>
      <c r="AJ754" s="114"/>
      <c r="AK754" s="114"/>
      <c r="AL754" s="114"/>
      <c r="AM754" s="114"/>
      <c r="AN754" s="114"/>
      <c r="AO754" s="114"/>
      <c r="AP754" s="114"/>
      <c r="AQ754" s="114"/>
      <c r="AR754" s="114"/>
      <c r="AS754" s="114"/>
      <c r="AT754" s="114"/>
      <c r="AU754" s="114"/>
      <c r="AV754" s="114"/>
      <c r="AW754" s="114"/>
      <c r="AX754" s="114"/>
    </row>
    <row r="755" spans="4:50">
      <c r="D755" s="114"/>
      <c r="F755" s="114"/>
      <c r="G755" s="114"/>
      <c r="H755" s="114"/>
      <c r="I755" s="114"/>
      <c r="J755" s="114"/>
      <c r="K755" s="114"/>
      <c r="L755" s="114"/>
      <c r="M755" s="114"/>
      <c r="N755" s="114"/>
      <c r="O755" s="114"/>
      <c r="P755" s="114"/>
      <c r="Q755" s="114"/>
      <c r="R755" s="114"/>
      <c r="S755" s="114"/>
      <c r="T755" s="114"/>
      <c r="U755" s="114"/>
      <c r="V755" s="114"/>
      <c r="W755" s="114"/>
      <c r="X755" s="114"/>
      <c r="Y755" s="114"/>
      <c r="Z755" s="114"/>
      <c r="AA755" s="114"/>
      <c r="AB755" s="114"/>
      <c r="AC755" s="114"/>
      <c r="AD755" s="114"/>
      <c r="AE755" s="114"/>
      <c r="AF755" s="114"/>
      <c r="AG755" s="114"/>
      <c r="AH755" s="114"/>
      <c r="AI755" s="114"/>
      <c r="AJ755" s="114"/>
      <c r="AK755" s="114"/>
      <c r="AL755" s="114"/>
      <c r="AM755" s="114"/>
      <c r="AN755" s="114"/>
      <c r="AO755" s="114"/>
      <c r="AP755" s="114"/>
      <c r="AQ755" s="114"/>
      <c r="AR755" s="114"/>
      <c r="AS755" s="114"/>
      <c r="AT755" s="114"/>
      <c r="AU755" s="114"/>
      <c r="AV755" s="114"/>
      <c r="AW755" s="114"/>
      <c r="AX755" s="114"/>
    </row>
    <row r="756" spans="4:50">
      <c r="D756" s="114"/>
      <c r="F756" s="114"/>
      <c r="G756" s="114"/>
      <c r="H756" s="114"/>
      <c r="I756" s="114"/>
      <c r="J756" s="114"/>
      <c r="K756" s="114"/>
      <c r="L756" s="114"/>
      <c r="M756" s="114"/>
      <c r="N756" s="114"/>
      <c r="O756" s="114"/>
      <c r="P756" s="114"/>
      <c r="Q756" s="114"/>
      <c r="R756" s="114"/>
      <c r="S756" s="114"/>
      <c r="T756" s="114"/>
      <c r="U756" s="114"/>
      <c r="V756" s="114"/>
      <c r="W756" s="114"/>
      <c r="X756" s="114"/>
      <c r="Y756" s="114"/>
      <c r="Z756" s="114"/>
      <c r="AA756" s="114"/>
      <c r="AB756" s="114"/>
      <c r="AC756" s="114"/>
      <c r="AD756" s="114"/>
      <c r="AE756" s="114"/>
      <c r="AF756" s="114"/>
      <c r="AG756" s="114"/>
      <c r="AH756" s="114"/>
      <c r="AI756" s="114"/>
      <c r="AJ756" s="114"/>
      <c r="AK756" s="114"/>
      <c r="AL756" s="114"/>
      <c r="AM756" s="114"/>
      <c r="AN756" s="114"/>
      <c r="AO756" s="114"/>
      <c r="AP756" s="114"/>
      <c r="AQ756" s="114"/>
      <c r="AR756" s="114"/>
      <c r="AS756" s="114"/>
      <c r="AT756" s="114"/>
      <c r="AU756" s="114"/>
      <c r="AV756" s="114"/>
      <c r="AW756" s="114"/>
      <c r="AX756" s="114"/>
    </row>
    <row r="757" spans="4:50">
      <c r="D757" s="114"/>
      <c r="F757" s="114"/>
      <c r="G757" s="114"/>
      <c r="H757" s="114"/>
      <c r="I757" s="114"/>
      <c r="J757" s="114"/>
      <c r="K757" s="114"/>
      <c r="L757" s="114"/>
      <c r="M757" s="114"/>
      <c r="N757" s="114"/>
      <c r="O757" s="114"/>
      <c r="P757" s="114"/>
      <c r="Q757" s="114"/>
      <c r="R757" s="114"/>
      <c r="S757" s="114"/>
      <c r="T757" s="114"/>
      <c r="U757" s="114"/>
      <c r="V757" s="114"/>
      <c r="W757" s="114"/>
      <c r="X757" s="114"/>
      <c r="Y757" s="114"/>
      <c r="Z757" s="114"/>
      <c r="AA757" s="114"/>
      <c r="AB757" s="114"/>
      <c r="AC757" s="114"/>
      <c r="AD757" s="114"/>
      <c r="AE757" s="114"/>
      <c r="AF757" s="114"/>
      <c r="AG757" s="114"/>
      <c r="AH757" s="114"/>
      <c r="AI757" s="114"/>
      <c r="AJ757" s="114"/>
      <c r="AK757" s="114"/>
      <c r="AL757" s="114"/>
      <c r="AM757" s="114"/>
      <c r="AN757" s="114"/>
      <c r="AO757" s="114"/>
      <c r="AP757" s="114"/>
      <c r="AQ757" s="114"/>
      <c r="AR757" s="114"/>
      <c r="AS757" s="114"/>
      <c r="AT757" s="114"/>
      <c r="AU757" s="114"/>
      <c r="AV757" s="114"/>
      <c r="AW757" s="114"/>
      <c r="AX757" s="114"/>
    </row>
    <row r="758" spans="4:50">
      <c r="D758" s="114"/>
      <c r="F758" s="114"/>
      <c r="G758" s="114"/>
      <c r="H758" s="114"/>
      <c r="I758" s="114"/>
      <c r="J758" s="114"/>
      <c r="K758" s="114"/>
      <c r="L758" s="114"/>
      <c r="M758" s="114"/>
      <c r="N758" s="114"/>
      <c r="O758" s="114"/>
      <c r="P758" s="114"/>
      <c r="Q758" s="114"/>
      <c r="R758" s="114"/>
      <c r="S758" s="114"/>
      <c r="T758" s="114"/>
      <c r="U758" s="114"/>
      <c r="V758" s="114"/>
      <c r="W758" s="114"/>
      <c r="X758" s="114"/>
      <c r="Y758" s="114"/>
      <c r="Z758" s="114"/>
      <c r="AA758" s="114"/>
      <c r="AB758" s="114"/>
      <c r="AC758" s="114"/>
      <c r="AD758" s="114"/>
      <c r="AE758" s="114"/>
      <c r="AF758" s="114"/>
      <c r="AG758" s="114"/>
      <c r="AH758" s="114"/>
      <c r="AI758" s="114"/>
      <c r="AJ758" s="114"/>
      <c r="AK758" s="114"/>
      <c r="AL758" s="114"/>
      <c r="AM758" s="114"/>
      <c r="AN758" s="114"/>
      <c r="AO758" s="114"/>
      <c r="AP758" s="114"/>
      <c r="AQ758" s="114"/>
      <c r="AR758" s="114"/>
      <c r="AS758" s="114"/>
      <c r="AT758" s="114"/>
      <c r="AU758" s="114"/>
      <c r="AV758" s="114"/>
      <c r="AW758" s="114"/>
      <c r="AX758" s="114"/>
    </row>
    <row r="759" spans="4:50">
      <c r="D759" s="114"/>
      <c r="F759" s="114"/>
      <c r="G759" s="114"/>
      <c r="H759" s="114"/>
      <c r="I759" s="114"/>
      <c r="J759" s="114"/>
      <c r="K759" s="114"/>
      <c r="L759" s="114"/>
      <c r="M759" s="114"/>
      <c r="N759" s="114"/>
      <c r="O759" s="114"/>
      <c r="P759" s="114"/>
      <c r="Q759" s="114"/>
      <c r="R759" s="114"/>
      <c r="S759" s="114"/>
      <c r="T759" s="114"/>
      <c r="U759" s="114"/>
      <c r="V759" s="114"/>
      <c r="W759" s="114"/>
      <c r="X759" s="114"/>
      <c r="Y759" s="114"/>
      <c r="Z759" s="114"/>
      <c r="AA759" s="114"/>
      <c r="AB759" s="114"/>
      <c r="AC759" s="114"/>
      <c r="AD759" s="114"/>
      <c r="AE759" s="114"/>
      <c r="AF759" s="114"/>
      <c r="AG759" s="114"/>
      <c r="AH759" s="114"/>
      <c r="AI759" s="114"/>
      <c r="AJ759" s="114"/>
      <c r="AK759" s="114"/>
      <c r="AL759" s="114"/>
      <c r="AM759" s="114"/>
      <c r="AN759" s="114"/>
      <c r="AO759" s="114"/>
      <c r="AP759" s="114"/>
      <c r="AQ759" s="114"/>
      <c r="AR759" s="114"/>
      <c r="AS759" s="114"/>
      <c r="AT759" s="114"/>
      <c r="AU759" s="114"/>
      <c r="AV759" s="114"/>
      <c r="AW759" s="114"/>
      <c r="AX759" s="114"/>
    </row>
    <row r="760" spans="4:50">
      <c r="D760" s="114"/>
      <c r="F760" s="114"/>
      <c r="G760" s="114"/>
      <c r="H760" s="114"/>
      <c r="I760" s="114"/>
      <c r="J760" s="114"/>
      <c r="K760" s="114"/>
      <c r="L760" s="114"/>
      <c r="M760" s="114"/>
      <c r="N760" s="114"/>
      <c r="O760" s="114"/>
      <c r="P760" s="114"/>
      <c r="Q760" s="114"/>
      <c r="R760" s="114"/>
      <c r="S760" s="114"/>
      <c r="T760" s="114"/>
      <c r="U760" s="114"/>
      <c r="V760" s="114"/>
      <c r="W760" s="114"/>
      <c r="X760" s="114"/>
      <c r="Y760" s="114"/>
      <c r="Z760" s="114"/>
      <c r="AA760" s="114"/>
      <c r="AB760" s="114"/>
      <c r="AC760" s="114"/>
      <c r="AD760" s="114"/>
      <c r="AE760" s="114"/>
      <c r="AF760" s="114"/>
      <c r="AG760" s="114"/>
      <c r="AH760" s="114"/>
      <c r="AI760" s="114"/>
      <c r="AJ760" s="114"/>
      <c r="AK760" s="114"/>
      <c r="AL760" s="114"/>
      <c r="AM760" s="114"/>
      <c r="AN760" s="114"/>
      <c r="AO760" s="114"/>
      <c r="AP760" s="114"/>
      <c r="AQ760" s="114"/>
      <c r="AR760" s="114"/>
      <c r="AS760" s="114"/>
      <c r="AT760" s="114"/>
      <c r="AU760" s="114"/>
      <c r="AV760" s="114"/>
      <c r="AW760" s="114"/>
      <c r="AX760" s="114"/>
    </row>
    <row r="761" spans="4:50">
      <c r="D761" s="114"/>
      <c r="F761" s="114"/>
      <c r="G761" s="114"/>
      <c r="H761" s="114"/>
      <c r="I761" s="114"/>
      <c r="J761" s="114"/>
      <c r="K761" s="114"/>
      <c r="L761" s="114"/>
      <c r="M761" s="114"/>
      <c r="N761" s="114"/>
      <c r="O761" s="114"/>
      <c r="P761" s="114"/>
      <c r="Q761" s="114"/>
      <c r="R761" s="114"/>
      <c r="S761" s="114"/>
      <c r="T761" s="114"/>
      <c r="U761" s="114"/>
      <c r="V761" s="114"/>
      <c r="W761" s="114"/>
      <c r="X761" s="114"/>
      <c r="Y761" s="114"/>
      <c r="Z761" s="114"/>
      <c r="AA761" s="114"/>
      <c r="AB761" s="114"/>
      <c r="AC761" s="114"/>
      <c r="AD761" s="114"/>
      <c r="AE761" s="114"/>
      <c r="AF761" s="114"/>
      <c r="AG761" s="114"/>
      <c r="AH761" s="114"/>
      <c r="AI761" s="114"/>
      <c r="AJ761" s="114"/>
      <c r="AK761" s="114"/>
      <c r="AL761" s="114"/>
      <c r="AM761" s="114"/>
      <c r="AN761" s="114"/>
      <c r="AO761" s="114"/>
      <c r="AP761" s="114"/>
      <c r="AQ761" s="114"/>
      <c r="AR761" s="114"/>
      <c r="AS761" s="114"/>
      <c r="AT761" s="114"/>
      <c r="AU761" s="114"/>
      <c r="AV761" s="114"/>
      <c r="AW761" s="114"/>
      <c r="AX761" s="114"/>
    </row>
    <row r="762" spans="4:50">
      <c r="D762" s="114"/>
      <c r="F762" s="114"/>
      <c r="G762" s="114"/>
      <c r="H762" s="114"/>
      <c r="I762" s="114"/>
      <c r="J762" s="114"/>
      <c r="K762" s="114"/>
      <c r="L762" s="114"/>
      <c r="M762" s="114"/>
      <c r="N762" s="114"/>
      <c r="O762" s="114"/>
      <c r="P762" s="114"/>
      <c r="Q762" s="114"/>
      <c r="R762" s="114"/>
      <c r="S762" s="114"/>
      <c r="T762" s="114"/>
      <c r="U762" s="114"/>
      <c r="V762" s="114"/>
      <c r="W762" s="114"/>
      <c r="X762" s="114"/>
      <c r="Y762" s="114"/>
      <c r="Z762" s="114"/>
      <c r="AA762" s="114"/>
      <c r="AB762" s="114"/>
      <c r="AC762" s="114"/>
      <c r="AD762" s="114"/>
      <c r="AE762" s="114"/>
      <c r="AF762" s="114"/>
      <c r="AG762" s="114"/>
      <c r="AH762" s="114"/>
      <c r="AI762" s="114"/>
      <c r="AJ762" s="114"/>
      <c r="AK762" s="114"/>
      <c r="AL762" s="114"/>
      <c r="AM762" s="114"/>
      <c r="AN762" s="114"/>
      <c r="AO762" s="114"/>
      <c r="AP762" s="114"/>
      <c r="AQ762" s="114"/>
      <c r="AR762" s="114"/>
      <c r="AS762" s="114"/>
      <c r="AT762" s="114"/>
      <c r="AU762" s="114"/>
      <c r="AV762" s="114"/>
      <c r="AW762" s="114"/>
      <c r="AX762" s="114"/>
    </row>
    <row r="763" spans="4:50">
      <c r="D763" s="114"/>
      <c r="F763" s="114"/>
      <c r="G763" s="114"/>
      <c r="H763" s="114"/>
      <c r="I763" s="114"/>
      <c r="J763" s="114"/>
      <c r="K763" s="114"/>
      <c r="L763" s="114"/>
      <c r="M763" s="114"/>
      <c r="N763" s="114"/>
      <c r="O763" s="114"/>
      <c r="P763" s="114"/>
      <c r="Q763" s="114"/>
      <c r="R763" s="114"/>
      <c r="S763" s="114"/>
      <c r="T763" s="114"/>
      <c r="U763" s="114"/>
      <c r="V763" s="114"/>
      <c r="W763" s="114"/>
      <c r="X763" s="114"/>
      <c r="Y763" s="114"/>
      <c r="Z763" s="114"/>
      <c r="AA763" s="114"/>
      <c r="AB763" s="114"/>
      <c r="AC763" s="114"/>
      <c r="AD763" s="114"/>
      <c r="AE763" s="114"/>
      <c r="AF763" s="114"/>
      <c r="AG763" s="114"/>
      <c r="AH763" s="114"/>
      <c r="AI763" s="114"/>
      <c r="AJ763" s="114"/>
      <c r="AK763" s="114"/>
      <c r="AL763" s="114"/>
      <c r="AM763" s="114"/>
      <c r="AN763" s="114"/>
      <c r="AO763" s="114"/>
      <c r="AP763" s="114"/>
      <c r="AQ763" s="114"/>
      <c r="AR763" s="114"/>
      <c r="AS763" s="114"/>
      <c r="AT763" s="114"/>
      <c r="AU763" s="114"/>
      <c r="AV763" s="114"/>
      <c r="AW763" s="114"/>
      <c r="AX763" s="114"/>
    </row>
    <row r="764" spans="4:50">
      <c r="D764" s="114"/>
      <c r="F764" s="114"/>
      <c r="G764" s="114"/>
      <c r="H764" s="114"/>
      <c r="I764" s="114"/>
      <c r="J764" s="114"/>
      <c r="K764" s="114"/>
      <c r="L764" s="114"/>
      <c r="M764" s="114"/>
      <c r="N764" s="114"/>
      <c r="O764" s="114"/>
      <c r="P764" s="114"/>
      <c r="Q764" s="114"/>
      <c r="R764" s="114"/>
      <c r="S764" s="114"/>
      <c r="T764" s="114"/>
      <c r="U764" s="114"/>
      <c r="V764" s="114"/>
      <c r="W764" s="114"/>
      <c r="X764" s="114"/>
      <c r="Y764" s="114"/>
      <c r="Z764" s="114"/>
      <c r="AA764" s="114"/>
      <c r="AB764" s="114"/>
      <c r="AC764" s="114"/>
      <c r="AD764" s="114"/>
      <c r="AE764" s="114"/>
      <c r="AF764" s="114"/>
      <c r="AG764" s="114"/>
      <c r="AH764" s="114"/>
      <c r="AI764" s="114"/>
      <c r="AJ764" s="114"/>
      <c r="AK764" s="114"/>
      <c r="AL764" s="114"/>
      <c r="AM764" s="114"/>
      <c r="AN764" s="114"/>
      <c r="AO764" s="114"/>
      <c r="AP764" s="114"/>
      <c r="AQ764" s="114"/>
      <c r="AR764" s="114"/>
      <c r="AS764" s="114"/>
      <c r="AT764" s="114"/>
      <c r="AU764" s="114"/>
      <c r="AV764" s="114"/>
      <c r="AW764" s="114"/>
      <c r="AX764" s="114"/>
    </row>
    <row r="765" spans="4:50">
      <c r="D765" s="114"/>
      <c r="F765" s="114"/>
      <c r="G765" s="114"/>
      <c r="H765" s="114"/>
      <c r="I765" s="114"/>
      <c r="J765" s="114"/>
      <c r="K765" s="114"/>
      <c r="L765" s="114"/>
      <c r="M765" s="114"/>
      <c r="N765" s="114"/>
      <c r="O765" s="114"/>
      <c r="P765" s="114"/>
      <c r="Q765" s="114"/>
      <c r="R765" s="114"/>
      <c r="S765" s="114"/>
      <c r="T765" s="114"/>
      <c r="U765" s="114"/>
      <c r="V765" s="114"/>
      <c r="W765" s="114"/>
      <c r="X765" s="114"/>
      <c r="Y765" s="114"/>
      <c r="Z765" s="114"/>
      <c r="AA765" s="114"/>
      <c r="AB765" s="114"/>
      <c r="AC765" s="114"/>
      <c r="AD765" s="114"/>
      <c r="AE765" s="114"/>
      <c r="AF765" s="114"/>
      <c r="AG765" s="114"/>
      <c r="AH765" s="114"/>
      <c r="AI765" s="114"/>
      <c r="AJ765" s="114"/>
      <c r="AK765" s="114"/>
      <c r="AL765" s="114"/>
      <c r="AM765" s="114"/>
      <c r="AN765" s="114"/>
      <c r="AO765" s="114"/>
      <c r="AP765" s="114"/>
      <c r="AQ765" s="114"/>
      <c r="AR765" s="114"/>
      <c r="AS765" s="114"/>
      <c r="AT765" s="114"/>
      <c r="AU765" s="114"/>
      <c r="AV765" s="114"/>
      <c r="AW765" s="114"/>
      <c r="AX765" s="114"/>
    </row>
    <row r="766" spans="4:50">
      <c r="D766" s="114"/>
      <c r="F766" s="114"/>
      <c r="G766" s="114"/>
      <c r="H766" s="114"/>
      <c r="I766" s="114"/>
      <c r="J766" s="114"/>
      <c r="K766" s="114"/>
      <c r="L766" s="114"/>
      <c r="M766" s="114"/>
      <c r="N766" s="114"/>
      <c r="O766" s="114"/>
      <c r="P766" s="114"/>
      <c r="Q766" s="114"/>
      <c r="R766" s="114"/>
      <c r="S766" s="114"/>
      <c r="T766" s="114"/>
      <c r="U766" s="114"/>
      <c r="V766" s="114"/>
      <c r="W766" s="114"/>
      <c r="X766" s="114"/>
      <c r="Y766" s="114"/>
      <c r="Z766" s="114"/>
      <c r="AA766" s="114"/>
      <c r="AB766" s="114"/>
      <c r="AC766" s="114"/>
      <c r="AD766" s="114"/>
      <c r="AE766" s="114"/>
      <c r="AF766" s="114"/>
      <c r="AG766" s="114"/>
      <c r="AH766" s="114"/>
      <c r="AI766" s="114"/>
      <c r="AJ766" s="114"/>
      <c r="AK766" s="114"/>
      <c r="AL766" s="114"/>
      <c r="AM766" s="114"/>
      <c r="AN766" s="114"/>
      <c r="AO766" s="114"/>
      <c r="AP766" s="114"/>
      <c r="AQ766" s="114"/>
      <c r="AR766" s="114"/>
      <c r="AS766" s="114"/>
      <c r="AT766" s="114"/>
      <c r="AU766" s="114"/>
      <c r="AV766" s="114"/>
      <c r="AW766" s="114"/>
      <c r="AX766" s="114"/>
    </row>
    <row r="767" spans="4:50">
      <c r="D767" s="114"/>
      <c r="F767" s="114"/>
      <c r="G767" s="114"/>
      <c r="H767" s="114"/>
      <c r="I767" s="114"/>
      <c r="J767" s="114"/>
      <c r="K767" s="114"/>
      <c r="L767" s="114"/>
      <c r="M767" s="114"/>
      <c r="N767" s="114"/>
      <c r="O767" s="114"/>
      <c r="P767" s="114"/>
      <c r="Q767" s="114"/>
      <c r="R767" s="114"/>
      <c r="S767" s="114"/>
      <c r="T767" s="114"/>
      <c r="U767" s="114"/>
      <c r="V767" s="114"/>
      <c r="W767" s="114"/>
      <c r="X767" s="114"/>
      <c r="Y767" s="114"/>
      <c r="Z767" s="114"/>
      <c r="AA767" s="114"/>
      <c r="AB767" s="114"/>
      <c r="AC767" s="114"/>
      <c r="AD767" s="114"/>
      <c r="AE767" s="114"/>
      <c r="AF767" s="114"/>
      <c r="AG767" s="114"/>
      <c r="AH767" s="114"/>
      <c r="AI767" s="114"/>
      <c r="AJ767" s="114"/>
      <c r="AK767" s="114"/>
      <c r="AL767" s="114"/>
      <c r="AM767" s="114"/>
      <c r="AN767" s="114"/>
      <c r="AO767" s="114"/>
      <c r="AP767" s="114"/>
      <c r="AQ767" s="114"/>
      <c r="AR767" s="114"/>
      <c r="AS767" s="114"/>
      <c r="AT767" s="114"/>
      <c r="AU767" s="114"/>
      <c r="AV767" s="114"/>
      <c r="AW767" s="114"/>
      <c r="AX767" s="114"/>
    </row>
    <row r="768" spans="4:50">
      <c r="D768" s="114"/>
      <c r="F768" s="114"/>
      <c r="G768" s="114"/>
      <c r="H768" s="114"/>
      <c r="I768" s="114"/>
      <c r="J768" s="114"/>
      <c r="K768" s="114"/>
      <c r="L768" s="114"/>
      <c r="M768" s="114"/>
      <c r="N768" s="114"/>
      <c r="O768" s="114"/>
      <c r="P768" s="114"/>
      <c r="Q768" s="114"/>
      <c r="R768" s="114"/>
      <c r="S768" s="114"/>
      <c r="T768" s="114"/>
      <c r="U768" s="114"/>
      <c r="V768" s="114"/>
      <c r="W768" s="114"/>
      <c r="X768" s="114"/>
      <c r="Y768" s="114"/>
      <c r="Z768" s="114"/>
      <c r="AA768" s="114"/>
      <c r="AB768" s="114"/>
      <c r="AC768" s="114"/>
      <c r="AD768" s="114"/>
      <c r="AE768" s="114"/>
      <c r="AF768" s="114"/>
      <c r="AG768" s="114"/>
      <c r="AH768" s="114"/>
      <c r="AI768" s="114"/>
      <c r="AJ768" s="114"/>
      <c r="AK768" s="114"/>
      <c r="AL768" s="114"/>
      <c r="AM768" s="114"/>
      <c r="AN768" s="114"/>
      <c r="AO768" s="114"/>
      <c r="AP768" s="114"/>
      <c r="AQ768" s="114"/>
      <c r="AR768" s="114"/>
      <c r="AS768" s="114"/>
      <c r="AT768" s="114"/>
      <c r="AU768" s="114"/>
      <c r="AV768" s="114"/>
      <c r="AW768" s="114"/>
      <c r="AX768" s="114"/>
    </row>
    <row r="769" spans="4:50">
      <c r="D769" s="114"/>
      <c r="F769" s="114"/>
      <c r="G769" s="114"/>
      <c r="H769" s="114"/>
      <c r="I769" s="114"/>
      <c r="J769" s="114"/>
      <c r="K769" s="114"/>
      <c r="L769" s="114"/>
      <c r="M769" s="114"/>
      <c r="N769" s="114"/>
      <c r="O769" s="114"/>
      <c r="P769" s="114"/>
      <c r="Q769" s="114"/>
      <c r="R769" s="114"/>
      <c r="S769" s="114"/>
      <c r="T769" s="114"/>
      <c r="U769" s="114"/>
      <c r="V769" s="114"/>
      <c r="W769" s="114"/>
      <c r="X769" s="114"/>
      <c r="Y769" s="114"/>
      <c r="Z769" s="114"/>
      <c r="AA769" s="114"/>
      <c r="AB769" s="114"/>
      <c r="AC769" s="114"/>
      <c r="AD769" s="114"/>
      <c r="AE769" s="114"/>
      <c r="AF769" s="114"/>
      <c r="AG769" s="114"/>
      <c r="AH769" s="114"/>
      <c r="AI769" s="114"/>
      <c r="AJ769" s="114"/>
      <c r="AK769" s="114"/>
      <c r="AL769" s="114"/>
      <c r="AM769" s="114"/>
      <c r="AN769" s="114"/>
      <c r="AO769" s="114"/>
      <c r="AP769" s="114"/>
      <c r="AQ769" s="114"/>
      <c r="AR769" s="114"/>
      <c r="AS769" s="114"/>
      <c r="AT769" s="114"/>
      <c r="AU769" s="114"/>
      <c r="AV769" s="114"/>
      <c r="AW769" s="114"/>
      <c r="AX769" s="114"/>
    </row>
    <row r="770" spans="4:50">
      <c r="D770" s="114"/>
      <c r="F770" s="114"/>
      <c r="G770" s="114"/>
      <c r="H770" s="114"/>
      <c r="I770" s="114"/>
      <c r="J770" s="114"/>
      <c r="K770" s="114"/>
      <c r="L770" s="114"/>
      <c r="M770" s="114"/>
      <c r="N770" s="114"/>
      <c r="O770" s="114"/>
      <c r="P770" s="114"/>
      <c r="Q770" s="114"/>
      <c r="R770" s="114"/>
      <c r="S770" s="114"/>
      <c r="T770" s="114"/>
      <c r="U770" s="114"/>
      <c r="V770" s="114"/>
      <c r="W770" s="114"/>
      <c r="X770" s="114"/>
      <c r="Y770" s="114"/>
      <c r="Z770" s="114"/>
      <c r="AA770" s="114"/>
      <c r="AB770" s="114"/>
      <c r="AC770" s="114"/>
      <c r="AD770" s="114"/>
      <c r="AE770" s="114"/>
      <c r="AF770" s="114"/>
      <c r="AG770" s="114"/>
      <c r="AH770" s="114"/>
      <c r="AI770" s="114"/>
      <c r="AJ770" s="114"/>
      <c r="AK770" s="114"/>
      <c r="AL770" s="114"/>
      <c r="AM770" s="114"/>
      <c r="AN770" s="114"/>
      <c r="AO770" s="114"/>
      <c r="AP770" s="114"/>
      <c r="AQ770" s="114"/>
      <c r="AR770" s="114"/>
      <c r="AS770" s="114"/>
      <c r="AT770" s="114"/>
      <c r="AU770" s="114"/>
      <c r="AV770" s="114"/>
      <c r="AW770" s="114"/>
      <c r="AX770" s="114"/>
    </row>
    <row r="771" spans="4:50">
      <c r="D771" s="114"/>
      <c r="F771" s="114"/>
      <c r="G771" s="114"/>
      <c r="H771" s="114"/>
      <c r="I771" s="114"/>
      <c r="J771" s="114"/>
      <c r="K771" s="114"/>
      <c r="L771" s="114"/>
      <c r="M771" s="114"/>
      <c r="N771" s="114"/>
      <c r="O771" s="114"/>
      <c r="P771" s="114"/>
      <c r="Q771" s="114"/>
      <c r="R771" s="114"/>
      <c r="S771" s="114"/>
      <c r="T771" s="114"/>
      <c r="U771" s="114"/>
      <c r="V771" s="114"/>
      <c r="W771" s="114"/>
      <c r="X771" s="114"/>
      <c r="Y771" s="114"/>
      <c r="Z771" s="114"/>
      <c r="AA771" s="114"/>
      <c r="AB771" s="114"/>
      <c r="AC771" s="114"/>
      <c r="AD771" s="114"/>
      <c r="AE771" s="114"/>
      <c r="AF771" s="114"/>
      <c r="AG771" s="114"/>
      <c r="AH771" s="114"/>
      <c r="AI771" s="114"/>
      <c r="AJ771" s="114"/>
      <c r="AK771" s="114"/>
      <c r="AL771" s="114"/>
      <c r="AM771" s="114"/>
      <c r="AN771" s="114"/>
      <c r="AO771" s="114"/>
      <c r="AP771" s="114"/>
      <c r="AQ771" s="114"/>
      <c r="AR771" s="114"/>
      <c r="AS771" s="114"/>
      <c r="AT771" s="114"/>
      <c r="AU771" s="114"/>
      <c r="AV771" s="114"/>
      <c r="AW771" s="114"/>
      <c r="AX771" s="114"/>
    </row>
    <row r="772" spans="4:50">
      <c r="D772" s="114"/>
      <c r="F772" s="114"/>
      <c r="G772" s="114"/>
      <c r="H772" s="114"/>
      <c r="I772" s="114"/>
      <c r="J772" s="114"/>
      <c r="K772" s="114"/>
      <c r="L772" s="114"/>
      <c r="M772" s="114"/>
      <c r="N772" s="114"/>
      <c r="O772" s="114"/>
      <c r="P772" s="114"/>
      <c r="Q772" s="114"/>
      <c r="R772" s="114"/>
      <c r="S772" s="114"/>
      <c r="T772" s="114"/>
      <c r="U772" s="114"/>
      <c r="V772" s="114"/>
      <c r="W772" s="114"/>
      <c r="X772" s="114"/>
      <c r="Y772" s="114"/>
      <c r="Z772" s="114"/>
      <c r="AA772" s="114"/>
      <c r="AB772" s="114"/>
      <c r="AC772" s="114"/>
      <c r="AD772" s="114"/>
      <c r="AE772" s="114"/>
      <c r="AF772" s="114"/>
      <c r="AG772" s="114"/>
      <c r="AH772" s="114"/>
      <c r="AI772" s="114"/>
      <c r="AJ772" s="114"/>
      <c r="AK772" s="114"/>
      <c r="AL772" s="114"/>
      <c r="AM772" s="114"/>
      <c r="AN772" s="114"/>
      <c r="AO772" s="114"/>
      <c r="AP772" s="114"/>
      <c r="AQ772" s="114"/>
      <c r="AR772" s="114"/>
      <c r="AS772" s="114"/>
      <c r="AT772" s="114"/>
      <c r="AU772" s="114"/>
      <c r="AV772" s="114"/>
      <c r="AW772" s="114"/>
      <c r="AX772" s="114"/>
    </row>
    <row r="773" spans="4:50">
      <c r="D773" s="114"/>
      <c r="F773" s="114"/>
      <c r="G773" s="114"/>
      <c r="H773" s="114"/>
      <c r="I773" s="114"/>
      <c r="J773" s="114"/>
      <c r="K773" s="114"/>
      <c r="L773" s="114"/>
      <c r="M773" s="114"/>
      <c r="N773" s="114"/>
      <c r="O773" s="114"/>
      <c r="P773" s="114"/>
      <c r="Q773" s="114"/>
      <c r="R773" s="114"/>
      <c r="S773" s="114"/>
      <c r="T773" s="114"/>
      <c r="U773" s="114"/>
      <c r="V773" s="114"/>
      <c r="W773" s="114"/>
      <c r="X773" s="114"/>
      <c r="Y773" s="114"/>
      <c r="Z773" s="114"/>
      <c r="AA773" s="114"/>
      <c r="AB773" s="114"/>
      <c r="AC773" s="114"/>
      <c r="AD773" s="114"/>
      <c r="AE773" s="114"/>
      <c r="AF773" s="114"/>
      <c r="AG773" s="114"/>
      <c r="AH773" s="114"/>
      <c r="AI773" s="114"/>
      <c r="AJ773" s="114"/>
      <c r="AK773" s="114"/>
      <c r="AL773" s="114"/>
      <c r="AM773" s="114"/>
      <c r="AN773" s="114"/>
      <c r="AO773" s="114"/>
      <c r="AP773" s="114"/>
      <c r="AQ773" s="114"/>
      <c r="AR773" s="114"/>
      <c r="AS773" s="114"/>
      <c r="AT773" s="114"/>
      <c r="AU773" s="114"/>
      <c r="AV773" s="114"/>
      <c r="AW773" s="114"/>
      <c r="AX773" s="114"/>
    </row>
    <row r="774" spans="4:50">
      <c r="D774" s="114"/>
      <c r="F774" s="114"/>
      <c r="G774" s="114"/>
      <c r="H774" s="114"/>
      <c r="I774" s="114"/>
      <c r="J774" s="114"/>
      <c r="K774" s="114"/>
      <c r="L774" s="114"/>
      <c r="M774" s="114"/>
      <c r="N774" s="114"/>
      <c r="O774" s="114"/>
      <c r="P774" s="114"/>
      <c r="Q774" s="114"/>
      <c r="R774" s="114"/>
      <c r="S774" s="114"/>
      <c r="T774" s="114"/>
      <c r="U774" s="114"/>
      <c r="V774" s="114"/>
      <c r="W774" s="114"/>
      <c r="X774" s="114"/>
      <c r="Y774" s="114"/>
      <c r="Z774" s="114"/>
      <c r="AA774" s="114"/>
      <c r="AB774" s="114"/>
      <c r="AC774" s="114"/>
      <c r="AD774" s="114"/>
      <c r="AE774" s="114"/>
      <c r="AF774" s="114"/>
      <c r="AG774" s="114"/>
      <c r="AH774" s="114"/>
      <c r="AI774" s="114"/>
      <c r="AJ774" s="114"/>
      <c r="AK774" s="114"/>
      <c r="AL774" s="114"/>
      <c r="AM774" s="114"/>
      <c r="AN774" s="114"/>
      <c r="AO774" s="114"/>
      <c r="AP774" s="114"/>
      <c r="AQ774" s="114"/>
      <c r="AR774" s="114"/>
      <c r="AS774" s="114"/>
      <c r="AT774" s="114"/>
      <c r="AU774" s="114"/>
      <c r="AV774" s="114"/>
      <c r="AW774" s="114"/>
      <c r="AX774" s="114"/>
    </row>
    <row r="775" spans="4:50">
      <c r="D775" s="114"/>
      <c r="F775" s="114"/>
      <c r="G775" s="114"/>
      <c r="H775" s="114"/>
      <c r="I775" s="114"/>
      <c r="J775" s="114"/>
      <c r="K775" s="114"/>
      <c r="L775" s="114"/>
      <c r="M775" s="114"/>
      <c r="N775" s="114"/>
      <c r="O775" s="114"/>
      <c r="P775" s="114"/>
      <c r="Q775" s="114"/>
      <c r="R775" s="114"/>
      <c r="S775" s="114"/>
      <c r="T775" s="114"/>
      <c r="U775" s="114"/>
      <c r="V775" s="114"/>
      <c r="W775" s="114"/>
      <c r="X775" s="114"/>
      <c r="Y775" s="114"/>
      <c r="Z775" s="114"/>
      <c r="AA775" s="114"/>
      <c r="AB775" s="114"/>
      <c r="AC775" s="114"/>
      <c r="AD775" s="114"/>
      <c r="AE775" s="114"/>
      <c r="AF775" s="114"/>
      <c r="AG775" s="114"/>
      <c r="AH775" s="114"/>
      <c r="AI775" s="114"/>
      <c r="AJ775" s="114"/>
      <c r="AK775" s="114"/>
      <c r="AL775" s="114"/>
      <c r="AM775" s="114"/>
      <c r="AN775" s="114"/>
      <c r="AO775" s="114"/>
      <c r="AP775" s="114"/>
      <c r="AQ775" s="114"/>
      <c r="AR775" s="114"/>
      <c r="AS775" s="114"/>
      <c r="AT775" s="114"/>
      <c r="AU775" s="114"/>
      <c r="AV775" s="114"/>
      <c r="AW775" s="114"/>
      <c r="AX775" s="114"/>
    </row>
    <row r="776" spans="4:50">
      <c r="D776" s="114"/>
      <c r="F776" s="114"/>
      <c r="G776" s="114"/>
      <c r="H776" s="114"/>
      <c r="I776" s="114"/>
      <c r="J776" s="114"/>
      <c r="K776" s="114"/>
      <c r="L776" s="114"/>
      <c r="M776" s="114"/>
      <c r="N776" s="114"/>
      <c r="O776" s="114"/>
      <c r="P776" s="114"/>
      <c r="Q776" s="114"/>
      <c r="R776" s="114"/>
      <c r="S776" s="114"/>
      <c r="T776" s="114"/>
      <c r="U776" s="114"/>
      <c r="V776" s="114"/>
      <c r="W776" s="114"/>
      <c r="X776" s="114"/>
      <c r="Y776" s="114"/>
      <c r="Z776" s="114"/>
      <c r="AA776" s="114"/>
      <c r="AB776" s="114"/>
      <c r="AC776" s="114"/>
      <c r="AD776" s="114"/>
      <c r="AE776" s="114"/>
      <c r="AF776" s="114"/>
      <c r="AG776" s="114"/>
      <c r="AH776" s="114"/>
      <c r="AI776" s="114"/>
      <c r="AJ776" s="114"/>
      <c r="AK776" s="114"/>
      <c r="AL776" s="114"/>
      <c r="AM776" s="114"/>
      <c r="AN776" s="114"/>
      <c r="AO776" s="114"/>
      <c r="AP776" s="114"/>
      <c r="AQ776" s="114"/>
      <c r="AR776" s="114"/>
      <c r="AS776" s="114"/>
      <c r="AT776" s="114"/>
      <c r="AU776" s="114"/>
      <c r="AV776" s="114"/>
      <c r="AW776" s="114"/>
      <c r="AX776" s="114"/>
    </row>
    <row r="777" spans="4:50">
      <c r="D777" s="114"/>
      <c r="F777" s="114"/>
      <c r="G777" s="114"/>
      <c r="H777" s="114"/>
      <c r="I777" s="114"/>
      <c r="J777" s="114"/>
      <c r="K777" s="114"/>
      <c r="L777" s="114"/>
      <c r="M777" s="114"/>
      <c r="N777" s="114"/>
      <c r="O777" s="114"/>
      <c r="P777" s="114"/>
      <c r="Q777" s="114"/>
      <c r="R777" s="114"/>
      <c r="S777" s="114"/>
      <c r="T777" s="114"/>
      <c r="U777" s="114"/>
      <c r="V777" s="114"/>
      <c r="W777" s="114"/>
      <c r="X777" s="114"/>
      <c r="Y777" s="114"/>
      <c r="Z777" s="114"/>
      <c r="AA777" s="114"/>
      <c r="AB777" s="114"/>
      <c r="AC777" s="114"/>
      <c r="AD777" s="114"/>
      <c r="AE777" s="114"/>
      <c r="AF777" s="114"/>
      <c r="AG777" s="114"/>
      <c r="AH777" s="114"/>
      <c r="AI777" s="114"/>
      <c r="AJ777" s="114"/>
      <c r="AK777" s="114"/>
      <c r="AL777" s="114"/>
      <c r="AM777" s="114"/>
      <c r="AN777" s="114"/>
      <c r="AO777" s="114"/>
      <c r="AP777" s="114"/>
      <c r="AQ777" s="114"/>
      <c r="AR777" s="114"/>
      <c r="AS777" s="114"/>
      <c r="AT777" s="114"/>
      <c r="AU777" s="114"/>
      <c r="AV777" s="114"/>
      <c r="AW777" s="114"/>
      <c r="AX777" s="114"/>
    </row>
    <row r="778" spans="4:50">
      <c r="D778" s="114"/>
      <c r="F778" s="114"/>
      <c r="G778" s="114"/>
      <c r="H778" s="114"/>
      <c r="I778" s="114"/>
      <c r="J778" s="114"/>
      <c r="K778" s="114"/>
      <c r="L778" s="114"/>
      <c r="M778" s="114"/>
      <c r="N778" s="114"/>
      <c r="O778" s="114"/>
      <c r="P778" s="114"/>
      <c r="Q778" s="114"/>
      <c r="R778" s="114"/>
      <c r="S778" s="114"/>
      <c r="T778" s="114"/>
      <c r="U778" s="114"/>
      <c r="V778" s="114"/>
      <c r="W778" s="114"/>
      <c r="X778" s="114"/>
      <c r="Y778" s="114"/>
      <c r="Z778" s="114"/>
      <c r="AA778" s="114"/>
      <c r="AB778" s="114"/>
      <c r="AC778" s="114"/>
      <c r="AD778" s="114"/>
      <c r="AE778" s="114"/>
      <c r="AF778" s="114"/>
      <c r="AG778" s="114"/>
      <c r="AH778" s="114"/>
      <c r="AI778" s="114"/>
      <c r="AJ778" s="114"/>
      <c r="AK778" s="114"/>
      <c r="AL778" s="114"/>
      <c r="AM778" s="114"/>
      <c r="AN778" s="114"/>
      <c r="AO778" s="114"/>
      <c r="AP778" s="114"/>
      <c r="AQ778" s="114"/>
      <c r="AR778" s="114"/>
      <c r="AS778" s="114"/>
      <c r="AT778" s="114"/>
      <c r="AU778" s="114"/>
      <c r="AV778" s="114"/>
      <c r="AW778" s="114"/>
      <c r="AX778" s="114"/>
    </row>
    <row r="779" spans="4:50">
      <c r="D779" s="114"/>
      <c r="F779" s="114"/>
      <c r="G779" s="114"/>
      <c r="H779" s="114"/>
      <c r="I779" s="114"/>
      <c r="J779" s="114"/>
      <c r="K779" s="114"/>
      <c r="L779" s="114"/>
      <c r="M779" s="114"/>
      <c r="N779" s="114"/>
      <c r="O779" s="114"/>
      <c r="P779" s="114"/>
      <c r="Q779" s="114"/>
      <c r="R779" s="114"/>
      <c r="S779" s="114"/>
      <c r="T779" s="114"/>
      <c r="U779" s="114"/>
      <c r="V779" s="114"/>
      <c r="W779" s="114"/>
      <c r="X779" s="114"/>
      <c r="Y779" s="114"/>
      <c r="Z779" s="114"/>
      <c r="AA779" s="114"/>
      <c r="AB779" s="114"/>
      <c r="AC779" s="114"/>
      <c r="AD779" s="114"/>
      <c r="AE779" s="114"/>
      <c r="AF779" s="114"/>
      <c r="AG779" s="114"/>
      <c r="AH779" s="114"/>
      <c r="AI779" s="114"/>
      <c r="AJ779" s="114"/>
      <c r="AK779" s="114"/>
      <c r="AL779" s="114"/>
      <c r="AM779" s="114"/>
      <c r="AN779" s="114"/>
      <c r="AO779" s="114"/>
      <c r="AP779" s="114"/>
      <c r="AQ779" s="114"/>
      <c r="AR779" s="114"/>
      <c r="AS779" s="114"/>
      <c r="AT779" s="114"/>
      <c r="AU779" s="114"/>
      <c r="AV779" s="114"/>
      <c r="AW779" s="114"/>
      <c r="AX779" s="114"/>
    </row>
    <row r="780" spans="4:50">
      <c r="D780" s="114"/>
      <c r="F780" s="114"/>
      <c r="G780" s="114"/>
      <c r="H780" s="114"/>
      <c r="I780" s="114"/>
      <c r="J780" s="114"/>
      <c r="K780" s="114"/>
      <c r="L780" s="114"/>
      <c r="M780" s="114"/>
      <c r="N780" s="114"/>
      <c r="O780" s="114"/>
      <c r="P780" s="114"/>
      <c r="Q780" s="114"/>
      <c r="R780" s="114"/>
      <c r="S780" s="114"/>
      <c r="T780" s="114"/>
      <c r="U780" s="114"/>
      <c r="V780" s="114"/>
      <c r="W780" s="114"/>
      <c r="X780" s="114"/>
      <c r="Y780" s="114"/>
      <c r="Z780" s="114"/>
      <c r="AA780" s="114"/>
      <c r="AB780" s="114"/>
      <c r="AC780" s="114"/>
      <c r="AD780" s="114"/>
      <c r="AE780" s="114"/>
      <c r="AF780" s="114"/>
      <c r="AG780" s="114"/>
      <c r="AH780" s="114"/>
      <c r="AI780" s="114"/>
      <c r="AJ780" s="114"/>
      <c r="AK780" s="114"/>
      <c r="AL780" s="114"/>
      <c r="AM780" s="114"/>
      <c r="AN780" s="114"/>
      <c r="AO780" s="114"/>
      <c r="AP780" s="114"/>
      <c r="AQ780" s="114"/>
      <c r="AR780" s="114"/>
      <c r="AS780" s="114"/>
      <c r="AT780" s="114"/>
      <c r="AU780" s="114"/>
      <c r="AV780" s="114"/>
      <c r="AW780" s="114"/>
      <c r="AX780" s="114"/>
    </row>
    <row r="781" spans="4:50">
      <c r="D781" s="114"/>
      <c r="F781" s="114"/>
      <c r="G781" s="114"/>
      <c r="H781" s="114"/>
      <c r="I781" s="114"/>
      <c r="J781" s="114"/>
      <c r="K781" s="114"/>
      <c r="L781" s="114"/>
      <c r="M781" s="114"/>
      <c r="N781" s="114"/>
      <c r="O781" s="114"/>
      <c r="P781" s="114"/>
      <c r="Q781" s="114"/>
      <c r="R781" s="114"/>
      <c r="S781" s="114"/>
      <c r="T781" s="114"/>
      <c r="U781" s="114"/>
      <c r="V781" s="114"/>
      <c r="W781" s="114"/>
      <c r="X781" s="114"/>
      <c r="Y781" s="114"/>
      <c r="Z781" s="114"/>
      <c r="AA781" s="114"/>
      <c r="AB781" s="114"/>
      <c r="AC781" s="114"/>
      <c r="AD781" s="114"/>
      <c r="AE781" s="114"/>
      <c r="AF781" s="114"/>
      <c r="AG781" s="114"/>
      <c r="AH781" s="114"/>
      <c r="AI781" s="114"/>
      <c r="AJ781" s="114"/>
      <c r="AK781" s="114"/>
      <c r="AL781" s="114"/>
      <c r="AM781" s="114"/>
      <c r="AN781" s="114"/>
      <c r="AO781" s="114"/>
      <c r="AP781" s="114"/>
      <c r="AQ781" s="114"/>
      <c r="AR781" s="114"/>
      <c r="AS781" s="114"/>
      <c r="AT781" s="114"/>
      <c r="AU781" s="114"/>
      <c r="AV781" s="114"/>
      <c r="AW781" s="114"/>
      <c r="AX781" s="114"/>
    </row>
    <row r="782" spans="4:50">
      <c r="D782" s="114"/>
      <c r="F782" s="114"/>
      <c r="G782" s="114"/>
      <c r="H782" s="114"/>
      <c r="I782" s="114"/>
      <c r="J782" s="114"/>
      <c r="K782" s="114"/>
      <c r="L782" s="114"/>
      <c r="M782" s="114"/>
      <c r="N782" s="114"/>
      <c r="O782" s="114"/>
      <c r="P782" s="114"/>
      <c r="Q782" s="114"/>
      <c r="R782" s="114"/>
      <c r="S782" s="114"/>
      <c r="T782" s="114"/>
      <c r="U782" s="114"/>
      <c r="V782" s="114"/>
      <c r="W782" s="114"/>
      <c r="X782" s="114"/>
      <c r="Y782" s="114"/>
      <c r="Z782" s="114"/>
      <c r="AA782" s="114"/>
      <c r="AB782" s="114"/>
      <c r="AC782" s="114"/>
      <c r="AD782" s="114"/>
      <c r="AE782" s="114"/>
      <c r="AF782" s="114"/>
      <c r="AG782" s="114"/>
      <c r="AH782" s="114"/>
      <c r="AI782" s="114"/>
      <c r="AJ782" s="114"/>
      <c r="AK782" s="114"/>
      <c r="AL782" s="114"/>
      <c r="AM782" s="114"/>
      <c r="AN782" s="114"/>
      <c r="AO782" s="114"/>
      <c r="AP782" s="114"/>
      <c r="AQ782" s="114"/>
      <c r="AR782" s="114"/>
      <c r="AS782" s="114"/>
      <c r="AT782" s="114"/>
      <c r="AU782" s="114"/>
      <c r="AV782" s="114"/>
      <c r="AW782" s="114"/>
      <c r="AX782" s="114"/>
    </row>
    <row r="783" spans="4:50">
      <c r="D783" s="114"/>
      <c r="F783" s="114"/>
      <c r="G783" s="114"/>
      <c r="H783" s="114"/>
      <c r="I783" s="114"/>
      <c r="J783" s="114"/>
      <c r="K783" s="114"/>
      <c r="L783" s="114"/>
      <c r="M783" s="114"/>
      <c r="N783" s="114"/>
      <c r="O783" s="114"/>
      <c r="P783" s="114"/>
      <c r="Q783" s="114"/>
      <c r="R783" s="114"/>
      <c r="S783" s="114"/>
      <c r="T783" s="114"/>
      <c r="U783" s="114"/>
      <c r="V783" s="114"/>
      <c r="W783" s="114"/>
      <c r="X783" s="114"/>
      <c r="Y783" s="114"/>
      <c r="Z783" s="114"/>
      <c r="AA783" s="114"/>
      <c r="AB783" s="114"/>
      <c r="AC783" s="114"/>
      <c r="AD783" s="114"/>
      <c r="AE783" s="114"/>
      <c r="AF783" s="114"/>
      <c r="AG783" s="114"/>
      <c r="AH783" s="114"/>
      <c r="AI783" s="114"/>
      <c r="AJ783" s="114"/>
      <c r="AK783" s="114"/>
      <c r="AL783" s="114"/>
      <c r="AM783" s="114"/>
      <c r="AN783" s="114"/>
      <c r="AO783" s="114"/>
      <c r="AP783" s="114"/>
      <c r="AQ783" s="114"/>
      <c r="AR783" s="114"/>
      <c r="AS783" s="114"/>
      <c r="AT783" s="114"/>
      <c r="AU783" s="114"/>
      <c r="AV783" s="114"/>
      <c r="AW783" s="114"/>
      <c r="AX783" s="114"/>
    </row>
    <row r="784" spans="4:50">
      <c r="D784" s="114"/>
      <c r="F784" s="114"/>
      <c r="G784" s="114"/>
      <c r="H784" s="114"/>
      <c r="I784" s="114"/>
      <c r="J784" s="114"/>
      <c r="K784" s="114"/>
      <c r="L784" s="114"/>
      <c r="M784" s="114"/>
      <c r="N784" s="114"/>
      <c r="O784" s="114"/>
      <c r="P784" s="114"/>
      <c r="Q784" s="114"/>
      <c r="R784" s="114"/>
      <c r="S784" s="114"/>
      <c r="T784" s="114"/>
      <c r="U784" s="114"/>
      <c r="V784" s="114"/>
      <c r="W784" s="114"/>
      <c r="X784" s="114"/>
      <c r="Y784" s="114"/>
      <c r="Z784" s="114"/>
      <c r="AA784" s="114"/>
      <c r="AB784" s="114"/>
      <c r="AC784" s="114"/>
      <c r="AD784" s="114"/>
      <c r="AE784" s="114"/>
      <c r="AF784" s="114"/>
      <c r="AG784" s="114"/>
      <c r="AH784" s="114"/>
      <c r="AI784" s="114"/>
      <c r="AJ784" s="114"/>
      <c r="AK784" s="114"/>
      <c r="AL784" s="114"/>
      <c r="AM784" s="114"/>
      <c r="AN784" s="114"/>
      <c r="AO784" s="114"/>
      <c r="AP784" s="114"/>
      <c r="AQ784" s="114"/>
      <c r="AR784" s="114"/>
      <c r="AS784" s="114"/>
      <c r="AT784" s="114"/>
      <c r="AU784" s="114"/>
      <c r="AV784" s="114"/>
      <c r="AW784" s="114"/>
      <c r="AX784" s="114"/>
    </row>
    <row r="785" spans="4:50">
      <c r="D785" s="114"/>
      <c r="F785" s="114"/>
      <c r="G785" s="114"/>
      <c r="H785" s="114"/>
      <c r="I785" s="114"/>
      <c r="J785" s="114"/>
      <c r="K785" s="114"/>
      <c r="L785" s="114"/>
      <c r="M785" s="114"/>
      <c r="N785" s="114"/>
      <c r="O785" s="114"/>
      <c r="P785" s="114"/>
      <c r="Q785" s="114"/>
      <c r="R785" s="114"/>
      <c r="S785" s="114"/>
      <c r="T785" s="114"/>
      <c r="U785" s="114"/>
      <c r="V785" s="114"/>
      <c r="W785" s="114"/>
      <c r="X785" s="114"/>
      <c r="Y785" s="114"/>
      <c r="Z785" s="114"/>
      <c r="AA785" s="114"/>
      <c r="AB785" s="114"/>
      <c r="AC785" s="114"/>
      <c r="AD785" s="114"/>
      <c r="AE785" s="114"/>
      <c r="AF785" s="114"/>
      <c r="AG785" s="114"/>
      <c r="AH785" s="114"/>
      <c r="AI785" s="114"/>
      <c r="AJ785" s="114"/>
      <c r="AK785" s="114"/>
      <c r="AL785" s="114"/>
      <c r="AM785" s="114"/>
      <c r="AN785" s="114"/>
      <c r="AO785" s="114"/>
      <c r="AP785" s="114"/>
      <c r="AQ785" s="114"/>
      <c r="AR785" s="114"/>
      <c r="AS785" s="114"/>
      <c r="AT785" s="114"/>
      <c r="AU785" s="114"/>
      <c r="AV785" s="114"/>
      <c r="AW785" s="114"/>
      <c r="AX785" s="114"/>
    </row>
    <row r="786" spans="4:50">
      <c r="D786" s="114"/>
      <c r="F786" s="114"/>
      <c r="G786" s="114"/>
      <c r="H786" s="114"/>
      <c r="I786" s="114"/>
      <c r="J786" s="114"/>
      <c r="K786" s="114"/>
      <c r="L786" s="114"/>
      <c r="M786" s="114"/>
      <c r="N786" s="114"/>
      <c r="O786" s="114"/>
      <c r="P786" s="114"/>
      <c r="Q786" s="114"/>
      <c r="R786" s="114"/>
      <c r="S786" s="114"/>
      <c r="T786" s="114"/>
      <c r="U786" s="114"/>
      <c r="V786" s="114"/>
      <c r="W786" s="114"/>
      <c r="X786" s="114"/>
      <c r="Y786" s="114"/>
      <c r="Z786" s="114"/>
      <c r="AA786" s="114"/>
      <c r="AB786" s="114"/>
      <c r="AC786" s="114"/>
      <c r="AD786" s="114"/>
      <c r="AE786" s="114"/>
      <c r="AF786" s="114"/>
      <c r="AG786" s="114"/>
      <c r="AH786" s="114"/>
      <c r="AI786" s="114"/>
      <c r="AJ786" s="114"/>
      <c r="AK786" s="114"/>
      <c r="AL786" s="114"/>
      <c r="AM786" s="114"/>
      <c r="AN786" s="114"/>
      <c r="AO786" s="114"/>
      <c r="AP786" s="114"/>
      <c r="AQ786" s="114"/>
      <c r="AR786" s="114"/>
      <c r="AS786" s="114"/>
      <c r="AT786" s="114"/>
      <c r="AU786" s="114"/>
      <c r="AV786" s="114"/>
      <c r="AW786" s="114"/>
      <c r="AX786" s="114"/>
    </row>
    <row r="787" spans="4:50">
      <c r="D787" s="114"/>
      <c r="F787" s="114"/>
      <c r="G787" s="114"/>
      <c r="H787" s="114"/>
      <c r="I787" s="114"/>
      <c r="J787" s="114"/>
      <c r="K787" s="114"/>
      <c r="L787" s="114"/>
      <c r="M787" s="114"/>
      <c r="N787" s="114"/>
      <c r="O787" s="114"/>
      <c r="P787" s="114"/>
      <c r="Q787" s="114"/>
      <c r="R787" s="114"/>
      <c r="S787" s="114"/>
      <c r="T787" s="114"/>
      <c r="U787" s="114"/>
      <c r="V787" s="114"/>
      <c r="W787" s="114"/>
      <c r="X787" s="114"/>
      <c r="Y787" s="114"/>
      <c r="Z787" s="114"/>
      <c r="AA787" s="114"/>
      <c r="AB787" s="114"/>
      <c r="AC787" s="114"/>
      <c r="AD787" s="114"/>
      <c r="AE787" s="114"/>
      <c r="AF787" s="114"/>
      <c r="AG787" s="114"/>
      <c r="AH787" s="114"/>
      <c r="AI787" s="114"/>
      <c r="AJ787" s="114"/>
      <c r="AK787" s="114"/>
      <c r="AL787" s="114"/>
      <c r="AM787" s="114"/>
      <c r="AN787" s="114"/>
      <c r="AO787" s="114"/>
      <c r="AP787" s="114"/>
      <c r="AQ787" s="114"/>
      <c r="AR787" s="114"/>
      <c r="AS787" s="114"/>
      <c r="AT787" s="114"/>
      <c r="AU787" s="114"/>
      <c r="AV787" s="114"/>
      <c r="AW787" s="114"/>
      <c r="AX787" s="114"/>
    </row>
    <row r="788" spans="4:50">
      <c r="D788" s="114"/>
      <c r="F788" s="114"/>
      <c r="G788" s="114"/>
      <c r="H788" s="114"/>
      <c r="I788" s="114"/>
      <c r="J788" s="114"/>
      <c r="K788" s="114"/>
      <c r="L788" s="114"/>
      <c r="M788" s="114"/>
      <c r="N788" s="114"/>
      <c r="O788" s="114"/>
      <c r="P788" s="114"/>
      <c r="Q788" s="114"/>
      <c r="R788" s="114"/>
      <c r="S788" s="114"/>
      <c r="T788" s="114"/>
      <c r="U788" s="114"/>
      <c r="V788" s="114"/>
      <c r="W788" s="114"/>
      <c r="X788" s="114"/>
      <c r="Y788" s="114"/>
      <c r="Z788" s="114"/>
      <c r="AA788" s="114"/>
      <c r="AB788" s="114"/>
      <c r="AC788" s="114"/>
      <c r="AD788" s="114"/>
      <c r="AE788" s="114"/>
      <c r="AF788" s="114"/>
      <c r="AG788" s="114"/>
      <c r="AH788" s="114"/>
      <c r="AI788" s="114"/>
      <c r="AJ788" s="114"/>
      <c r="AK788" s="114"/>
      <c r="AL788" s="114"/>
      <c r="AM788" s="114"/>
      <c r="AN788" s="114"/>
      <c r="AO788" s="114"/>
      <c r="AP788" s="114"/>
      <c r="AQ788" s="114"/>
      <c r="AR788" s="114"/>
      <c r="AS788" s="114"/>
      <c r="AT788" s="114"/>
      <c r="AU788" s="114"/>
      <c r="AV788" s="114"/>
      <c r="AW788" s="114"/>
      <c r="AX788" s="114"/>
    </row>
    <row r="789" spans="4:50">
      <c r="D789" s="114"/>
      <c r="F789" s="114"/>
      <c r="G789" s="114"/>
      <c r="H789" s="114"/>
      <c r="I789" s="114"/>
      <c r="J789" s="114"/>
      <c r="K789" s="114"/>
      <c r="L789" s="114"/>
      <c r="M789" s="114"/>
      <c r="N789" s="114"/>
      <c r="O789" s="114"/>
      <c r="P789" s="114"/>
      <c r="Q789" s="114"/>
      <c r="R789" s="114"/>
      <c r="S789" s="114"/>
      <c r="T789" s="114"/>
      <c r="U789" s="114"/>
      <c r="V789" s="114"/>
      <c r="W789" s="114"/>
      <c r="X789" s="114"/>
      <c r="Y789" s="114"/>
      <c r="Z789" s="114"/>
      <c r="AA789" s="114"/>
      <c r="AB789" s="114"/>
      <c r="AC789" s="114"/>
      <c r="AD789" s="114"/>
      <c r="AE789" s="114"/>
      <c r="AF789" s="114"/>
      <c r="AG789" s="114"/>
      <c r="AH789" s="114"/>
      <c r="AI789" s="114"/>
      <c r="AJ789" s="114"/>
      <c r="AK789" s="114"/>
      <c r="AL789" s="114"/>
      <c r="AM789" s="114"/>
      <c r="AN789" s="114"/>
      <c r="AO789" s="114"/>
      <c r="AP789" s="114"/>
      <c r="AQ789" s="114"/>
      <c r="AR789" s="114"/>
      <c r="AS789" s="114"/>
      <c r="AT789" s="114"/>
      <c r="AU789" s="114"/>
      <c r="AV789" s="114"/>
      <c r="AW789" s="114"/>
      <c r="AX789" s="114"/>
    </row>
    <row r="790" spans="4:50">
      <c r="D790" s="114"/>
      <c r="F790" s="114"/>
      <c r="G790" s="114"/>
      <c r="H790" s="114"/>
      <c r="I790" s="114"/>
      <c r="J790" s="114"/>
      <c r="K790" s="114"/>
      <c r="L790" s="114"/>
      <c r="M790" s="114"/>
      <c r="N790" s="114"/>
      <c r="O790" s="114"/>
      <c r="P790" s="114"/>
      <c r="Q790" s="114"/>
      <c r="R790" s="114"/>
      <c r="S790" s="114"/>
      <c r="T790" s="114"/>
      <c r="U790" s="114"/>
      <c r="V790" s="114"/>
      <c r="W790" s="114"/>
      <c r="X790" s="114"/>
      <c r="Y790" s="114"/>
      <c r="Z790" s="114"/>
      <c r="AA790" s="114"/>
      <c r="AB790" s="114"/>
      <c r="AC790" s="114"/>
      <c r="AD790" s="114"/>
      <c r="AE790" s="114"/>
      <c r="AF790" s="114"/>
      <c r="AG790" s="114"/>
      <c r="AH790" s="114"/>
      <c r="AI790" s="114"/>
      <c r="AJ790" s="114"/>
      <c r="AK790" s="114"/>
      <c r="AL790" s="114"/>
      <c r="AM790" s="114"/>
      <c r="AN790" s="114"/>
      <c r="AO790" s="114"/>
      <c r="AP790" s="114"/>
      <c r="AQ790" s="114"/>
      <c r="AR790" s="114"/>
      <c r="AS790" s="114"/>
      <c r="AT790" s="114"/>
      <c r="AU790" s="114"/>
      <c r="AV790" s="114"/>
      <c r="AW790" s="114"/>
      <c r="AX790" s="114"/>
    </row>
    <row r="791" spans="4:50">
      <c r="D791" s="114"/>
      <c r="F791" s="114"/>
      <c r="G791" s="114"/>
      <c r="H791" s="114"/>
      <c r="I791" s="114"/>
      <c r="J791" s="114"/>
      <c r="K791" s="114"/>
      <c r="L791" s="114"/>
      <c r="M791" s="114"/>
      <c r="N791" s="114"/>
      <c r="O791" s="114"/>
      <c r="P791" s="114"/>
      <c r="Q791" s="114"/>
      <c r="R791" s="114"/>
      <c r="S791" s="114"/>
      <c r="T791" s="114"/>
      <c r="U791" s="114"/>
      <c r="V791" s="114"/>
      <c r="W791" s="114"/>
      <c r="X791" s="114"/>
      <c r="Y791" s="114"/>
      <c r="Z791" s="114"/>
      <c r="AA791" s="114"/>
      <c r="AB791" s="114"/>
      <c r="AC791" s="114"/>
      <c r="AD791" s="114"/>
      <c r="AE791" s="114"/>
      <c r="AF791" s="114"/>
      <c r="AG791" s="114"/>
      <c r="AH791" s="114"/>
      <c r="AI791" s="114"/>
      <c r="AJ791" s="114"/>
      <c r="AK791" s="114"/>
      <c r="AL791" s="114"/>
      <c r="AM791" s="114"/>
      <c r="AN791" s="114"/>
      <c r="AO791" s="114"/>
      <c r="AP791" s="114"/>
      <c r="AQ791" s="114"/>
      <c r="AR791" s="114"/>
      <c r="AS791" s="114"/>
      <c r="AT791" s="114"/>
      <c r="AU791" s="114"/>
      <c r="AV791" s="114"/>
      <c r="AW791" s="114"/>
      <c r="AX791" s="114"/>
    </row>
    <row r="792" spans="4:50">
      <c r="D792" s="114"/>
      <c r="F792" s="114"/>
      <c r="G792" s="114"/>
      <c r="H792" s="114"/>
      <c r="I792" s="114"/>
      <c r="J792" s="114"/>
      <c r="K792" s="114"/>
      <c r="L792" s="114"/>
      <c r="M792" s="114"/>
      <c r="N792" s="114"/>
      <c r="O792" s="114"/>
      <c r="P792" s="114"/>
      <c r="Q792" s="114"/>
      <c r="R792" s="114"/>
      <c r="S792" s="114"/>
      <c r="T792" s="114"/>
      <c r="U792" s="114"/>
      <c r="V792" s="114"/>
      <c r="W792" s="114"/>
      <c r="X792" s="114"/>
      <c r="Y792" s="114"/>
      <c r="Z792" s="114"/>
      <c r="AA792" s="114"/>
      <c r="AB792" s="114"/>
      <c r="AC792" s="114"/>
      <c r="AD792" s="114"/>
      <c r="AE792" s="114"/>
      <c r="AF792" s="114"/>
      <c r="AG792" s="114"/>
      <c r="AH792" s="114"/>
      <c r="AI792" s="114"/>
      <c r="AJ792" s="114"/>
      <c r="AK792" s="114"/>
      <c r="AL792" s="114"/>
      <c r="AM792" s="114"/>
      <c r="AN792" s="114"/>
      <c r="AO792" s="114"/>
      <c r="AP792" s="114"/>
      <c r="AQ792" s="114"/>
      <c r="AR792" s="114"/>
      <c r="AS792" s="114"/>
      <c r="AT792" s="114"/>
      <c r="AU792" s="114"/>
      <c r="AV792" s="114"/>
      <c r="AW792" s="114"/>
      <c r="AX792" s="114"/>
    </row>
    <row r="793" spans="4:50">
      <c r="D793" s="114"/>
      <c r="F793" s="114"/>
      <c r="G793" s="114"/>
      <c r="H793" s="114"/>
      <c r="I793" s="114"/>
      <c r="J793" s="114"/>
      <c r="K793" s="114"/>
      <c r="L793" s="114"/>
      <c r="M793" s="114"/>
      <c r="N793" s="114"/>
      <c r="O793" s="114"/>
      <c r="P793" s="114"/>
      <c r="Q793" s="114"/>
      <c r="R793" s="114"/>
      <c r="S793" s="114"/>
      <c r="T793" s="114"/>
      <c r="U793" s="114"/>
      <c r="V793" s="114"/>
      <c r="W793" s="114"/>
      <c r="X793" s="114"/>
      <c r="Y793" s="114"/>
      <c r="Z793" s="114"/>
      <c r="AA793" s="114"/>
      <c r="AB793" s="114"/>
      <c r="AC793" s="114"/>
      <c r="AD793" s="114"/>
      <c r="AE793" s="114"/>
      <c r="AF793" s="114"/>
      <c r="AG793" s="114"/>
      <c r="AH793" s="114"/>
      <c r="AI793" s="114"/>
      <c r="AJ793" s="114"/>
      <c r="AK793" s="114"/>
      <c r="AL793" s="114"/>
      <c r="AM793" s="114"/>
      <c r="AN793" s="114"/>
      <c r="AO793" s="114"/>
      <c r="AP793" s="114"/>
      <c r="AQ793" s="114"/>
      <c r="AR793" s="114"/>
      <c r="AS793" s="114"/>
      <c r="AT793" s="114"/>
      <c r="AU793" s="114"/>
      <c r="AV793" s="114"/>
      <c r="AW793" s="114"/>
      <c r="AX793" s="114"/>
    </row>
    <row r="794" spans="4:50">
      <c r="D794" s="114"/>
      <c r="F794" s="114"/>
      <c r="G794" s="114"/>
      <c r="H794" s="114"/>
      <c r="I794" s="114"/>
      <c r="J794" s="114"/>
      <c r="K794" s="114"/>
      <c r="L794" s="114"/>
      <c r="M794" s="114"/>
      <c r="N794" s="114"/>
      <c r="O794" s="114"/>
      <c r="P794" s="114"/>
      <c r="Q794" s="114"/>
      <c r="R794" s="114"/>
      <c r="S794" s="114"/>
      <c r="T794" s="114"/>
      <c r="U794" s="114"/>
      <c r="V794" s="114"/>
      <c r="W794" s="114"/>
      <c r="X794" s="114"/>
      <c r="Y794" s="114"/>
      <c r="Z794" s="114"/>
      <c r="AA794" s="114"/>
      <c r="AB794" s="114"/>
      <c r="AC794" s="114"/>
      <c r="AD794" s="114"/>
      <c r="AE794" s="114"/>
      <c r="AF794" s="114"/>
      <c r="AG794" s="114"/>
      <c r="AH794" s="114"/>
      <c r="AI794" s="114"/>
      <c r="AJ794" s="114"/>
      <c r="AK794" s="114"/>
      <c r="AL794" s="114"/>
      <c r="AM794" s="114"/>
      <c r="AN794" s="114"/>
      <c r="AO794" s="114"/>
      <c r="AP794" s="114"/>
      <c r="AQ794" s="114"/>
      <c r="AR794" s="114"/>
      <c r="AS794" s="114"/>
      <c r="AT794" s="114"/>
      <c r="AU794" s="114"/>
      <c r="AV794" s="114"/>
      <c r="AW794" s="114"/>
      <c r="AX794" s="114"/>
    </row>
    <row r="795" spans="4:50">
      <c r="D795" s="114"/>
      <c r="F795" s="114"/>
      <c r="G795" s="114"/>
      <c r="H795" s="114"/>
      <c r="I795" s="114"/>
      <c r="J795" s="114"/>
      <c r="K795" s="114"/>
      <c r="L795" s="114"/>
      <c r="M795" s="114"/>
      <c r="N795" s="114"/>
      <c r="O795" s="114"/>
      <c r="P795" s="114"/>
      <c r="Q795" s="114"/>
      <c r="R795" s="114"/>
      <c r="S795" s="114"/>
      <c r="T795" s="114"/>
      <c r="U795" s="114"/>
      <c r="V795" s="114"/>
      <c r="W795" s="114"/>
      <c r="X795" s="114"/>
      <c r="Y795" s="114"/>
      <c r="Z795" s="114"/>
      <c r="AA795" s="114"/>
      <c r="AB795" s="114"/>
      <c r="AC795" s="114"/>
      <c r="AD795" s="114"/>
      <c r="AE795" s="114"/>
      <c r="AF795" s="114"/>
      <c r="AG795" s="114"/>
      <c r="AH795" s="114"/>
      <c r="AI795" s="114"/>
      <c r="AJ795" s="114"/>
      <c r="AK795" s="114"/>
      <c r="AL795" s="114"/>
      <c r="AM795" s="114"/>
      <c r="AN795" s="114"/>
      <c r="AO795" s="114"/>
      <c r="AP795" s="114"/>
      <c r="AQ795" s="114"/>
      <c r="AR795" s="114"/>
      <c r="AS795" s="114"/>
      <c r="AT795" s="114"/>
      <c r="AU795" s="114"/>
      <c r="AV795" s="114"/>
      <c r="AW795" s="114"/>
      <c r="AX795" s="114"/>
    </row>
    <row r="796" spans="4:50">
      <c r="D796" s="114"/>
      <c r="F796" s="114"/>
      <c r="G796" s="114"/>
      <c r="H796" s="114"/>
      <c r="I796" s="114"/>
      <c r="J796" s="114"/>
      <c r="K796" s="114"/>
      <c r="L796" s="114"/>
      <c r="M796" s="114"/>
      <c r="N796" s="114"/>
      <c r="O796" s="114"/>
      <c r="P796" s="114"/>
      <c r="Q796" s="114"/>
      <c r="R796" s="114"/>
      <c r="S796" s="114"/>
      <c r="T796" s="114"/>
      <c r="U796" s="114"/>
      <c r="V796" s="114"/>
      <c r="W796" s="114"/>
      <c r="X796" s="114"/>
      <c r="Y796" s="114"/>
      <c r="Z796" s="114"/>
      <c r="AA796" s="114"/>
      <c r="AB796" s="114"/>
      <c r="AC796" s="114"/>
      <c r="AD796" s="114"/>
      <c r="AE796" s="114"/>
      <c r="AF796" s="114"/>
      <c r="AG796" s="114"/>
      <c r="AH796" s="114"/>
      <c r="AI796" s="114"/>
      <c r="AJ796" s="114"/>
      <c r="AK796" s="114"/>
      <c r="AL796" s="114"/>
      <c r="AM796" s="114"/>
      <c r="AN796" s="114"/>
      <c r="AO796" s="114"/>
      <c r="AP796" s="114"/>
      <c r="AQ796" s="114"/>
      <c r="AR796" s="114"/>
      <c r="AS796" s="114"/>
      <c r="AT796" s="114"/>
      <c r="AU796" s="114"/>
      <c r="AV796" s="114"/>
      <c r="AW796" s="114"/>
      <c r="AX796" s="114"/>
    </row>
    <row r="797" spans="4:50">
      <c r="D797" s="114"/>
      <c r="F797" s="114"/>
      <c r="G797" s="114"/>
      <c r="H797" s="114"/>
      <c r="I797" s="114"/>
      <c r="J797" s="114"/>
      <c r="K797" s="114"/>
      <c r="L797" s="114"/>
      <c r="M797" s="114"/>
      <c r="N797" s="114"/>
      <c r="O797" s="114"/>
      <c r="P797" s="114"/>
      <c r="Q797" s="114"/>
      <c r="R797" s="114"/>
      <c r="S797" s="114"/>
      <c r="T797" s="114"/>
      <c r="U797" s="114"/>
      <c r="V797" s="114"/>
      <c r="W797" s="114"/>
      <c r="X797" s="114"/>
      <c r="Y797" s="114"/>
      <c r="Z797" s="114"/>
      <c r="AA797" s="114"/>
      <c r="AB797" s="114"/>
      <c r="AC797" s="114"/>
      <c r="AD797" s="114"/>
      <c r="AE797" s="114"/>
      <c r="AF797" s="114"/>
      <c r="AG797" s="114"/>
      <c r="AH797" s="114"/>
      <c r="AI797" s="114"/>
      <c r="AJ797" s="114"/>
      <c r="AK797" s="114"/>
      <c r="AL797" s="114"/>
      <c r="AM797" s="114"/>
      <c r="AN797" s="114"/>
      <c r="AO797" s="114"/>
      <c r="AP797" s="114"/>
      <c r="AQ797" s="114"/>
      <c r="AR797" s="114"/>
      <c r="AS797" s="114"/>
      <c r="AT797" s="114"/>
      <c r="AU797" s="114"/>
      <c r="AV797" s="114"/>
      <c r="AW797" s="114"/>
      <c r="AX797" s="114"/>
    </row>
    <row r="798" spans="4:50">
      <c r="D798" s="114"/>
      <c r="F798" s="114"/>
      <c r="G798" s="114"/>
      <c r="H798" s="114"/>
      <c r="I798" s="114"/>
      <c r="J798" s="114"/>
      <c r="K798" s="114"/>
      <c r="L798" s="114"/>
      <c r="M798" s="114"/>
      <c r="N798" s="114"/>
      <c r="O798" s="114"/>
      <c r="P798" s="114"/>
      <c r="Q798" s="114"/>
      <c r="R798" s="114"/>
      <c r="S798" s="114"/>
      <c r="T798" s="114"/>
      <c r="U798" s="114"/>
      <c r="V798" s="114"/>
      <c r="W798" s="114"/>
      <c r="X798" s="114"/>
      <c r="Y798" s="114"/>
      <c r="Z798" s="114"/>
      <c r="AA798" s="114"/>
      <c r="AB798" s="114"/>
      <c r="AC798" s="114"/>
      <c r="AD798" s="114"/>
      <c r="AE798" s="114"/>
      <c r="AF798" s="114"/>
      <c r="AG798" s="114"/>
      <c r="AH798" s="114"/>
      <c r="AI798" s="114"/>
      <c r="AJ798" s="114"/>
      <c r="AK798" s="114"/>
      <c r="AL798" s="114"/>
      <c r="AM798" s="114"/>
      <c r="AN798" s="114"/>
      <c r="AO798" s="114"/>
      <c r="AP798" s="114"/>
      <c r="AQ798" s="114"/>
      <c r="AR798" s="114"/>
      <c r="AS798" s="114"/>
      <c r="AT798" s="114"/>
      <c r="AU798" s="114"/>
      <c r="AV798" s="114"/>
      <c r="AW798" s="114"/>
      <c r="AX798" s="114"/>
    </row>
    <row r="799" spans="4:50">
      <c r="D799" s="114"/>
      <c r="F799" s="114"/>
      <c r="G799" s="114"/>
      <c r="H799" s="114"/>
      <c r="I799" s="114"/>
      <c r="J799" s="114"/>
      <c r="K799" s="114"/>
      <c r="L799" s="114"/>
      <c r="M799" s="114"/>
      <c r="N799" s="114"/>
      <c r="O799" s="114"/>
      <c r="P799" s="114"/>
      <c r="Q799" s="114"/>
      <c r="R799" s="114"/>
      <c r="S799" s="114"/>
      <c r="T799" s="114"/>
      <c r="U799" s="114"/>
      <c r="V799" s="114"/>
      <c r="W799" s="114"/>
      <c r="X799" s="114"/>
      <c r="Y799" s="114"/>
      <c r="Z799" s="114"/>
      <c r="AA799" s="114"/>
      <c r="AB799" s="114"/>
      <c r="AC799" s="114"/>
      <c r="AD799" s="114"/>
      <c r="AE799" s="114"/>
      <c r="AF799" s="114"/>
      <c r="AG799" s="114"/>
      <c r="AH799" s="114"/>
      <c r="AI799" s="114"/>
      <c r="AJ799" s="114"/>
      <c r="AK799" s="114"/>
      <c r="AL799" s="114"/>
      <c r="AM799" s="114"/>
      <c r="AN799" s="114"/>
      <c r="AO799" s="114"/>
      <c r="AP799" s="114"/>
      <c r="AQ799" s="114"/>
      <c r="AR799" s="114"/>
      <c r="AS799" s="114"/>
      <c r="AT799" s="114"/>
      <c r="AU799" s="114"/>
      <c r="AV799" s="114"/>
      <c r="AW799" s="114"/>
      <c r="AX799" s="114"/>
    </row>
    <row r="800" spans="4:50">
      <c r="D800" s="114"/>
      <c r="F800" s="114"/>
      <c r="G800" s="114"/>
      <c r="H800" s="114"/>
      <c r="I800" s="114"/>
      <c r="J800" s="114"/>
      <c r="K800" s="114"/>
      <c r="L800" s="114"/>
      <c r="M800" s="114"/>
      <c r="N800" s="114"/>
      <c r="O800" s="114"/>
      <c r="P800" s="114"/>
      <c r="Q800" s="114"/>
      <c r="R800" s="114"/>
      <c r="S800" s="114"/>
      <c r="T800" s="114"/>
      <c r="U800" s="114"/>
      <c r="V800" s="114"/>
      <c r="W800" s="114"/>
      <c r="X800" s="114"/>
      <c r="Y800" s="114"/>
      <c r="Z800" s="114"/>
      <c r="AA800" s="114"/>
      <c r="AB800" s="114"/>
      <c r="AC800" s="114"/>
      <c r="AD800" s="114"/>
      <c r="AE800" s="114"/>
      <c r="AF800" s="114"/>
      <c r="AG800" s="114"/>
      <c r="AH800" s="114"/>
      <c r="AI800" s="114"/>
      <c r="AJ800" s="114"/>
      <c r="AK800" s="114"/>
      <c r="AL800" s="114"/>
      <c r="AM800" s="114"/>
      <c r="AN800" s="114"/>
      <c r="AO800" s="114"/>
      <c r="AP800" s="114"/>
      <c r="AQ800" s="114"/>
      <c r="AR800" s="114"/>
      <c r="AS800" s="114"/>
      <c r="AT800" s="114"/>
      <c r="AU800" s="114"/>
      <c r="AV800" s="114"/>
      <c r="AW800" s="114"/>
      <c r="AX800" s="114"/>
    </row>
    <row r="801" spans="4:50">
      <c r="D801" s="114"/>
      <c r="F801" s="114"/>
      <c r="G801" s="114"/>
      <c r="H801" s="114"/>
      <c r="I801" s="114"/>
      <c r="J801" s="114"/>
      <c r="K801" s="114"/>
      <c r="L801" s="114"/>
      <c r="M801" s="114"/>
      <c r="N801" s="114"/>
      <c r="O801" s="114"/>
      <c r="P801" s="114"/>
      <c r="Q801" s="114"/>
      <c r="R801" s="114"/>
      <c r="S801" s="114"/>
      <c r="T801" s="114"/>
      <c r="U801" s="114"/>
      <c r="V801" s="114"/>
      <c r="W801" s="114"/>
      <c r="X801" s="114"/>
      <c r="Y801" s="114"/>
      <c r="Z801" s="114"/>
      <c r="AA801" s="114"/>
      <c r="AB801" s="114"/>
      <c r="AC801" s="114"/>
      <c r="AD801" s="114"/>
      <c r="AE801" s="114"/>
      <c r="AF801" s="114"/>
      <c r="AG801" s="114"/>
      <c r="AH801" s="114"/>
      <c r="AI801" s="114"/>
      <c r="AJ801" s="114"/>
      <c r="AK801" s="114"/>
      <c r="AL801" s="114"/>
      <c r="AM801" s="114"/>
      <c r="AN801" s="114"/>
      <c r="AO801" s="114"/>
      <c r="AP801" s="114"/>
      <c r="AQ801" s="114"/>
      <c r="AR801" s="114"/>
      <c r="AS801" s="114"/>
      <c r="AT801" s="114"/>
      <c r="AU801" s="114"/>
      <c r="AV801" s="114"/>
      <c r="AW801" s="114"/>
      <c r="AX801" s="114"/>
    </row>
    <row r="802" spans="4:50">
      <c r="D802" s="114"/>
      <c r="F802" s="114"/>
      <c r="G802" s="114"/>
      <c r="H802" s="114"/>
      <c r="I802" s="114"/>
      <c r="J802" s="114"/>
      <c r="K802" s="114"/>
      <c r="L802" s="114"/>
      <c r="M802" s="114"/>
      <c r="N802" s="114"/>
      <c r="O802" s="114"/>
      <c r="P802" s="114"/>
      <c r="Q802" s="114"/>
      <c r="R802" s="114"/>
      <c r="S802" s="114"/>
      <c r="T802" s="114"/>
      <c r="U802" s="114"/>
      <c r="V802" s="114"/>
      <c r="W802" s="114"/>
      <c r="X802" s="114"/>
      <c r="Y802" s="114"/>
      <c r="Z802" s="114"/>
      <c r="AA802" s="114"/>
      <c r="AB802" s="114"/>
      <c r="AC802" s="114"/>
      <c r="AD802" s="114"/>
      <c r="AE802" s="114"/>
      <c r="AF802" s="114"/>
      <c r="AG802" s="114"/>
      <c r="AH802" s="114"/>
      <c r="AI802" s="114"/>
      <c r="AJ802" s="114"/>
      <c r="AK802" s="114"/>
      <c r="AL802" s="114"/>
      <c r="AM802" s="114"/>
      <c r="AN802" s="114"/>
      <c r="AO802" s="114"/>
      <c r="AP802" s="114"/>
      <c r="AQ802" s="114"/>
      <c r="AR802" s="114"/>
      <c r="AS802" s="114"/>
      <c r="AT802" s="114"/>
      <c r="AU802" s="114"/>
      <c r="AV802" s="114"/>
      <c r="AW802" s="114"/>
      <c r="AX802" s="114"/>
    </row>
    <row r="803" spans="4:50">
      <c r="D803" s="114"/>
      <c r="F803" s="114"/>
      <c r="G803" s="114"/>
      <c r="H803" s="114"/>
      <c r="I803" s="114"/>
      <c r="J803" s="114"/>
      <c r="K803" s="114"/>
      <c r="L803" s="114"/>
      <c r="M803" s="114"/>
      <c r="N803" s="114"/>
      <c r="O803" s="114"/>
      <c r="P803" s="114"/>
      <c r="Q803" s="114"/>
      <c r="R803" s="114"/>
      <c r="S803" s="114"/>
      <c r="T803" s="114"/>
      <c r="U803" s="114"/>
      <c r="V803" s="114"/>
      <c r="W803" s="114"/>
      <c r="X803" s="114"/>
      <c r="Y803" s="114"/>
      <c r="Z803" s="114"/>
      <c r="AA803" s="114"/>
      <c r="AB803" s="114"/>
      <c r="AC803" s="114"/>
      <c r="AD803" s="114"/>
      <c r="AE803" s="114"/>
      <c r="AF803" s="114"/>
      <c r="AG803" s="114"/>
      <c r="AH803" s="114"/>
      <c r="AI803" s="114"/>
      <c r="AJ803" s="114"/>
      <c r="AK803" s="114"/>
      <c r="AL803" s="114"/>
      <c r="AM803" s="114"/>
      <c r="AN803" s="114"/>
      <c r="AO803" s="114"/>
      <c r="AP803" s="114"/>
      <c r="AQ803" s="114"/>
      <c r="AR803" s="114"/>
      <c r="AS803" s="114"/>
      <c r="AT803" s="114"/>
      <c r="AU803" s="114"/>
      <c r="AV803" s="114"/>
      <c r="AW803" s="114"/>
      <c r="AX803" s="114"/>
    </row>
    <row r="804" spans="4:50">
      <c r="D804" s="114"/>
      <c r="F804" s="114"/>
      <c r="G804" s="114"/>
      <c r="H804" s="114"/>
      <c r="I804" s="114"/>
      <c r="J804" s="114"/>
      <c r="K804" s="114"/>
      <c r="L804" s="114"/>
      <c r="M804" s="114"/>
      <c r="N804" s="114"/>
      <c r="O804" s="114"/>
      <c r="P804" s="114"/>
      <c r="Q804" s="114"/>
      <c r="R804" s="114"/>
      <c r="S804" s="114"/>
      <c r="T804" s="114"/>
      <c r="U804" s="114"/>
      <c r="V804" s="114"/>
      <c r="W804" s="114"/>
      <c r="X804" s="114"/>
      <c r="Y804" s="114"/>
      <c r="Z804" s="114"/>
      <c r="AA804" s="114"/>
      <c r="AB804" s="114"/>
      <c r="AC804" s="114"/>
      <c r="AD804" s="114"/>
      <c r="AE804" s="114"/>
      <c r="AF804" s="114"/>
      <c r="AG804" s="114"/>
      <c r="AH804" s="114"/>
      <c r="AI804" s="114"/>
      <c r="AJ804" s="114"/>
      <c r="AK804" s="114"/>
      <c r="AL804" s="114"/>
      <c r="AM804" s="114"/>
      <c r="AN804" s="114"/>
      <c r="AO804" s="114"/>
      <c r="AP804" s="114"/>
      <c r="AQ804" s="114"/>
      <c r="AR804" s="114"/>
      <c r="AS804" s="114"/>
      <c r="AT804" s="114"/>
      <c r="AU804" s="114"/>
      <c r="AV804" s="114"/>
      <c r="AW804" s="114"/>
      <c r="AX804" s="114"/>
    </row>
    <row r="805" spans="4:50">
      <c r="D805" s="114"/>
      <c r="F805" s="114"/>
      <c r="G805" s="114"/>
      <c r="H805" s="114"/>
      <c r="I805" s="114"/>
      <c r="J805" s="114"/>
      <c r="K805" s="114"/>
      <c r="L805" s="114"/>
      <c r="M805" s="114"/>
      <c r="N805" s="114"/>
      <c r="O805" s="114"/>
      <c r="P805" s="114"/>
      <c r="Q805" s="114"/>
      <c r="R805" s="114"/>
      <c r="S805" s="114"/>
      <c r="T805" s="114"/>
      <c r="U805" s="114"/>
      <c r="V805" s="114"/>
      <c r="W805" s="114"/>
      <c r="X805" s="114"/>
      <c r="Y805" s="114"/>
      <c r="Z805" s="114"/>
      <c r="AA805" s="114"/>
      <c r="AB805" s="114"/>
      <c r="AC805" s="114"/>
      <c r="AD805" s="114"/>
      <c r="AE805" s="114"/>
      <c r="AF805" s="114"/>
      <c r="AG805" s="114"/>
      <c r="AH805" s="114"/>
      <c r="AI805" s="114"/>
      <c r="AJ805" s="114"/>
      <c r="AK805" s="114"/>
      <c r="AL805" s="114"/>
      <c r="AM805" s="114"/>
      <c r="AN805" s="114"/>
      <c r="AO805" s="114"/>
      <c r="AP805" s="114"/>
      <c r="AQ805" s="114"/>
      <c r="AR805" s="114"/>
      <c r="AS805" s="114"/>
      <c r="AT805" s="114"/>
      <c r="AU805" s="114"/>
      <c r="AV805" s="114"/>
      <c r="AW805" s="114"/>
      <c r="AX805" s="114"/>
    </row>
    <row r="806" spans="4:50">
      <c r="D806" s="114"/>
      <c r="F806" s="114"/>
      <c r="G806" s="114"/>
      <c r="H806" s="114"/>
      <c r="I806" s="114"/>
      <c r="J806" s="114"/>
      <c r="K806" s="114"/>
      <c r="L806" s="114"/>
      <c r="M806" s="114"/>
      <c r="N806" s="114"/>
      <c r="O806" s="114"/>
      <c r="P806" s="114"/>
      <c r="Q806" s="114"/>
      <c r="R806" s="114"/>
      <c r="S806" s="114"/>
      <c r="T806" s="114"/>
      <c r="U806" s="114"/>
      <c r="V806" s="114"/>
      <c r="W806" s="114"/>
      <c r="X806" s="114"/>
      <c r="Y806" s="114"/>
      <c r="Z806" s="114"/>
      <c r="AA806" s="114"/>
      <c r="AB806" s="114"/>
      <c r="AC806" s="114"/>
      <c r="AD806" s="114"/>
      <c r="AE806" s="114"/>
      <c r="AF806" s="114"/>
      <c r="AG806" s="114"/>
      <c r="AH806" s="114"/>
      <c r="AI806" s="114"/>
      <c r="AJ806" s="114"/>
      <c r="AK806" s="114"/>
      <c r="AL806" s="114"/>
      <c r="AM806" s="114"/>
      <c r="AN806" s="114"/>
      <c r="AO806" s="114"/>
      <c r="AP806" s="114"/>
      <c r="AQ806" s="114"/>
      <c r="AR806" s="114"/>
      <c r="AS806" s="114"/>
      <c r="AT806" s="114"/>
      <c r="AU806" s="114"/>
      <c r="AV806" s="114"/>
      <c r="AW806" s="114"/>
      <c r="AX806" s="114"/>
    </row>
    <row r="807" spans="4:50">
      <c r="D807" s="114"/>
      <c r="F807" s="114"/>
      <c r="G807" s="114"/>
      <c r="H807" s="114"/>
      <c r="I807" s="114"/>
      <c r="J807" s="114"/>
      <c r="K807" s="114"/>
      <c r="L807" s="114"/>
      <c r="M807" s="114"/>
      <c r="N807" s="114"/>
      <c r="O807" s="114"/>
      <c r="P807" s="114"/>
      <c r="Q807" s="114"/>
      <c r="R807" s="114"/>
      <c r="S807" s="114"/>
      <c r="T807" s="114"/>
      <c r="U807" s="114"/>
      <c r="V807" s="114"/>
      <c r="W807" s="114"/>
      <c r="X807" s="114"/>
      <c r="Y807" s="114"/>
      <c r="Z807" s="114"/>
      <c r="AA807" s="114"/>
      <c r="AB807" s="114"/>
      <c r="AC807" s="114"/>
      <c r="AD807" s="114"/>
      <c r="AE807" s="114"/>
      <c r="AF807" s="114"/>
      <c r="AG807" s="114"/>
      <c r="AH807" s="114"/>
      <c r="AI807" s="114"/>
      <c r="AJ807" s="114"/>
      <c r="AK807" s="114"/>
      <c r="AL807" s="114"/>
      <c r="AM807" s="114"/>
      <c r="AN807" s="114"/>
      <c r="AO807" s="114"/>
      <c r="AP807" s="114"/>
      <c r="AQ807" s="114"/>
      <c r="AR807" s="114"/>
      <c r="AS807" s="114"/>
      <c r="AT807" s="114"/>
      <c r="AU807" s="114"/>
      <c r="AV807" s="114"/>
      <c r="AW807" s="114"/>
      <c r="AX807" s="114"/>
    </row>
    <row r="808" spans="4:50">
      <c r="D808" s="114"/>
      <c r="F808" s="114"/>
      <c r="G808" s="114"/>
      <c r="H808" s="114"/>
      <c r="I808" s="114"/>
      <c r="J808" s="114"/>
      <c r="K808" s="114"/>
      <c r="L808" s="114"/>
      <c r="M808" s="114"/>
      <c r="N808" s="114"/>
      <c r="O808" s="114"/>
      <c r="P808" s="114"/>
      <c r="Q808" s="114"/>
      <c r="R808" s="114"/>
      <c r="S808" s="114"/>
      <c r="T808" s="114"/>
      <c r="U808" s="114"/>
      <c r="V808" s="114"/>
      <c r="W808" s="114"/>
      <c r="X808" s="114"/>
      <c r="Y808" s="114"/>
      <c r="Z808" s="114"/>
      <c r="AA808" s="114"/>
      <c r="AB808" s="114"/>
      <c r="AC808" s="114"/>
      <c r="AD808" s="114"/>
      <c r="AE808" s="114"/>
      <c r="AF808" s="114"/>
      <c r="AG808" s="114"/>
      <c r="AH808" s="114"/>
      <c r="AI808" s="114"/>
      <c r="AJ808" s="114"/>
      <c r="AK808" s="114"/>
      <c r="AL808" s="114"/>
      <c r="AM808" s="114"/>
      <c r="AN808" s="114"/>
      <c r="AO808" s="114"/>
      <c r="AP808" s="114"/>
      <c r="AQ808" s="114"/>
      <c r="AR808" s="114"/>
      <c r="AS808" s="114"/>
      <c r="AT808" s="114"/>
      <c r="AU808" s="114"/>
      <c r="AV808" s="114"/>
      <c r="AW808" s="114"/>
      <c r="AX808" s="114"/>
    </row>
    <row r="809" spans="4:50">
      <c r="D809" s="114"/>
      <c r="F809" s="114"/>
      <c r="G809" s="114"/>
      <c r="H809" s="114"/>
      <c r="I809" s="114"/>
      <c r="J809" s="114"/>
      <c r="K809" s="114"/>
      <c r="L809" s="114"/>
      <c r="M809" s="114"/>
      <c r="N809" s="114"/>
      <c r="O809" s="114"/>
      <c r="P809" s="114"/>
      <c r="Q809" s="114"/>
      <c r="R809" s="114"/>
      <c r="S809" s="114"/>
      <c r="T809" s="114"/>
      <c r="U809" s="114"/>
      <c r="V809" s="114"/>
      <c r="W809" s="114"/>
      <c r="X809" s="114"/>
      <c r="Y809" s="114"/>
      <c r="Z809" s="114"/>
      <c r="AA809" s="114"/>
      <c r="AB809" s="114"/>
      <c r="AC809" s="114"/>
      <c r="AD809" s="114"/>
      <c r="AE809" s="114"/>
      <c r="AF809" s="114"/>
      <c r="AG809" s="114"/>
      <c r="AH809" s="114"/>
      <c r="AI809" s="114"/>
      <c r="AJ809" s="114"/>
      <c r="AK809" s="114"/>
      <c r="AL809" s="114"/>
      <c r="AM809" s="114"/>
      <c r="AN809" s="114"/>
      <c r="AO809" s="114"/>
      <c r="AP809" s="114"/>
      <c r="AQ809" s="114"/>
      <c r="AR809" s="114"/>
      <c r="AS809" s="114"/>
      <c r="AT809" s="114"/>
      <c r="AU809" s="114"/>
      <c r="AV809" s="114"/>
      <c r="AW809" s="114"/>
      <c r="AX809" s="114"/>
    </row>
    <row r="810" spans="4:50">
      <c r="D810" s="114"/>
      <c r="F810" s="114"/>
      <c r="G810" s="114"/>
      <c r="H810" s="114"/>
      <c r="I810" s="114"/>
      <c r="J810" s="114"/>
      <c r="K810" s="114"/>
      <c r="L810" s="114"/>
      <c r="M810" s="114"/>
      <c r="N810" s="114"/>
      <c r="O810" s="114"/>
      <c r="P810" s="114"/>
      <c r="Q810" s="114"/>
      <c r="R810" s="114"/>
      <c r="S810" s="114"/>
      <c r="T810" s="114"/>
      <c r="U810" s="114"/>
      <c r="V810" s="114"/>
      <c r="W810" s="114"/>
      <c r="X810" s="114"/>
      <c r="Y810" s="114"/>
      <c r="Z810" s="114"/>
      <c r="AA810" s="114"/>
      <c r="AB810" s="114"/>
      <c r="AC810" s="114"/>
      <c r="AD810" s="114"/>
      <c r="AE810" s="114"/>
      <c r="AF810" s="114"/>
      <c r="AG810" s="114"/>
      <c r="AH810" s="114"/>
      <c r="AI810" s="114"/>
      <c r="AJ810" s="114"/>
      <c r="AK810" s="114"/>
      <c r="AL810" s="114"/>
      <c r="AM810" s="114"/>
      <c r="AN810" s="114"/>
      <c r="AO810" s="114"/>
      <c r="AP810" s="114"/>
      <c r="AQ810" s="114"/>
      <c r="AR810" s="114"/>
      <c r="AS810" s="114"/>
      <c r="AT810" s="114"/>
      <c r="AU810" s="114"/>
      <c r="AV810" s="114"/>
      <c r="AW810" s="114"/>
      <c r="AX810" s="114"/>
    </row>
    <row r="811" spans="4:50">
      <c r="D811" s="114"/>
      <c r="F811" s="114"/>
      <c r="G811" s="114"/>
      <c r="H811" s="114"/>
      <c r="I811" s="114"/>
      <c r="J811" s="114"/>
      <c r="K811" s="114"/>
      <c r="L811" s="114"/>
      <c r="M811" s="114"/>
      <c r="N811" s="114"/>
      <c r="O811" s="114"/>
      <c r="P811" s="114"/>
      <c r="Q811" s="114"/>
      <c r="R811" s="114"/>
      <c r="S811" s="114"/>
      <c r="T811" s="114"/>
      <c r="U811" s="114"/>
      <c r="V811" s="114"/>
      <c r="W811" s="114"/>
      <c r="X811" s="114"/>
      <c r="Y811" s="114"/>
      <c r="Z811" s="114"/>
      <c r="AA811" s="114"/>
      <c r="AB811" s="114"/>
      <c r="AC811" s="114"/>
      <c r="AD811" s="114"/>
      <c r="AE811" s="114"/>
      <c r="AF811" s="114"/>
      <c r="AG811" s="114"/>
      <c r="AH811" s="114"/>
      <c r="AI811" s="114"/>
      <c r="AJ811" s="114"/>
      <c r="AK811" s="114"/>
      <c r="AL811" s="114"/>
      <c r="AM811" s="114"/>
      <c r="AN811" s="114"/>
      <c r="AO811" s="114"/>
      <c r="AP811" s="114"/>
      <c r="AQ811" s="114"/>
      <c r="AR811" s="114"/>
      <c r="AS811" s="114"/>
      <c r="AT811" s="114"/>
      <c r="AU811" s="114"/>
      <c r="AV811" s="114"/>
      <c r="AW811" s="114"/>
      <c r="AX811" s="114"/>
    </row>
    <row r="812" spans="4:50">
      <c r="D812" s="114"/>
      <c r="F812" s="114"/>
      <c r="G812" s="114"/>
      <c r="H812" s="114"/>
      <c r="I812" s="114"/>
      <c r="J812" s="114"/>
      <c r="K812" s="114"/>
      <c r="L812" s="114"/>
      <c r="M812" s="114"/>
      <c r="N812" s="114"/>
      <c r="O812" s="114"/>
      <c r="P812" s="114"/>
      <c r="Q812" s="114"/>
      <c r="R812" s="114"/>
      <c r="S812" s="114"/>
      <c r="T812" s="114"/>
      <c r="U812" s="114"/>
      <c r="V812" s="114"/>
      <c r="W812" s="114"/>
      <c r="X812" s="114"/>
      <c r="Y812" s="114"/>
      <c r="Z812" s="114"/>
      <c r="AA812" s="114"/>
      <c r="AB812" s="114"/>
      <c r="AC812" s="114"/>
      <c r="AD812" s="114"/>
      <c r="AE812" s="114"/>
      <c r="AF812" s="114"/>
      <c r="AG812" s="114"/>
      <c r="AH812" s="114"/>
      <c r="AI812" s="114"/>
      <c r="AJ812" s="114"/>
      <c r="AK812" s="114"/>
      <c r="AL812" s="114"/>
      <c r="AM812" s="114"/>
      <c r="AN812" s="114"/>
      <c r="AO812" s="114"/>
      <c r="AP812" s="114"/>
      <c r="AQ812" s="114"/>
      <c r="AR812" s="114"/>
      <c r="AS812" s="114"/>
      <c r="AT812" s="114"/>
      <c r="AU812" s="114"/>
      <c r="AV812" s="114"/>
      <c r="AW812" s="114"/>
      <c r="AX812" s="114"/>
    </row>
    <row r="813" spans="4:50">
      <c r="D813" s="114"/>
      <c r="F813" s="114"/>
      <c r="G813" s="114"/>
      <c r="H813" s="114"/>
      <c r="I813" s="114"/>
      <c r="J813" s="114"/>
      <c r="K813" s="114"/>
      <c r="L813" s="114"/>
      <c r="M813" s="114"/>
      <c r="N813" s="114"/>
      <c r="O813" s="114"/>
      <c r="P813" s="114"/>
      <c r="Q813" s="114"/>
      <c r="R813" s="114"/>
      <c r="S813" s="114"/>
      <c r="T813" s="114"/>
      <c r="U813" s="114"/>
      <c r="V813" s="114"/>
      <c r="W813" s="114"/>
      <c r="X813" s="114"/>
      <c r="Y813" s="114"/>
      <c r="Z813" s="114"/>
      <c r="AA813" s="114"/>
      <c r="AB813" s="114"/>
      <c r="AC813" s="114"/>
      <c r="AD813" s="114"/>
      <c r="AE813" s="114"/>
      <c r="AF813" s="114"/>
      <c r="AG813" s="114"/>
      <c r="AH813" s="114"/>
      <c r="AI813" s="114"/>
      <c r="AJ813" s="114"/>
      <c r="AK813" s="114"/>
      <c r="AL813" s="114"/>
      <c r="AM813" s="114"/>
      <c r="AN813" s="114"/>
      <c r="AO813" s="114"/>
      <c r="AP813" s="114"/>
      <c r="AQ813" s="114"/>
      <c r="AR813" s="114"/>
      <c r="AS813" s="114"/>
      <c r="AT813" s="114"/>
      <c r="AU813" s="114"/>
      <c r="AV813" s="114"/>
      <c r="AW813" s="114"/>
      <c r="AX813" s="114"/>
    </row>
    <row r="814" spans="4:50">
      <c r="D814" s="114"/>
      <c r="F814" s="114"/>
      <c r="G814" s="114"/>
      <c r="H814" s="114"/>
      <c r="I814" s="114"/>
      <c r="J814" s="114"/>
      <c r="K814" s="114"/>
      <c r="L814" s="114"/>
      <c r="M814" s="114"/>
      <c r="N814" s="114"/>
      <c r="O814" s="114"/>
      <c r="P814" s="114"/>
      <c r="Q814" s="114"/>
      <c r="R814" s="114"/>
      <c r="S814" s="114"/>
      <c r="T814" s="114"/>
      <c r="U814" s="114"/>
      <c r="V814" s="114"/>
      <c r="W814" s="114"/>
      <c r="X814" s="114"/>
      <c r="Y814" s="114"/>
      <c r="Z814" s="114"/>
      <c r="AA814" s="114"/>
      <c r="AB814" s="114"/>
      <c r="AC814" s="114"/>
      <c r="AD814" s="114"/>
      <c r="AE814" s="114"/>
      <c r="AF814" s="114"/>
      <c r="AG814" s="114"/>
      <c r="AH814" s="114"/>
      <c r="AI814" s="114"/>
      <c r="AJ814" s="114"/>
      <c r="AK814" s="114"/>
      <c r="AL814" s="114"/>
      <c r="AM814" s="114"/>
      <c r="AN814" s="114"/>
      <c r="AO814" s="114"/>
      <c r="AP814" s="114"/>
      <c r="AQ814" s="114"/>
      <c r="AR814" s="114"/>
      <c r="AS814" s="114"/>
      <c r="AT814" s="114"/>
      <c r="AU814" s="114"/>
      <c r="AV814" s="114"/>
      <c r="AW814" s="114"/>
      <c r="AX814" s="114"/>
    </row>
    <row r="815" spans="4:50">
      <c r="D815" s="114"/>
      <c r="F815" s="114"/>
      <c r="G815" s="114"/>
      <c r="H815" s="114"/>
      <c r="I815" s="114"/>
      <c r="J815" s="114"/>
      <c r="K815" s="114"/>
      <c r="L815" s="114"/>
      <c r="M815" s="114"/>
      <c r="N815" s="114"/>
      <c r="O815" s="114"/>
      <c r="P815" s="114"/>
      <c r="Q815" s="114"/>
      <c r="R815" s="114"/>
      <c r="S815" s="114"/>
      <c r="T815" s="114"/>
      <c r="U815" s="114"/>
      <c r="V815" s="114"/>
      <c r="W815" s="114"/>
      <c r="X815" s="114"/>
      <c r="Y815" s="114"/>
      <c r="Z815" s="114"/>
      <c r="AA815" s="114"/>
      <c r="AB815" s="114"/>
      <c r="AC815" s="114"/>
      <c r="AD815" s="114"/>
      <c r="AE815" s="114"/>
      <c r="AF815" s="114"/>
      <c r="AG815" s="114"/>
      <c r="AH815" s="114"/>
      <c r="AI815" s="114"/>
      <c r="AJ815" s="114"/>
      <c r="AK815" s="114"/>
      <c r="AL815" s="114"/>
      <c r="AM815" s="114"/>
      <c r="AN815" s="114"/>
      <c r="AO815" s="114"/>
      <c r="AP815" s="114"/>
      <c r="AQ815" s="114"/>
      <c r="AR815" s="114"/>
      <c r="AS815" s="114"/>
      <c r="AT815" s="114"/>
      <c r="AU815" s="114"/>
      <c r="AV815" s="114"/>
      <c r="AW815" s="114"/>
      <c r="AX815" s="114"/>
    </row>
    <row r="816" spans="4:50">
      <c r="D816" s="114"/>
      <c r="F816" s="114"/>
      <c r="G816" s="114"/>
      <c r="H816" s="114"/>
      <c r="I816" s="114"/>
      <c r="J816" s="114"/>
      <c r="K816" s="114"/>
      <c r="L816" s="114"/>
      <c r="M816" s="114"/>
      <c r="N816" s="114"/>
      <c r="O816" s="114"/>
      <c r="P816" s="114"/>
      <c r="Q816" s="114"/>
      <c r="R816" s="114"/>
      <c r="S816" s="114"/>
      <c r="T816" s="114"/>
      <c r="U816" s="114"/>
      <c r="V816" s="114"/>
      <c r="W816" s="114"/>
      <c r="X816" s="114"/>
      <c r="Y816" s="114"/>
      <c r="Z816" s="114"/>
      <c r="AA816" s="114"/>
      <c r="AB816" s="114"/>
      <c r="AC816" s="114"/>
      <c r="AD816" s="114"/>
      <c r="AE816" s="114"/>
      <c r="AF816" s="114"/>
      <c r="AG816" s="114"/>
      <c r="AH816" s="114"/>
      <c r="AI816" s="114"/>
      <c r="AJ816" s="114"/>
      <c r="AK816" s="114"/>
      <c r="AL816" s="114"/>
      <c r="AM816" s="114"/>
      <c r="AN816" s="114"/>
      <c r="AO816" s="114"/>
      <c r="AP816" s="114"/>
      <c r="AQ816" s="114"/>
      <c r="AR816" s="114"/>
      <c r="AS816" s="114"/>
      <c r="AT816" s="114"/>
      <c r="AU816" s="114"/>
      <c r="AV816" s="114"/>
      <c r="AW816" s="114"/>
      <c r="AX816" s="114"/>
    </row>
    <row r="817" spans="4:50">
      <c r="D817" s="114"/>
      <c r="F817" s="114"/>
      <c r="G817" s="114"/>
      <c r="H817" s="114"/>
      <c r="I817" s="114"/>
      <c r="J817" s="114"/>
      <c r="K817" s="114"/>
      <c r="L817" s="114"/>
      <c r="M817" s="114"/>
      <c r="N817" s="114"/>
      <c r="O817" s="114"/>
      <c r="P817" s="114"/>
      <c r="Q817" s="114"/>
      <c r="R817" s="114"/>
      <c r="S817" s="114"/>
      <c r="T817" s="114"/>
      <c r="U817" s="114"/>
      <c r="V817" s="114"/>
      <c r="W817" s="114"/>
      <c r="X817" s="114"/>
      <c r="Y817" s="114"/>
      <c r="Z817" s="114"/>
      <c r="AA817" s="114"/>
      <c r="AB817" s="114"/>
      <c r="AC817" s="114"/>
      <c r="AD817" s="114"/>
      <c r="AE817" s="114"/>
      <c r="AF817" s="114"/>
      <c r="AG817" s="114"/>
      <c r="AH817" s="114"/>
      <c r="AI817" s="114"/>
      <c r="AJ817" s="114"/>
      <c r="AK817" s="114"/>
      <c r="AL817" s="114"/>
      <c r="AM817" s="114"/>
      <c r="AN817" s="114"/>
      <c r="AO817" s="114"/>
      <c r="AP817" s="114"/>
      <c r="AQ817" s="114"/>
      <c r="AR817" s="114"/>
      <c r="AS817" s="114"/>
      <c r="AT817" s="114"/>
      <c r="AU817" s="114"/>
      <c r="AV817" s="114"/>
      <c r="AW817" s="114"/>
      <c r="AX817" s="114"/>
    </row>
    <row r="818" spans="4:50">
      <c r="D818" s="114"/>
      <c r="F818" s="114"/>
      <c r="G818" s="114"/>
      <c r="H818" s="114"/>
      <c r="I818" s="114"/>
      <c r="J818" s="114"/>
      <c r="K818" s="114"/>
      <c r="L818" s="114"/>
      <c r="M818" s="114"/>
      <c r="N818" s="114"/>
      <c r="O818" s="114"/>
      <c r="P818" s="114"/>
      <c r="Q818" s="114"/>
      <c r="R818" s="114"/>
      <c r="S818" s="114"/>
      <c r="T818" s="114"/>
      <c r="U818" s="114"/>
      <c r="V818" s="114"/>
      <c r="W818" s="114"/>
      <c r="X818" s="114"/>
      <c r="Y818" s="114"/>
      <c r="Z818" s="114"/>
      <c r="AA818" s="114"/>
      <c r="AB818" s="114"/>
      <c r="AC818" s="114"/>
      <c r="AD818" s="114"/>
      <c r="AE818" s="114"/>
      <c r="AF818" s="114"/>
      <c r="AG818" s="114"/>
      <c r="AH818" s="114"/>
      <c r="AI818" s="114"/>
      <c r="AJ818" s="114"/>
      <c r="AK818" s="114"/>
      <c r="AL818" s="114"/>
      <c r="AM818" s="114"/>
      <c r="AN818" s="114"/>
      <c r="AO818" s="114"/>
      <c r="AP818" s="114"/>
      <c r="AQ818" s="114"/>
      <c r="AR818" s="114"/>
      <c r="AS818" s="114"/>
      <c r="AT818" s="114"/>
      <c r="AU818" s="114"/>
      <c r="AV818" s="114"/>
      <c r="AW818" s="114"/>
      <c r="AX818" s="114"/>
    </row>
    <row r="819" spans="4:50">
      <c r="D819" s="114"/>
      <c r="F819" s="114"/>
      <c r="G819" s="114"/>
      <c r="H819" s="114"/>
      <c r="I819" s="114"/>
      <c r="J819" s="114"/>
      <c r="K819" s="114"/>
      <c r="L819" s="114"/>
      <c r="M819" s="114"/>
      <c r="N819" s="114"/>
      <c r="O819" s="114"/>
      <c r="P819" s="114"/>
      <c r="Q819" s="114"/>
      <c r="R819" s="114"/>
      <c r="S819" s="114"/>
      <c r="T819" s="114"/>
      <c r="U819" s="114"/>
      <c r="V819" s="114"/>
      <c r="W819" s="114"/>
      <c r="X819" s="114"/>
      <c r="Y819" s="114"/>
      <c r="Z819" s="114"/>
      <c r="AA819" s="114"/>
      <c r="AB819" s="114"/>
      <c r="AC819" s="114"/>
      <c r="AD819" s="114"/>
      <c r="AE819" s="114"/>
      <c r="AF819" s="114"/>
      <c r="AG819" s="114"/>
      <c r="AH819" s="114"/>
      <c r="AI819" s="114"/>
      <c r="AJ819" s="114"/>
      <c r="AK819" s="114"/>
      <c r="AL819" s="114"/>
      <c r="AM819" s="114"/>
      <c r="AN819" s="114"/>
      <c r="AO819" s="114"/>
      <c r="AP819" s="114"/>
      <c r="AQ819" s="114"/>
      <c r="AR819" s="114"/>
      <c r="AS819" s="114"/>
      <c r="AT819" s="114"/>
      <c r="AU819" s="114"/>
      <c r="AV819" s="114"/>
      <c r="AW819" s="114"/>
      <c r="AX819" s="114"/>
    </row>
    <row r="820" spans="4:50">
      <c r="D820" s="114"/>
      <c r="F820" s="114"/>
      <c r="G820" s="114"/>
      <c r="H820" s="114"/>
      <c r="I820" s="114"/>
      <c r="J820" s="114"/>
      <c r="K820" s="114"/>
      <c r="L820" s="114"/>
      <c r="M820" s="114"/>
      <c r="N820" s="114"/>
      <c r="O820" s="114"/>
      <c r="P820" s="114"/>
      <c r="Q820" s="114"/>
      <c r="R820" s="114"/>
      <c r="S820" s="114"/>
      <c r="T820" s="114"/>
      <c r="U820" s="114"/>
      <c r="V820" s="114"/>
      <c r="W820" s="114"/>
      <c r="X820" s="114"/>
      <c r="Y820" s="114"/>
      <c r="Z820" s="114"/>
      <c r="AA820" s="114"/>
      <c r="AB820" s="114"/>
      <c r="AC820" s="114"/>
      <c r="AD820" s="114"/>
      <c r="AE820" s="114"/>
      <c r="AF820" s="114"/>
      <c r="AG820" s="114"/>
      <c r="AH820" s="114"/>
      <c r="AI820" s="114"/>
      <c r="AJ820" s="114"/>
      <c r="AK820" s="114"/>
      <c r="AL820" s="114"/>
      <c r="AM820" s="114"/>
      <c r="AN820" s="114"/>
      <c r="AO820" s="114"/>
      <c r="AP820" s="114"/>
      <c r="AQ820" s="114"/>
      <c r="AR820" s="114"/>
      <c r="AS820" s="114"/>
      <c r="AT820" s="114"/>
      <c r="AU820" s="114"/>
      <c r="AV820" s="114"/>
      <c r="AW820" s="114"/>
      <c r="AX820" s="114"/>
    </row>
    <row r="821" spans="4:50">
      <c r="D821" s="114"/>
      <c r="F821" s="114"/>
      <c r="G821" s="114"/>
      <c r="H821" s="114"/>
      <c r="I821" s="114"/>
      <c r="J821" s="114"/>
      <c r="K821" s="114"/>
      <c r="L821" s="114"/>
      <c r="M821" s="114"/>
      <c r="N821" s="114"/>
      <c r="O821" s="114"/>
      <c r="P821" s="114"/>
      <c r="Q821" s="114"/>
      <c r="R821" s="114"/>
      <c r="S821" s="114"/>
      <c r="T821" s="114"/>
      <c r="U821" s="114"/>
      <c r="V821" s="114"/>
      <c r="W821" s="114"/>
      <c r="X821" s="114"/>
      <c r="Y821" s="114"/>
      <c r="Z821" s="114"/>
      <c r="AA821" s="114"/>
      <c r="AB821" s="114"/>
      <c r="AC821" s="114"/>
      <c r="AD821" s="114"/>
      <c r="AE821" s="114"/>
      <c r="AF821" s="114"/>
      <c r="AG821" s="114"/>
      <c r="AH821" s="114"/>
      <c r="AI821" s="114"/>
      <c r="AJ821" s="114"/>
      <c r="AK821" s="114"/>
      <c r="AL821" s="114"/>
      <c r="AM821" s="114"/>
      <c r="AN821" s="114"/>
      <c r="AO821" s="114"/>
      <c r="AP821" s="114"/>
      <c r="AQ821" s="114"/>
      <c r="AR821" s="114"/>
      <c r="AS821" s="114"/>
      <c r="AT821" s="114"/>
      <c r="AU821" s="114"/>
      <c r="AV821" s="114"/>
      <c r="AW821" s="114"/>
      <c r="AX821" s="114"/>
    </row>
    <row r="822" spans="4:50">
      <c r="D822" s="114"/>
      <c r="F822" s="114"/>
      <c r="G822" s="114"/>
      <c r="H822" s="114"/>
      <c r="I822" s="114"/>
      <c r="J822" s="114"/>
      <c r="K822" s="114"/>
      <c r="L822" s="114"/>
      <c r="M822" s="114"/>
      <c r="N822" s="114"/>
      <c r="O822" s="114"/>
      <c r="P822" s="114"/>
      <c r="Q822" s="114"/>
      <c r="R822" s="114"/>
      <c r="S822" s="114"/>
      <c r="T822" s="114"/>
      <c r="U822" s="114"/>
      <c r="V822" s="114"/>
      <c r="W822" s="114"/>
      <c r="X822" s="114"/>
      <c r="Y822" s="114"/>
      <c r="Z822" s="114"/>
      <c r="AA822" s="114"/>
      <c r="AB822" s="114"/>
      <c r="AC822" s="114"/>
      <c r="AD822" s="114"/>
      <c r="AE822" s="114"/>
      <c r="AF822" s="114"/>
      <c r="AG822" s="114"/>
      <c r="AH822" s="114"/>
      <c r="AI822" s="114"/>
      <c r="AJ822" s="114"/>
      <c r="AK822" s="114"/>
      <c r="AL822" s="114"/>
      <c r="AM822" s="114"/>
      <c r="AN822" s="114"/>
      <c r="AO822" s="114"/>
      <c r="AP822" s="114"/>
      <c r="AQ822" s="114"/>
      <c r="AR822" s="114"/>
      <c r="AS822" s="114"/>
      <c r="AT822" s="114"/>
      <c r="AU822" s="114"/>
      <c r="AV822" s="114"/>
      <c r="AW822" s="114"/>
      <c r="AX822" s="114"/>
    </row>
    <row r="823" spans="4:50">
      <c r="D823" s="114"/>
      <c r="F823" s="114"/>
      <c r="G823" s="114"/>
      <c r="H823" s="114"/>
      <c r="I823" s="114"/>
      <c r="J823" s="114"/>
      <c r="K823" s="114"/>
      <c r="L823" s="114"/>
      <c r="M823" s="114"/>
      <c r="N823" s="114"/>
      <c r="O823" s="114"/>
      <c r="P823" s="114"/>
      <c r="Q823" s="114"/>
      <c r="R823" s="114"/>
      <c r="S823" s="114"/>
      <c r="T823" s="114"/>
      <c r="U823" s="114"/>
      <c r="V823" s="114"/>
      <c r="W823" s="114"/>
      <c r="X823" s="114"/>
      <c r="Y823" s="114"/>
      <c r="Z823" s="114"/>
      <c r="AA823" s="114"/>
      <c r="AB823" s="114"/>
      <c r="AC823" s="114"/>
      <c r="AD823" s="114"/>
      <c r="AE823" s="114"/>
      <c r="AF823" s="114"/>
      <c r="AG823" s="114"/>
      <c r="AH823" s="114"/>
      <c r="AI823" s="114"/>
      <c r="AJ823" s="114"/>
      <c r="AK823" s="114"/>
      <c r="AL823" s="114"/>
      <c r="AM823" s="114"/>
      <c r="AN823" s="114"/>
      <c r="AO823" s="114"/>
      <c r="AP823" s="114"/>
      <c r="AQ823" s="114"/>
      <c r="AR823" s="114"/>
      <c r="AS823" s="114"/>
      <c r="AT823" s="114"/>
      <c r="AU823" s="114"/>
      <c r="AV823" s="114"/>
      <c r="AW823" s="114"/>
      <c r="AX823" s="114"/>
    </row>
    <row r="824" spans="4:50">
      <c r="D824" s="114"/>
      <c r="F824" s="114"/>
      <c r="G824" s="114"/>
      <c r="H824" s="114"/>
      <c r="I824" s="114"/>
      <c r="J824" s="114"/>
      <c r="K824" s="114"/>
      <c r="L824" s="114"/>
      <c r="M824" s="114"/>
      <c r="N824" s="114"/>
      <c r="O824" s="114"/>
      <c r="P824" s="114"/>
      <c r="Q824" s="114"/>
      <c r="R824" s="114"/>
      <c r="S824" s="114"/>
      <c r="T824" s="114"/>
      <c r="U824" s="114"/>
      <c r="V824" s="114"/>
      <c r="W824" s="114"/>
      <c r="X824" s="114"/>
      <c r="Y824" s="114"/>
      <c r="Z824" s="114"/>
      <c r="AA824" s="114"/>
      <c r="AB824" s="114"/>
      <c r="AC824" s="114"/>
      <c r="AD824" s="114"/>
      <c r="AE824" s="114"/>
      <c r="AF824" s="114"/>
      <c r="AG824" s="114"/>
      <c r="AH824" s="114"/>
      <c r="AI824" s="114"/>
      <c r="AJ824" s="114"/>
      <c r="AK824" s="114"/>
      <c r="AL824" s="114"/>
      <c r="AM824" s="114"/>
      <c r="AN824" s="114"/>
      <c r="AO824" s="114"/>
      <c r="AP824" s="114"/>
      <c r="AQ824" s="114"/>
      <c r="AR824" s="114"/>
      <c r="AS824" s="114"/>
      <c r="AT824" s="114"/>
      <c r="AU824" s="114"/>
      <c r="AV824" s="114"/>
      <c r="AW824" s="114"/>
      <c r="AX824" s="114"/>
    </row>
    <row r="825" spans="4:50">
      <c r="D825" s="114"/>
      <c r="F825" s="114"/>
      <c r="G825" s="114"/>
      <c r="H825" s="114"/>
      <c r="I825" s="114"/>
      <c r="J825" s="114"/>
      <c r="K825" s="114"/>
      <c r="L825" s="114"/>
      <c r="M825" s="114"/>
      <c r="N825" s="114"/>
      <c r="O825" s="114"/>
      <c r="P825" s="114"/>
      <c r="Q825" s="114"/>
      <c r="R825" s="114"/>
      <c r="S825" s="114"/>
      <c r="T825" s="114"/>
      <c r="U825" s="114"/>
      <c r="V825" s="114"/>
      <c r="W825" s="114"/>
      <c r="X825" s="114"/>
      <c r="Y825" s="114"/>
      <c r="Z825" s="114"/>
      <c r="AA825" s="114"/>
      <c r="AB825" s="114"/>
      <c r="AC825" s="114"/>
      <c r="AD825" s="114"/>
      <c r="AE825" s="114"/>
      <c r="AF825" s="114"/>
      <c r="AG825" s="114"/>
      <c r="AH825" s="114"/>
      <c r="AI825" s="114"/>
      <c r="AJ825" s="114"/>
      <c r="AK825" s="114"/>
      <c r="AL825" s="114"/>
      <c r="AM825" s="114"/>
      <c r="AN825" s="114"/>
      <c r="AO825" s="114"/>
      <c r="AP825" s="114"/>
      <c r="AQ825" s="114"/>
      <c r="AR825" s="114"/>
      <c r="AS825" s="114"/>
      <c r="AT825" s="114"/>
      <c r="AU825" s="114"/>
      <c r="AV825" s="114"/>
      <c r="AW825" s="114"/>
      <c r="AX825" s="114"/>
    </row>
    <row r="826" spans="4:50">
      <c r="D826" s="114"/>
      <c r="F826" s="114"/>
      <c r="G826" s="114"/>
      <c r="H826" s="114"/>
      <c r="I826" s="114"/>
      <c r="J826" s="114"/>
      <c r="K826" s="114"/>
      <c r="L826" s="114"/>
      <c r="M826" s="114"/>
      <c r="N826" s="114"/>
      <c r="O826" s="114"/>
      <c r="P826" s="114"/>
      <c r="Q826" s="114"/>
      <c r="R826" s="114"/>
      <c r="S826" s="114"/>
      <c r="T826" s="114"/>
      <c r="U826" s="114"/>
      <c r="V826" s="114"/>
      <c r="W826" s="114"/>
      <c r="X826" s="114"/>
      <c r="Y826" s="114"/>
      <c r="Z826" s="114"/>
      <c r="AA826" s="114"/>
      <c r="AB826" s="114"/>
      <c r="AC826" s="114"/>
      <c r="AD826" s="114"/>
      <c r="AE826" s="114"/>
      <c r="AF826" s="114"/>
      <c r="AG826" s="114"/>
      <c r="AH826" s="114"/>
      <c r="AI826" s="114"/>
      <c r="AJ826" s="114"/>
      <c r="AK826" s="114"/>
      <c r="AL826" s="114"/>
      <c r="AM826" s="114"/>
      <c r="AN826" s="114"/>
      <c r="AO826" s="114"/>
      <c r="AP826" s="114"/>
      <c r="AQ826" s="114"/>
      <c r="AR826" s="114"/>
      <c r="AS826" s="114"/>
      <c r="AT826" s="114"/>
      <c r="AU826" s="114"/>
      <c r="AV826" s="114"/>
      <c r="AW826" s="114"/>
      <c r="AX826" s="114"/>
    </row>
    <row r="827" spans="4:50">
      <c r="D827" s="114"/>
      <c r="F827" s="114"/>
      <c r="G827" s="114"/>
      <c r="H827" s="114"/>
      <c r="I827" s="114"/>
      <c r="J827" s="114"/>
      <c r="K827" s="114"/>
      <c r="L827" s="114"/>
      <c r="M827" s="114"/>
      <c r="N827" s="114"/>
      <c r="O827" s="114"/>
      <c r="P827" s="114"/>
      <c r="Q827" s="114"/>
      <c r="R827" s="114"/>
      <c r="S827" s="114"/>
      <c r="T827" s="114"/>
      <c r="U827" s="114"/>
      <c r="V827" s="114"/>
      <c r="W827" s="114"/>
      <c r="X827" s="114"/>
      <c r="Y827" s="114"/>
      <c r="Z827" s="114"/>
      <c r="AA827" s="114"/>
      <c r="AB827" s="114"/>
      <c r="AC827" s="114"/>
      <c r="AD827" s="114"/>
      <c r="AE827" s="114"/>
      <c r="AF827" s="114"/>
      <c r="AG827" s="114"/>
      <c r="AH827" s="114"/>
      <c r="AI827" s="114"/>
      <c r="AJ827" s="114"/>
      <c r="AK827" s="114"/>
      <c r="AL827" s="114"/>
      <c r="AM827" s="114"/>
      <c r="AN827" s="114"/>
      <c r="AO827" s="114"/>
      <c r="AP827" s="114"/>
      <c r="AQ827" s="114"/>
      <c r="AR827" s="114"/>
      <c r="AS827" s="114"/>
      <c r="AT827" s="114"/>
      <c r="AU827" s="114"/>
      <c r="AV827" s="114"/>
      <c r="AW827" s="114"/>
      <c r="AX827" s="114"/>
    </row>
    <row r="828" spans="4:50">
      <c r="D828" s="114"/>
      <c r="F828" s="114"/>
      <c r="G828" s="114"/>
      <c r="H828" s="114"/>
      <c r="I828" s="114"/>
      <c r="J828" s="114"/>
      <c r="K828" s="114"/>
      <c r="L828" s="114"/>
      <c r="M828" s="114"/>
      <c r="N828" s="114"/>
      <c r="O828" s="114"/>
      <c r="P828" s="114"/>
      <c r="Q828" s="114"/>
      <c r="R828" s="114"/>
      <c r="S828" s="114"/>
      <c r="T828" s="114"/>
      <c r="U828" s="114"/>
      <c r="V828" s="114"/>
      <c r="W828" s="114"/>
      <c r="X828" s="114"/>
      <c r="Y828" s="114"/>
      <c r="Z828" s="114"/>
      <c r="AA828" s="114"/>
      <c r="AB828" s="114"/>
      <c r="AC828" s="114"/>
      <c r="AD828" s="114"/>
      <c r="AE828" s="114"/>
      <c r="AF828" s="114"/>
      <c r="AG828" s="114"/>
      <c r="AH828" s="114"/>
      <c r="AI828" s="114"/>
      <c r="AJ828" s="114"/>
      <c r="AK828" s="114"/>
      <c r="AL828" s="114"/>
      <c r="AM828" s="114"/>
      <c r="AN828" s="114"/>
      <c r="AO828" s="114"/>
      <c r="AP828" s="114"/>
      <c r="AQ828" s="114"/>
      <c r="AR828" s="114"/>
      <c r="AS828" s="114"/>
      <c r="AT828" s="114"/>
      <c r="AU828" s="114"/>
      <c r="AV828" s="114"/>
      <c r="AW828" s="114"/>
      <c r="AX828" s="114"/>
    </row>
    <row r="829" spans="4:50">
      <c r="D829" s="114"/>
      <c r="F829" s="114"/>
      <c r="G829" s="114"/>
      <c r="H829" s="114"/>
      <c r="I829" s="114"/>
      <c r="J829" s="114"/>
      <c r="K829" s="114"/>
      <c r="L829" s="114"/>
      <c r="M829" s="114"/>
      <c r="N829" s="114"/>
      <c r="O829" s="114"/>
      <c r="P829" s="114"/>
      <c r="Q829" s="114"/>
      <c r="R829" s="114"/>
      <c r="S829" s="114"/>
      <c r="T829" s="114"/>
      <c r="U829" s="114"/>
      <c r="V829" s="114"/>
      <c r="W829" s="114"/>
      <c r="X829" s="114"/>
      <c r="Y829" s="114"/>
      <c r="Z829" s="114"/>
      <c r="AA829" s="114"/>
      <c r="AB829" s="114"/>
      <c r="AC829" s="114"/>
      <c r="AD829" s="114"/>
      <c r="AE829" s="114"/>
      <c r="AF829" s="114"/>
      <c r="AG829" s="114"/>
      <c r="AH829" s="114"/>
      <c r="AI829" s="114"/>
      <c r="AJ829" s="114"/>
      <c r="AK829" s="114"/>
      <c r="AL829" s="114"/>
      <c r="AM829" s="114"/>
      <c r="AN829" s="114"/>
      <c r="AO829" s="114"/>
      <c r="AP829" s="114"/>
      <c r="AQ829" s="114"/>
      <c r="AR829" s="114"/>
      <c r="AS829" s="114"/>
      <c r="AT829" s="114"/>
      <c r="AU829" s="114"/>
      <c r="AV829" s="114"/>
      <c r="AW829" s="114"/>
      <c r="AX829" s="114"/>
    </row>
    <row r="830" spans="4:50">
      <c r="D830" s="114"/>
      <c r="F830" s="114"/>
      <c r="G830" s="114"/>
      <c r="H830" s="114"/>
      <c r="I830" s="114"/>
      <c r="J830" s="114"/>
      <c r="K830" s="114"/>
      <c r="L830" s="114"/>
      <c r="M830" s="114"/>
      <c r="N830" s="114"/>
      <c r="O830" s="114"/>
      <c r="P830" s="114"/>
      <c r="Q830" s="114"/>
      <c r="R830" s="114"/>
      <c r="S830" s="114"/>
      <c r="T830" s="114"/>
      <c r="U830" s="114"/>
      <c r="V830" s="114"/>
      <c r="W830" s="114"/>
      <c r="X830" s="114"/>
      <c r="Y830" s="114"/>
      <c r="Z830" s="114"/>
      <c r="AA830" s="114"/>
      <c r="AB830" s="114"/>
      <c r="AC830" s="114"/>
      <c r="AD830" s="114"/>
      <c r="AE830" s="114"/>
      <c r="AF830" s="114"/>
      <c r="AG830" s="114"/>
      <c r="AH830" s="114"/>
      <c r="AI830" s="114"/>
      <c r="AJ830" s="114"/>
      <c r="AK830" s="114"/>
      <c r="AL830" s="114"/>
      <c r="AM830" s="114"/>
      <c r="AN830" s="114"/>
      <c r="AO830" s="114"/>
      <c r="AP830" s="114"/>
      <c r="AQ830" s="114"/>
      <c r="AR830" s="114"/>
      <c r="AS830" s="114"/>
      <c r="AT830" s="114"/>
      <c r="AU830" s="114"/>
      <c r="AV830" s="114"/>
      <c r="AW830" s="114"/>
      <c r="AX830" s="114"/>
    </row>
    <row r="831" spans="4:50">
      <c r="D831" s="114"/>
      <c r="F831" s="114"/>
      <c r="G831" s="114"/>
      <c r="H831" s="114"/>
      <c r="I831" s="114"/>
      <c r="J831" s="114"/>
      <c r="K831" s="114"/>
      <c r="L831" s="114"/>
      <c r="M831" s="114"/>
      <c r="N831" s="114"/>
      <c r="O831" s="114"/>
      <c r="P831" s="114"/>
      <c r="Q831" s="114"/>
      <c r="R831" s="114"/>
      <c r="S831" s="114"/>
      <c r="T831" s="114"/>
      <c r="U831" s="114"/>
      <c r="V831" s="114"/>
      <c r="W831" s="114"/>
      <c r="X831" s="114"/>
      <c r="Y831" s="114"/>
      <c r="Z831" s="114"/>
      <c r="AA831" s="114"/>
      <c r="AB831" s="114"/>
      <c r="AC831" s="114"/>
      <c r="AD831" s="114"/>
      <c r="AE831" s="114"/>
      <c r="AF831" s="114"/>
      <c r="AG831" s="114"/>
      <c r="AH831" s="114"/>
      <c r="AI831" s="114"/>
      <c r="AJ831" s="114"/>
      <c r="AK831" s="114"/>
      <c r="AL831" s="114"/>
      <c r="AM831" s="114"/>
      <c r="AN831" s="114"/>
      <c r="AO831" s="114"/>
      <c r="AP831" s="114"/>
      <c r="AQ831" s="114"/>
      <c r="AR831" s="114"/>
      <c r="AS831" s="114"/>
      <c r="AT831" s="114"/>
      <c r="AU831" s="114"/>
      <c r="AV831" s="114"/>
      <c r="AW831" s="114"/>
      <c r="AX831" s="114"/>
    </row>
    <row r="832" spans="4:50">
      <c r="D832" s="114"/>
      <c r="F832" s="114"/>
      <c r="G832" s="114"/>
      <c r="H832" s="114"/>
      <c r="I832" s="114"/>
      <c r="J832" s="114"/>
      <c r="K832" s="114"/>
      <c r="L832" s="114"/>
      <c r="M832" s="114"/>
      <c r="N832" s="114"/>
      <c r="O832" s="114"/>
      <c r="P832" s="114"/>
      <c r="Q832" s="114"/>
      <c r="R832" s="114"/>
      <c r="S832" s="114"/>
      <c r="T832" s="114"/>
      <c r="U832" s="114"/>
      <c r="V832" s="114"/>
      <c r="W832" s="114"/>
      <c r="X832" s="114"/>
      <c r="Y832" s="114"/>
      <c r="Z832" s="114"/>
      <c r="AA832" s="114"/>
      <c r="AB832" s="114"/>
      <c r="AC832" s="114"/>
      <c r="AD832" s="114"/>
      <c r="AE832" s="114"/>
      <c r="AF832" s="114"/>
      <c r="AG832" s="114"/>
      <c r="AH832" s="114"/>
      <c r="AI832" s="114"/>
      <c r="AJ832" s="114"/>
      <c r="AK832" s="114"/>
      <c r="AL832" s="114"/>
      <c r="AM832" s="114"/>
      <c r="AN832" s="114"/>
      <c r="AO832" s="114"/>
      <c r="AP832" s="114"/>
      <c r="AQ832" s="114"/>
      <c r="AR832" s="114"/>
      <c r="AS832" s="114"/>
      <c r="AT832" s="114"/>
      <c r="AU832" s="114"/>
      <c r="AV832" s="114"/>
      <c r="AW832" s="114"/>
      <c r="AX832" s="114"/>
    </row>
    <row r="833" spans="4:50">
      <c r="D833" s="114"/>
      <c r="F833" s="114"/>
      <c r="G833" s="114"/>
      <c r="H833" s="114"/>
      <c r="I833" s="114"/>
      <c r="J833" s="114"/>
      <c r="K833" s="114"/>
      <c r="L833" s="114"/>
      <c r="M833" s="114"/>
      <c r="N833" s="114"/>
      <c r="O833" s="114"/>
      <c r="P833" s="114"/>
      <c r="Q833" s="114"/>
      <c r="R833" s="114"/>
      <c r="S833" s="114"/>
      <c r="T833" s="114"/>
      <c r="U833" s="114"/>
      <c r="V833" s="114"/>
      <c r="W833" s="114"/>
      <c r="X833" s="114"/>
      <c r="Y833" s="114"/>
      <c r="Z833" s="114"/>
      <c r="AA833" s="114"/>
      <c r="AB833" s="114"/>
      <c r="AC833" s="114"/>
      <c r="AD833" s="114"/>
      <c r="AE833" s="114"/>
      <c r="AF833" s="114"/>
      <c r="AG833" s="114"/>
      <c r="AH833" s="114"/>
      <c r="AI833" s="114"/>
      <c r="AJ833" s="114"/>
      <c r="AK833" s="114"/>
      <c r="AL833" s="114"/>
      <c r="AM833" s="114"/>
      <c r="AN833" s="114"/>
      <c r="AO833" s="114"/>
      <c r="AP833" s="114"/>
      <c r="AQ833" s="114"/>
      <c r="AR833" s="114"/>
      <c r="AS833" s="114"/>
      <c r="AT833" s="114"/>
      <c r="AU833" s="114"/>
      <c r="AV833" s="114"/>
      <c r="AW833" s="114"/>
      <c r="AX833" s="114"/>
    </row>
    <row r="834" spans="4:50">
      <c r="D834" s="114"/>
      <c r="F834" s="114"/>
      <c r="G834" s="114"/>
      <c r="H834" s="114"/>
      <c r="I834" s="114"/>
      <c r="J834" s="114"/>
      <c r="K834" s="114"/>
      <c r="L834" s="114"/>
      <c r="M834" s="114"/>
      <c r="N834" s="114"/>
      <c r="O834" s="114"/>
      <c r="P834" s="114"/>
      <c r="Q834" s="114"/>
      <c r="R834" s="114"/>
      <c r="S834" s="114"/>
      <c r="T834" s="114"/>
      <c r="U834" s="114"/>
      <c r="V834" s="114"/>
      <c r="W834" s="114"/>
      <c r="X834" s="114"/>
      <c r="Y834" s="114"/>
      <c r="Z834" s="114"/>
      <c r="AA834" s="114"/>
      <c r="AB834" s="114"/>
      <c r="AC834" s="114"/>
      <c r="AD834" s="114"/>
      <c r="AE834" s="114"/>
      <c r="AF834" s="114"/>
      <c r="AG834" s="114"/>
      <c r="AH834" s="114"/>
      <c r="AI834" s="114"/>
      <c r="AJ834" s="114"/>
      <c r="AK834" s="114"/>
      <c r="AL834" s="114"/>
      <c r="AM834" s="114"/>
      <c r="AN834" s="114"/>
      <c r="AO834" s="114"/>
      <c r="AP834" s="114"/>
      <c r="AQ834" s="114"/>
      <c r="AR834" s="114"/>
      <c r="AS834" s="114"/>
      <c r="AT834" s="114"/>
      <c r="AU834" s="114"/>
      <c r="AV834" s="114"/>
      <c r="AW834" s="114"/>
      <c r="AX834" s="114"/>
    </row>
    <row r="835" spans="4:50">
      <c r="D835" s="114"/>
      <c r="F835" s="114"/>
      <c r="G835" s="114"/>
      <c r="H835" s="114"/>
      <c r="I835" s="114"/>
      <c r="J835" s="114"/>
      <c r="K835" s="114"/>
      <c r="L835" s="114"/>
      <c r="M835" s="114"/>
      <c r="N835" s="114"/>
      <c r="O835" s="114"/>
      <c r="P835" s="114"/>
      <c r="Q835" s="114"/>
      <c r="R835" s="114"/>
      <c r="S835" s="114"/>
      <c r="T835" s="114"/>
      <c r="U835" s="114"/>
      <c r="V835" s="114"/>
      <c r="W835" s="114"/>
      <c r="X835" s="114"/>
      <c r="Y835" s="114"/>
      <c r="Z835" s="114"/>
      <c r="AA835" s="114"/>
      <c r="AB835" s="114"/>
      <c r="AC835" s="114"/>
      <c r="AD835" s="114"/>
      <c r="AE835" s="114"/>
      <c r="AF835" s="114"/>
      <c r="AG835" s="114"/>
      <c r="AH835" s="114"/>
      <c r="AI835" s="114"/>
      <c r="AJ835" s="114"/>
      <c r="AK835" s="114"/>
      <c r="AL835" s="114"/>
      <c r="AM835" s="114"/>
      <c r="AN835" s="114"/>
      <c r="AO835" s="114"/>
      <c r="AP835" s="114"/>
      <c r="AQ835" s="114"/>
      <c r="AR835" s="114"/>
      <c r="AS835" s="114"/>
      <c r="AT835" s="114"/>
      <c r="AU835" s="114"/>
      <c r="AV835" s="114"/>
      <c r="AW835" s="114"/>
      <c r="AX835" s="114"/>
    </row>
    <row r="836" spans="4:50">
      <c r="D836" s="114"/>
      <c r="F836" s="114"/>
      <c r="G836" s="114"/>
      <c r="H836" s="114"/>
      <c r="I836" s="114"/>
      <c r="J836" s="114"/>
      <c r="K836" s="114"/>
      <c r="L836" s="114"/>
      <c r="M836" s="114"/>
      <c r="N836" s="114"/>
      <c r="O836" s="114"/>
      <c r="P836" s="114"/>
      <c r="Q836" s="114"/>
      <c r="R836" s="114"/>
      <c r="S836" s="114"/>
      <c r="T836" s="114"/>
      <c r="U836" s="114"/>
      <c r="V836" s="114"/>
      <c r="W836" s="114"/>
      <c r="X836" s="114"/>
      <c r="Y836" s="114"/>
      <c r="Z836" s="114"/>
      <c r="AA836" s="114"/>
      <c r="AB836" s="114"/>
      <c r="AC836" s="114"/>
      <c r="AD836" s="114"/>
      <c r="AE836" s="114"/>
      <c r="AF836" s="114"/>
      <c r="AG836" s="114"/>
      <c r="AH836" s="114"/>
      <c r="AI836" s="114"/>
      <c r="AJ836" s="114"/>
      <c r="AK836" s="114"/>
      <c r="AL836" s="114"/>
      <c r="AM836" s="114"/>
      <c r="AN836" s="114"/>
      <c r="AO836" s="114"/>
      <c r="AP836" s="114"/>
      <c r="AQ836" s="114"/>
      <c r="AR836" s="114"/>
      <c r="AS836" s="114"/>
      <c r="AT836" s="114"/>
      <c r="AU836" s="114"/>
      <c r="AV836" s="114"/>
      <c r="AW836" s="114"/>
      <c r="AX836" s="114"/>
    </row>
    <row r="837" spans="4:50">
      <c r="D837" s="114"/>
      <c r="F837" s="114"/>
      <c r="G837" s="114"/>
      <c r="H837" s="114"/>
      <c r="I837" s="114"/>
      <c r="J837" s="114"/>
      <c r="K837" s="114"/>
      <c r="L837" s="114"/>
      <c r="M837" s="114"/>
      <c r="N837" s="114"/>
      <c r="O837" s="114"/>
      <c r="P837" s="114"/>
      <c r="Q837" s="114"/>
      <c r="R837" s="114"/>
      <c r="S837" s="114"/>
      <c r="T837" s="114"/>
      <c r="U837" s="114"/>
      <c r="V837" s="114"/>
      <c r="W837" s="114"/>
      <c r="X837" s="114"/>
      <c r="Y837" s="114"/>
      <c r="Z837" s="114"/>
      <c r="AA837" s="114"/>
      <c r="AB837" s="114"/>
      <c r="AC837" s="114"/>
      <c r="AD837" s="114"/>
      <c r="AE837" s="114"/>
      <c r="AF837" s="114"/>
      <c r="AG837" s="114"/>
      <c r="AH837" s="114"/>
      <c r="AI837" s="114"/>
      <c r="AJ837" s="114"/>
      <c r="AK837" s="114"/>
      <c r="AL837" s="114"/>
      <c r="AM837" s="114"/>
      <c r="AN837" s="114"/>
      <c r="AO837" s="114"/>
      <c r="AP837" s="114"/>
      <c r="AQ837" s="114"/>
      <c r="AR837" s="114"/>
      <c r="AS837" s="114"/>
      <c r="AT837" s="114"/>
      <c r="AU837" s="114"/>
      <c r="AV837" s="114"/>
      <c r="AW837" s="114"/>
      <c r="AX837" s="114"/>
    </row>
    <row r="838" spans="4:50">
      <c r="D838" s="114"/>
      <c r="F838" s="114"/>
      <c r="G838" s="114"/>
      <c r="H838" s="114"/>
      <c r="I838" s="114"/>
      <c r="J838" s="114"/>
      <c r="K838" s="114"/>
      <c r="L838" s="114"/>
      <c r="M838" s="114"/>
      <c r="N838" s="114"/>
      <c r="O838" s="114"/>
      <c r="P838" s="114"/>
      <c r="Q838" s="114"/>
      <c r="R838" s="114"/>
      <c r="S838" s="114"/>
      <c r="T838" s="114"/>
      <c r="U838" s="114"/>
      <c r="V838" s="114"/>
      <c r="W838" s="114"/>
      <c r="X838" s="114"/>
      <c r="Y838" s="114"/>
      <c r="Z838" s="114"/>
      <c r="AA838" s="114"/>
      <c r="AB838" s="114"/>
      <c r="AC838" s="114"/>
      <c r="AD838" s="114"/>
      <c r="AE838" s="114"/>
      <c r="AF838" s="114"/>
      <c r="AG838" s="114"/>
      <c r="AH838" s="114"/>
      <c r="AI838" s="114"/>
      <c r="AJ838" s="114"/>
      <c r="AK838" s="114"/>
      <c r="AL838" s="114"/>
      <c r="AM838" s="114"/>
      <c r="AN838" s="114"/>
      <c r="AO838" s="114"/>
      <c r="AP838" s="114"/>
      <c r="AQ838" s="114"/>
      <c r="AR838" s="114"/>
      <c r="AS838" s="114"/>
      <c r="AT838" s="114"/>
      <c r="AU838" s="114"/>
      <c r="AV838" s="114"/>
      <c r="AW838" s="114"/>
      <c r="AX838" s="114"/>
    </row>
    <row r="839" spans="4:50">
      <c r="D839" s="114"/>
      <c r="F839" s="114"/>
      <c r="G839" s="114"/>
      <c r="H839" s="114"/>
      <c r="I839" s="114"/>
      <c r="J839" s="114"/>
      <c r="K839" s="114"/>
      <c r="L839" s="114"/>
      <c r="M839" s="114"/>
      <c r="N839" s="114"/>
      <c r="O839" s="114"/>
      <c r="P839" s="114"/>
      <c r="Q839" s="114"/>
      <c r="R839" s="114"/>
      <c r="S839" s="114"/>
      <c r="T839" s="114"/>
      <c r="U839" s="114"/>
      <c r="V839" s="114"/>
      <c r="W839" s="114"/>
      <c r="X839" s="114"/>
      <c r="Y839" s="114"/>
      <c r="Z839" s="114"/>
      <c r="AA839" s="114"/>
      <c r="AB839" s="114"/>
      <c r="AC839" s="114"/>
      <c r="AD839" s="114"/>
      <c r="AE839" s="114"/>
      <c r="AF839" s="114"/>
      <c r="AG839" s="114"/>
      <c r="AH839" s="114"/>
      <c r="AI839" s="114"/>
      <c r="AJ839" s="114"/>
      <c r="AK839" s="114"/>
      <c r="AL839" s="114"/>
      <c r="AM839" s="114"/>
      <c r="AN839" s="114"/>
      <c r="AO839" s="114"/>
      <c r="AP839" s="114"/>
      <c r="AQ839" s="114"/>
      <c r="AR839" s="114"/>
      <c r="AS839" s="114"/>
      <c r="AT839" s="114"/>
      <c r="AU839" s="114"/>
      <c r="AV839" s="114"/>
      <c r="AW839" s="114"/>
      <c r="AX839" s="114"/>
    </row>
    <row r="840" spans="4:50">
      <c r="D840" s="114"/>
      <c r="F840" s="114"/>
      <c r="G840" s="114"/>
      <c r="H840" s="114"/>
      <c r="I840" s="114"/>
      <c r="J840" s="114"/>
      <c r="K840" s="114"/>
      <c r="L840" s="114"/>
      <c r="M840" s="114"/>
      <c r="N840" s="114"/>
      <c r="O840" s="114"/>
      <c r="P840" s="114"/>
      <c r="Q840" s="114"/>
      <c r="R840" s="114"/>
      <c r="S840" s="114"/>
      <c r="T840" s="114"/>
      <c r="U840" s="114"/>
      <c r="V840" s="114"/>
      <c r="W840" s="114"/>
      <c r="X840" s="114"/>
      <c r="Y840" s="114"/>
      <c r="Z840" s="114"/>
      <c r="AA840" s="114"/>
      <c r="AB840" s="114"/>
      <c r="AC840" s="114"/>
      <c r="AD840" s="114"/>
      <c r="AE840" s="114"/>
      <c r="AF840" s="114"/>
      <c r="AG840" s="114"/>
      <c r="AH840" s="114"/>
      <c r="AI840" s="114"/>
      <c r="AJ840" s="114"/>
      <c r="AK840" s="114"/>
      <c r="AL840" s="114"/>
      <c r="AM840" s="114"/>
      <c r="AN840" s="114"/>
      <c r="AO840" s="114"/>
      <c r="AP840" s="114"/>
      <c r="AQ840" s="114"/>
      <c r="AR840" s="114"/>
      <c r="AS840" s="114"/>
      <c r="AT840" s="114"/>
      <c r="AU840" s="114"/>
      <c r="AV840" s="114"/>
      <c r="AW840" s="114"/>
      <c r="AX840" s="114"/>
    </row>
    <row r="841" spans="4:50">
      <c r="D841" s="114"/>
      <c r="F841" s="114"/>
      <c r="G841" s="114"/>
      <c r="H841" s="114"/>
      <c r="I841" s="114"/>
      <c r="J841" s="114"/>
      <c r="K841" s="114"/>
      <c r="L841" s="114"/>
      <c r="M841" s="114"/>
      <c r="N841" s="114"/>
      <c r="O841" s="114"/>
      <c r="P841" s="114"/>
      <c r="Q841" s="114"/>
      <c r="R841" s="114"/>
      <c r="S841" s="114"/>
      <c r="T841" s="114"/>
      <c r="U841" s="114"/>
      <c r="V841" s="114"/>
      <c r="W841" s="114"/>
      <c r="X841" s="114"/>
      <c r="Y841" s="114"/>
      <c r="Z841" s="114"/>
      <c r="AA841" s="114"/>
      <c r="AB841" s="114"/>
      <c r="AC841" s="114"/>
      <c r="AD841" s="114"/>
      <c r="AE841" s="114"/>
      <c r="AF841" s="114"/>
      <c r="AG841" s="114"/>
      <c r="AH841" s="114"/>
      <c r="AI841" s="114"/>
      <c r="AJ841" s="114"/>
      <c r="AK841" s="114"/>
      <c r="AL841" s="114"/>
      <c r="AM841" s="114"/>
      <c r="AN841" s="114"/>
      <c r="AO841" s="114"/>
      <c r="AP841" s="114"/>
      <c r="AQ841" s="114"/>
      <c r="AR841" s="114"/>
      <c r="AS841" s="114"/>
      <c r="AT841" s="114"/>
      <c r="AU841" s="114"/>
      <c r="AV841" s="114"/>
      <c r="AW841" s="114"/>
      <c r="AX841" s="114"/>
    </row>
    <row r="842" spans="4:50">
      <c r="D842" s="114"/>
      <c r="F842" s="114"/>
      <c r="G842" s="114"/>
      <c r="H842" s="114"/>
      <c r="I842" s="114"/>
      <c r="J842" s="114"/>
      <c r="K842" s="114"/>
      <c r="L842" s="114"/>
      <c r="M842" s="114"/>
      <c r="N842" s="114"/>
      <c r="O842" s="114"/>
      <c r="P842" s="114"/>
      <c r="Q842" s="114"/>
      <c r="R842" s="114"/>
      <c r="S842" s="114"/>
      <c r="T842" s="114"/>
      <c r="U842" s="114"/>
      <c r="V842" s="114"/>
      <c r="W842" s="114"/>
      <c r="X842" s="114"/>
      <c r="Y842" s="114"/>
      <c r="Z842" s="114"/>
      <c r="AA842" s="114"/>
      <c r="AB842" s="114"/>
      <c r="AC842" s="114"/>
      <c r="AD842" s="114"/>
      <c r="AE842" s="114"/>
      <c r="AF842" s="114"/>
      <c r="AG842" s="114"/>
      <c r="AH842" s="114"/>
      <c r="AI842" s="114"/>
      <c r="AJ842" s="114"/>
      <c r="AK842" s="114"/>
      <c r="AL842" s="114"/>
      <c r="AM842" s="114"/>
      <c r="AN842" s="114"/>
      <c r="AO842" s="114"/>
      <c r="AP842" s="114"/>
      <c r="AQ842" s="114"/>
      <c r="AR842" s="114"/>
      <c r="AS842" s="114"/>
      <c r="AT842" s="114"/>
      <c r="AU842" s="114"/>
      <c r="AV842" s="114"/>
      <c r="AW842" s="114"/>
      <c r="AX842" s="114"/>
    </row>
    <row r="843" spans="4:50">
      <c r="D843" s="114"/>
      <c r="F843" s="114"/>
      <c r="G843" s="114"/>
      <c r="H843" s="114"/>
      <c r="I843" s="114"/>
      <c r="J843" s="114"/>
      <c r="K843" s="114"/>
      <c r="L843" s="114"/>
      <c r="M843" s="114"/>
      <c r="N843" s="114"/>
      <c r="O843" s="114"/>
      <c r="P843" s="114"/>
      <c r="Q843" s="114"/>
      <c r="R843" s="114"/>
      <c r="S843" s="114"/>
      <c r="T843" s="114"/>
      <c r="U843" s="114"/>
      <c r="V843" s="114"/>
      <c r="W843" s="114"/>
      <c r="X843" s="114"/>
      <c r="Y843" s="114"/>
      <c r="Z843" s="114"/>
      <c r="AA843" s="114"/>
      <c r="AB843" s="114"/>
      <c r="AC843" s="114"/>
      <c r="AD843" s="114"/>
      <c r="AE843" s="114"/>
      <c r="AF843" s="114"/>
      <c r="AG843" s="114"/>
      <c r="AH843" s="114"/>
      <c r="AI843" s="114"/>
      <c r="AJ843" s="114"/>
      <c r="AK843" s="114"/>
      <c r="AL843" s="114"/>
      <c r="AM843" s="114"/>
      <c r="AN843" s="114"/>
      <c r="AO843" s="114"/>
      <c r="AP843" s="114"/>
      <c r="AQ843" s="114"/>
      <c r="AR843" s="114"/>
      <c r="AS843" s="114"/>
      <c r="AT843" s="114"/>
      <c r="AU843" s="114"/>
      <c r="AV843" s="114"/>
      <c r="AW843" s="114"/>
      <c r="AX843" s="114"/>
    </row>
    <row r="844" spans="4:50">
      <c r="D844" s="114"/>
      <c r="F844" s="114"/>
      <c r="G844" s="114"/>
      <c r="H844" s="114"/>
      <c r="I844" s="114"/>
      <c r="J844" s="114"/>
      <c r="K844" s="114"/>
      <c r="L844" s="114"/>
      <c r="M844" s="114"/>
      <c r="N844" s="114"/>
      <c r="O844" s="114"/>
      <c r="P844" s="114"/>
      <c r="Q844" s="114"/>
      <c r="R844" s="114"/>
      <c r="S844" s="114"/>
      <c r="T844" s="114"/>
      <c r="U844" s="114"/>
      <c r="V844" s="114"/>
      <c r="W844" s="114"/>
      <c r="X844" s="114"/>
      <c r="Y844" s="114"/>
      <c r="Z844" s="114"/>
      <c r="AA844" s="114"/>
      <c r="AB844" s="114"/>
      <c r="AC844" s="114"/>
      <c r="AD844" s="114"/>
      <c r="AE844" s="114"/>
      <c r="AF844" s="114"/>
      <c r="AG844" s="114"/>
      <c r="AH844" s="114"/>
      <c r="AI844" s="114"/>
      <c r="AJ844" s="114"/>
      <c r="AK844" s="114"/>
      <c r="AL844" s="114"/>
      <c r="AM844" s="114"/>
      <c r="AN844" s="114"/>
      <c r="AO844" s="114"/>
      <c r="AP844" s="114"/>
      <c r="AQ844" s="114"/>
      <c r="AR844" s="114"/>
      <c r="AS844" s="114"/>
      <c r="AT844" s="114"/>
      <c r="AU844" s="114"/>
      <c r="AV844" s="114"/>
      <c r="AW844" s="114"/>
      <c r="AX844" s="114"/>
    </row>
    <row r="845" spans="4:50">
      <c r="D845" s="114"/>
      <c r="F845" s="114"/>
      <c r="G845" s="114"/>
      <c r="H845" s="114"/>
      <c r="I845" s="114"/>
      <c r="J845" s="114"/>
      <c r="K845" s="114"/>
      <c r="L845" s="114"/>
      <c r="M845" s="114"/>
      <c r="N845" s="114"/>
      <c r="O845" s="114"/>
      <c r="P845" s="114"/>
      <c r="Q845" s="114"/>
      <c r="R845" s="114"/>
      <c r="S845" s="114"/>
      <c r="T845" s="114"/>
      <c r="U845" s="114"/>
      <c r="V845" s="114"/>
      <c r="W845" s="114"/>
      <c r="X845" s="114"/>
      <c r="Y845" s="114"/>
      <c r="Z845" s="114"/>
      <c r="AA845" s="114"/>
      <c r="AB845" s="114"/>
      <c r="AC845" s="114"/>
      <c r="AD845" s="114"/>
      <c r="AE845" s="114"/>
      <c r="AF845" s="114"/>
      <c r="AG845" s="114"/>
      <c r="AH845" s="114"/>
      <c r="AI845" s="114"/>
      <c r="AJ845" s="114"/>
      <c r="AK845" s="114"/>
      <c r="AL845" s="114"/>
      <c r="AM845" s="114"/>
      <c r="AN845" s="114"/>
      <c r="AO845" s="114"/>
      <c r="AP845" s="114"/>
      <c r="AQ845" s="114"/>
      <c r="AR845" s="114"/>
      <c r="AS845" s="114"/>
      <c r="AT845" s="114"/>
      <c r="AU845" s="114"/>
      <c r="AV845" s="114"/>
      <c r="AW845" s="114"/>
      <c r="AX845" s="114"/>
    </row>
    <row r="846" spans="4:50">
      <c r="D846" s="114"/>
      <c r="F846" s="114"/>
      <c r="G846" s="114"/>
      <c r="H846" s="114"/>
      <c r="I846" s="114"/>
      <c r="J846" s="114"/>
      <c r="K846" s="114"/>
      <c r="L846" s="114"/>
      <c r="M846" s="114"/>
      <c r="N846" s="114"/>
      <c r="O846" s="114"/>
      <c r="P846" s="114"/>
      <c r="Q846" s="114"/>
      <c r="R846" s="114"/>
      <c r="S846" s="114"/>
      <c r="T846" s="114"/>
      <c r="U846" s="114"/>
      <c r="V846" s="114"/>
      <c r="W846" s="114"/>
      <c r="X846" s="114"/>
      <c r="Y846" s="114"/>
      <c r="Z846" s="114"/>
      <c r="AA846" s="114"/>
      <c r="AB846" s="114"/>
      <c r="AC846" s="114"/>
      <c r="AD846" s="114"/>
      <c r="AE846" s="114"/>
      <c r="AF846" s="114"/>
      <c r="AG846" s="114"/>
      <c r="AH846" s="114"/>
      <c r="AI846" s="114"/>
      <c r="AJ846" s="114"/>
      <c r="AK846" s="114"/>
      <c r="AL846" s="114"/>
      <c r="AM846" s="114"/>
      <c r="AN846" s="114"/>
      <c r="AO846" s="114"/>
      <c r="AP846" s="114"/>
      <c r="AQ846" s="114"/>
      <c r="AR846" s="114"/>
      <c r="AS846" s="114"/>
      <c r="AT846" s="114"/>
      <c r="AU846" s="114"/>
      <c r="AV846" s="114"/>
      <c r="AW846" s="114"/>
      <c r="AX846" s="114"/>
    </row>
    <row r="847" spans="4:50">
      <c r="D847" s="114"/>
      <c r="F847" s="114"/>
      <c r="G847" s="114"/>
      <c r="H847" s="114"/>
      <c r="I847" s="114"/>
      <c r="J847" s="114"/>
      <c r="K847" s="114"/>
      <c r="L847" s="114"/>
      <c r="M847" s="114"/>
      <c r="N847" s="114"/>
      <c r="O847" s="114"/>
      <c r="P847" s="114"/>
      <c r="Q847" s="114"/>
      <c r="R847" s="114"/>
      <c r="S847" s="114"/>
      <c r="T847" s="114"/>
      <c r="U847" s="114"/>
      <c r="V847" s="114"/>
      <c r="W847" s="114"/>
      <c r="X847" s="114"/>
      <c r="Y847" s="114"/>
      <c r="Z847" s="114"/>
      <c r="AA847" s="114"/>
      <c r="AB847" s="114"/>
      <c r="AC847" s="114"/>
      <c r="AD847" s="114"/>
      <c r="AE847" s="114"/>
      <c r="AF847" s="114"/>
      <c r="AG847" s="114"/>
      <c r="AH847" s="114"/>
      <c r="AI847" s="114"/>
      <c r="AJ847" s="114"/>
      <c r="AK847" s="114"/>
      <c r="AL847" s="114"/>
      <c r="AM847" s="114"/>
      <c r="AN847" s="114"/>
      <c r="AO847" s="114"/>
      <c r="AP847" s="114"/>
      <c r="AQ847" s="114"/>
      <c r="AR847" s="114"/>
      <c r="AS847" s="114"/>
      <c r="AT847" s="114"/>
      <c r="AU847" s="114"/>
      <c r="AV847" s="114"/>
      <c r="AW847" s="114"/>
      <c r="AX847" s="114"/>
    </row>
    <row r="848" spans="4:50">
      <c r="D848" s="114"/>
      <c r="F848" s="114"/>
      <c r="G848" s="114"/>
      <c r="H848" s="114"/>
      <c r="I848" s="114"/>
      <c r="J848" s="114"/>
      <c r="K848" s="114"/>
      <c r="L848" s="114"/>
      <c r="M848" s="114"/>
      <c r="N848" s="114"/>
      <c r="O848" s="114"/>
      <c r="P848" s="114"/>
      <c r="Q848" s="114"/>
      <c r="R848" s="114"/>
      <c r="S848" s="114"/>
      <c r="T848" s="114"/>
      <c r="U848" s="114"/>
      <c r="V848" s="114"/>
      <c r="W848" s="114"/>
      <c r="X848" s="114"/>
      <c r="Y848" s="114"/>
      <c r="Z848" s="114"/>
      <c r="AA848" s="114"/>
      <c r="AB848" s="114"/>
      <c r="AC848" s="114"/>
      <c r="AD848" s="114"/>
      <c r="AE848" s="114"/>
      <c r="AF848" s="114"/>
      <c r="AG848" s="114"/>
      <c r="AH848" s="114"/>
      <c r="AI848" s="114"/>
      <c r="AJ848" s="114"/>
      <c r="AK848" s="114"/>
      <c r="AL848" s="114"/>
      <c r="AM848" s="114"/>
      <c r="AN848" s="114"/>
      <c r="AO848" s="114"/>
      <c r="AP848" s="114"/>
      <c r="AQ848" s="114"/>
      <c r="AR848" s="114"/>
      <c r="AS848" s="114"/>
      <c r="AT848" s="114"/>
      <c r="AU848" s="114"/>
      <c r="AV848" s="114"/>
      <c r="AW848" s="114"/>
      <c r="AX848" s="114"/>
    </row>
    <row r="849" spans="4:50">
      <c r="D849" s="114"/>
      <c r="F849" s="114"/>
      <c r="G849" s="114"/>
      <c r="H849" s="114"/>
      <c r="I849" s="114"/>
      <c r="J849" s="114"/>
      <c r="K849" s="114"/>
      <c r="L849" s="114"/>
      <c r="M849" s="114"/>
      <c r="N849" s="114"/>
      <c r="O849" s="114"/>
      <c r="P849" s="114"/>
      <c r="Q849" s="114"/>
      <c r="R849" s="114"/>
      <c r="S849" s="114"/>
      <c r="T849" s="114"/>
      <c r="U849" s="114"/>
      <c r="V849" s="114"/>
      <c r="W849" s="114"/>
      <c r="X849" s="114"/>
      <c r="Y849" s="114"/>
      <c r="Z849" s="114"/>
      <c r="AA849" s="114"/>
      <c r="AB849" s="114"/>
      <c r="AC849" s="114"/>
      <c r="AD849" s="114"/>
      <c r="AE849" s="114"/>
      <c r="AF849" s="114"/>
      <c r="AG849" s="114"/>
      <c r="AH849" s="114"/>
      <c r="AI849" s="114"/>
      <c r="AJ849" s="114"/>
      <c r="AK849" s="114"/>
      <c r="AL849" s="114"/>
      <c r="AM849" s="114"/>
      <c r="AN849" s="114"/>
      <c r="AO849" s="114"/>
      <c r="AP849" s="114"/>
      <c r="AQ849" s="114"/>
      <c r="AR849" s="114"/>
      <c r="AS849" s="114"/>
      <c r="AT849" s="114"/>
      <c r="AU849" s="114"/>
      <c r="AV849" s="114"/>
      <c r="AW849" s="114"/>
      <c r="AX849" s="114"/>
    </row>
    <row r="850" spans="4:50">
      <c r="D850" s="114"/>
      <c r="F850" s="114"/>
      <c r="G850" s="114"/>
      <c r="H850" s="114"/>
      <c r="I850" s="114"/>
      <c r="J850" s="114"/>
      <c r="K850" s="114"/>
      <c r="L850" s="114"/>
      <c r="M850" s="114"/>
      <c r="N850" s="114"/>
      <c r="O850" s="114"/>
      <c r="P850" s="114"/>
      <c r="Q850" s="114"/>
      <c r="R850" s="114"/>
      <c r="S850" s="114"/>
      <c r="T850" s="114"/>
      <c r="U850" s="114"/>
      <c r="V850" s="114"/>
      <c r="W850" s="114"/>
      <c r="X850" s="114"/>
      <c r="Y850" s="114"/>
      <c r="Z850" s="114"/>
      <c r="AA850" s="114"/>
      <c r="AB850" s="114"/>
      <c r="AC850" s="114"/>
      <c r="AD850" s="114"/>
      <c r="AE850" s="114"/>
      <c r="AF850" s="114"/>
      <c r="AG850" s="114"/>
      <c r="AH850" s="114"/>
      <c r="AI850" s="114"/>
      <c r="AJ850" s="114"/>
      <c r="AK850" s="114"/>
      <c r="AL850" s="114"/>
      <c r="AM850" s="114"/>
      <c r="AN850" s="114"/>
      <c r="AO850" s="114"/>
      <c r="AP850" s="114"/>
      <c r="AQ850" s="114"/>
      <c r="AR850" s="114"/>
      <c r="AS850" s="114"/>
      <c r="AT850" s="114"/>
      <c r="AU850" s="114"/>
      <c r="AV850" s="114"/>
      <c r="AW850" s="114"/>
      <c r="AX850" s="114"/>
    </row>
    <row r="851" spans="4:50">
      <c r="D851" s="114"/>
      <c r="F851" s="114"/>
      <c r="G851" s="114"/>
      <c r="H851" s="114"/>
      <c r="I851" s="114"/>
      <c r="J851" s="114"/>
      <c r="K851" s="114"/>
      <c r="L851" s="114"/>
      <c r="M851" s="114"/>
      <c r="N851" s="114"/>
      <c r="O851" s="114"/>
      <c r="P851" s="114"/>
      <c r="Q851" s="114"/>
      <c r="R851" s="114"/>
      <c r="S851" s="114"/>
      <c r="T851" s="114"/>
      <c r="U851" s="114"/>
      <c r="V851" s="114"/>
      <c r="W851" s="114"/>
      <c r="X851" s="114"/>
      <c r="Y851" s="114"/>
      <c r="Z851" s="114"/>
      <c r="AA851" s="114"/>
      <c r="AB851" s="114"/>
      <c r="AC851" s="114"/>
      <c r="AD851" s="114"/>
      <c r="AE851" s="114"/>
      <c r="AF851" s="114"/>
      <c r="AG851" s="114"/>
      <c r="AH851" s="114"/>
      <c r="AI851" s="114"/>
      <c r="AJ851" s="114"/>
      <c r="AK851" s="114"/>
      <c r="AL851" s="114"/>
      <c r="AM851" s="114"/>
      <c r="AN851" s="114"/>
      <c r="AO851" s="114"/>
      <c r="AP851" s="114"/>
      <c r="AQ851" s="114"/>
      <c r="AR851" s="114"/>
      <c r="AS851" s="114"/>
      <c r="AT851" s="114"/>
      <c r="AU851" s="114"/>
      <c r="AV851" s="114"/>
      <c r="AW851" s="114"/>
      <c r="AX851" s="114"/>
    </row>
    <row r="852" spans="4:50">
      <c r="D852" s="114"/>
      <c r="F852" s="114"/>
      <c r="G852" s="114"/>
      <c r="H852" s="114"/>
      <c r="I852" s="114"/>
      <c r="J852" s="114"/>
      <c r="K852" s="114"/>
      <c r="L852" s="114"/>
      <c r="M852" s="114"/>
      <c r="N852" s="114"/>
      <c r="O852" s="114"/>
      <c r="P852" s="114"/>
      <c r="Q852" s="114"/>
      <c r="R852" s="114"/>
      <c r="S852" s="114"/>
      <c r="T852" s="114"/>
      <c r="U852" s="114"/>
      <c r="V852" s="114"/>
      <c r="W852" s="114"/>
      <c r="X852" s="114"/>
      <c r="Y852" s="114"/>
      <c r="Z852" s="114"/>
      <c r="AA852" s="114"/>
      <c r="AB852" s="114"/>
      <c r="AC852" s="114"/>
      <c r="AD852" s="114"/>
      <c r="AE852" s="114"/>
      <c r="AF852" s="114"/>
      <c r="AG852" s="114"/>
      <c r="AH852" s="114"/>
      <c r="AI852" s="114"/>
      <c r="AJ852" s="114"/>
      <c r="AK852" s="114"/>
      <c r="AL852" s="114"/>
      <c r="AM852" s="114"/>
      <c r="AN852" s="114"/>
      <c r="AO852" s="114"/>
      <c r="AP852" s="114"/>
      <c r="AQ852" s="114"/>
      <c r="AR852" s="114"/>
      <c r="AS852" s="114"/>
      <c r="AT852" s="114"/>
      <c r="AU852" s="114"/>
      <c r="AV852" s="114"/>
      <c r="AW852" s="114"/>
      <c r="AX852" s="114"/>
    </row>
    <row r="853" spans="4:50">
      <c r="D853" s="114"/>
      <c r="F853" s="114"/>
      <c r="G853" s="114"/>
      <c r="H853" s="114"/>
      <c r="I853" s="114"/>
      <c r="J853" s="114"/>
      <c r="K853" s="114"/>
      <c r="L853" s="114"/>
      <c r="M853" s="114"/>
      <c r="N853" s="114"/>
      <c r="O853" s="114"/>
      <c r="P853" s="114"/>
      <c r="Q853" s="114"/>
      <c r="R853" s="114"/>
      <c r="S853" s="114"/>
      <c r="T853" s="114"/>
      <c r="U853" s="114"/>
      <c r="V853" s="114"/>
      <c r="W853" s="114"/>
      <c r="X853" s="114"/>
      <c r="Y853" s="114"/>
      <c r="Z853" s="114"/>
      <c r="AA853" s="114"/>
      <c r="AB853" s="114"/>
      <c r="AC853" s="114"/>
      <c r="AD853" s="114"/>
      <c r="AE853" s="114"/>
      <c r="AF853" s="114"/>
      <c r="AG853" s="114"/>
      <c r="AH853" s="114"/>
      <c r="AI853" s="114"/>
      <c r="AJ853" s="114"/>
      <c r="AK853" s="114"/>
      <c r="AL853" s="114"/>
      <c r="AM853" s="114"/>
      <c r="AN853" s="114"/>
      <c r="AO853" s="114"/>
      <c r="AP853" s="114"/>
      <c r="AQ853" s="114"/>
      <c r="AR853" s="114"/>
      <c r="AS853" s="114"/>
      <c r="AT853" s="114"/>
      <c r="AU853" s="114"/>
      <c r="AV853" s="114"/>
      <c r="AW853" s="114"/>
      <c r="AX853" s="114"/>
    </row>
    <row r="854" spans="4:50">
      <c r="D854" s="114"/>
      <c r="F854" s="114"/>
      <c r="G854" s="114"/>
      <c r="H854" s="114"/>
      <c r="I854" s="114"/>
      <c r="J854" s="114"/>
      <c r="K854" s="114"/>
      <c r="L854" s="114"/>
      <c r="M854" s="114"/>
      <c r="N854" s="114"/>
      <c r="O854" s="114"/>
      <c r="P854" s="114"/>
      <c r="Q854" s="114"/>
      <c r="R854" s="114"/>
      <c r="S854" s="114"/>
      <c r="T854" s="114"/>
      <c r="U854" s="114"/>
      <c r="V854" s="114"/>
      <c r="W854" s="114"/>
      <c r="X854" s="114"/>
      <c r="Y854" s="114"/>
      <c r="Z854" s="114"/>
      <c r="AA854" s="114"/>
      <c r="AB854" s="114"/>
      <c r="AC854" s="114"/>
      <c r="AD854" s="114"/>
      <c r="AE854" s="114"/>
      <c r="AF854" s="114"/>
      <c r="AG854" s="114"/>
      <c r="AH854" s="114"/>
      <c r="AI854" s="114"/>
      <c r="AJ854" s="114"/>
      <c r="AK854" s="114"/>
      <c r="AL854" s="114"/>
      <c r="AM854" s="114"/>
      <c r="AN854" s="114"/>
      <c r="AO854" s="114"/>
      <c r="AP854" s="114"/>
      <c r="AQ854" s="114"/>
      <c r="AR854" s="114"/>
      <c r="AS854" s="114"/>
      <c r="AT854" s="114"/>
      <c r="AU854" s="114"/>
      <c r="AV854" s="114"/>
      <c r="AW854" s="114"/>
      <c r="AX854" s="114"/>
    </row>
    <row r="855" spans="4:50">
      <c r="D855" s="114"/>
      <c r="F855" s="114"/>
      <c r="G855" s="114"/>
      <c r="H855" s="114"/>
      <c r="I855" s="114"/>
      <c r="J855" s="114"/>
      <c r="K855" s="114"/>
      <c r="L855" s="114"/>
      <c r="M855" s="114"/>
      <c r="N855" s="114"/>
      <c r="O855" s="114"/>
      <c r="P855" s="114"/>
      <c r="Q855" s="114"/>
      <c r="R855" s="114"/>
      <c r="S855" s="114"/>
      <c r="T855" s="114"/>
      <c r="U855" s="114"/>
      <c r="V855" s="114"/>
      <c r="W855" s="114"/>
      <c r="X855" s="114"/>
      <c r="Y855" s="114"/>
      <c r="Z855" s="114"/>
      <c r="AA855" s="114"/>
      <c r="AB855" s="114"/>
      <c r="AC855" s="114"/>
      <c r="AD855" s="114"/>
      <c r="AE855" s="114"/>
      <c r="AF855" s="114"/>
      <c r="AG855" s="114"/>
      <c r="AH855" s="114"/>
      <c r="AI855" s="114"/>
      <c r="AJ855" s="114"/>
      <c r="AK855" s="114"/>
      <c r="AL855" s="114"/>
      <c r="AM855" s="114"/>
      <c r="AN855" s="114"/>
      <c r="AO855" s="114"/>
      <c r="AP855" s="114"/>
      <c r="AQ855" s="114"/>
      <c r="AR855" s="114"/>
      <c r="AS855" s="114"/>
      <c r="AT855" s="114"/>
      <c r="AU855" s="114"/>
      <c r="AV855" s="114"/>
      <c r="AW855" s="114"/>
      <c r="AX855" s="114"/>
    </row>
    <row r="856" spans="4:50">
      <c r="D856" s="114"/>
      <c r="F856" s="114"/>
      <c r="G856" s="114"/>
      <c r="H856" s="114"/>
      <c r="I856" s="114"/>
      <c r="J856" s="114"/>
      <c r="K856" s="114"/>
      <c r="L856" s="114"/>
      <c r="M856" s="114"/>
      <c r="N856" s="114"/>
      <c r="O856" s="114"/>
      <c r="P856" s="114"/>
      <c r="Q856" s="114"/>
      <c r="R856" s="114"/>
      <c r="S856" s="114"/>
      <c r="T856" s="114"/>
      <c r="U856" s="114"/>
      <c r="V856" s="114"/>
      <c r="W856" s="114"/>
      <c r="X856" s="114"/>
      <c r="Y856" s="114"/>
      <c r="Z856" s="114"/>
      <c r="AA856" s="114"/>
      <c r="AB856" s="114"/>
      <c r="AC856" s="114"/>
      <c r="AD856" s="114"/>
      <c r="AE856" s="114"/>
      <c r="AF856" s="114"/>
      <c r="AG856" s="114"/>
      <c r="AH856" s="114"/>
      <c r="AI856" s="114"/>
      <c r="AJ856" s="114"/>
      <c r="AK856" s="114"/>
      <c r="AL856" s="114"/>
      <c r="AM856" s="114"/>
      <c r="AN856" s="114"/>
      <c r="AO856" s="114"/>
      <c r="AP856" s="114"/>
      <c r="AQ856" s="114"/>
      <c r="AR856" s="114"/>
      <c r="AS856" s="114"/>
      <c r="AT856" s="114"/>
      <c r="AU856" s="114"/>
      <c r="AV856" s="114"/>
      <c r="AW856" s="114"/>
      <c r="AX856" s="114"/>
    </row>
    <row r="857" spans="4:50">
      <c r="D857" s="114"/>
      <c r="F857" s="114"/>
      <c r="G857" s="114"/>
      <c r="H857" s="114"/>
      <c r="I857" s="114"/>
      <c r="J857" s="114"/>
      <c r="K857" s="114"/>
      <c r="L857" s="114"/>
      <c r="M857" s="114"/>
      <c r="N857" s="114"/>
      <c r="O857" s="114"/>
      <c r="P857" s="114"/>
      <c r="Q857" s="114"/>
      <c r="R857" s="114"/>
      <c r="S857" s="114"/>
      <c r="T857" s="114"/>
      <c r="U857" s="114"/>
      <c r="V857" s="114"/>
      <c r="W857" s="114"/>
      <c r="X857" s="114"/>
      <c r="Y857" s="114"/>
      <c r="Z857" s="114"/>
      <c r="AA857" s="114"/>
      <c r="AB857" s="114"/>
      <c r="AC857" s="114"/>
      <c r="AD857" s="114"/>
      <c r="AE857" s="114"/>
      <c r="AF857" s="114"/>
      <c r="AG857" s="114"/>
      <c r="AH857" s="114"/>
      <c r="AI857" s="114"/>
      <c r="AJ857" s="114"/>
      <c r="AK857" s="114"/>
      <c r="AL857" s="114"/>
      <c r="AM857" s="114"/>
      <c r="AN857" s="114"/>
      <c r="AO857" s="114"/>
      <c r="AP857" s="114"/>
      <c r="AQ857" s="114"/>
      <c r="AR857" s="114"/>
      <c r="AS857" s="114"/>
      <c r="AT857" s="114"/>
      <c r="AU857" s="114"/>
      <c r="AV857" s="114"/>
      <c r="AW857" s="114"/>
      <c r="AX857" s="114"/>
    </row>
    <row r="858" spans="4:50">
      <c r="D858" s="114"/>
      <c r="F858" s="114"/>
      <c r="G858" s="114"/>
      <c r="H858" s="114"/>
      <c r="I858" s="114"/>
      <c r="J858" s="114"/>
      <c r="K858" s="114"/>
      <c r="L858" s="114"/>
      <c r="M858" s="114"/>
      <c r="N858" s="114"/>
      <c r="O858" s="114"/>
      <c r="P858" s="114"/>
      <c r="Q858" s="114"/>
      <c r="R858" s="114"/>
      <c r="S858" s="114"/>
      <c r="T858" s="114"/>
      <c r="U858" s="114"/>
      <c r="V858" s="114"/>
      <c r="W858" s="114"/>
      <c r="X858" s="114"/>
      <c r="Y858" s="114"/>
      <c r="Z858" s="114"/>
      <c r="AA858" s="114"/>
      <c r="AB858" s="114"/>
      <c r="AC858" s="114"/>
      <c r="AD858" s="114"/>
      <c r="AE858" s="114"/>
      <c r="AF858" s="114"/>
      <c r="AG858" s="114"/>
      <c r="AH858" s="114"/>
      <c r="AI858" s="114"/>
      <c r="AJ858" s="114"/>
      <c r="AK858" s="114"/>
      <c r="AL858" s="114"/>
      <c r="AM858" s="114"/>
      <c r="AN858" s="114"/>
      <c r="AO858" s="114"/>
      <c r="AP858" s="114"/>
      <c r="AQ858" s="114"/>
      <c r="AR858" s="114"/>
      <c r="AS858" s="114"/>
      <c r="AT858" s="114"/>
      <c r="AU858" s="114"/>
      <c r="AV858" s="114"/>
      <c r="AW858" s="114"/>
      <c r="AX858" s="114"/>
    </row>
    <row r="859" spans="4:50">
      <c r="D859" s="114"/>
      <c r="F859" s="114"/>
      <c r="G859" s="114"/>
      <c r="H859" s="114"/>
      <c r="I859" s="114"/>
      <c r="J859" s="114"/>
      <c r="K859" s="114"/>
      <c r="L859" s="114"/>
      <c r="M859" s="114"/>
      <c r="N859" s="114"/>
      <c r="O859" s="114"/>
      <c r="P859" s="114"/>
      <c r="Q859" s="114"/>
      <c r="R859" s="114"/>
      <c r="S859" s="114"/>
      <c r="T859" s="114"/>
      <c r="U859" s="114"/>
      <c r="V859" s="114"/>
      <c r="W859" s="114"/>
      <c r="X859" s="114"/>
      <c r="Y859" s="114"/>
      <c r="Z859" s="114"/>
      <c r="AA859" s="114"/>
      <c r="AB859" s="114"/>
      <c r="AC859" s="114"/>
      <c r="AD859" s="114"/>
      <c r="AE859" s="114"/>
      <c r="AF859" s="114"/>
      <c r="AG859" s="114"/>
      <c r="AH859" s="114"/>
      <c r="AI859" s="114"/>
      <c r="AJ859" s="114"/>
      <c r="AK859" s="114"/>
      <c r="AL859" s="114"/>
      <c r="AM859" s="114"/>
      <c r="AN859" s="114"/>
      <c r="AO859" s="114"/>
      <c r="AP859" s="114"/>
      <c r="AQ859" s="114"/>
      <c r="AR859" s="114"/>
      <c r="AS859" s="114"/>
      <c r="AT859" s="114"/>
      <c r="AU859" s="114"/>
      <c r="AV859" s="114"/>
      <c r="AW859" s="114"/>
      <c r="AX859" s="114"/>
    </row>
    <row r="860" spans="4:50">
      <c r="D860" s="114"/>
      <c r="F860" s="114"/>
      <c r="G860" s="114"/>
      <c r="H860" s="114"/>
      <c r="I860" s="114"/>
      <c r="J860" s="114"/>
      <c r="K860" s="114"/>
      <c r="L860" s="114"/>
      <c r="M860" s="114"/>
      <c r="N860" s="114"/>
      <c r="O860" s="114"/>
      <c r="P860" s="114"/>
      <c r="Q860" s="114"/>
      <c r="R860" s="114"/>
      <c r="S860" s="114"/>
      <c r="T860" s="114"/>
      <c r="U860" s="114"/>
      <c r="V860" s="114"/>
      <c r="W860" s="114"/>
      <c r="X860" s="114"/>
      <c r="Y860" s="114"/>
      <c r="Z860" s="114"/>
      <c r="AA860" s="114"/>
      <c r="AB860" s="114"/>
      <c r="AC860" s="114"/>
      <c r="AD860" s="114"/>
      <c r="AE860" s="114"/>
      <c r="AF860" s="114"/>
      <c r="AG860" s="114"/>
      <c r="AH860" s="114"/>
      <c r="AI860" s="114"/>
      <c r="AJ860" s="114"/>
      <c r="AK860" s="114"/>
      <c r="AL860" s="114"/>
      <c r="AM860" s="114"/>
      <c r="AN860" s="114"/>
      <c r="AO860" s="114"/>
      <c r="AP860" s="114"/>
      <c r="AQ860" s="114"/>
      <c r="AR860" s="114"/>
      <c r="AS860" s="114"/>
      <c r="AT860" s="114"/>
      <c r="AU860" s="114"/>
      <c r="AV860" s="114"/>
      <c r="AW860" s="114"/>
      <c r="AX860" s="114"/>
    </row>
    <row r="861" spans="4:50">
      <c r="D861" s="114"/>
      <c r="F861" s="114"/>
      <c r="G861" s="114"/>
      <c r="H861" s="114"/>
      <c r="I861" s="114"/>
      <c r="J861" s="114"/>
      <c r="K861" s="114"/>
      <c r="L861" s="114"/>
      <c r="M861" s="114"/>
      <c r="N861" s="114"/>
      <c r="O861" s="114"/>
      <c r="P861" s="114"/>
      <c r="Q861" s="114"/>
      <c r="R861" s="114"/>
      <c r="S861" s="114"/>
      <c r="T861" s="114"/>
      <c r="U861" s="114"/>
      <c r="V861" s="114"/>
      <c r="W861" s="114"/>
      <c r="X861" s="114"/>
      <c r="Y861" s="114"/>
      <c r="Z861" s="114"/>
      <c r="AA861" s="114"/>
      <c r="AB861" s="114"/>
      <c r="AC861" s="114"/>
      <c r="AD861" s="114"/>
      <c r="AE861" s="114"/>
      <c r="AF861" s="114"/>
      <c r="AG861" s="114"/>
      <c r="AH861" s="114"/>
      <c r="AI861" s="114"/>
      <c r="AJ861" s="114"/>
      <c r="AK861" s="114"/>
      <c r="AL861" s="114"/>
      <c r="AM861" s="114"/>
      <c r="AN861" s="114"/>
      <c r="AO861" s="114"/>
      <c r="AP861" s="114"/>
      <c r="AQ861" s="114"/>
      <c r="AR861" s="114"/>
      <c r="AS861" s="114"/>
      <c r="AT861" s="114"/>
      <c r="AU861" s="114"/>
      <c r="AV861" s="114"/>
      <c r="AW861" s="114"/>
      <c r="AX861" s="114"/>
    </row>
    <row r="862" spans="4:50">
      <c r="D862" s="114"/>
      <c r="F862" s="114"/>
      <c r="G862" s="114"/>
      <c r="H862" s="114"/>
      <c r="I862" s="114"/>
      <c r="J862" s="114"/>
      <c r="K862" s="114"/>
      <c r="L862" s="114"/>
      <c r="M862" s="114"/>
      <c r="N862" s="114"/>
      <c r="O862" s="114"/>
      <c r="P862" s="114"/>
      <c r="Q862" s="114"/>
      <c r="R862" s="114"/>
      <c r="S862" s="114"/>
      <c r="T862" s="114"/>
      <c r="U862" s="114"/>
      <c r="V862" s="114"/>
      <c r="W862" s="114"/>
      <c r="X862" s="114"/>
      <c r="Y862" s="114"/>
      <c r="Z862" s="114"/>
      <c r="AA862" s="114"/>
      <c r="AB862" s="114"/>
      <c r="AC862" s="114"/>
      <c r="AD862" s="114"/>
      <c r="AE862" s="114"/>
      <c r="AF862" s="114"/>
      <c r="AG862" s="114"/>
      <c r="AH862" s="114"/>
      <c r="AI862" s="114"/>
      <c r="AJ862" s="114"/>
      <c r="AK862" s="114"/>
      <c r="AL862" s="114"/>
      <c r="AM862" s="114"/>
      <c r="AN862" s="114"/>
      <c r="AO862" s="114"/>
      <c r="AP862" s="114"/>
      <c r="AQ862" s="114"/>
      <c r="AR862" s="114"/>
      <c r="AS862" s="114"/>
      <c r="AT862" s="114"/>
      <c r="AU862" s="114"/>
      <c r="AV862" s="114"/>
      <c r="AW862" s="114"/>
      <c r="AX862" s="114"/>
    </row>
    <row r="863" spans="4:50">
      <c r="D863" s="114"/>
      <c r="F863" s="114"/>
      <c r="G863" s="114"/>
      <c r="H863" s="114"/>
      <c r="I863" s="114"/>
      <c r="J863" s="114"/>
      <c r="K863" s="114"/>
      <c r="L863" s="114"/>
      <c r="M863" s="114"/>
      <c r="N863" s="114"/>
      <c r="O863" s="114"/>
      <c r="P863" s="114"/>
      <c r="Q863" s="114"/>
      <c r="R863" s="114"/>
      <c r="S863" s="114"/>
      <c r="T863" s="114"/>
      <c r="U863" s="114"/>
      <c r="V863" s="114"/>
      <c r="W863" s="114"/>
      <c r="X863" s="114"/>
      <c r="Y863" s="114"/>
      <c r="Z863" s="114"/>
      <c r="AA863" s="114"/>
      <c r="AB863" s="114"/>
      <c r="AC863" s="114"/>
      <c r="AD863" s="114"/>
      <c r="AE863" s="114"/>
      <c r="AF863" s="114"/>
      <c r="AG863" s="114"/>
      <c r="AH863" s="114"/>
      <c r="AI863" s="114"/>
      <c r="AJ863" s="114"/>
      <c r="AK863" s="114"/>
      <c r="AL863" s="114"/>
      <c r="AM863" s="114"/>
      <c r="AN863" s="114"/>
      <c r="AO863" s="114"/>
      <c r="AP863" s="114"/>
      <c r="AQ863" s="114"/>
      <c r="AR863" s="114"/>
      <c r="AS863" s="114"/>
      <c r="AT863" s="114"/>
      <c r="AU863" s="114"/>
      <c r="AV863" s="114"/>
      <c r="AW863" s="114"/>
      <c r="AX863" s="114"/>
    </row>
    <row r="864" spans="4:50">
      <c r="D864" s="114"/>
      <c r="F864" s="114"/>
      <c r="G864" s="114"/>
      <c r="H864" s="114"/>
      <c r="I864" s="114"/>
      <c r="J864" s="114"/>
      <c r="K864" s="114"/>
      <c r="L864" s="114"/>
      <c r="M864" s="114"/>
      <c r="N864" s="114"/>
      <c r="O864" s="114"/>
      <c r="P864" s="114"/>
      <c r="Q864" s="114"/>
      <c r="R864" s="114"/>
      <c r="S864" s="114"/>
      <c r="T864" s="114"/>
      <c r="U864" s="114"/>
      <c r="V864" s="114"/>
      <c r="W864" s="114"/>
      <c r="X864" s="114"/>
      <c r="Y864" s="114"/>
      <c r="Z864" s="114"/>
      <c r="AA864" s="114"/>
      <c r="AB864" s="114"/>
      <c r="AC864" s="114"/>
      <c r="AD864" s="114"/>
      <c r="AE864" s="114"/>
      <c r="AF864" s="114"/>
      <c r="AG864" s="114"/>
      <c r="AH864" s="114"/>
      <c r="AI864" s="114"/>
      <c r="AJ864" s="114"/>
      <c r="AK864" s="114"/>
      <c r="AL864" s="114"/>
      <c r="AM864" s="114"/>
      <c r="AN864" s="114"/>
      <c r="AO864" s="114"/>
      <c r="AP864" s="114"/>
      <c r="AQ864" s="114"/>
      <c r="AR864" s="114"/>
      <c r="AS864" s="114"/>
      <c r="AT864" s="114"/>
      <c r="AU864" s="114"/>
      <c r="AV864" s="114"/>
      <c r="AW864" s="114"/>
      <c r="AX864" s="114"/>
    </row>
    <row r="865" spans="4:50">
      <c r="D865" s="114"/>
      <c r="F865" s="114"/>
      <c r="G865" s="114"/>
      <c r="H865" s="114"/>
      <c r="I865" s="114"/>
      <c r="J865" s="114"/>
      <c r="K865" s="114"/>
      <c r="L865" s="114"/>
      <c r="M865" s="114"/>
      <c r="N865" s="114"/>
      <c r="O865" s="114"/>
      <c r="P865" s="114"/>
      <c r="Q865" s="114"/>
      <c r="R865" s="114"/>
      <c r="S865" s="114"/>
      <c r="T865" s="114"/>
      <c r="U865" s="114"/>
      <c r="V865" s="114"/>
      <c r="W865" s="114"/>
      <c r="X865" s="114"/>
      <c r="Y865" s="114"/>
      <c r="Z865" s="114"/>
      <c r="AA865" s="114"/>
      <c r="AB865" s="114"/>
      <c r="AC865" s="114"/>
      <c r="AD865" s="114"/>
      <c r="AE865" s="114"/>
      <c r="AF865" s="114"/>
      <c r="AG865" s="114"/>
      <c r="AH865" s="114"/>
      <c r="AI865" s="114"/>
      <c r="AJ865" s="114"/>
      <c r="AK865" s="114"/>
      <c r="AL865" s="114"/>
      <c r="AM865" s="114"/>
      <c r="AN865" s="114"/>
      <c r="AO865" s="114"/>
      <c r="AP865" s="114"/>
      <c r="AQ865" s="114"/>
      <c r="AR865" s="114"/>
      <c r="AS865" s="114"/>
      <c r="AT865" s="114"/>
      <c r="AU865" s="114"/>
      <c r="AV865" s="114"/>
      <c r="AW865" s="114"/>
      <c r="AX865" s="114"/>
    </row>
    <row r="866" spans="4:50">
      <c r="D866" s="114"/>
      <c r="F866" s="114"/>
      <c r="G866" s="114"/>
      <c r="H866" s="114"/>
      <c r="I866" s="114"/>
      <c r="J866" s="114"/>
      <c r="K866" s="114"/>
      <c r="L866" s="114"/>
      <c r="M866" s="114"/>
      <c r="N866" s="114"/>
      <c r="O866" s="114"/>
      <c r="P866" s="114"/>
      <c r="Q866" s="114"/>
      <c r="R866" s="114"/>
      <c r="S866" s="114"/>
      <c r="T866" s="114"/>
      <c r="U866" s="114"/>
      <c r="V866" s="114"/>
      <c r="W866" s="114"/>
      <c r="X866" s="114"/>
      <c r="Y866" s="114"/>
      <c r="Z866" s="114"/>
      <c r="AA866" s="114"/>
      <c r="AB866" s="114"/>
      <c r="AC866" s="114"/>
      <c r="AD866" s="114"/>
      <c r="AE866" s="114"/>
      <c r="AF866" s="114"/>
      <c r="AG866" s="114"/>
      <c r="AH866" s="114"/>
      <c r="AI866" s="114"/>
      <c r="AJ866" s="114"/>
      <c r="AK866" s="114"/>
      <c r="AL866" s="114"/>
      <c r="AM866" s="114"/>
      <c r="AN866" s="114"/>
      <c r="AO866" s="114"/>
      <c r="AP866" s="114"/>
      <c r="AQ866" s="114"/>
      <c r="AR866" s="114"/>
      <c r="AS866" s="114"/>
      <c r="AT866" s="114"/>
      <c r="AU866" s="114"/>
      <c r="AV866" s="114"/>
      <c r="AW866" s="114"/>
      <c r="AX866" s="114"/>
    </row>
    <row r="867" spans="4:50">
      <c r="D867" s="114"/>
      <c r="F867" s="114"/>
      <c r="G867" s="114"/>
      <c r="H867" s="114"/>
      <c r="I867" s="114"/>
      <c r="J867" s="114"/>
      <c r="K867" s="114"/>
      <c r="L867" s="114"/>
      <c r="M867" s="114"/>
      <c r="N867" s="114"/>
      <c r="O867" s="114"/>
      <c r="P867" s="114"/>
      <c r="Q867" s="114"/>
      <c r="R867" s="114"/>
      <c r="S867" s="114"/>
      <c r="T867" s="114"/>
      <c r="U867" s="114"/>
      <c r="V867" s="114"/>
      <c r="W867" s="114"/>
      <c r="X867" s="114"/>
      <c r="Y867" s="114"/>
      <c r="Z867" s="114"/>
      <c r="AA867" s="114"/>
      <c r="AB867" s="114"/>
      <c r="AC867" s="114"/>
      <c r="AD867" s="114"/>
      <c r="AE867" s="114"/>
      <c r="AF867" s="114"/>
      <c r="AG867" s="114"/>
      <c r="AH867" s="114"/>
      <c r="AI867" s="114"/>
      <c r="AJ867" s="114"/>
      <c r="AK867" s="114"/>
      <c r="AL867" s="114"/>
      <c r="AM867" s="114"/>
      <c r="AN867" s="114"/>
      <c r="AO867" s="114"/>
      <c r="AP867" s="114"/>
      <c r="AQ867" s="114"/>
      <c r="AR867" s="114"/>
      <c r="AS867" s="114"/>
      <c r="AT867" s="114"/>
      <c r="AU867" s="114"/>
      <c r="AV867" s="114"/>
      <c r="AW867" s="114"/>
      <c r="AX867" s="114"/>
    </row>
    <row r="868" spans="4:50">
      <c r="D868" s="114"/>
      <c r="F868" s="114"/>
      <c r="G868" s="114"/>
      <c r="H868" s="114"/>
      <c r="I868" s="114"/>
      <c r="J868" s="114"/>
      <c r="K868" s="114"/>
      <c r="L868" s="114"/>
      <c r="M868" s="114"/>
      <c r="N868" s="114"/>
      <c r="O868" s="114"/>
      <c r="P868" s="114"/>
      <c r="Q868" s="114"/>
      <c r="R868" s="114"/>
      <c r="S868" s="114"/>
      <c r="T868" s="114"/>
      <c r="U868" s="114"/>
      <c r="V868" s="114"/>
      <c r="W868" s="114"/>
      <c r="X868" s="114"/>
      <c r="Y868" s="114"/>
      <c r="Z868" s="114"/>
      <c r="AA868" s="114"/>
      <c r="AB868" s="114"/>
      <c r="AC868" s="114"/>
      <c r="AD868" s="114"/>
      <c r="AE868" s="114"/>
      <c r="AF868" s="114"/>
      <c r="AG868" s="114"/>
      <c r="AH868" s="114"/>
      <c r="AI868" s="114"/>
      <c r="AJ868" s="114"/>
      <c r="AK868" s="114"/>
      <c r="AL868" s="114"/>
      <c r="AM868" s="114"/>
      <c r="AN868" s="114"/>
      <c r="AO868" s="114"/>
      <c r="AP868" s="114"/>
      <c r="AQ868" s="114"/>
      <c r="AR868" s="114"/>
      <c r="AS868" s="114"/>
      <c r="AT868" s="114"/>
      <c r="AU868" s="114"/>
      <c r="AV868" s="114"/>
      <c r="AW868" s="114"/>
      <c r="AX868" s="114"/>
    </row>
    <row r="869" spans="4:50">
      <c r="D869" s="114"/>
      <c r="F869" s="114"/>
      <c r="G869" s="114"/>
      <c r="H869" s="114"/>
      <c r="I869" s="114"/>
      <c r="J869" s="114"/>
      <c r="K869" s="114"/>
      <c r="L869" s="114"/>
      <c r="M869" s="114"/>
      <c r="N869" s="114"/>
      <c r="O869" s="114"/>
      <c r="P869" s="114"/>
      <c r="Q869" s="114"/>
      <c r="R869" s="114"/>
      <c r="S869" s="114"/>
      <c r="T869" s="114"/>
      <c r="U869" s="114"/>
      <c r="V869" s="114"/>
      <c r="W869" s="114"/>
      <c r="X869" s="114"/>
      <c r="Y869" s="114"/>
      <c r="Z869" s="114"/>
      <c r="AA869" s="114"/>
      <c r="AB869" s="114"/>
      <c r="AC869" s="114"/>
      <c r="AD869" s="114"/>
      <c r="AE869" s="114"/>
      <c r="AF869" s="114"/>
      <c r="AG869" s="114"/>
      <c r="AH869" s="114"/>
      <c r="AI869" s="114"/>
      <c r="AJ869" s="114"/>
      <c r="AK869" s="114"/>
      <c r="AL869" s="114"/>
      <c r="AM869" s="114"/>
      <c r="AN869" s="114"/>
      <c r="AO869" s="114"/>
      <c r="AP869" s="114"/>
      <c r="AQ869" s="114"/>
      <c r="AR869" s="114"/>
      <c r="AS869" s="114"/>
      <c r="AT869" s="114"/>
      <c r="AU869" s="114"/>
      <c r="AV869" s="114"/>
      <c r="AW869" s="114"/>
      <c r="AX869" s="114"/>
    </row>
    <row r="870" spans="4:50">
      <c r="D870" s="114"/>
      <c r="F870" s="114"/>
      <c r="G870" s="114"/>
      <c r="H870" s="114"/>
      <c r="I870" s="114"/>
      <c r="J870" s="114"/>
      <c r="K870" s="114"/>
      <c r="L870" s="114"/>
      <c r="M870" s="114"/>
      <c r="N870" s="114"/>
      <c r="O870" s="114"/>
      <c r="P870" s="114"/>
      <c r="Q870" s="114"/>
      <c r="R870" s="114"/>
      <c r="S870" s="114"/>
      <c r="T870" s="114"/>
      <c r="U870" s="114"/>
      <c r="V870" s="114"/>
      <c r="W870" s="114"/>
      <c r="X870" s="114"/>
      <c r="Y870" s="114"/>
      <c r="Z870" s="114"/>
      <c r="AA870" s="114"/>
      <c r="AB870" s="114"/>
      <c r="AC870" s="114"/>
      <c r="AD870" s="114"/>
      <c r="AE870" s="114"/>
      <c r="AF870" s="114"/>
      <c r="AG870" s="114"/>
      <c r="AH870" s="114"/>
      <c r="AI870" s="114"/>
      <c r="AJ870" s="114"/>
      <c r="AK870" s="114"/>
      <c r="AL870" s="114"/>
      <c r="AM870" s="114"/>
      <c r="AN870" s="114"/>
      <c r="AO870" s="114"/>
      <c r="AP870" s="114"/>
      <c r="AQ870" s="114"/>
      <c r="AR870" s="114"/>
      <c r="AS870" s="114"/>
      <c r="AT870" s="114"/>
      <c r="AU870" s="114"/>
      <c r="AV870" s="114"/>
      <c r="AW870" s="114"/>
      <c r="AX870" s="114"/>
    </row>
    <row r="871" spans="4:50">
      <c r="D871" s="114"/>
      <c r="F871" s="114"/>
      <c r="G871" s="114"/>
      <c r="H871" s="114"/>
      <c r="I871" s="114"/>
      <c r="J871" s="114"/>
      <c r="K871" s="114"/>
      <c r="L871" s="114"/>
      <c r="M871" s="114"/>
      <c r="N871" s="114"/>
      <c r="O871" s="114"/>
      <c r="P871" s="114"/>
      <c r="Q871" s="114"/>
      <c r="R871" s="114"/>
      <c r="S871" s="114"/>
      <c r="T871" s="114"/>
      <c r="U871" s="114"/>
      <c r="V871" s="114"/>
      <c r="W871" s="114"/>
      <c r="X871" s="114"/>
      <c r="Y871" s="114"/>
      <c r="Z871" s="114"/>
      <c r="AA871" s="114"/>
      <c r="AB871" s="114"/>
      <c r="AC871" s="114"/>
      <c r="AD871" s="114"/>
      <c r="AE871" s="114"/>
      <c r="AF871" s="114"/>
      <c r="AG871" s="114"/>
      <c r="AH871" s="114"/>
      <c r="AI871" s="114"/>
      <c r="AJ871" s="114"/>
      <c r="AK871" s="114"/>
      <c r="AL871" s="114"/>
      <c r="AM871" s="114"/>
      <c r="AN871" s="114"/>
      <c r="AO871" s="114"/>
      <c r="AP871" s="114"/>
      <c r="AQ871" s="114"/>
      <c r="AR871" s="114"/>
      <c r="AS871" s="114"/>
      <c r="AT871" s="114"/>
      <c r="AU871" s="114"/>
      <c r="AV871" s="114"/>
      <c r="AW871" s="114"/>
      <c r="AX871" s="114"/>
    </row>
    <row r="872" spans="4:50">
      <c r="D872" s="114"/>
      <c r="F872" s="114"/>
      <c r="G872" s="114"/>
      <c r="H872" s="114"/>
      <c r="I872" s="114"/>
      <c r="J872" s="114"/>
      <c r="K872" s="114"/>
      <c r="L872" s="114"/>
      <c r="M872" s="114"/>
      <c r="N872" s="114"/>
      <c r="O872" s="114"/>
      <c r="P872" s="114"/>
      <c r="Q872" s="114"/>
      <c r="R872" s="114"/>
      <c r="S872" s="114"/>
      <c r="T872" s="114"/>
      <c r="U872" s="114"/>
      <c r="V872" s="114"/>
      <c r="W872" s="114"/>
      <c r="X872" s="114"/>
      <c r="Y872" s="114"/>
      <c r="Z872" s="114"/>
      <c r="AA872" s="114"/>
      <c r="AB872" s="114"/>
      <c r="AC872" s="114"/>
      <c r="AD872" s="114"/>
      <c r="AE872" s="114"/>
      <c r="AF872" s="114"/>
      <c r="AG872" s="114"/>
      <c r="AH872" s="114"/>
      <c r="AI872" s="114"/>
      <c r="AJ872" s="114"/>
      <c r="AK872" s="114"/>
      <c r="AL872" s="114"/>
      <c r="AM872" s="114"/>
      <c r="AN872" s="114"/>
      <c r="AO872" s="114"/>
      <c r="AP872" s="114"/>
      <c r="AQ872" s="114"/>
      <c r="AR872" s="114"/>
      <c r="AS872" s="114"/>
      <c r="AT872" s="114"/>
      <c r="AU872" s="114"/>
      <c r="AV872" s="114"/>
      <c r="AW872" s="114"/>
      <c r="AX872" s="114"/>
    </row>
    <row r="873" spans="4:50">
      <c r="D873" s="114"/>
      <c r="F873" s="114"/>
      <c r="G873" s="114"/>
      <c r="H873" s="114"/>
      <c r="I873" s="114"/>
      <c r="J873" s="114"/>
      <c r="K873" s="114"/>
      <c r="L873" s="114"/>
      <c r="M873" s="114"/>
      <c r="N873" s="114"/>
      <c r="O873" s="114"/>
      <c r="P873" s="114"/>
      <c r="Q873" s="114"/>
      <c r="R873" s="114"/>
      <c r="S873" s="114"/>
      <c r="T873" s="114"/>
      <c r="U873" s="114"/>
      <c r="V873" s="114"/>
      <c r="W873" s="114"/>
      <c r="X873" s="114"/>
      <c r="Y873" s="114"/>
      <c r="Z873" s="114"/>
      <c r="AA873" s="114"/>
      <c r="AB873" s="114"/>
      <c r="AC873" s="114"/>
      <c r="AD873" s="114"/>
      <c r="AE873" s="114"/>
      <c r="AF873" s="114"/>
      <c r="AG873" s="114"/>
      <c r="AH873" s="114"/>
      <c r="AI873" s="114"/>
      <c r="AJ873" s="114"/>
      <c r="AK873" s="114"/>
      <c r="AL873" s="114"/>
      <c r="AM873" s="114"/>
      <c r="AN873" s="114"/>
      <c r="AO873" s="114"/>
      <c r="AP873" s="114"/>
      <c r="AQ873" s="114"/>
      <c r="AR873" s="114"/>
      <c r="AS873" s="114"/>
      <c r="AT873" s="114"/>
      <c r="AU873" s="114"/>
      <c r="AV873" s="114"/>
      <c r="AW873" s="114"/>
      <c r="AX873" s="114"/>
    </row>
    <row r="874" spans="4:50">
      <c r="D874" s="114"/>
      <c r="F874" s="114"/>
      <c r="G874" s="114"/>
      <c r="H874" s="114"/>
      <c r="I874" s="114"/>
      <c r="J874" s="114"/>
      <c r="K874" s="114"/>
      <c r="L874" s="114"/>
      <c r="M874" s="114"/>
      <c r="N874" s="114"/>
      <c r="O874" s="114"/>
      <c r="P874" s="114"/>
      <c r="Q874" s="114"/>
      <c r="R874" s="114"/>
      <c r="S874" s="114"/>
      <c r="T874" s="114"/>
      <c r="U874" s="114"/>
      <c r="V874" s="114"/>
      <c r="W874" s="114"/>
      <c r="X874" s="114"/>
      <c r="Y874" s="114"/>
      <c r="Z874" s="114"/>
      <c r="AA874" s="114"/>
      <c r="AB874" s="114"/>
      <c r="AC874" s="114"/>
      <c r="AD874" s="114"/>
      <c r="AE874" s="114"/>
      <c r="AF874" s="114"/>
      <c r="AG874" s="114"/>
      <c r="AH874" s="114"/>
      <c r="AI874" s="114"/>
      <c r="AJ874" s="114"/>
      <c r="AK874" s="114"/>
      <c r="AL874" s="114"/>
      <c r="AM874" s="114"/>
      <c r="AN874" s="114"/>
      <c r="AO874" s="114"/>
      <c r="AP874" s="114"/>
      <c r="AQ874" s="114"/>
      <c r="AR874" s="114"/>
      <c r="AS874" s="114"/>
      <c r="AT874" s="114"/>
      <c r="AU874" s="114"/>
      <c r="AV874" s="114"/>
      <c r="AW874" s="114"/>
      <c r="AX874" s="114"/>
    </row>
    <row r="875" spans="4:50">
      <c r="D875" s="114"/>
      <c r="F875" s="114"/>
      <c r="G875" s="114"/>
      <c r="H875" s="114"/>
      <c r="I875" s="114"/>
      <c r="J875" s="114"/>
      <c r="K875" s="114"/>
      <c r="L875" s="114"/>
      <c r="M875" s="114"/>
      <c r="N875" s="114"/>
      <c r="O875" s="114"/>
      <c r="P875" s="114"/>
      <c r="Q875" s="114"/>
      <c r="R875" s="114"/>
      <c r="S875" s="114"/>
      <c r="T875" s="114"/>
      <c r="U875" s="114"/>
      <c r="V875" s="114"/>
      <c r="W875" s="114"/>
      <c r="X875" s="114"/>
      <c r="Y875" s="114"/>
      <c r="Z875" s="114"/>
      <c r="AA875" s="114"/>
      <c r="AB875" s="114"/>
      <c r="AC875" s="114"/>
      <c r="AD875" s="114"/>
      <c r="AE875" s="114"/>
      <c r="AF875" s="114"/>
      <c r="AG875" s="114"/>
      <c r="AH875" s="114"/>
      <c r="AI875" s="114"/>
      <c r="AJ875" s="114"/>
      <c r="AK875" s="114"/>
      <c r="AL875" s="114"/>
      <c r="AM875" s="114"/>
      <c r="AN875" s="114"/>
      <c r="AO875" s="114"/>
      <c r="AP875" s="114"/>
      <c r="AQ875" s="114"/>
      <c r="AR875" s="114"/>
      <c r="AS875" s="114"/>
      <c r="AT875" s="114"/>
      <c r="AU875" s="114"/>
      <c r="AV875" s="114"/>
      <c r="AW875" s="114"/>
      <c r="AX875" s="114"/>
    </row>
    <row r="876" spans="4:50">
      <c r="D876" s="114"/>
      <c r="F876" s="114"/>
      <c r="G876" s="114"/>
      <c r="H876" s="114"/>
      <c r="I876" s="114"/>
      <c r="J876" s="114"/>
      <c r="K876" s="114"/>
      <c r="L876" s="114"/>
      <c r="M876" s="114"/>
      <c r="N876" s="114"/>
      <c r="O876" s="114"/>
      <c r="P876" s="114"/>
      <c r="Q876" s="114"/>
      <c r="R876" s="114"/>
      <c r="S876" s="114"/>
      <c r="T876" s="114"/>
      <c r="U876" s="114"/>
      <c r="V876" s="114"/>
      <c r="W876" s="114"/>
      <c r="X876" s="114"/>
      <c r="Y876" s="114"/>
      <c r="Z876" s="114"/>
      <c r="AA876" s="114"/>
      <c r="AB876" s="114"/>
      <c r="AC876" s="114"/>
      <c r="AD876" s="114"/>
      <c r="AE876" s="114"/>
      <c r="AF876" s="114"/>
      <c r="AG876" s="114"/>
      <c r="AH876" s="114"/>
      <c r="AI876" s="114"/>
      <c r="AJ876" s="114"/>
      <c r="AK876" s="114"/>
      <c r="AL876" s="114"/>
      <c r="AM876" s="114"/>
      <c r="AN876" s="114"/>
      <c r="AO876" s="114"/>
      <c r="AP876" s="114"/>
      <c r="AQ876" s="114"/>
      <c r="AR876" s="114"/>
      <c r="AS876" s="114"/>
      <c r="AT876" s="114"/>
      <c r="AU876" s="114"/>
      <c r="AV876" s="114"/>
      <c r="AW876" s="114"/>
      <c r="AX876" s="114"/>
    </row>
    <row r="877" spans="4:50">
      <c r="D877" s="114"/>
      <c r="F877" s="114"/>
      <c r="G877" s="114"/>
      <c r="H877" s="114"/>
      <c r="I877" s="114"/>
      <c r="J877" s="114"/>
      <c r="K877" s="114"/>
      <c r="L877" s="114"/>
      <c r="M877" s="114"/>
      <c r="N877" s="114"/>
      <c r="O877" s="114"/>
      <c r="P877" s="114"/>
      <c r="Q877" s="114"/>
      <c r="R877" s="114"/>
      <c r="S877" s="114"/>
      <c r="T877" s="114"/>
      <c r="U877" s="114"/>
      <c r="V877" s="114"/>
      <c r="W877" s="114"/>
      <c r="X877" s="114"/>
      <c r="Y877" s="114"/>
      <c r="Z877" s="114"/>
      <c r="AA877" s="114"/>
      <c r="AB877" s="114"/>
      <c r="AC877" s="114"/>
      <c r="AD877" s="114"/>
      <c r="AE877" s="114"/>
      <c r="AF877" s="114"/>
      <c r="AG877" s="114"/>
      <c r="AH877" s="114"/>
      <c r="AI877" s="114"/>
      <c r="AJ877" s="114"/>
      <c r="AK877" s="114"/>
      <c r="AL877" s="114"/>
      <c r="AM877" s="114"/>
      <c r="AN877" s="114"/>
      <c r="AO877" s="114"/>
      <c r="AP877" s="114"/>
      <c r="AQ877" s="114"/>
      <c r="AR877" s="114"/>
      <c r="AS877" s="114"/>
      <c r="AT877" s="114"/>
      <c r="AU877" s="114"/>
      <c r="AV877" s="114"/>
      <c r="AW877" s="114"/>
      <c r="AX877" s="114"/>
    </row>
    <row r="878" spans="4:50">
      <c r="D878" s="114"/>
      <c r="F878" s="114"/>
      <c r="G878" s="114"/>
      <c r="H878" s="114"/>
      <c r="I878" s="114"/>
      <c r="J878" s="114"/>
      <c r="K878" s="114"/>
      <c r="L878" s="114"/>
      <c r="M878" s="114"/>
      <c r="N878" s="114"/>
      <c r="O878" s="114"/>
      <c r="P878" s="114"/>
      <c r="Q878" s="114"/>
      <c r="R878" s="114"/>
      <c r="S878" s="114"/>
      <c r="T878" s="114"/>
      <c r="U878" s="114"/>
      <c r="V878" s="114"/>
      <c r="W878" s="114"/>
      <c r="X878" s="114"/>
      <c r="Y878" s="114"/>
      <c r="Z878" s="114"/>
      <c r="AA878" s="114"/>
      <c r="AB878" s="114"/>
      <c r="AC878" s="114"/>
      <c r="AD878" s="114"/>
      <c r="AE878" s="114"/>
      <c r="AF878" s="114"/>
      <c r="AG878" s="114"/>
      <c r="AH878" s="114"/>
      <c r="AI878" s="114"/>
      <c r="AJ878" s="114"/>
      <c r="AK878" s="114"/>
      <c r="AL878" s="114"/>
      <c r="AM878" s="114"/>
      <c r="AN878" s="114"/>
      <c r="AO878" s="114"/>
      <c r="AP878" s="114"/>
      <c r="AQ878" s="114"/>
      <c r="AR878" s="114"/>
      <c r="AS878" s="114"/>
      <c r="AT878" s="114"/>
      <c r="AU878" s="114"/>
      <c r="AV878" s="114"/>
      <c r="AW878" s="114"/>
      <c r="AX878" s="114"/>
    </row>
    <row r="879" spans="4:50">
      <c r="D879" s="114"/>
      <c r="F879" s="114"/>
      <c r="G879" s="114"/>
      <c r="H879" s="114"/>
      <c r="I879" s="114"/>
      <c r="J879" s="114"/>
      <c r="K879" s="114"/>
      <c r="L879" s="114"/>
      <c r="M879" s="114"/>
      <c r="N879" s="114"/>
      <c r="O879" s="114"/>
      <c r="P879" s="114"/>
      <c r="Q879" s="114"/>
      <c r="R879" s="114"/>
      <c r="S879" s="114"/>
      <c r="T879" s="114"/>
      <c r="U879" s="114"/>
      <c r="V879" s="114"/>
      <c r="W879" s="114"/>
      <c r="X879" s="114"/>
      <c r="Y879" s="114"/>
      <c r="Z879" s="114"/>
      <c r="AA879" s="114"/>
      <c r="AB879" s="114"/>
      <c r="AC879" s="114"/>
      <c r="AD879" s="114"/>
      <c r="AE879" s="114"/>
      <c r="AF879" s="114"/>
      <c r="AG879" s="114"/>
      <c r="AH879" s="114"/>
      <c r="AI879" s="114"/>
      <c r="AJ879" s="114"/>
      <c r="AK879" s="114"/>
      <c r="AL879" s="114"/>
      <c r="AM879" s="114"/>
      <c r="AN879" s="114"/>
      <c r="AO879" s="114"/>
      <c r="AP879" s="114"/>
      <c r="AQ879" s="114"/>
      <c r="AR879" s="114"/>
      <c r="AS879" s="114"/>
      <c r="AT879" s="114"/>
      <c r="AU879" s="114"/>
      <c r="AV879" s="114"/>
      <c r="AW879" s="114"/>
      <c r="AX879" s="114"/>
    </row>
    <row r="880" spans="4:50">
      <c r="D880" s="114"/>
      <c r="F880" s="114"/>
      <c r="G880" s="114"/>
      <c r="H880" s="114"/>
      <c r="I880" s="114"/>
      <c r="J880" s="114"/>
      <c r="K880" s="114"/>
      <c r="L880" s="114"/>
      <c r="M880" s="114"/>
      <c r="N880" s="114"/>
      <c r="O880" s="114"/>
      <c r="P880" s="114"/>
      <c r="Q880" s="114"/>
      <c r="R880" s="114"/>
      <c r="S880" s="114"/>
      <c r="T880" s="114"/>
      <c r="U880" s="114"/>
      <c r="V880" s="114"/>
      <c r="W880" s="114"/>
      <c r="X880" s="114"/>
      <c r="Y880" s="114"/>
      <c r="Z880" s="114"/>
      <c r="AA880" s="114"/>
      <c r="AB880" s="114"/>
      <c r="AC880" s="114"/>
      <c r="AD880" s="114"/>
      <c r="AE880" s="114"/>
      <c r="AF880" s="114"/>
      <c r="AG880" s="114"/>
      <c r="AH880" s="114"/>
      <c r="AI880" s="114"/>
      <c r="AJ880" s="114"/>
      <c r="AK880" s="114"/>
      <c r="AL880" s="114"/>
      <c r="AM880" s="114"/>
      <c r="AN880" s="114"/>
      <c r="AO880" s="114"/>
      <c r="AP880" s="114"/>
      <c r="AQ880" s="114"/>
      <c r="AR880" s="114"/>
      <c r="AS880" s="114"/>
      <c r="AT880" s="114"/>
      <c r="AU880" s="114"/>
      <c r="AV880" s="114"/>
      <c r="AW880" s="114"/>
      <c r="AX880" s="114"/>
    </row>
    <row r="881" spans="4:50">
      <c r="D881" s="114"/>
      <c r="F881" s="114"/>
      <c r="G881" s="114"/>
      <c r="H881" s="114"/>
      <c r="I881" s="114"/>
      <c r="J881" s="114"/>
      <c r="K881" s="114"/>
      <c r="L881" s="114"/>
      <c r="M881" s="114"/>
      <c r="N881" s="114"/>
      <c r="O881" s="114"/>
      <c r="P881" s="114"/>
      <c r="Q881" s="114"/>
      <c r="R881" s="114"/>
      <c r="S881" s="114"/>
      <c r="T881" s="114"/>
      <c r="U881" s="114"/>
      <c r="V881" s="114"/>
      <c r="W881" s="114"/>
      <c r="X881" s="114"/>
      <c r="Y881" s="114"/>
      <c r="Z881" s="114"/>
      <c r="AA881" s="114"/>
      <c r="AB881" s="114"/>
      <c r="AC881" s="114"/>
      <c r="AD881" s="114"/>
      <c r="AE881" s="114"/>
      <c r="AF881" s="114"/>
      <c r="AG881" s="114"/>
      <c r="AH881" s="114"/>
      <c r="AI881" s="114"/>
      <c r="AJ881" s="114"/>
      <c r="AK881" s="114"/>
      <c r="AL881" s="114"/>
      <c r="AM881" s="114"/>
      <c r="AN881" s="114"/>
      <c r="AO881" s="114"/>
      <c r="AP881" s="114"/>
      <c r="AQ881" s="114"/>
      <c r="AR881" s="114"/>
      <c r="AS881" s="114"/>
      <c r="AT881" s="114"/>
      <c r="AU881" s="114"/>
      <c r="AV881" s="114"/>
      <c r="AW881" s="114"/>
      <c r="AX881" s="114"/>
    </row>
    <row r="882" spans="4:50">
      <c r="D882" s="114"/>
      <c r="F882" s="114"/>
      <c r="G882" s="114"/>
      <c r="H882" s="114"/>
      <c r="I882" s="114"/>
      <c r="J882" s="114"/>
      <c r="K882" s="114"/>
      <c r="L882" s="114"/>
      <c r="M882" s="114"/>
      <c r="N882" s="114"/>
      <c r="O882" s="114"/>
      <c r="P882" s="114"/>
      <c r="Q882" s="114"/>
      <c r="R882" s="114"/>
      <c r="S882" s="114"/>
      <c r="T882" s="114"/>
      <c r="U882" s="114"/>
      <c r="V882" s="114"/>
      <c r="W882" s="114"/>
      <c r="X882" s="114"/>
      <c r="Y882" s="114"/>
      <c r="Z882" s="114"/>
      <c r="AA882" s="114"/>
      <c r="AB882" s="114"/>
      <c r="AC882" s="114"/>
      <c r="AD882" s="114"/>
      <c r="AE882" s="114"/>
      <c r="AF882" s="114"/>
      <c r="AG882" s="114"/>
      <c r="AH882" s="114"/>
      <c r="AI882" s="114"/>
      <c r="AJ882" s="114"/>
      <c r="AK882" s="114"/>
      <c r="AL882" s="114"/>
      <c r="AM882" s="114"/>
      <c r="AN882" s="114"/>
      <c r="AO882" s="114"/>
      <c r="AP882" s="114"/>
      <c r="AQ882" s="114"/>
      <c r="AR882" s="114"/>
      <c r="AS882" s="114"/>
      <c r="AT882" s="114"/>
      <c r="AU882" s="114"/>
      <c r="AV882" s="114"/>
      <c r="AW882" s="114"/>
      <c r="AX882" s="114"/>
    </row>
    <row r="883" spans="4:50">
      <c r="D883" s="114"/>
      <c r="F883" s="114"/>
      <c r="G883" s="114"/>
      <c r="H883" s="114"/>
      <c r="I883" s="114"/>
      <c r="J883" s="114"/>
      <c r="K883" s="114"/>
      <c r="L883" s="114"/>
      <c r="M883" s="114"/>
      <c r="N883" s="114"/>
      <c r="O883" s="114"/>
      <c r="P883" s="114"/>
      <c r="Q883" s="114"/>
      <c r="R883" s="114"/>
      <c r="S883" s="114"/>
      <c r="T883" s="114"/>
      <c r="U883" s="114"/>
      <c r="V883" s="114"/>
      <c r="W883" s="114"/>
      <c r="X883" s="114"/>
      <c r="Y883" s="114"/>
      <c r="Z883" s="114"/>
      <c r="AA883" s="114"/>
      <c r="AB883" s="114"/>
      <c r="AC883" s="114"/>
      <c r="AD883" s="114"/>
      <c r="AE883" s="114"/>
      <c r="AF883" s="114"/>
      <c r="AG883" s="114"/>
      <c r="AH883" s="114"/>
      <c r="AI883" s="114"/>
      <c r="AJ883" s="114"/>
      <c r="AK883" s="114"/>
      <c r="AL883" s="114"/>
      <c r="AM883" s="114"/>
      <c r="AN883" s="114"/>
      <c r="AO883" s="114"/>
      <c r="AP883" s="114"/>
      <c r="AQ883" s="114"/>
      <c r="AR883" s="114"/>
      <c r="AS883" s="114"/>
      <c r="AT883" s="114"/>
      <c r="AU883" s="114"/>
      <c r="AV883" s="114"/>
      <c r="AW883" s="114"/>
      <c r="AX883" s="114"/>
    </row>
    <row r="884" spans="4:50">
      <c r="D884" s="114"/>
      <c r="F884" s="114"/>
      <c r="G884" s="114"/>
      <c r="H884" s="114"/>
      <c r="I884" s="114"/>
      <c r="J884" s="114"/>
      <c r="K884" s="114"/>
      <c r="L884" s="114"/>
      <c r="M884" s="114"/>
      <c r="N884" s="114"/>
      <c r="O884" s="114"/>
      <c r="P884" s="114"/>
      <c r="Q884" s="114"/>
      <c r="R884" s="114"/>
      <c r="S884" s="114"/>
      <c r="T884" s="114"/>
      <c r="U884" s="114"/>
      <c r="V884" s="114"/>
      <c r="W884" s="114"/>
      <c r="X884" s="114"/>
      <c r="Y884" s="114"/>
      <c r="Z884" s="114"/>
      <c r="AA884" s="114"/>
      <c r="AB884" s="114"/>
      <c r="AC884" s="114"/>
      <c r="AD884" s="114"/>
      <c r="AE884" s="114"/>
      <c r="AF884" s="114"/>
      <c r="AG884" s="114"/>
      <c r="AH884" s="114"/>
      <c r="AI884" s="114"/>
      <c r="AJ884" s="114"/>
      <c r="AK884" s="114"/>
      <c r="AL884" s="114"/>
      <c r="AM884" s="114"/>
      <c r="AN884" s="114"/>
      <c r="AO884" s="114"/>
      <c r="AP884" s="114"/>
      <c r="AQ884" s="114"/>
      <c r="AR884" s="114"/>
      <c r="AS884" s="114"/>
      <c r="AT884" s="114"/>
      <c r="AU884" s="114"/>
      <c r="AV884" s="114"/>
      <c r="AW884" s="114"/>
      <c r="AX884" s="114"/>
    </row>
    <row r="885" spans="4:50">
      <c r="D885" s="114"/>
      <c r="F885" s="114"/>
      <c r="G885" s="114"/>
      <c r="H885" s="114"/>
      <c r="I885" s="114"/>
      <c r="J885" s="114"/>
      <c r="K885" s="114"/>
      <c r="L885" s="114"/>
      <c r="M885" s="114"/>
      <c r="N885" s="114"/>
      <c r="O885" s="114"/>
      <c r="P885" s="114"/>
      <c r="Q885" s="114"/>
      <c r="R885" s="114"/>
      <c r="S885" s="114"/>
      <c r="T885" s="114"/>
      <c r="U885" s="114"/>
      <c r="V885" s="114"/>
      <c r="W885" s="114"/>
      <c r="X885" s="114"/>
      <c r="Y885" s="114"/>
      <c r="Z885" s="114"/>
      <c r="AA885" s="114"/>
      <c r="AB885" s="114"/>
      <c r="AC885" s="114"/>
      <c r="AD885" s="114"/>
      <c r="AE885" s="114"/>
      <c r="AF885" s="114"/>
      <c r="AG885" s="114"/>
      <c r="AH885" s="114"/>
      <c r="AI885" s="114"/>
      <c r="AJ885" s="114"/>
      <c r="AK885" s="114"/>
      <c r="AL885" s="114"/>
      <c r="AM885" s="114"/>
      <c r="AN885" s="114"/>
      <c r="AO885" s="114"/>
      <c r="AP885" s="114"/>
      <c r="AQ885" s="114"/>
      <c r="AR885" s="114"/>
      <c r="AS885" s="114"/>
      <c r="AT885" s="114"/>
      <c r="AU885" s="114"/>
      <c r="AV885" s="114"/>
      <c r="AW885" s="114"/>
      <c r="AX885" s="114"/>
    </row>
    <row r="886" spans="4:50">
      <c r="D886" s="114"/>
      <c r="F886" s="114"/>
      <c r="G886" s="114"/>
      <c r="H886" s="114"/>
      <c r="I886" s="114"/>
      <c r="J886" s="114"/>
      <c r="K886" s="114"/>
      <c r="L886" s="114"/>
      <c r="M886" s="114"/>
      <c r="N886" s="114"/>
      <c r="O886" s="114"/>
      <c r="P886" s="114"/>
      <c r="Q886" s="114"/>
      <c r="R886" s="114"/>
      <c r="S886" s="114"/>
      <c r="T886" s="114"/>
      <c r="U886" s="114"/>
      <c r="V886" s="114"/>
      <c r="W886" s="114"/>
      <c r="X886" s="114"/>
      <c r="Y886" s="114"/>
      <c r="Z886" s="114"/>
      <c r="AA886" s="114"/>
      <c r="AB886" s="114"/>
      <c r="AC886" s="114"/>
      <c r="AD886" s="114"/>
      <c r="AE886" s="114"/>
      <c r="AF886" s="114"/>
      <c r="AG886" s="114"/>
      <c r="AH886" s="114"/>
      <c r="AI886" s="114"/>
      <c r="AJ886" s="114"/>
      <c r="AK886" s="114"/>
      <c r="AL886" s="114"/>
      <c r="AM886" s="114"/>
      <c r="AN886" s="114"/>
      <c r="AO886" s="114"/>
      <c r="AP886" s="114"/>
      <c r="AQ886" s="114"/>
      <c r="AR886" s="114"/>
      <c r="AS886" s="114"/>
      <c r="AT886" s="114"/>
      <c r="AU886" s="114"/>
      <c r="AV886" s="114"/>
      <c r="AW886" s="114"/>
      <c r="AX886" s="114"/>
    </row>
    <row r="887" spans="4:50">
      <c r="D887" s="114"/>
      <c r="F887" s="114"/>
      <c r="G887" s="114"/>
      <c r="H887" s="114"/>
      <c r="I887" s="114"/>
      <c r="J887" s="114"/>
      <c r="K887" s="114"/>
      <c r="L887" s="114"/>
      <c r="M887" s="114"/>
      <c r="N887" s="114"/>
      <c r="O887" s="114"/>
      <c r="P887" s="114"/>
      <c r="Q887" s="114"/>
      <c r="R887" s="114"/>
      <c r="S887" s="114"/>
      <c r="T887" s="114"/>
      <c r="U887" s="114"/>
      <c r="V887" s="114"/>
      <c r="W887" s="114"/>
      <c r="X887" s="114"/>
      <c r="Y887" s="114"/>
      <c r="Z887" s="114"/>
      <c r="AA887" s="114"/>
      <c r="AB887" s="114"/>
      <c r="AC887" s="114"/>
      <c r="AD887" s="114"/>
      <c r="AE887" s="114"/>
      <c r="AF887" s="114"/>
      <c r="AG887" s="114"/>
      <c r="AH887" s="114"/>
      <c r="AI887" s="114"/>
      <c r="AJ887" s="114"/>
      <c r="AK887" s="114"/>
      <c r="AL887" s="114"/>
      <c r="AM887" s="114"/>
      <c r="AN887" s="114"/>
      <c r="AO887" s="114"/>
      <c r="AP887" s="114"/>
      <c r="AQ887" s="114"/>
      <c r="AR887" s="114"/>
      <c r="AS887" s="114"/>
      <c r="AT887" s="114"/>
      <c r="AU887" s="114"/>
      <c r="AV887" s="114"/>
      <c r="AW887" s="114"/>
      <c r="AX887" s="114"/>
    </row>
    <row r="888" spans="4:50">
      <c r="D888" s="114"/>
      <c r="F888" s="114"/>
      <c r="G888" s="114"/>
      <c r="H888" s="114"/>
      <c r="I888" s="114"/>
      <c r="J888" s="114"/>
      <c r="K888" s="114"/>
      <c r="L888" s="114"/>
      <c r="M888" s="114"/>
      <c r="N888" s="114"/>
      <c r="O888" s="114"/>
      <c r="P888" s="114"/>
      <c r="Q888" s="114"/>
      <c r="R888" s="114"/>
      <c r="S888" s="114"/>
      <c r="T888" s="114"/>
      <c r="U888" s="114"/>
      <c r="V888" s="114"/>
      <c r="W888" s="114"/>
      <c r="X888" s="114"/>
      <c r="Y888" s="114"/>
      <c r="Z888" s="114"/>
      <c r="AA888" s="114"/>
      <c r="AB888" s="114"/>
      <c r="AC888" s="114"/>
      <c r="AD888" s="114"/>
      <c r="AE888" s="114"/>
      <c r="AF888" s="114"/>
      <c r="AG888" s="114"/>
      <c r="AH888" s="114"/>
      <c r="AI888" s="114"/>
      <c r="AJ888" s="114"/>
      <c r="AK888" s="114"/>
      <c r="AL888" s="114"/>
      <c r="AM888" s="114"/>
      <c r="AN888" s="114"/>
      <c r="AO888" s="114"/>
      <c r="AP888" s="114"/>
      <c r="AQ888" s="114"/>
      <c r="AR888" s="114"/>
      <c r="AS888" s="114"/>
      <c r="AT888" s="114"/>
      <c r="AU888" s="114"/>
      <c r="AV888" s="114"/>
      <c r="AW888" s="114"/>
      <c r="AX888" s="114"/>
    </row>
    <row r="889" spans="4:50">
      <c r="D889" s="114"/>
      <c r="F889" s="114"/>
      <c r="G889" s="114"/>
      <c r="H889" s="114"/>
      <c r="I889" s="114"/>
      <c r="J889" s="114"/>
      <c r="K889" s="114"/>
      <c r="L889" s="114"/>
      <c r="M889" s="114"/>
      <c r="N889" s="114"/>
      <c r="O889" s="114"/>
      <c r="P889" s="114"/>
      <c r="Q889" s="114"/>
      <c r="R889" s="114"/>
      <c r="S889" s="114"/>
      <c r="T889" s="114"/>
      <c r="U889" s="114"/>
      <c r="V889" s="114"/>
      <c r="W889" s="114"/>
      <c r="X889" s="114"/>
      <c r="Y889" s="114"/>
      <c r="Z889" s="114"/>
      <c r="AA889" s="114"/>
      <c r="AB889" s="114"/>
      <c r="AC889" s="114"/>
      <c r="AD889" s="114"/>
      <c r="AE889" s="114"/>
      <c r="AF889" s="114"/>
      <c r="AG889" s="114"/>
      <c r="AH889" s="114"/>
      <c r="AI889" s="114"/>
      <c r="AJ889" s="114"/>
      <c r="AK889" s="114"/>
      <c r="AL889" s="114"/>
      <c r="AM889" s="114"/>
      <c r="AN889" s="114"/>
      <c r="AO889" s="114"/>
      <c r="AP889" s="114"/>
      <c r="AQ889" s="114"/>
      <c r="AR889" s="114"/>
      <c r="AS889" s="114"/>
      <c r="AT889" s="114"/>
      <c r="AU889" s="114"/>
      <c r="AV889" s="114"/>
      <c r="AW889" s="114"/>
      <c r="AX889" s="114"/>
    </row>
    <row r="890" spans="4:50">
      <c r="D890" s="114"/>
      <c r="F890" s="114"/>
      <c r="G890" s="114"/>
      <c r="H890" s="114"/>
      <c r="I890" s="114"/>
      <c r="J890" s="114"/>
      <c r="K890" s="114"/>
      <c r="L890" s="114"/>
      <c r="M890" s="114"/>
      <c r="N890" s="114"/>
      <c r="O890" s="114"/>
      <c r="P890" s="114"/>
      <c r="Q890" s="114"/>
      <c r="R890" s="114"/>
      <c r="S890" s="114"/>
      <c r="T890" s="114"/>
      <c r="U890" s="114"/>
      <c r="V890" s="114"/>
      <c r="W890" s="114"/>
      <c r="X890" s="114"/>
      <c r="Y890" s="114"/>
      <c r="Z890" s="114"/>
      <c r="AA890" s="114"/>
      <c r="AB890" s="114"/>
      <c r="AC890" s="114"/>
      <c r="AD890" s="114"/>
      <c r="AE890" s="114"/>
      <c r="AF890" s="114"/>
      <c r="AG890" s="114"/>
      <c r="AH890" s="114"/>
      <c r="AI890" s="114"/>
      <c r="AJ890" s="114"/>
      <c r="AK890" s="114"/>
      <c r="AL890" s="114"/>
      <c r="AM890" s="114"/>
      <c r="AN890" s="114"/>
      <c r="AO890" s="114"/>
      <c r="AP890" s="114"/>
      <c r="AQ890" s="114"/>
      <c r="AR890" s="114"/>
      <c r="AS890" s="114"/>
      <c r="AT890" s="114"/>
      <c r="AU890" s="114"/>
      <c r="AV890" s="114"/>
      <c r="AW890" s="114"/>
      <c r="AX890" s="114"/>
    </row>
    <row r="891" spans="4:50">
      <c r="D891" s="114"/>
      <c r="F891" s="114"/>
      <c r="G891" s="114"/>
      <c r="H891" s="114"/>
      <c r="I891" s="114"/>
      <c r="J891" s="114"/>
      <c r="K891" s="114"/>
      <c r="L891" s="114"/>
      <c r="M891" s="114"/>
      <c r="N891" s="114"/>
      <c r="O891" s="114"/>
      <c r="P891" s="114"/>
      <c r="Q891" s="114"/>
      <c r="R891" s="114"/>
      <c r="S891" s="114"/>
      <c r="T891" s="114"/>
      <c r="U891" s="114"/>
      <c r="V891" s="114"/>
      <c r="W891" s="114"/>
      <c r="X891" s="114"/>
      <c r="Y891" s="114"/>
      <c r="Z891" s="114"/>
      <c r="AA891" s="114"/>
      <c r="AB891" s="114"/>
      <c r="AC891" s="114"/>
      <c r="AD891" s="114"/>
      <c r="AE891" s="114"/>
      <c r="AF891" s="114"/>
      <c r="AG891" s="114"/>
      <c r="AH891" s="114"/>
      <c r="AI891" s="114"/>
      <c r="AJ891" s="114"/>
      <c r="AK891" s="114"/>
      <c r="AL891" s="114"/>
      <c r="AM891" s="114"/>
      <c r="AN891" s="114"/>
      <c r="AO891" s="114"/>
      <c r="AP891" s="114"/>
      <c r="AQ891" s="114"/>
      <c r="AR891" s="114"/>
      <c r="AS891" s="114"/>
      <c r="AT891" s="114"/>
      <c r="AU891" s="114"/>
      <c r="AV891" s="114"/>
      <c r="AW891" s="114"/>
      <c r="AX891" s="114"/>
    </row>
    <row r="892" spans="4:50">
      <c r="D892" s="114"/>
      <c r="F892" s="114"/>
      <c r="G892" s="114"/>
      <c r="H892" s="114"/>
      <c r="I892" s="114"/>
      <c r="J892" s="114"/>
      <c r="K892" s="114"/>
      <c r="L892" s="114"/>
      <c r="M892" s="114"/>
      <c r="N892" s="114"/>
      <c r="O892" s="114"/>
      <c r="P892" s="114"/>
      <c r="Q892" s="114"/>
      <c r="R892" s="114"/>
      <c r="S892" s="114"/>
      <c r="T892" s="114"/>
      <c r="U892" s="114"/>
      <c r="V892" s="114"/>
      <c r="W892" s="114"/>
      <c r="X892" s="114"/>
      <c r="Y892" s="114"/>
      <c r="Z892" s="114"/>
      <c r="AA892" s="114"/>
      <c r="AB892" s="114"/>
      <c r="AC892" s="114"/>
      <c r="AD892" s="114"/>
      <c r="AE892" s="114"/>
      <c r="AF892" s="114"/>
      <c r="AG892" s="114"/>
      <c r="AH892" s="114"/>
      <c r="AI892" s="114"/>
      <c r="AJ892" s="114"/>
      <c r="AK892" s="114"/>
      <c r="AL892" s="114"/>
      <c r="AM892" s="114"/>
      <c r="AN892" s="114"/>
      <c r="AO892" s="114"/>
      <c r="AP892" s="114"/>
      <c r="AQ892" s="114"/>
      <c r="AR892" s="114"/>
      <c r="AS892" s="114"/>
      <c r="AT892" s="114"/>
      <c r="AU892" s="114"/>
      <c r="AV892" s="114"/>
      <c r="AW892" s="114"/>
      <c r="AX892" s="114"/>
    </row>
    <row r="893" spans="4:50">
      <c r="D893" s="114"/>
      <c r="F893" s="114"/>
      <c r="G893" s="114"/>
      <c r="H893" s="114"/>
      <c r="I893" s="114"/>
      <c r="J893" s="114"/>
      <c r="K893" s="114"/>
      <c r="L893" s="114"/>
      <c r="M893" s="114"/>
      <c r="N893" s="114"/>
      <c r="O893" s="114"/>
      <c r="P893" s="114"/>
      <c r="Q893" s="114"/>
      <c r="R893" s="114"/>
      <c r="S893" s="114"/>
      <c r="T893" s="114"/>
      <c r="U893" s="114"/>
      <c r="V893" s="114"/>
      <c r="W893" s="114"/>
      <c r="X893" s="114"/>
      <c r="Y893" s="114"/>
      <c r="Z893" s="114"/>
      <c r="AA893" s="114"/>
      <c r="AB893" s="114"/>
      <c r="AC893" s="114"/>
      <c r="AD893" s="114"/>
      <c r="AE893" s="114"/>
      <c r="AF893" s="114"/>
      <c r="AG893" s="114"/>
      <c r="AH893" s="114"/>
      <c r="AI893" s="114"/>
      <c r="AJ893" s="114"/>
      <c r="AK893" s="114"/>
      <c r="AL893" s="114"/>
      <c r="AM893" s="114"/>
      <c r="AN893" s="114"/>
      <c r="AO893" s="114"/>
      <c r="AP893" s="114"/>
      <c r="AQ893" s="114"/>
      <c r="AR893" s="114"/>
      <c r="AS893" s="114"/>
      <c r="AT893" s="114"/>
      <c r="AU893" s="114"/>
      <c r="AV893" s="114"/>
      <c r="AW893" s="114"/>
      <c r="AX893" s="114"/>
    </row>
    <row r="894" spans="4:50">
      <c r="D894" s="114"/>
      <c r="F894" s="114"/>
      <c r="G894" s="114"/>
      <c r="H894" s="114"/>
      <c r="I894" s="114"/>
      <c r="J894" s="114"/>
      <c r="K894" s="114"/>
      <c r="L894" s="114"/>
      <c r="M894" s="114"/>
      <c r="N894" s="114"/>
      <c r="O894" s="114"/>
      <c r="P894" s="114"/>
      <c r="Q894" s="114"/>
      <c r="R894" s="114"/>
      <c r="S894" s="114"/>
      <c r="T894" s="114"/>
      <c r="U894" s="114"/>
      <c r="V894" s="114"/>
      <c r="W894" s="114"/>
      <c r="X894" s="114"/>
      <c r="Y894" s="114"/>
      <c r="Z894" s="114"/>
      <c r="AA894" s="114"/>
      <c r="AB894" s="114"/>
      <c r="AC894" s="114"/>
      <c r="AD894" s="114"/>
      <c r="AE894" s="114"/>
      <c r="AF894" s="114"/>
      <c r="AG894" s="114"/>
      <c r="AH894" s="114"/>
      <c r="AI894" s="114"/>
      <c r="AJ894" s="114"/>
      <c r="AK894" s="114"/>
      <c r="AL894" s="114"/>
      <c r="AM894" s="114"/>
      <c r="AN894" s="114"/>
      <c r="AO894" s="114"/>
      <c r="AP894" s="114"/>
      <c r="AQ894" s="114"/>
      <c r="AR894" s="114"/>
      <c r="AS894" s="114"/>
      <c r="AT894" s="114"/>
      <c r="AU894" s="114"/>
      <c r="AV894" s="114"/>
      <c r="AW894" s="114"/>
      <c r="AX894" s="114"/>
    </row>
    <row r="895" spans="4:50">
      <c r="D895" s="114"/>
      <c r="F895" s="114"/>
      <c r="G895" s="114"/>
      <c r="H895" s="114"/>
      <c r="I895" s="114"/>
      <c r="J895" s="114"/>
      <c r="K895" s="114"/>
      <c r="L895" s="114"/>
      <c r="M895" s="114"/>
      <c r="N895" s="114"/>
      <c r="O895" s="114"/>
      <c r="P895" s="114"/>
      <c r="Q895" s="114"/>
      <c r="R895" s="114"/>
      <c r="S895" s="114"/>
      <c r="T895" s="114"/>
      <c r="U895" s="114"/>
      <c r="V895" s="114"/>
      <c r="W895" s="114"/>
      <c r="X895" s="114"/>
      <c r="Y895" s="114"/>
      <c r="Z895" s="114"/>
      <c r="AA895" s="114"/>
      <c r="AB895" s="114"/>
      <c r="AC895" s="114"/>
      <c r="AD895" s="114"/>
      <c r="AE895" s="114"/>
      <c r="AF895" s="114"/>
      <c r="AG895" s="114"/>
      <c r="AH895" s="114"/>
      <c r="AI895" s="114"/>
      <c r="AJ895" s="114"/>
      <c r="AK895" s="114"/>
      <c r="AL895" s="114"/>
      <c r="AM895" s="114"/>
      <c r="AN895" s="114"/>
      <c r="AO895" s="114"/>
      <c r="AP895" s="114"/>
      <c r="AQ895" s="114"/>
      <c r="AR895" s="114"/>
      <c r="AS895" s="114"/>
      <c r="AT895" s="114"/>
      <c r="AU895" s="114"/>
      <c r="AV895" s="114"/>
      <c r="AW895" s="114"/>
      <c r="AX895" s="114"/>
    </row>
    <row r="896" spans="4:50">
      <c r="D896" s="114"/>
      <c r="F896" s="114"/>
      <c r="G896" s="114"/>
      <c r="H896" s="114"/>
      <c r="I896" s="114"/>
      <c r="J896" s="114"/>
      <c r="K896" s="114"/>
      <c r="L896" s="114"/>
      <c r="M896" s="114"/>
      <c r="N896" s="114"/>
      <c r="O896" s="114"/>
      <c r="P896" s="114"/>
      <c r="Q896" s="114"/>
      <c r="R896" s="114"/>
      <c r="S896" s="114"/>
      <c r="T896" s="114"/>
      <c r="U896" s="114"/>
      <c r="V896" s="114"/>
      <c r="W896" s="114"/>
      <c r="X896" s="114"/>
      <c r="Y896" s="114"/>
      <c r="Z896" s="114"/>
      <c r="AA896" s="114"/>
      <c r="AB896" s="114"/>
      <c r="AC896" s="114"/>
      <c r="AD896" s="114"/>
      <c r="AE896" s="114"/>
      <c r="AF896" s="114"/>
      <c r="AG896" s="114"/>
      <c r="AH896" s="114"/>
      <c r="AI896" s="114"/>
      <c r="AJ896" s="114"/>
      <c r="AK896" s="114"/>
      <c r="AL896" s="114"/>
      <c r="AM896" s="114"/>
      <c r="AN896" s="114"/>
      <c r="AO896" s="114"/>
      <c r="AP896" s="114"/>
      <c r="AQ896" s="114"/>
      <c r="AR896" s="114"/>
      <c r="AS896" s="114"/>
      <c r="AT896" s="114"/>
      <c r="AU896" s="114"/>
      <c r="AV896" s="114"/>
      <c r="AW896" s="114"/>
      <c r="AX896" s="114"/>
    </row>
    <row r="897" spans="4:50">
      <c r="D897" s="114"/>
      <c r="F897" s="114"/>
      <c r="G897" s="114"/>
      <c r="H897" s="114"/>
      <c r="I897" s="114"/>
      <c r="J897" s="114"/>
      <c r="K897" s="114"/>
      <c r="L897" s="114"/>
      <c r="M897" s="114"/>
      <c r="N897" s="114"/>
      <c r="O897" s="114"/>
      <c r="P897" s="114"/>
      <c r="Q897" s="114"/>
      <c r="R897" s="114"/>
      <c r="S897" s="114"/>
      <c r="T897" s="114"/>
      <c r="U897" s="114"/>
      <c r="V897" s="114"/>
      <c r="W897" s="114"/>
      <c r="X897" s="114"/>
      <c r="Y897" s="114"/>
      <c r="Z897" s="114"/>
      <c r="AA897" s="114"/>
      <c r="AB897" s="114"/>
      <c r="AC897" s="114"/>
      <c r="AD897" s="114"/>
      <c r="AE897" s="114"/>
      <c r="AF897" s="114"/>
      <c r="AG897" s="114"/>
      <c r="AH897" s="114"/>
      <c r="AI897" s="114"/>
      <c r="AJ897" s="114"/>
      <c r="AK897" s="114"/>
      <c r="AL897" s="114"/>
      <c r="AM897" s="114"/>
      <c r="AN897" s="114"/>
      <c r="AO897" s="114"/>
      <c r="AP897" s="114"/>
      <c r="AQ897" s="114"/>
      <c r="AR897" s="114"/>
      <c r="AS897" s="114"/>
      <c r="AT897" s="114"/>
      <c r="AU897" s="114"/>
      <c r="AV897" s="114"/>
      <c r="AW897" s="114"/>
      <c r="AX897" s="114"/>
    </row>
    <row r="898" spans="4:50">
      <c r="D898" s="114"/>
      <c r="F898" s="114"/>
      <c r="G898" s="114"/>
      <c r="H898" s="114"/>
      <c r="I898" s="114"/>
      <c r="J898" s="114"/>
      <c r="K898" s="114"/>
      <c r="L898" s="114"/>
      <c r="M898" s="114"/>
      <c r="N898" s="114"/>
      <c r="O898" s="114"/>
      <c r="P898" s="114"/>
      <c r="Q898" s="114"/>
      <c r="R898" s="114"/>
      <c r="S898" s="114"/>
      <c r="T898" s="114"/>
      <c r="U898" s="114"/>
      <c r="V898" s="114"/>
      <c r="W898" s="114"/>
      <c r="X898" s="114"/>
      <c r="Y898" s="114"/>
      <c r="Z898" s="114"/>
      <c r="AA898" s="114"/>
      <c r="AB898" s="114"/>
      <c r="AC898" s="114"/>
      <c r="AD898" s="114"/>
      <c r="AE898" s="114"/>
      <c r="AF898" s="114"/>
      <c r="AG898" s="114"/>
      <c r="AH898" s="114"/>
      <c r="AI898" s="114"/>
      <c r="AJ898" s="114"/>
      <c r="AK898" s="114"/>
      <c r="AL898" s="114"/>
      <c r="AM898" s="114"/>
      <c r="AN898" s="114"/>
      <c r="AO898" s="114"/>
      <c r="AP898" s="114"/>
      <c r="AQ898" s="114"/>
      <c r="AR898" s="114"/>
      <c r="AS898" s="114"/>
      <c r="AT898" s="114"/>
      <c r="AU898" s="114"/>
      <c r="AV898" s="114"/>
      <c r="AW898" s="114"/>
      <c r="AX898" s="114"/>
    </row>
    <row r="899" spans="4:50">
      <c r="D899" s="114"/>
      <c r="F899" s="114"/>
      <c r="G899" s="114"/>
      <c r="H899" s="114"/>
      <c r="I899" s="114"/>
      <c r="J899" s="114"/>
      <c r="K899" s="114"/>
      <c r="L899" s="114"/>
      <c r="M899" s="114"/>
      <c r="N899" s="114"/>
      <c r="O899" s="114"/>
      <c r="P899" s="114"/>
      <c r="Q899" s="114"/>
      <c r="R899" s="114"/>
      <c r="S899" s="114"/>
      <c r="T899" s="114"/>
      <c r="U899" s="114"/>
      <c r="V899" s="114"/>
      <c r="W899" s="114"/>
      <c r="X899" s="114"/>
      <c r="Y899" s="114"/>
      <c r="Z899" s="114"/>
      <c r="AA899" s="114"/>
      <c r="AB899" s="114"/>
      <c r="AC899" s="114"/>
      <c r="AD899" s="114"/>
      <c r="AE899" s="114"/>
      <c r="AF899" s="114"/>
      <c r="AG899" s="114"/>
      <c r="AH899" s="114"/>
      <c r="AI899" s="114"/>
      <c r="AJ899" s="114"/>
      <c r="AK899" s="114"/>
      <c r="AL899" s="114"/>
      <c r="AM899" s="114"/>
      <c r="AN899" s="114"/>
      <c r="AO899" s="114"/>
      <c r="AP899" s="114"/>
      <c r="AQ899" s="114"/>
      <c r="AR899" s="114"/>
      <c r="AS899" s="114"/>
      <c r="AT899" s="114"/>
      <c r="AU899" s="114"/>
      <c r="AV899" s="114"/>
      <c r="AW899" s="114"/>
      <c r="AX899" s="114"/>
    </row>
    <row r="900" spans="4:50">
      <c r="D900" s="114"/>
      <c r="F900" s="114"/>
      <c r="G900" s="114"/>
      <c r="H900" s="114"/>
      <c r="I900" s="114"/>
      <c r="J900" s="114"/>
      <c r="K900" s="114"/>
      <c r="L900" s="114"/>
      <c r="M900" s="114"/>
      <c r="N900" s="114"/>
      <c r="O900" s="114"/>
      <c r="P900" s="114"/>
      <c r="Q900" s="114"/>
      <c r="R900" s="114"/>
      <c r="S900" s="114"/>
      <c r="T900" s="114"/>
      <c r="U900" s="114"/>
      <c r="V900" s="114"/>
      <c r="W900" s="114"/>
      <c r="X900" s="114"/>
      <c r="Y900" s="114"/>
      <c r="Z900" s="114"/>
      <c r="AA900" s="114"/>
      <c r="AB900" s="114"/>
      <c r="AC900" s="114"/>
      <c r="AD900" s="114"/>
      <c r="AE900" s="114"/>
      <c r="AF900" s="114"/>
      <c r="AG900" s="114"/>
      <c r="AH900" s="114"/>
      <c r="AI900" s="114"/>
      <c r="AJ900" s="114"/>
      <c r="AK900" s="114"/>
      <c r="AL900" s="114"/>
      <c r="AM900" s="114"/>
      <c r="AN900" s="114"/>
      <c r="AO900" s="114"/>
      <c r="AP900" s="114"/>
      <c r="AQ900" s="114"/>
      <c r="AR900" s="114"/>
      <c r="AS900" s="114"/>
      <c r="AT900" s="114"/>
      <c r="AU900" s="114"/>
      <c r="AV900" s="114"/>
      <c r="AW900" s="114"/>
      <c r="AX900" s="114"/>
    </row>
    <row r="901" spans="4:50">
      <c r="D901" s="114"/>
      <c r="F901" s="114"/>
      <c r="G901" s="114"/>
      <c r="H901" s="114"/>
      <c r="I901" s="114"/>
      <c r="J901" s="114"/>
      <c r="K901" s="114"/>
      <c r="L901" s="114"/>
      <c r="M901" s="114"/>
      <c r="N901" s="114"/>
      <c r="O901" s="114"/>
      <c r="P901" s="114"/>
      <c r="Q901" s="114"/>
      <c r="R901" s="114"/>
      <c r="S901" s="114"/>
      <c r="T901" s="114"/>
      <c r="U901" s="114"/>
      <c r="V901" s="114"/>
      <c r="W901" s="114"/>
      <c r="X901" s="114"/>
      <c r="Y901" s="114"/>
      <c r="Z901" s="114"/>
      <c r="AA901" s="114"/>
      <c r="AB901" s="114"/>
      <c r="AC901" s="114"/>
      <c r="AD901" s="114"/>
      <c r="AE901" s="114"/>
      <c r="AF901" s="114"/>
      <c r="AG901" s="114"/>
      <c r="AH901" s="114"/>
      <c r="AI901" s="114"/>
      <c r="AJ901" s="114"/>
      <c r="AK901" s="114"/>
      <c r="AL901" s="114"/>
      <c r="AM901" s="114"/>
      <c r="AN901" s="114"/>
      <c r="AO901" s="114"/>
      <c r="AP901" s="114"/>
      <c r="AQ901" s="114"/>
      <c r="AR901" s="114"/>
      <c r="AS901" s="114"/>
      <c r="AT901" s="114"/>
      <c r="AU901" s="114"/>
      <c r="AV901" s="114"/>
      <c r="AW901" s="114"/>
      <c r="AX901" s="114"/>
    </row>
    <row r="902" spans="4:50">
      <c r="D902" s="114"/>
      <c r="F902" s="114"/>
      <c r="G902" s="114"/>
      <c r="H902" s="114"/>
      <c r="I902" s="114"/>
      <c r="J902" s="114"/>
      <c r="K902" s="114"/>
      <c r="L902" s="114"/>
      <c r="M902" s="114"/>
      <c r="N902" s="114"/>
      <c r="O902" s="114"/>
      <c r="P902" s="114"/>
      <c r="Q902" s="114"/>
      <c r="R902" s="114"/>
      <c r="S902" s="114"/>
      <c r="T902" s="114"/>
      <c r="U902" s="114"/>
      <c r="V902" s="114"/>
      <c r="W902" s="114"/>
      <c r="X902" s="114"/>
      <c r="Y902" s="114"/>
      <c r="Z902" s="114"/>
      <c r="AA902" s="114"/>
      <c r="AB902" s="114"/>
      <c r="AC902" s="114"/>
      <c r="AD902" s="114"/>
      <c r="AE902" s="114"/>
      <c r="AF902" s="114"/>
      <c r="AG902" s="114"/>
      <c r="AH902" s="114"/>
      <c r="AI902" s="114"/>
      <c r="AJ902" s="114"/>
      <c r="AK902" s="114"/>
      <c r="AL902" s="114"/>
      <c r="AM902" s="114"/>
      <c r="AN902" s="114"/>
      <c r="AO902" s="114"/>
      <c r="AP902" s="114"/>
      <c r="AQ902" s="114"/>
      <c r="AR902" s="114"/>
      <c r="AS902" s="114"/>
      <c r="AT902" s="114"/>
      <c r="AU902" s="114"/>
      <c r="AV902" s="114"/>
      <c r="AW902" s="114"/>
      <c r="AX902" s="114"/>
    </row>
    <row r="903" spans="4:50">
      <c r="D903" s="114"/>
      <c r="F903" s="114"/>
      <c r="G903" s="114"/>
      <c r="H903" s="114"/>
      <c r="I903" s="114"/>
      <c r="J903" s="114"/>
      <c r="K903" s="114"/>
      <c r="L903" s="114"/>
      <c r="M903" s="114"/>
      <c r="N903" s="114"/>
      <c r="O903" s="114"/>
      <c r="P903" s="114"/>
      <c r="Q903" s="114"/>
      <c r="R903" s="114"/>
      <c r="S903" s="114"/>
      <c r="T903" s="114"/>
      <c r="U903" s="114"/>
      <c r="V903" s="114"/>
      <c r="W903" s="114"/>
      <c r="X903" s="114"/>
      <c r="Y903" s="114"/>
      <c r="Z903" s="114"/>
      <c r="AA903" s="114"/>
      <c r="AB903" s="114"/>
      <c r="AC903" s="114"/>
      <c r="AD903" s="114"/>
      <c r="AE903" s="114"/>
      <c r="AF903" s="114"/>
      <c r="AG903" s="114"/>
      <c r="AH903" s="114"/>
      <c r="AI903" s="114"/>
      <c r="AJ903" s="114"/>
      <c r="AK903" s="114"/>
      <c r="AL903" s="114"/>
      <c r="AM903" s="114"/>
      <c r="AN903" s="114"/>
      <c r="AO903" s="114"/>
      <c r="AP903" s="114"/>
      <c r="AQ903" s="114"/>
      <c r="AR903" s="114"/>
      <c r="AS903" s="114"/>
      <c r="AT903" s="114"/>
      <c r="AU903" s="114"/>
      <c r="AV903" s="114"/>
      <c r="AW903" s="114"/>
      <c r="AX903" s="114"/>
    </row>
    <row r="904" spans="4:50">
      <c r="D904" s="114"/>
      <c r="F904" s="114"/>
      <c r="G904" s="114"/>
      <c r="H904" s="114"/>
      <c r="I904" s="114"/>
      <c r="J904" s="114"/>
      <c r="K904" s="114"/>
      <c r="L904" s="114"/>
      <c r="M904" s="114"/>
      <c r="N904" s="114"/>
      <c r="O904" s="114"/>
      <c r="P904" s="114"/>
      <c r="Q904" s="114"/>
      <c r="R904" s="114"/>
      <c r="S904" s="114"/>
      <c r="T904" s="114"/>
      <c r="U904" s="114"/>
      <c r="V904" s="114"/>
      <c r="W904" s="114"/>
      <c r="X904" s="114"/>
      <c r="Y904" s="114"/>
      <c r="Z904" s="114"/>
      <c r="AA904" s="114"/>
      <c r="AB904" s="114"/>
      <c r="AC904" s="114"/>
      <c r="AD904" s="114"/>
      <c r="AE904" s="114"/>
      <c r="AF904" s="114"/>
      <c r="AG904" s="114"/>
      <c r="AH904" s="114"/>
      <c r="AI904" s="114"/>
      <c r="AJ904" s="114"/>
      <c r="AK904" s="114"/>
      <c r="AL904" s="114"/>
      <c r="AM904" s="114"/>
      <c r="AN904" s="114"/>
      <c r="AO904" s="114"/>
      <c r="AP904" s="114"/>
      <c r="AQ904" s="114"/>
      <c r="AR904" s="114"/>
      <c r="AS904" s="114"/>
      <c r="AT904" s="114"/>
      <c r="AU904" s="114"/>
      <c r="AV904" s="114"/>
      <c r="AW904" s="114"/>
      <c r="AX904" s="114"/>
    </row>
    <row r="905" spans="4:50">
      <c r="D905" s="114"/>
      <c r="F905" s="114"/>
      <c r="G905" s="114"/>
      <c r="H905" s="114"/>
      <c r="I905" s="114"/>
      <c r="J905" s="114"/>
      <c r="K905" s="114"/>
      <c r="L905" s="114"/>
      <c r="M905" s="114"/>
      <c r="N905" s="114"/>
      <c r="O905" s="114"/>
      <c r="P905" s="114"/>
      <c r="Q905" s="114"/>
      <c r="R905" s="114"/>
      <c r="S905" s="114"/>
      <c r="T905" s="114"/>
      <c r="U905" s="114"/>
      <c r="V905" s="114"/>
      <c r="W905" s="114"/>
      <c r="X905" s="114"/>
      <c r="Y905" s="114"/>
      <c r="Z905" s="114"/>
      <c r="AA905" s="114"/>
      <c r="AB905" s="114"/>
      <c r="AC905" s="114"/>
      <c r="AD905" s="114"/>
      <c r="AE905" s="114"/>
      <c r="AF905" s="114"/>
      <c r="AG905" s="114"/>
      <c r="AH905" s="114"/>
      <c r="AI905" s="114"/>
      <c r="AJ905" s="114"/>
      <c r="AK905" s="114"/>
      <c r="AL905" s="114"/>
      <c r="AM905" s="114"/>
      <c r="AN905" s="114"/>
      <c r="AO905" s="114"/>
      <c r="AP905" s="114"/>
      <c r="AQ905" s="114"/>
      <c r="AR905" s="114"/>
      <c r="AS905" s="114"/>
      <c r="AT905" s="114"/>
      <c r="AU905" s="114"/>
      <c r="AV905" s="114"/>
      <c r="AW905" s="114"/>
      <c r="AX905" s="114"/>
    </row>
    <row r="906" spans="4:50">
      <c r="D906" s="114"/>
      <c r="F906" s="114"/>
      <c r="G906" s="114"/>
      <c r="H906" s="114"/>
      <c r="I906" s="114"/>
      <c r="J906" s="114"/>
      <c r="K906" s="114"/>
      <c r="L906" s="114"/>
      <c r="M906" s="114"/>
      <c r="N906" s="114"/>
      <c r="O906" s="114"/>
      <c r="P906" s="114"/>
      <c r="Q906" s="114"/>
      <c r="R906" s="114"/>
      <c r="S906" s="114"/>
      <c r="T906" s="114"/>
      <c r="U906" s="114"/>
      <c r="V906" s="114"/>
      <c r="W906" s="114"/>
      <c r="X906" s="114"/>
      <c r="Y906" s="114"/>
      <c r="Z906" s="114"/>
      <c r="AA906" s="114"/>
      <c r="AB906" s="114"/>
      <c r="AC906" s="114"/>
      <c r="AD906" s="114"/>
      <c r="AE906" s="114"/>
      <c r="AF906" s="114"/>
      <c r="AG906" s="114"/>
      <c r="AH906" s="114"/>
      <c r="AI906" s="114"/>
      <c r="AJ906" s="114"/>
      <c r="AK906" s="114"/>
      <c r="AL906" s="114"/>
      <c r="AM906" s="114"/>
      <c r="AN906" s="114"/>
      <c r="AO906" s="114"/>
      <c r="AP906" s="114"/>
      <c r="AQ906" s="114"/>
      <c r="AR906" s="114"/>
      <c r="AS906" s="114"/>
      <c r="AT906" s="114"/>
      <c r="AU906" s="114"/>
      <c r="AV906" s="114"/>
      <c r="AW906" s="114"/>
      <c r="AX906" s="114"/>
    </row>
    <row r="907" spans="4:50">
      <c r="D907" s="114"/>
      <c r="F907" s="114"/>
      <c r="G907" s="114"/>
      <c r="H907" s="114"/>
      <c r="I907" s="114"/>
      <c r="J907" s="114"/>
      <c r="K907" s="114"/>
      <c r="L907" s="114"/>
      <c r="M907" s="114"/>
      <c r="N907" s="114"/>
      <c r="O907" s="114"/>
      <c r="P907" s="114"/>
      <c r="Q907" s="114"/>
      <c r="R907" s="114"/>
      <c r="S907" s="114"/>
      <c r="T907" s="114"/>
      <c r="U907" s="114"/>
      <c r="V907" s="114"/>
      <c r="W907" s="114"/>
      <c r="X907" s="114"/>
      <c r="Y907" s="114"/>
      <c r="Z907" s="114"/>
      <c r="AA907" s="114"/>
      <c r="AB907" s="114"/>
      <c r="AC907" s="114"/>
      <c r="AD907" s="114"/>
      <c r="AE907" s="114"/>
      <c r="AF907" s="114"/>
      <c r="AG907" s="114"/>
      <c r="AH907" s="114"/>
      <c r="AI907" s="114"/>
      <c r="AJ907" s="114"/>
      <c r="AK907" s="114"/>
      <c r="AL907" s="114"/>
      <c r="AM907" s="114"/>
      <c r="AN907" s="114"/>
      <c r="AO907" s="114"/>
      <c r="AP907" s="114"/>
      <c r="AQ907" s="114"/>
      <c r="AR907" s="114"/>
      <c r="AS907" s="114"/>
      <c r="AT907" s="114"/>
      <c r="AU907" s="114"/>
      <c r="AV907" s="114"/>
      <c r="AW907" s="114"/>
      <c r="AX907" s="114"/>
    </row>
    <row r="908" spans="4:50">
      <c r="D908" s="114"/>
      <c r="F908" s="114"/>
      <c r="G908" s="114"/>
      <c r="H908" s="114"/>
      <c r="I908" s="114"/>
      <c r="J908" s="114"/>
      <c r="K908" s="114"/>
      <c r="L908" s="114"/>
      <c r="M908" s="114"/>
      <c r="N908" s="114"/>
      <c r="O908" s="114"/>
      <c r="P908" s="114"/>
      <c r="Q908" s="114"/>
      <c r="R908" s="114"/>
      <c r="S908" s="114"/>
      <c r="T908" s="114"/>
      <c r="U908" s="114"/>
      <c r="V908" s="114"/>
      <c r="W908" s="114"/>
      <c r="X908" s="114"/>
      <c r="Y908" s="114"/>
      <c r="Z908" s="114"/>
      <c r="AA908" s="114"/>
      <c r="AB908" s="114"/>
      <c r="AC908" s="114"/>
      <c r="AD908" s="114"/>
      <c r="AE908" s="114"/>
      <c r="AF908" s="114"/>
      <c r="AG908" s="114"/>
      <c r="AH908" s="114"/>
      <c r="AI908" s="114"/>
      <c r="AJ908" s="114"/>
      <c r="AK908" s="114"/>
      <c r="AL908" s="114"/>
      <c r="AM908" s="114"/>
      <c r="AN908" s="114"/>
      <c r="AO908" s="114"/>
      <c r="AP908" s="114"/>
      <c r="AQ908" s="114"/>
      <c r="AR908" s="114"/>
      <c r="AS908" s="114"/>
      <c r="AT908" s="114"/>
      <c r="AU908" s="114"/>
      <c r="AV908" s="114"/>
      <c r="AW908" s="114"/>
      <c r="AX908" s="114"/>
    </row>
    <row r="909" spans="4:50">
      <c r="D909" s="114"/>
      <c r="F909" s="114"/>
      <c r="G909" s="114"/>
      <c r="H909" s="114"/>
      <c r="I909" s="114"/>
      <c r="J909" s="114"/>
      <c r="K909" s="114"/>
      <c r="L909" s="114"/>
      <c r="M909" s="114"/>
      <c r="N909" s="114"/>
      <c r="O909" s="114"/>
      <c r="P909" s="114"/>
      <c r="Q909" s="114"/>
      <c r="R909" s="114"/>
      <c r="S909" s="114"/>
      <c r="T909" s="114"/>
      <c r="U909" s="114"/>
      <c r="V909" s="114"/>
      <c r="W909" s="114"/>
      <c r="X909" s="114"/>
      <c r="Y909" s="114"/>
      <c r="Z909" s="114"/>
      <c r="AA909" s="114"/>
      <c r="AB909" s="114"/>
      <c r="AC909" s="114"/>
      <c r="AD909" s="114"/>
      <c r="AE909" s="114"/>
      <c r="AF909" s="114"/>
      <c r="AG909" s="114"/>
      <c r="AH909" s="114"/>
      <c r="AI909" s="114"/>
      <c r="AJ909" s="114"/>
      <c r="AK909" s="114"/>
      <c r="AL909" s="114"/>
      <c r="AM909" s="114"/>
      <c r="AN909" s="114"/>
      <c r="AO909" s="114"/>
      <c r="AP909" s="114"/>
      <c r="AQ909" s="114"/>
      <c r="AR909" s="114"/>
      <c r="AS909" s="114"/>
      <c r="AT909" s="114"/>
      <c r="AU909" s="114"/>
      <c r="AV909" s="114"/>
      <c r="AW909" s="114"/>
      <c r="AX909" s="114"/>
    </row>
    <row r="910" spans="4:50">
      <c r="D910" s="114"/>
      <c r="F910" s="114"/>
      <c r="G910" s="114"/>
      <c r="H910" s="114"/>
      <c r="I910" s="114"/>
      <c r="J910" s="114"/>
      <c r="K910" s="114"/>
      <c r="L910" s="114"/>
      <c r="M910" s="114"/>
      <c r="N910" s="114"/>
      <c r="O910" s="114"/>
      <c r="P910" s="114"/>
      <c r="Q910" s="114"/>
      <c r="R910" s="114"/>
      <c r="S910" s="114"/>
      <c r="T910" s="114"/>
      <c r="U910" s="114"/>
      <c r="V910" s="114"/>
      <c r="W910" s="114"/>
      <c r="X910" s="114"/>
      <c r="Y910" s="114"/>
      <c r="Z910" s="114"/>
      <c r="AA910" s="114"/>
      <c r="AB910" s="114"/>
      <c r="AC910" s="114"/>
      <c r="AD910" s="114"/>
      <c r="AE910" s="114"/>
      <c r="AF910" s="114"/>
      <c r="AG910" s="114"/>
      <c r="AH910" s="114"/>
      <c r="AI910" s="114"/>
      <c r="AJ910" s="114"/>
      <c r="AK910" s="114"/>
      <c r="AL910" s="114"/>
      <c r="AM910" s="114"/>
      <c r="AN910" s="114"/>
      <c r="AO910" s="114"/>
      <c r="AP910" s="114"/>
      <c r="AQ910" s="114"/>
      <c r="AR910" s="114"/>
      <c r="AS910" s="114"/>
      <c r="AT910" s="114"/>
      <c r="AU910" s="114"/>
      <c r="AV910" s="114"/>
      <c r="AW910" s="114"/>
      <c r="AX910" s="114"/>
    </row>
    <row r="911" spans="4:50">
      <c r="D911" s="114"/>
      <c r="F911" s="114"/>
      <c r="G911" s="114"/>
      <c r="H911" s="114"/>
      <c r="I911" s="114"/>
      <c r="J911" s="114"/>
      <c r="K911" s="114"/>
      <c r="L911" s="114"/>
      <c r="M911" s="114"/>
      <c r="N911" s="114"/>
      <c r="O911" s="114"/>
      <c r="P911" s="114"/>
      <c r="Q911" s="114"/>
      <c r="R911" s="114"/>
      <c r="S911" s="114"/>
      <c r="T911" s="114"/>
      <c r="U911" s="114"/>
      <c r="V911" s="114"/>
      <c r="W911" s="114"/>
      <c r="X911" s="114"/>
      <c r="Y911" s="114"/>
      <c r="Z911" s="114"/>
      <c r="AA911" s="114"/>
      <c r="AB911" s="114"/>
      <c r="AC911" s="114"/>
      <c r="AD911" s="114"/>
      <c r="AE911" s="114"/>
      <c r="AF911" s="114"/>
      <c r="AG911" s="114"/>
      <c r="AH911" s="114"/>
      <c r="AI911" s="114"/>
      <c r="AJ911" s="114"/>
      <c r="AK911" s="114"/>
      <c r="AL911" s="114"/>
      <c r="AM911" s="114"/>
      <c r="AN911" s="114"/>
      <c r="AO911" s="114"/>
      <c r="AP911" s="114"/>
      <c r="AQ911" s="114"/>
      <c r="AR911" s="114"/>
      <c r="AS911" s="114"/>
      <c r="AT911" s="114"/>
      <c r="AU911" s="114"/>
      <c r="AV911" s="114"/>
      <c r="AW911" s="114"/>
      <c r="AX911" s="114"/>
    </row>
    <row r="912" spans="4:50">
      <c r="D912" s="114"/>
      <c r="F912" s="114"/>
      <c r="G912" s="114"/>
      <c r="H912" s="114"/>
      <c r="I912" s="114"/>
      <c r="J912" s="114"/>
      <c r="K912" s="114"/>
      <c r="L912" s="114"/>
      <c r="M912" s="114"/>
      <c r="N912" s="114"/>
      <c r="O912" s="114"/>
      <c r="P912" s="114"/>
      <c r="Q912" s="114"/>
      <c r="R912" s="114"/>
      <c r="S912" s="114"/>
      <c r="T912" s="114"/>
      <c r="U912" s="114"/>
      <c r="V912" s="114"/>
      <c r="W912" s="114"/>
      <c r="X912" s="114"/>
      <c r="Y912" s="114"/>
      <c r="Z912" s="114"/>
      <c r="AA912" s="114"/>
      <c r="AB912" s="114"/>
      <c r="AC912" s="114"/>
      <c r="AD912" s="114"/>
      <c r="AE912" s="114"/>
      <c r="AF912" s="114"/>
      <c r="AG912" s="114"/>
      <c r="AH912" s="114"/>
      <c r="AI912" s="114"/>
      <c r="AJ912" s="114"/>
      <c r="AK912" s="114"/>
      <c r="AL912" s="114"/>
      <c r="AM912" s="114"/>
      <c r="AN912" s="114"/>
      <c r="AO912" s="114"/>
      <c r="AP912" s="114"/>
      <c r="AQ912" s="114"/>
      <c r="AR912" s="114"/>
      <c r="AS912" s="114"/>
      <c r="AT912" s="114"/>
      <c r="AU912" s="114"/>
      <c r="AV912" s="114"/>
      <c r="AW912" s="114"/>
      <c r="AX912" s="114"/>
    </row>
    <row r="913" spans="4:50">
      <c r="D913" s="114"/>
      <c r="F913" s="114"/>
      <c r="G913" s="114"/>
      <c r="H913" s="114"/>
      <c r="I913" s="114"/>
      <c r="J913" s="114"/>
      <c r="K913" s="114"/>
      <c r="L913" s="114"/>
      <c r="M913" s="114"/>
      <c r="N913" s="114"/>
      <c r="O913" s="114"/>
      <c r="P913" s="114"/>
      <c r="Q913" s="114"/>
      <c r="R913" s="114"/>
      <c r="S913" s="114"/>
      <c r="T913" s="114"/>
      <c r="U913" s="114"/>
      <c r="V913" s="114"/>
      <c r="W913" s="114"/>
      <c r="X913" s="114"/>
      <c r="Y913" s="114"/>
      <c r="Z913" s="114"/>
      <c r="AA913" s="114"/>
      <c r="AB913" s="114"/>
      <c r="AC913" s="114"/>
      <c r="AD913" s="114"/>
      <c r="AE913" s="114"/>
      <c r="AF913" s="114"/>
      <c r="AG913" s="114"/>
      <c r="AH913" s="114"/>
      <c r="AI913" s="114"/>
      <c r="AJ913" s="114"/>
      <c r="AK913" s="114"/>
      <c r="AL913" s="114"/>
      <c r="AM913" s="114"/>
      <c r="AN913" s="114"/>
      <c r="AO913" s="114"/>
      <c r="AP913" s="114"/>
      <c r="AQ913" s="114"/>
      <c r="AR913" s="114"/>
      <c r="AS913" s="114"/>
      <c r="AT913" s="114"/>
      <c r="AU913" s="114"/>
      <c r="AV913" s="114"/>
      <c r="AW913" s="114"/>
      <c r="AX913" s="114"/>
    </row>
    <row r="914" spans="4:50">
      <c r="D914" s="114"/>
      <c r="F914" s="114"/>
      <c r="G914" s="114"/>
      <c r="H914" s="114"/>
      <c r="I914" s="114"/>
      <c r="J914" s="114"/>
      <c r="K914" s="114"/>
      <c r="L914" s="114"/>
      <c r="M914" s="114"/>
      <c r="N914" s="114"/>
      <c r="O914" s="114"/>
      <c r="P914" s="114"/>
      <c r="Q914" s="114"/>
      <c r="R914" s="114"/>
      <c r="S914" s="114"/>
      <c r="T914" s="114"/>
      <c r="U914" s="114"/>
      <c r="V914" s="114"/>
      <c r="W914" s="114"/>
      <c r="X914" s="114"/>
      <c r="Y914" s="114"/>
      <c r="Z914" s="114"/>
      <c r="AA914" s="114"/>
      <c r="AB914" s="114"/>
      <c r="AC914" s="114"/>
      <c r="AD914" s="114"/>
      <c r="AE914" s="114"/>
      <c r="AF914" s="114"/>
      <c r="AG914" s="114"/>
      <c r="AH914" s="114"/>
      <c r="AI914" s="114"/>
      <c r="AJ914" s="114"/>
      <c r="AK914" s="114"/>
      <c r="AL914" s="114"/>
      <c r="AM914" s="114"/>
      <c r="AN914" s="114"/>
      <c r="AO914" s="114"/>
      <c r="AP914" s="114"/>
      <c r="AQ914" s="114"/>
      <c r="AR914" s="114"/>
      <c r="AS914" s="114"/>
      <c r="AT914" s="114"/>
      <c r="AU914" s="114"/>
      <c r="AV914" s="114"/>
      <c r="AW914" s="114"/>
      <c r="AX914" s="114"/>
    </row>
    <row r="915" spans="4:50">
      <c r="D915" s="114"/>
      <c r="F915" s="114"/>
      <c r="G915" s="114"/>
      <c r="H915" s="114"/>
      <c r="I915" s="114"/>
      <c r="J915" s="114"/>
      <c r="K915" s="114"/>
      <c r="L915" s="114"/>
      <c r="M915" s="114"/>
      <c r="N915" s="114"/>
      <c r="O915" s="114"/>
      <c r="P915" s="114"/>
      <c r="Q915" s="114"/>
      <c r="R915" s="114"/>
      <c r="S915" s="114"/>
      <c r="T915" s="114"/>
      <c r="U915" s="114"/>
      <c r="V915" s="114"/>
      <c r="W915" s="114"/>
      <c r="X915" s="114"/>
      <c r="Y915" s="114"/>
      <c r="Z915" s="114"/>
      <c r="AA915" s="114"/>
      <c r="AB915" s="114"/>
      <c r="AC915" s="114"/>
      <c r="AD915" s="114"/>
      <c r="AE915" s="114"/>
      <c r="AF915" s="114"/>
      <c r="AG915" s="114"/>
      <c r="AH915" s="114"/>
      <c r="AI915" s="114"/>
      <c r="AJ915" s="114"/>
      <c r="AK915" s="114"/>
      <c r="AL915" s="114"/>
      <c r="AM915" s="114"/>
      <c r="AN915" s="114"/>
      <c r="AO915" s="114"/>
      <c r="AP915" s="114"/>
      <c r="AQ915" s="114"/>
      <c r="AR915" s="114"/>
      <c r="AS915" s="114"/>
      <c r="AT915" s="114"/>
      <c r="AU915" s="114"/>
      <c r="AV915" s="114"/>
      <c r="AW915" s="114"/>
      <c r="AX915" s="114"/>
    </row>
    <row r="916" spans="4:50">
      <c r="D916" s="114"/>
      <c r="F916" s="114"/>
      <c r="G916" s="114"/>
      <c r="H916" s="114"/>
      <c r="I916" s="114"/>
      <c r="J916" s="114"/>
      <c r="K916" s="114"/>
      <c r="L916" s="114"/>
      <c r="M916" s="114"/>
      <c r="N916" s="114"/>
      <c r="O916" s="114"/>
      <c r="P916" s="114"/>
      <c r="Q916" s="114"/>
      <c r="R916" s="114"/>
      <c r="S916" s="114"/>
      <c r="T916" s="114"/>
      <c r="U916" s="114"/>
      <c r="V916" s="114"/>
      <c r="W916" s="114"/>
      <c r="X916" s="114"/>
      <c r="Y916" s="114"/>
      <c r="Z916" s="114"/>
      <c r="AA916" s="114"/>
      <c r="AB916" s="114"/>
      <c r="AC916" s="114"/>
      <c r="AD916" s="114"/>
      <c r="AE916" s="114"/>
      <c r="AF916" s="114"/>
      <c r="AG916" s="114"/>
      <c r="AH916" s="114"/>
      <c r="AI916" s="114"/>
      <c r="AJ916" s="114"/>
      <c r="AK916" s="114"/>
      <c r="AL916" s="114"/>
      <c r="AM916" s="114"/>
      <c r="AN916" s="114"/>
      <c r="AO916" s="114"/>
      <c r="AP916" s="114"/>
      <c r="AQ916" s="114"/>
      <c r="AR916" s="114"/>
      <c r="AS916" s="114"/>
      <c r="AT916" s="114"/>
      <c r="AU916" s="114"/>
      <c r="AV916" s="114"/>
      <c r="AW916" s="114"/>
      <c r="AX916" s="114"/>
    </row>
    <row r="917" spans="4:50">
      <c r="D917" s="114"/>
      <c r="F917" s="114"/>
      <c r="G917" s="114"/>
      <c r="H917" s="114"/>
      <c r="I917" s="114"/>
      <c r="J917" s="114"/>
      <c r="K917" s="114"/>
      <c r="L917" s="114"/>
      <c r="M917" s="114"/>
      <c r="N917" s="114"/>
      <c r="O917" s="114"/>
      <c r="P917" s="114"/>
      <c r="Q917" s="114"/>
      <c r="R917" s="114"/>
      <c r="S917" s="114"/>
      <c r="T917" s="114"/>
      <c r="U917" s="114"/>
      <c r="V917" s="114"/>
      <c r="W917" s="114"/>
      <c r="X917" s="114"/>
      <c r="Y917" s="114"/>
      <c r="Z917" s="114"/>
      <c r="AA917" s="114"/>
      <c r="AB917" s="114"/>
      <c r="AC917" s="114"/>
      <c r="AD917" s="114"/>
      <c r="AE917" s="114"/>
      <c r="AF917" s="114"/>
      <c r="AG917" s="114"/>
      <c r="AH917" s="114"/>
      <c r="AI917" s="114"/>
      <c r="AJ917" s="114"/>
      <c r="AK917" s="114"/>
      <c r="AL917" s="114"/>
      <c r="AM917" s="114"/>
      <c r="AN917" s="114"/>
      <c r="AO917" s="114"/>
      <c r="AP917" s="114"/>
      <c r="AQ917" s="114"/>
      <c r="AR917" s="114"/>
      <c r="AS917" s="114"/>
      <c r="AT917" s="114"/>
      <c r="AU917" s="114"/>
      <c r="AV917" s="114"/>
      <c r="AW917" s="114"/>
      <c r="AX917" s="114"/>
    </row>
    <row r="918" spans="4:50">
      <c r="D918" s="114"/>
      <c r="F918" s="114"/>
      <c r="G918" s="114"/>
      <c r="H918" s="114"/>
      <c r="I918" s="114"/>
      <c r="J918" s="114"/>
      <c r="K918" s="114"/>
      <c r="L918" s="114"/>
      <c r="M918" s="114"/>
      <c r="N918" s="114"/>
      <c r="O918" s="114"/>
      <c r="P918" s="114"/>
      <c r="Q918" s="114"/>
      <c r="R918" s="114"/>
      <c r="S918" s="114"/>
      <c r="T918" s="114"/>
      <c r="U918" s="114"/>
      <c r="V918" s="114"/>
      <c r="W918" s="114"/>
      <c r="X918" s="114"/>
      <c r="Y918" s="114"/>
      <c r="Z918" s="114"/>
      <c r="AA918" s="114"/>
      <c r="AB918" s="114"/>
      <c r="AC918" s="114"/>
      <c r="AD918" s="114"/>
      <c r="AE918" s="114"/>
      <c r="AF918" s="114"/>
      <c r="AG918" s="114"/>
      <c r="AH918" s="114"/>
      <c r="AI918" s="114"/>
      <c r="AJ918" s="114"/>
      <c r="AK918" s="114"/>
      <c r="AL918" s="114"/>
      <c r="AM918" s="114"/>
      <c r="AN918" s="114"/>
      <c r="AO918" s="114"/>
      <c r="AP918" s="114"/>
      <c r="AQ918" s="114"/>
      <c r="AR918" s="114"/>
      <c r="AS918" s="114"/>
      <c r="AT918" s="114"/>
      <c r="AU918" s="114"/>
      <c r="AV918" s="114"/>
      <c r="AW918" s="114"/>
      <c r="AX918" s="114"/>
    </row>
    <row r="919" spans="4:50">
      <c r="D919" s="114"/>
      <c r="F919" s="114"/>
      <c r="G919" s="114"/>
      <c r="H919" s="114"/>
      <c r="I919" s="114"/>
      <c r="J919" s="114"/>
      <c r="K919" s="114"/>
      <c r="L919" s="114"/>
      <c r="M919" s="114"/>
      <c r="N919" s="114"/>
      <c r="O919" s="114"/>
      <c r="P919" s="114"/>
      <c r="Q919" s="114"/>
      <c r="R919" s="114"/>
      <c r="S919" s="114"/>
      <c r="T919" s="114"/>
      <c r="U919" s="114"/>
      <c r="V919" s="114"/>
      <c r="W919" s="114"/>
      <c r="X919" s="114"/>
      <c r="Y919" s="114"/>
      <c r="Z919" s="114"/>
      <c r="AA919" s="114"/>
      <c r="AB919" s="114"/>
      <c r="AC919" s="114"/>
      <c r="AD919" s="114"/>
      <c r="AE919" s="114"/>
      <c r="AF919" s="114"/>
      <c r="AG919" s="114"/>
      <c r="AH919" s="114"/>
      <c r="AI919" s="114"/>
      <c r="AJ919" s="114"/>
      <c r="AK919" s="114"/>
      <c r="AL919" s="114"/>
      <c r="AM919" s="114"/>
      <c r="AN919" s="114"/>
      <c r="AO919" s="114"/>
      <c r="AP919" s="114"/>
      <c r="AQ919" s="114"/>
      <c r="AR919" s="114"/>
      <c r="AS919" s="114"/>
      <c r="AT919" s="114"/>
      <c r="AU919" s="114"/>
      <c r="AV919" s="114"/>
      <c r="AW919" s="114"/>
      <c r="AX919" s="114"/>
    </row>
    <row r="920" spans="4:50">
      <c r="D920" s="114"/>
      <c r="F920" s="114"/>
      <c r="G920" s="114"/>
      <c r="H920" s="114"/>
      <c r="I920" s="114"/>
      <c r="J920" s="114"/>
      <c r="K920" s="114"/>
      <c r="L920" s="114"/>
      <c r="M920" s="114"/>
      <c r="N920" s="114"/>
      <c r="O920" s="114"/>
      <c r="P920" s="114"/>
      <c r="Q920" s="114"/>
      <c r="R920" s="114"/>
      <c r="S920" s="114"/>
      <c r="T920" s="114"/>
      <c r="U920" s="114"/>
      <c r="V920" s="114"/>
      <c r="W920" s="114"/>
      <c r="X920" s="114"/>
      <c r="Y920" s="114"/>
      <c r="Z920" s="114"/>
      <c r="AA920" s="114"/>
      <c r="AB920" s="114"/>
      <c r="AC920" s="114"/>
      <c r="AD920" s="114"/>
      <c r="AE920" s="114"/>
      <c r="AF920" s="114"/>
      <c r="AG920" s="114"/>
      <c r="AH920" s="114"/>
      <c r="AI920" s="114"/>
      <c r="AJ920" s="114"/>
      <c r="AK920" s="114"/>
      <c r="AL920" s="114"/>
      <c r="AM920" s="114"/>
      <c r="AN920" s="114"/>
      <c r="AO920" s="114"/>
      <c r="AP920" s="114"/>
      <c r="AQ920" s="114"/>
      <c r="AR920" s="114"/>
      <c r="AS920" s="114"/>
      <c r="AT920" s="114"/>
      <c r="AU920" s="114"/>
      <c r="AV920" s="114"/>
      <c r="AW920" s="114"/>
      <c r="AX920" s="114"/>
    </row>
    <row r="921" spans="4:50">
      <c r="D921" s="114"/>
      <c r="F921" s="114"/>
      <c r="G921" s="114"/>
      <c r="H921" s="114"/>
      <c r="I921" s="114"/>
      <c r="J921" s="114"/>
      <c r="K921" s="114"/>
      <c r="L921" s="114"/>
      <c r="M921" s="114"/>
      <c r="N921" s="114"/>
      <c r="O921" s="114"/>
      <c r="P921" s="114"/>
      <c r="Q921" s="114"/>
      <c r="R921" s="114"/>
      <c r="S921" s="114"/>
      <c r="T921" s="114"/>
      <c r="U921" s="114"/>
      <c r="V921" s="114"/>
      <c r="W921" s="114"/>
      <c r="X921" s="114"/>
      <c r="Y921" s="114"/>
      <c r="Z921" s="114"/>
      <c r="AA921" s="114"/>
      <c r="AB921" s="114"/>
      <c r="AC921" s="114"/>
      <c r="AD921" s="114"/>
      <c r="AE921" s="114"/>
      <c r="AF921" s="114"/>
      <c r="AG921" s="114"/>
      <c r="AH921" s="114"/>
      <c r="AI921" s="114"/>
      <c r="AJ921" s="114"/>
      <c r="AK921" s="114"/>
      <c r="AL921" s="114"/>
      <c r="AM921" s="114"/>
      <c r="AN921" s="114"/>
      <c r="AO921" s="114"/>
      <c r="AP921" s="114"/>
      <c r="AQ921" s="114"/>
      <c r="AR921" s="114"/>
      <c r="AS921" s="114"/>
      <c r="AT921" s="114"/>
      <c r="AU921" s="114"/>
      <c r="AV921" s="114"/>
      <c r="AW921" s="114"/>
      <c r="AX921" s="114"/>
    </row>
    <row r="922" spans="4:50">
      <c r="D922" s="114"/>
      <c r="F922" s="114"/>
      <c r="G922" s="114"/>
      <c r="H922" s="114"/>
      <c r="I922" s="114"/>
      <c r="J922" s="114"/>
      <c r="K922" s="114"/>
      <c r="L922" s="114"/>
      <c r="M922" s="114"/>
      <c r="N922" s="114"/>
      <c r="O922" s="114"/>
      <c r="P922" s="114"/>
      <c r="Q922" s="114"/>
      <c r="R922" s="114"/>
      <c r="S922" s="114"/>
      <c r="T922" s="114"/>
      <c r="U922" s="114"/>
      <c r="V922" s="114"/>
      <c r="W922" s="114"/>
      <c r="X922" s="114"/>
      <c r="Y922" s="114"/>
      <c r="Z922" s="114"/>
      <c r="AA922" s="114"/>
      <c r="AB922" s="114"/>
      <c r="AC922" s="114"/>
      <c r="AD922" s="114"/>
      <c r="AE922" s="114"/>
      <c r="AF922" s="114"/>
      <c r="AG922" s="114"/>
      <c r="AH922" s="114"/>
      <c r="AI922" s="114"/>
      <c r="AJ922" s="114"/>
      <c r="AK922" s="114"/>
      <c r="AL922" s="114"/>
      <c r="AM922" s="114"/>
      <c r="AN922" s="114"/>
      <c r="AO922" s="114"/>
      <c r="AP922" s="114"/>
      <c r="AQ922" s="114"/>
      <c r="AR922" s="114"/>
      <c r="AS922" s="114"/>
      <c r="AT922" s="114"/>
      <c r="AU922" s="114"/>
      <c r="AV922" s="114"/>
      <c r="AW922" s="114"/>
      <c r="AX922" s="114"/>
    </row>
    <row r="923" spans="4:50">
      <c r="D923" s="114"/>
      <c r="F923" s="114"/>
      <c r="G923" s="114"/>
      <c r="H923" s="114"/>
      <c r="I923" s="114"/>
      <c r="J923" s="114"/>
      <c r="K923" s="114"/>
      <c r="L923" s="114"/>
      <c r="M923" s="114"/>
      <c r="N923" s="114"/>
      <c r="O923" s="114"/>
      <c r="P923" s="114"/>
      <c r="Q923" s="114"/>
      <c r="R923" s="114"/>
      <c r="S923" s="114"/>
      <c r="T923" s="114"/>
      <c r="U923" s="114"/>
      <c r="V923" s="114"/>
      <c r="W923" s="114"/>
      <c r="X923" s="114"/>
      <c r="Y923" s="114"/>
      <c r="Z923" s="114"/>
      <c r="AA923" s="114"/>
      <c r="AB923" s="114"/>
      <c r="AC923" s="114"/>
      <c r="AD923" s="114"/>
      <c r="AE923" s="114"/>
      <c r="AF923" s="114"/>
      <c r="AG923" s="114"/>
      <c r="AH923" s="114"/>
      <c r="AI923" s="114"/>
      <c r="AJ923" s="114"/>
      <c r="AK923" s="114"/>
      <c r="AL923" s="114"/>
      <c r="AM923" s="114"/>
      <c r="AN923" s="114"/>
      <c r="AO923" s="114"/>
      <c r="AP923" s="114"/>
      <c r="AQ923" s="114"/>
      <c r="AR923" s="114"/>
      <c r="AS923" s="114"/>
      <c r="AT923" s="114"/>
      <c r="AU923" s="114"/>
      <c r="AV923" s="114"/>
      <c r="AW923" s="114"/>
      <c r="AX923" s="114"/>
    </row>
    <row r="924" spans="4:50">
      <c r="D924" s="114"/>
      <c r="F924" s="114"/>
      <c r="G924" s="114"/>
      <c r="H924" s="114"/>
      <c r="I924" s="114"/>
      <c r="J924" s="114"/>
      <c r="K924" s="114"/>
      <c r="L924" s="114"/>
      <c r="M924" s="114"/>
      <c r="N924" s="114"/>
      <c r="O924" s="114"/>
      <c r="P924" s="114"/>
      <c r="Q924" s="114"/>
      <c r="R924" s="114"/>
      <c r="S924" s="114"/>
      <c r="T924" s="114"/>
      <c r="U924" s="114"/>
      <c r="V924" s="114"/>
      <c r="W924" s="114"/>
      <c r="X924" s="114"/>
      <c r="Y924" s="114"/>
      <c r="Z924" s="114"/>
      <c r="AA924" s="114"/>
      <c r="AB924" s="114"/>
      <c r="AC924" s="114"/>
      <c r="AD924" s="114"/>
      <c r="AE924" s="114"/>
      <c r="AF924" s="114"/>
      <c r="AG924" s="114"/>
      <c r="AH924" s="114"/>
      <c r="AI924" s="114"/>
      <c r="AJ924" s="114"/>
      <c r="AK924" s="114"/>
      <c r="AL924" s="114"/>
      <c r="AM924" s="114"/>
      <c r="AN924" s="114"/>
      <c r="AO924" s="114"/>
      <c r="AP924" s="114"/>
      <c r="AQ924" s="114"/>
      <c r="AR924" s="114"/>
      <c r="AS924" s="114"/>
      <c r="AT924" s="114"/>
      <c r="AU924" s="114"/>
      <c r="AV924" s="114"/>
      <c r="AW924" s="114"/>
      <c r="AX924" s="114"/>
    </row>
    <row r="925" spans="4:50">
      <c r="D925" s="114"/>
      <c r="F925" s="114"/>
      <c r="G925" s="114"/>
      <c r="H925" s="114"/>
      <c r="I925" s="114"/>
      <c r="J925" s="114"/>
      <c r="K925" s="114"/>
      <c r="L925" s="114"/>
      <c r="M925" s="114"/>
      <c r="N925" s="114"/>
      <c r="O925" s="114"/>
      <c r="P925" s="114"/>
      <c r="Q925" s="114"/>
      <c r="R925" s="114"/>
      <c r="S925" s="114"/>
      <c r="T925" s="114"/>
      <c r="U925" s="114"/>
      <c r="V925" s="114"/>
      <c r="W925" s="114"/>
      <c r="X925" s="114"/>
      <c r="Y925" s="114"/>
      <c r="Z925" s="114"/>
      <c r="AA925" s="114"/>
      <c r="AB925" s="114"/>
      <c r="AC925" s="114"/>
      <c r="AD925" s="114"/>
      <c r="AE925" s="114"/>
      <c r="AF925" s="114"/>
      <c r="AG925" s="114"/>
      <c r="AH925" s="114"/>
      <c r="AI925" s="114"/>
      <c r="AJ925" s="114"/>
      <c r="AK925" s="114"/>
      <c r="AL925" s="114"/>
      <c r="AM925" s="114"/>
      <c r="AN925" s="114"/>
      <c r="AO925" s="114"/>
      <c r="AP925" s="114"/>
      <c r="AQ925" s="114"/>
      <c r="AR925" s="114"/>
      <c r="AS925" s="114"/>
      <c r="AT925" s="114"/>
      <c r="AU925" s="114"/>
      <c r="AV925" s="114"/>
      <c r="AW925" s="114"/>
      <c r="AX925" s="114"/>
    </row>
    <row r="926" spans="4:50">
      <c r="D926" s="114"/>
      <c r="F926" s="114"/>
      <c r="G926" s="114"/>
      <c r="H926" s="114"/>
      <c r="I926" s="114"/>
      <c r="J926" s="114"/>
      <c r="K926" s="114"/>
      <c r="L926" s="114"/>
      <c r="M926" s="114"/>
      <c r="N926" s="114"/>
      <c r="O926" s="114"/>
      <c r="P926" s="114"/>
      <c r="Q926" s="114"/>
      <c r="R926" s="114"/>
      <c r="S926" s="114"/>
      <c r="T926" s="114"/>
      <c r="U926" s="114"/>
      <c r="V926" s="114"/>
      <c r="W926" s="114"/>
      <c r="X926" s="114"/>
      <c r="Y926" s="114"/>
      <c r="Z926" s="114"/>
      <c r="AA926" s="114"/>
      <c r="AB926" s="114"/>
      <c r="AC926" s="114"/>
      <c r="AD926" s="114"/>
      <c r="AE926" s="114"/>
      <c r="AF926" s="114"/>
      <c r="AG926" s="114"/>
      <c r="AH926" s="114"/>
      <c r="AI926" s="114"/>
      <c r="AJ926" s="114"/>
      <c r="AK926" s="114"/>
      <c r="AL926" s="114"/>
      <c r="AM926" s="114"/>
      <c r="AN926" s="114"/>
      <c r="AO926" s="114"/>
      <c r="AP926" s="114"/>
      <c r="AQ926" s="114"/>
      <c r="AR926" s="114"/>
      <c r="AS926" s="114"/>
      <c r="AT926" s="114"/>
      <c r="AU926" s="114"/>
      <c r="AV926" s="114"/>
      <c r="AW926" s="114"/>
      <c r="AX926" s="114"/>
    </row>
    <row r="927" spans="4:50">
      <c r="D927" s="114"/>
      <c r="F927" s="114"/>
      <c r="G927" s="114"/>
      <c r="H927" s="114"/>
      <c r="I927" s="114"/>
      <c r="J927" s="114"/>
      <c r="K927" s="114"/>
      <c r="L927" s="114"/>
      <c r="M927" s="114"/>
      <c r="N927" s="114"/>
      <c r="O927" s="114"/>
      <c r="P927" s="114"/>
      <c r="Q927" s="114"/>
      <c r="R927" s="114"/>
      <c r="S927" s="114"/>
      <c r="T927" s="114"/>
      <c r="U927" s="114"/>
      <c r="V927" s="114"/>
      <c r="W927" s="114"/>
      <c r="X927" s="114"/>
      <c r="Y927" s="114"/>
      <c r="Z927" s="114"/>
      <c r="AA927" s="114"/>
      <c r="AB927" s="114"/>
      <c r="AC927" s="114"/>
      <c r="AD927" s="114"/>
      <c r="AE927" s="114"/>
      <c r="AF927" s="114"/>
      <c r="AG927" s="114"/>
      <c r="AH927" s="114"/>
      <c r="AI927" s="114"/>
      <c r="AJ927" s="114"/>
      <c r="AK927" s="114"/>
      <c r="AL927" s="114"/>
      <c r="AM927" s="114"/>
      <c r="AN927" s="114"/>
      <c r="AO927" s="114"/>
      <c r="AP927" s="114"/>
      <c r="AQ927" s="114"/>
      <c r="AR927" s="114"/>
      <c r="AS927" s="114"/>
      <c r="AT927" s="114"/>
      <c r="AU927" s="114"/>
      <c r="AV927" s="114"/>
      <c r="AW927" s="114"/>
      <c r="AX927" s="114"/>
    </row>
    <row r="928" spans="4:50">
      <c r="D928" s="114"/>
      <c r="F928" s="114"/>
      <c r="G928" s="114"/>
      <c r="H928" s="114"/>
      <c r="I928" s="114"/>
      <c r="J928" s="114"/>
      <c r="K928" s="114"/>
      <c r="L928" s="114"/>
      <c r="M928" s="114"/>
      <c r="N928" s="114"/>
      <c r="O928" s="114"/>
      <c r="P928" s="114"/>
      <c r="Q928" s="114"/>
      <c r="R928" s="114"/>
      <c r="S928" s="114"/>
      <c r="T928" s="114"/>
      <c r="U928" s="114"/>
      <c r="V928" s="114"/>
      <c r="W928" s="114"/>
      <c r="X928" s="114"/>
      <c r="Y928" s="114"/>
      <c r="Z928" s="114"/>
      <c r="AA928" s="114"/>
      <c r="AB928" s="114"/>
      <c r="AC928" s="114"/>
      <c r="AD928" s="114"/>
      <c r="AE928" s="114"/>
      <c r="AF928" s="114"/>
      <c r="AG928" s="114"/>
      <c r="AH928" s="114"/>
      <c r="AI928" s="114"/>
      <c r="AJ928" s="114"/>
      <c r="AK928" s="114"/>
      <c r="AL928" s="114"/>
      <c r="AM928" s="114"/>
      <c r="AN928" s="114"/>
      <c r="AO928" s="114"/>
      <c r="AP928" s="114"/>
      <c r="AQ928" s="114"/>
      <c r="AR928" s="114"/>
      <c r="AS928" s="114"/>
      <c r="AT928" s="114"/>
      <c r="AU928" s="114"/>
      <c r="AV928" s="114"/>
      <c r="AW928" s="114"/>
      <c r="AX928" s="114"/>
    </row>
    <row r="929" spans="4:50">
      <c r="D929" s="114"/>
      <c r="F929" s="114"/>
      <c r="G929" s="114"/>
      <c r="H929" s="114"/>
      <c r="I929" s="114"/>
      <c r="J929" s="114"/>
      <c r="K929" s="114"/>
      <c r="L929" s="114"/>
      <c r="M929" s="114"/>
      <c r="N929" s="114"/>
      <c r="O929" s="114"/>
      <c r="P929" s="114"/>
      <c r="Q929" s="114"/>
      <c r="R929" s="114"/>
      <c r="S929" s="114"/>
      <c r="T929" s="114"/>
      <c r="U929" s="114"/>
      <c r="V929" s="114"/>
      <c r="W929" s="114"/>
      <c r="X929" s="114"/>
      <c r="Y929" s="114"/>
      <c r="Z929" s="114"/>
      <c r="AA929" s="114"/>
      <c r="AB929" s="114"/>
      <c r="AC929" s="114"/>
      <c r="AD929" s="114"/>
      <c r="AE929" s="114"/>
      <c r="AF929" s="114"/>
      <c r="AG929" s="114"/>
      <c r="AH929" s="114"/>
      <c r="AI929" s="114"/>
      <c r="AJ929" s="114"/>
      <c r="AK929" s="114"/>
      <c r="AL929" s="114"/>
      <c r="AM929" s="114"/>
      <c r="AN929" s="114"/>
      <c r="AO929" s="114"/>
      <c r="AP929" s="114"/>
      <c r="AQ929" s="114"/>
      <c r="AR929" s="114"/>
      <c r="AS929" s="114"/>
      <c r="AT929" s="114"/>
      <c r="AU929" s="114"/>
      <c r="AV929" s="114"/>
      <c r="AW929" s="114"/>
      <c r="AX929" s="114"/>
    </row>
    <row r="930" spans="4:50">
      <c r="D930" s="114"/>
      <c r="F930" s="114"/>
      <c r="G930" s="114"/>
      <c r="H930" s="114"/>
      <c r="I930" s="114"/>
      <c r="J930" s="114"/>
      <c r="K930" s="114"/>
      <c r="L930" s="114"/>
      <c r="M930" s="114"/>
      <c r="N930" s="114"/>
      <c r="O930" s="114"/>
      <c r="P930" s="114"/>
      <c r="Q930" s="114"/>
      <c r="R930" s="114"/>
      <c r="S930" s="114"/>
      <c r="T930" s="114"/>
      <c r="U930" s="114"/>
      <c r="V930" s="114"/>
      <c r="W930" s="114"/>
      <c r="X930" s="114"/>
      <c r="Y930" s="114"/>
      <c r="Z930" s="114"/>
      <c r="AA930" s="114"/>
      <c r="AB930" s="114"/>
      <c r="AC930" s="114"/>
      <c r="AD930" s="114"/>
      <c r="AE930" s="114"/>
      <c r="AF930" s="114"/>
      <c r="AG930" s="114"/>
      <c r="AH930" s="114"/>
      <c r="AI930" s="114"/>
      <c r="AJ930" s="114"/>
      <c r="AK930" s="114"/>
      <c r="AL930" s="114"/>
      <c r="AM930" s="114"/>
      <c r="AN930" s="114"/>
      <c r="AO930" s="114"/>
      <c r="AP930" s="114"/>
      <c r="AQ930" s="114"/>
      <c r="AR930" s="114"/>
      <c r="AS930" s="114"/>
      <c r="AT930" s="114"/>
      <c r="AU930" s="114"/>
      <c r="AV930" s="114"/>
      <c r="AW930" s="114"/>
      <c r="AX930" s="114"/>
    </row>
    <row r="931" spans="4:50">
      <c r="D931" s="114"/>
      <c r="F931" s="114"/>
      <c r="G931" s="114"/>
      <c r="H931" s="114"/>
      <c r="I931" s="114"/>
      <c r="J931" s="114"/>
      <c r="K931" s="114"/>
      <c r="L931" s="114"/>
      <c r="M931" s="114"/>
      <c r="N931" s="114"/>
      <c r="O931" s="114"/>
      <c r="P931" s="114"/>
      <c r="Q931" s="114"/>
      <c r="R931" s="114"/>
      <c r="S931" s="114"/>
      <c r="T931" s="114"/>
      <c r="U931" s="114"/>
      <c r="V931" s="114"/>
      <c r="W931" s="114"/>
      <c r="X931" s="114"/>
      <c r="Y931" s="114"/>
      <c r="Z931" s="114"/>
      <c r="AA931" s="114"/>
      <c r="AB931" s="114"/>
      <c r="AC931" s="114"/>
      <c r="AD931" s="114"/>
      <c r="AE931" s="114"/>
      <c r="AF931" s="114"/>
      <c r="AG931" s="114"/>
      <c r="AH931" s="114"/>
      <c r="AI931" s="114"/>
      <c r="AJ931" s="114"/>
      <c r="AK931" s="114"/>
      <c r="AL931" s="114"/>
      <c r="AM931" s="114"/>
      <c r="AN931" s="114"/>
      <c r="AO931" s="114"/>
      <c r="AP931" s="114"/>
      <c r="AQ931" s="114"/>
      <c r="AR931" s="114"/>
      <c r="AS931" s="114"/>
      <c r="AT931" s="114"/>
      <c r="AU931" s="114"/>
      <c r="AV931" s="114"/>
      <c r="AW931" s="114"/>
      <c r="AX931" s="114"/>
    </row>
    <row r="932" spans="4:50">
      <c r="D932" s="114"/>
      <c r="F932" s="114"/>
      <c r="G932" s="114"/>
      <c r="H932" s="114"/>
      <c r="I932" s="114"/>
      <c r="J932" s="114"/>
      <c r="K932" s="114"/>
      <c r="L932" s="114"/>
      <c r="M932" s="114"/>
      <c r="N932" s="114"/>
      <c r="O932" s="114"/>
      <c r="P932" s="114"/>
      <c r="Q932" s="114"/>
      <c r="R932" s="114"/>
      <c r="S932" s="114"/>
      <c r="T932" s="114"/>
      <c r="U932" s="114"/>
      <c r="V932" s="114"/>
      <c r="W932" s="114"/>
      <c r="X932" s="114"/>
      <c r="Y932" s="114"/>
      <c r="Z932" s="114"/>
      <c r="AA932" s="114"/>
      <c r="AB932" s="114"/>
      <c r="AC932" s="114"/>
      <c r="AD932" s="114"/>
      <c r="AE932" s="114"/>
      <c r="AF932" s="114"/>
      <c r="AG932" s="114"/>
      <c r="AH932" s="114"/>
      <c r="AI932" s="114"/>
      <c r="AJ932" s="114"/>
      <c r="AK932" s="114"/>
      <c r="AL932" s="114"/>
      <c r="AM932" s="114"/>
      <c r="AN932" s="114"/>
      <c r="AO932" s="114"/>
      <c r="AP932" s="114"/>
      <c r="AQ932" s="114"/>
      <c r="AR932" s="114"/>
      <c r="AS932" s="114"/>
      <c r="AT932" s="114"/>
      <c r="AU932" s="114"/>
      <c r="AV932" s="114"/>
      <c r="AW932" s="114"/>
      <c r="AX932" s="114"/>
    </row>
    <row r="933" spans="4:50">
      <c r="D933" s="114"/>
      <c r="F933" s="114"/>
      <c r="G933" s="114"/>
      <c r="H933" s="114"/>
      <c r="I933" s="114"/>
      <c r="J933" s="114"/>
      <c r="K933" s="114"/>
      <c r="L933" s="114"/>
      <c r="M933" s="114"/>
      <c r="N933" s="114"/>
      <c r="O933" s="114"/>
      <c r="P933" s="114"/>
      <c r="Q933" s="114"/>
      <c r="R933" s="114"/>
      <c r="S933" s="114"/>
      <c r="T933" s="114"/>
      <c r="U933" s="114"/>
      <c r="V933" s="114"/>
      <c r="W933" s="114"/>
      <c r="X933" s="114"/>
      <c r="Y933" s="114"/>
      <c r="Z933" s="114"/>
      <c r="AA933" s="114"/>
      <c r="AB933" s="114"/>
      <c r="AC933" s="114"/>
      <c r="AD933" s="114"/>
      <c r="AE933" s="114"/>
      <c r="AF933" s="114"/>
      <c r="AG933" s="114"/>
      <c r="AH933" s="114"/>
      <c r="AI933" s="114"/>
      <c r="AJ933" s="114"/>
      <c r="AK933" s="114"/>
      <c r="AL933" s="114"/>
      <c r="AM933" s="114"/>
      <c r="AN933" s="114"/>
      <c r="AO933" s="114"/>
      <c r="AP933" s="114"/>
      <c r="AQ933" s="114"/>
      <c r="AR933" s="114"/>
      <c r="AS933" s="114"/>
      <c r="AT933" s="114"/>
      <c r="AU933" s="114"/>
      <c r="AV933" s="114"/>
      <c r="AW933" s="114"/>
      <c r="AX933" s="114"/>
    </row>
    <row r="934" spans="4:50">
      <c r="D934" s="114"/>
      <c r="F934" s="114"/>
      <c r="G934" s="114"/>
      <c r="H934" s="114"/>
      <c r="I934" s="114"/>
      <c r="J934" s="114"/>
      <c r="K934" s="114"/>
      <c r="L934" s="114"/>
      <c r="M934" s="114"/>
      <c r="N934" s="114"/>
      <c r="O934" s="114"/>
      <c r="P934" s="114"/>
      <c r="Q934" s="114"/>
      <c r="R934" s="114"/>
      <c r="S934" s="114"/>
      <c r="T934" s="114"/>
      <c r="U934" s="114"/>
      <c r="V934" s="114"/>
      <c r="W934" s="114"/>
      <c r="X934" s="114"/>
      <c r="Y934" s="114"/>
      <c r="Z934" s="114"/>
      <c r="AA934" s="114"/>
      <c r="AB934" s="114"/>
      <c r="AC934" s="114"/>
      <c r="AD934" s="114"/>
      <c r="AE934" s="114"/>
      <c r="AF934" s="114"/>
      <c r="AG934" s="114"/>
      <c r="AH934" s="114"/>
      <c r="AI934" s="114"/>
      <c r="AJ934" s="114"/>
      <c r="AK934" s="114"/>
      <c r="AL934" s="114"/>
      <c r="AM934" s="114"/>
      <c r="AN934" s="114"/>
      <c r="AO934" s="114"/>
      <c r="AP934" s="114"/>
      <c r="AQ934" s="114"/>
      <c r="AR934" s="114"/>
      <c r="AS934" s="114"/>
      <c r="AT934" s="114"/>
      <c r="AU934" s="114"/>
      <c r="AV934" s="114"/>
      <c r="AW934" s="114"/>
      <c r="AX934" s="114"/>
    </row>
    <row r="935" spans="4:50">
      <c r="D935" s="114"/>
      <c r="F935" s="114"/>
      <c r="G935" s="114"/>
      <c r="H935" s="114"/>
      <c r="I935" s="114"/>
      <c r="J935" s="114"/>
      <c r="K935" s="114"/>
      <c r="L935" s="114"/>
      <c r="M935" s="114"/>
      <c r="N935" s="114"/>
      <c r="O935" s="114"/>
      <c r="P935" s="114"/>
      <c r="Q935" s="114"/>
      <c r="R935" s="114"/>
      <c r="S935" s="114"/>
      <c r="T935" s="114"/>
      <c r="U935" s="114"/>
      <c r="V935" s="114"/>
      <c r="W935" s="114"/>
      <c r="X935" s="114"/>
      <c r="Y935" s="114"/>
      <c r="Z935" s="114"/>
      <c r="AA935" s="114"/>
      <c r="AB935" s="114"/>
      <c r="AC935" s="114"/>
      <c r="AD935" s="114"/>
      <c r="AE935" s="114"/>
      <c r="AF935" s="114"/>
      <c r="AG935" s="114"/>
      <c r="AH935" s="114"/>
      <c r="AI935" s="114"/>
      <c r="AJ935" s="114"/>
      <c r="AK935" s="114"/>
      <c r="AL935" s="114"/>
      <c r="AM935" s="114"/>
      <c r="AN935" s="114"/>
      <c r="AO935" s="114"/>
      <c r="AP935" s="114"/>
      <c r="AQ935" s="114"/>
      <c r="AR935" s="114"/>
      <c r="AS935" s="114"/>
      <c r="AT935" s="114"/>
      <c r="AU935" s="114"/>
      <c r="AV935" s="114"/>
      <c r="AW935" s="114"/>
      <c r="AX935" s="114"/>
    </row>
    <row r="936" spans="4:50">
      <c r="D936" s="114"/>
      <c r="F936" s="114"/>
      <c r="G936" s="114"/>
      <c r="H936" s="114"/>
      <c r="I936" s="114"/>
      <c r="J936" s="114"/>
      <c r="K936" s="114"/>
      <c r="L936" s="114"/>
      <c r="M936" s="114"/>
      <c r="N936" s="114"/>
      <c r="O936" s="114"/>
      <c r="P936" s="114"/>
      <c r="Q936" s="114"/>
      <c r="R936" s="114"/>
      <c r="S936" s="114"/>
      <c r="T936" s="114"/>
      <c r="U936" s="114"/>
      <c r="V936" s="114"/>
      <c r="W936" s="114"/>
      <c r="X936" s="114"/>
      <c r="Y936" s="114"/>
      <c r="Z936" s="114"/>
      <c r="AA936" s="114"/>
      <c r="AB936" s="114"/>
      <c r="AC936" s="114"/>
      <c r="AD936" s="114"/>
      <c r="AE936" s="114"/>
      <c r="AF936" s="114"/>
      <c r="AG936" s="114"/>
      <c r="AH936" s="114"/>
      <c r="AI936" s="114"/>
      <c r="AJ936" s="114"/>
      <c r="AK936" s="114"/>
      <c r="AL936" s="114"/>
      <c r="AM936" s="114"/>
      <c r="AN936" s="114"/>
      <c r="AO936" s="114"/>
      <c r="AP936" s="114"/>
      <c r="AQ936" s="114"/>
      <c r="AR936" s="114"/>
      <c r="AS936" s="114"/>
      <c r="AT936" s="114"/>
      <c r="AU936" s="114"/>
      <c r="AV936" s="114"/>
      <c r="AW936" s="114"/>
      <c r="AX936" s="114"/>
    </row>
    <row r="937" spans="4:50">
      <c r="D937" s="114"/>
      <c r="F937" s="114"/>
      <c r="G937" s="114"/>
      <c r="H937" s="114"/>
      <c r="I937" s="114"/>
      <c r="J937" s="114"/>
      <c r="K937" s="114"/>
      <c r="L937" s="114"/>
      <c r="M937" s="114"/>
      <c r="N937" s="114"/>
      <c r="O937" s="114"/>
      <c r="P937" s="114"/>
      <c r="Q937" s="114"/>
      <c r="R937" s="114"/>
      <c r="S937" s="114"/>
      <c r="T937" s="114"/>
      <c r="U937" s="114"/>
      <c r="V937" s="114"/>
      <c r="W937" s="114"/>
      <c r="X937" s="114"/>
      <c r="Y937" s="114"/>
      <c r="Z937" s="114"/>
      <c r="AA937" s="114"/>
      <c r="AB937" s="114"/>
      <c r="AC937" s="114"/>
      <c r="AD937" s="114"/>
      <c r="AE937" s="114"/>
      <c r="AF937" s="114"/>
      <c r="AG937" s="114"/>
      <c r="AH937" s="114"/>
      <c r="AI937" s="114"/>
      <c r="AJ937" s="114"/>
      <c r="AK937" s="114"/>
      <c r="AL937" s="114"/>
      <c r="AM937" s="114"/>
      <c r="AN937" s="114"/>
      <c r="AO937" s="114"/>
      <c r="AP937" s="114"/>
      <c r="AQ937" s="114"/>
      <c r="AR937" s="114"/>
      <c r="AS937" s="114"/>
      <c r="AT937" s="114"/>
      <c r="AU937" s="114"/>
      <c r="AV937" s="114"/>
      <c r="AW937" s="114"/>
      <c r="AX937" s="114"/>
    </row>
    <row r="938" spans="4:50">
      <c r="D938" s="114"/>
      <c r="F938" s="114"/>
      <c r="G938" s="114"/>
      <c r="H938" s="114"/>
      <c r="I938" s="114"/>
      <c r="J938" s="114"/>
      <c r="K938" s="114"/>
      <c r="L938" s="114"/>
      <c r="M938" s="114"/>
      <c r="N938" s="114"/>
      <c r="O938" s="114"/>
      <c r="P938" s="114"/>
      <c r="Q938" s="114"/>
      <c r="R938" s="114"/>
      <c r="S938" s="114"/>
      <c r="T938" s="114"/>
      <c r="U938" s="114"/>
      <c r="V938" s="114"/>
      <c r="W938" s="114"/>
      <c r="X938" s="114"/>
      <c r="Y938" s="114"/>
      <c r="Z938" s="114"/>
      <c r="AA938" s="114"/>
      <c r="AB938" s="114"/>
      <c r="AC938" s="114"/>
      <c r="AD938" s="114"/>
      <c r="AE938" s="114"/>
      <c r="AF938" s="114"/>
      <c r="AG938" s="114"/>
      <c r="AH938" s="114"/>
      <c r="AI938" s="114"/>
      <c r="AJ938" s="114"/>
      <c r="AK938" s="114"/>
      <c r="AL938" s="114"/>
      <c r="AM938" s="114"/>
      <c r="AN938" s="114"/>
      <c r="AO938" s="114"/>
      <c r="AP938" s="114"/>
      <c r="AQ938" s="114"/>
      <c r="AR938" s="114"/>
      <c r="AS938" s="114"/>
      <c r="AT938" s="114"/>
      <c r="AU938" s="114"/>
      <c r="AV938" s="114"/>
      <c r="AW938" s="114"/>
      <c r="AX938" s="114"/>
    </row>
    <row r="939" spans="4:50">
      <c r="D939" s="114"/>
      <c r="F939" s="114"/>
      <c r="G939" s="114"/>
      <c r="H939" s="114"/>
      <c r="I939" s="114"/>
      <c r="J939" s="114"/>
      <c r="K939" s="114"/>
      <c r="L939" s="114"/>
      <c r="M939" s="114"/>
      <c r="N939" s="114"/>
      <c r="O939" s="114"/>
      <c r="P939" s="114"/>
      <c r="Q939" s="114"/>
      <c r="R939" s="114"/>
      <c r="S939" s="114"/>
      <c r="T939" s="114"/>
      <c r="U939" s="114"/>
      <c r="V939" s="114"/>
      <c r="W939" s="114"/>
      <c r="X939" s="114"/>
      <c r="Y939" s="114"/>
      <c r="Z939" s="114"/>
      <c r="AA939" s="114"/>
      <c r="AB939" s="114"/>
      <c r="AC939" s="114"/>
      <c r="AD939" s="114"/>
      <c r="AE939" s="114"/>
      <c r="AF939" s="114"/>
      <c r="AG939" s="114"/>
      <c r="AH939" s="114"/>
      <c r="AI939" s="114"/>
      <c r="AJ939" s="114"/>
      <c r="AK939" s="114"/>
      <c r="AL939" s="114"/>
      <c r="AM939" s="114"/>
      <c r="AN939" s="114"/>
      <c r="AO939" s="114"/>
      <c r="AP939" s="114"/>
      <c r="AQ939" s="114"/>
      <c r="AR939" s="114"/>
      <c r="AS939" s="114"/>
      <c r="AT939" s="114"/>
      <c r="AU939" s="114"/>
      <c r="AV939" s="114"/>
      <c r="AW939" s="114"/>
      <c r="AX939" s="114"/>
    </row>
    <row r="940" spans="4:50">
      <c r="D940" s="114"/>
      <c r="F940" s="114"/>
      <c r="G940" s="114"/>
      <c r="H940" s="114"/>
      <c r="I940" s="114"/>
      <c r="J940" s="114"/>
      <c r="K940" s="114"/>
      <c r="L940" s="114"/>
      <c r="M940" s="114"/>
      <c r="N940" s="114"/>
      <c r="O940" s="114"/>
      <c r="P940" s="114"/>
      <c r="Q940" s="114"/>
      <c r="R940" s="114"/>
      <c r="S940" s="114"/>
      <c r="T940" s="114"/>
      <c r="U940" s="114"/>
      <c r="V940" s="114"/>
      <c r="W940" s="114"/>
      <c r="X940" s="114"/>
      <c r="Y940" s="114"/>
      <c r="Z940" s="114"/>
      <c r="AA940" s="114"/>
      <c r="AB940" s="114"/>
      <c r="AC940" s="114"/>
      <c r="AD940" s="114"/>
      <c r="AE940" s="114"/>
      <c r="AF940" s="114"/>
      <c r="AG940" s="114"/>
      <c r="AH940" s="114"/>
      <c r="AI940" s="114"/>
      <c r="AJ940" s="114"/>
      <c r="AK940" s="114"/>
      <c r="AL940" s="114"/>
      <c r="AM940" s="114"/>
      <c r="AN940" s="114"/>
      <c r="AO940" s="114"/>
      <c r="AP940" s="114"/>
      <c r="AQ940" s="114"/>
      <c r="AR940" s="114"/>
      <c r="AS940" s="114"/>
      <c r="AT940" s="114"/>
      <c r="AU940" s="114"/>
      <c r="AV940" s="114"/>
      <c r="AW940" s="114"/>
      <c r="AX940" s="114"/>
    </row>
    <row r="941" spans="4:50">
      <c r="D941" s="114"/>
      <c r="F941" s="114"/>
      <c r="G941" s="114"/>
      <c r="H941" s="114"/>
      <c r="I941" s="114"/>
      <c r="J941" s="114"/>
      <c r="K941" s="114"/>
      <c r="L941" s="114"/>
      <c r="M941" s="114"/>
      <c r="N941" s="114"/>
      <c r="O941" s="114"/>
      <c r="P941" s="114"/>
      <c r="Q941" s="114"/>
      <c r="R941" s="114"/>
      <c r="S941" s="114"/>
      <c r="T941" s="114"/>
      <c r="U941" s="114"/>
      <c r="V941" s="114"/>
      <c r="W941" s="114"/>
      <c r="X941" s="114"/>
      <c r="Y941" s="114"/>
      <c r="Z941" s="114"/>
      <c r="AA941" s="114"/>
      <c r="AB941" s="114"/>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row>
    <row r="942" spans="4:50">
      <c r="D942" s="114"/>
      <c r="F942" s="114"/>
      <c r="G942" s="114"/>
      <c r="H942" s="114"/>
      <c r="I942" s="114"/>
      <c r="J942" s="114"/>
      <c r="K942" s="114"/>
      <c r="L942" s="114"/>
      <c r="M942" s="114"/>
      <c r="N942" s="114"/>
      <c r="O942" s="114"/>
      <c r="P942" s="114"/>
      <c r="Q942" s="114"/>
      <c r="R942" s="114"/>
      <c r="S942" s="114"/>
      <c r="T942" s="114"/>
      <c r="U942" s="114"/>
      <c r="V942" s="114"/>
      <c r="W942" s="114"/>
      <c r="X942" s="114"/>
      <c r="Y942" s="114"/>
      <c r="Z942" s="114"/>
      <c r="AA942" s="114"/>
      <c r="AB942" s="114"/>
      <c r="AC942" s="114"/>
      <c r="AD942" s="114"/>
      <c r="AE942" s="114"/>
      <c r="AF942" s="114"/>
      <c r="AG942" s="114"/>
      <c r="AH942" s="114"/>
      <c r="AI942" s="114"/>
      <c r="AJ942" s="114"/>
      <c r="AK942" s="114"/>
      <c r="AL942" s="114"/>
      <c r="AM942" s="114"/>
      <c r="AN942" s="114"/>
      <c r="AO942" s="114"/>
      <c r="AP942" s="114"/>
      <c r="AQ942" s="114"/>
      <c r="AR942" s="114"/>
      <c r="AS942" s="114"/>
      <c r="AT942" s="114"/>
      <c r="AU942" s="114"/>
      <c r="AV942" s="114"/>
      <c r="AW942" s="114"/>
      <c r="AX942" s="114"/>
    </row>
    <row r="943" spans="4:50">
      <c r="D943" s="114"/>
      <c r="F943" s="114"/>
      <c r="G943" s="114"/>
      <c r="H943" s="114"/>
      <c r="I943" s="114"/>
      <c r="J943" s="114"/>
      <c r="K943" s="114"/>
      <c r="L943" s="114"/>
      <c r="M943" s="114"/>
      <c r="N943" s="114"/>
      <c r="O943" s="114"/>
      <c r="P943" s="114"/>
      <c r="Q943" s="114"/>
      <c r="R943" s="114"/>
      <c r="S943" s="114"/>
      <c r="T943" s="114"/>
      <c r="U943" s="114"/>
      <c r="V943" s="114"/>
      <c r="W943" s="114"/>
      <c r="X943" s="114"/>
      <c r="Y943" s="114"/>
      <c r="Z943" s="114"/>
      <c r="AA943" s="114"/>
      <c r="AB943" s="114"/>
      <c r="AC943" s="114"/>
      <c r="AD943" s="114"/>
      <c r="AE943" s="114"/>
      <c r="AF943" s="114"/>
      <c r="AG943" s="114"/>
      <c r="AH943" s="114"/>
      <c r="AI943" s="114"/>
      <c r="AJ943" s="114"/>
      <c r="AK943" s="114"/>
      <c r="AL943" s="114"/>
      <c r="AM943" s="114"/>
      <c r="AN943" s="114"/>
      <c r="AO943" s="114"/>
      <c r="AP943" s="114"/>
      <c r="AQ943" s="114"/>
      <c r="AR943" s="114"/>
      <c r="AS943" s="114"/>
      <c r="AT943" s="114"/>
      <c r="AU943" s="114"/>
      <c r="AV943" s="114"/>
      <c r="AW943" s="114"/>
      <c r="AX943" s="114"/>
    </row>
    <row r="944" spans="4:50">
      <c r="D944" s="114"/>
      <c r="F944" s="114"/>
      <c r="G944" s="114"/>
      <c r="H944" s="114"/>
      <c r="I944" s="114"/>
      <c r="J944" s="114"/>
      <c r="K944" s="114"/>
      <c r="L944" s="114"/>
      <c r="M944" s="114"/>
      <c r="N944" s="114"/>
      <c r="O944" s="114"/>
      <c r="P944" s="114"/>
      <c r="Q944" s="114"/>
      <c r="R944" s="114"/>
      <c r="S944" s="114"/>
      <c r="T944" s="114"/>
      <c r="U944" s="114"/>
      <c r="V944" s="114"/>
      <c r="W944" s="114"/>
      <c r="X944" s="114"/>
      <c r="Y944" s="114"/>
      <c r="Z944" s="114"/>
      <c r="AA944" s="114"/>
      <c r="AB944" s="114"/>
      <c r="AC944" s="114"/>
      <c r="AD944" s="114"/>
      <c r="AE944" s="114"/>
      <c r="AF944" s="114"/>
      <c r="AG944" s="114"/>
      <c r="AH944" s="114"/>
      <c r="AI944" s="114"/>
      <c r="AJ944" s="114"/>
      <c r="AK944" s="114"/>
      <c r="AL944" s="114"/>
      <c r="AM944" s="114"/>
      <c r="AN944" s="114"/>
      <c r="AO944" s="114"/>
      <c r="AP944" s="114"/>
      <c r="AQ944" s="114"/>
      <c r="AR944" s="114"/>
      <c r="AS944" s="114"/>
      <c r="AT944" s="114"/>
      <c r="AU944" s="114"/>
      <c r="AV944" s="114"/>
      <c r="AW944" s="114"/>
      <c r="AX944" s="114"/>
    </row>
    <row r="945" spans="4:50">
      <c r="D945" s="114"/>
      <c r="F945" s="114"/>
      <c r="G945" s="114"/>
      <c r="H945" s="114"/>
      <c r="I945" s="114"/>
      <c r="J945" s="114"/>
      <c r="K945" s="114"/>
      <c r="L945" s="114"/>
      <c r="M945" s="114"/>
      <c r="N945" s="114"/>
      <c r="O945" s="114"/>
      <c r="P945" s="114"/>
      <c r="Q945" s="114"/>
      <c r="R945" s="114"/>
      <c r="S945" s="114"/>
      <c r="T945" s="114"/>
      <c r="U945" s="114"/>
      <c r="V945" s="114"/>
      <c r="W945" s="114"/>
      <c r="X945" s="114"/>
      <c r="Y945" s="114"/>
      <c r="Z945" s="114"/>
      <c r="AA945" s="114"/>
      <c r="AB945" s="114"/>
      <c r="AC945" s="114"/>
      <c r="AD945" s="114"/>
      <c r="AE945" s="114"/>
      <c r="AF945" s="114"/>
      <c r="AG945" s="114"/>
      <c r="AH945" s="114"/>
      <c r="AI945" s="114"/>
      <c r="AJ945" s="114"/>
      <c r="AK945" s="114"/>
      <c r="AL945" s="114"/>
      <c r="AM945" s="114"/>
      <c r="AN945" s="114"/>
      <c r="AO945" s="114"/>
      <c r="AP945" s="114"/>
      <c r="AQ945" s="114"/>
      <c r="AR945" s="114"/>
      <c r="AS945" s="114"/>
      <c r="AT945" s="114"/>
      <c r="AU945" s="114"/>
      <c r="AV945" s="114"/>
      <c r="AW945" s="114"/>
      <c r="AX945" s="114"/>
    </row>
    <row r="946" spans="4:50">
      <c r="D946" s="114"/>
      <c r="F946" s="114"/>
      <c r="G946" s="114"/>
      <c r="H946" s="114"/>
      <c r="I946" s="114"/>
      <c r="J946" s="114"/>
      <c r="K946" s="114"/>
      <c r="L946" s="114"/>
      <c r="M946" s="114"/>
      <c r="N946" s="114"/>
      <c r="O946" s="114"/>
      <c r="P946" s="114"/>
      <c r="Q946" s="114"/>
      <c r="R946" s="114"/>
      <c r="S946" s="114"/>
      <c r="T946" s="114"/>
      <c r="U946" s="114"/>
      <c r="V946" s="114"/>
      <c r="W946" s="114"/>
      <c r="X946" s="114"/>
      <c r="Y946" s="114"/>
      <c r="Z946" s="114"/>
      <c r="AA946" s="114"/>
      <c r="AB946" s="114"/>
      <c r="AC946" s="114"/>
      <c r="AD946" s="114"/>
      <c r="AE946" s="114"/>
      <c r="AF946" s="114"/>
      <c r="AG946" s="114"/>
      <c r="AH946" s="114"/>
      <c r="AI946" s="114"/>
      <c r="AJ946" s="114"/>
      <c r="AK946" s="114"/>
      <c r="AL946" s="114"/>
      <c r="AM946" s="114"/>
      <c r="AN946" s="114"/>
      <c r="AO946" s="114"/>
      <c r="AP946" s="114"/>
      <c r="AQ946" s="114"/>
      <c r="AR946" s="114"/>
      <c r="AS946" s="114"/>
      <c r="AT946" s="114"/>
      <c r="AU946" s="114"/>
      <c r="AV946" s="114"/>
      <c r="AW946" s="114"/>
      <c r="AX946" s="114"/>
    </row>
    <row r="947" spans="4:50">
      <c r="D947" s="114"/>
      <c r="F947" s="114"/>
      <c r="G947" s="114"/>
      <c r="H947" s="114"/>
      <c r="I947" s="114"/>
      <c r="J947" s="114"/>
      <c r="K947" s="114"/>
      <c r="L947" s="114"/>
      <c r="M947" s="114"/>
      <c r="N947" s="114"/>
      <c r="O947" s="114"/>
      <c r="P947" s="114"/>
      <c r="Q947" s="114"/>
      <c r="R947" s="114"/>
      <c r="S947" s="114"/>
      <c r="T947" s="114"/>
      <c r="U947" s="114"/>
      <c r="V947" s="114"/>
      <c r="W947" s="114"/>
      <c r="X947" s="114"/>
      <c r="Y947" s="114"/>
      <c r="Z947" s="114"/>
      <c r="AA947" s="114"/>
      <c r="AB947" s="114"/>
      <c r="AC947" s="114"/>
      <c r="AD947" s="114"/>
      <c r="AE947" s="114"/>
      <c r="AF947" s="114"/>
      <c r="AG947" s="114"/>
      <c r="AH947" s="114"/>
      <c r="AI947" s="114"/>
      <c r="AJ947" s="114"/>
      <c r="AK947" s="114"/>
      <c r="AL947" s="114"/>
      <c r="AM947" s="114"/>
      <c r="AN947" s="114"/>
      <c r="AO947" s="114"/>
      <c r="AP947" s="114"/>
      <c r="AQ947" s="114"/>
      <c r="AR947" s="114"/>
      <c r="AS947" s="114"/>
      <c r="AT947" s="114"/>
      <c r="AU947" s="114"/>
      <c r="AV947" s="114"/>
      <c r="AW947" s="114"/>
      <c r="AX947" s="114"/>
    </row>
    <row r="948" spans="4:50">
      <c r="D948" s="114"/>
      <c r="F948" s="114"/>
      <c r="G948" s="114"/>
      <c r="H948" s="114"/>
      <c r="I948" s="114"/>
      <c r="J948" s="114"/>
      <c r="K948" s="114"/>
      <c r="L948" s="114"/>
      <c r="M948" s="114"/>
      <c r="N948" s="114"/>
      <c r="O948" s="114"/>
      <c r="P948" s="114"/>
      <c r="Q948" s="114"/>
      <c r="R948" s="114"/>
      <c r="S948" s="114"/>
      <c r="T948" s="114"/>
      <c r="U948" s="114"/>
      <c r="V948" s="114"/>
      <c r="W948" s="114"/>
      <c r="X948" s="114"/>
      <c r="Y948" s="114"/>
      <c r="Z948" s="114"/>
      <c r="AA948" s="114"/>
      <c r="AB948" s="114"/>
      <c r="AC948" s="114"/>
      <c r="AD948" s="114"/>
      <c r="AE948" s="114"/>
      <c r="AF948" s="114"/>
      <c r="AG948" s="114"/>
      <c r="AH948" s="114"/>
      <c r="AI948" s="114"/>
      <c r="AJ948" s="114"/>
      <c r="AK948" s="114"/>
      <c r="AL948" s="114"/>
      <c r="AM948" s="114"/>
      <c r="AN948" s="114"/>
      <c r="AO948" s="114"/>
      <c r="AP948" s="114"/>
      <c r="AQ948" s="114"/>
      <c r="AR948" s="114"/>
      <c r="AS948" s="114"/>
      <c r="AT948" s="114"/>
      <c r="AU948" s="114"/>
      <c r="AV948" s="114"/>
      <c r="AW948" s="114"/>
      <c r="AX948" s="114"/>
    </row>
    <row r="949" spans="4:50">
      <c r="D949" s="114"/>
      <c r="F949" s="114"/>
      <c r="G949" s="114"/>
      <c r="H949" s="114"/>
      <c r="I949" s="114"/>
      <c r="J949" s="114"/>
      <c r="K949" s="114"/>
      <c r="L949" s="114"/>
      <c r="M949" s="114"/>
      <c r="N949" s="114"/>
      <c r="O949" s="114"/>
      <c r="P949" s="114"/>
      <c r="Q949" s="114"/>
      <c r="R949" s="114"/>
      <c r="S949" s="114"/>
      <c r="T949" s="114"/>
      <c r="U949" s="114"/>
      <c r="V949" s="114"/>
      <c r="W949" s="114"/>
      <c r="X949" s="114"/>
      <c r="Y949" s="114"/>
      <c r="Z949" s="114"/>
      <c r="AA949" s="114"/>
      <c r="AB949" s="114"/>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row>
    <row r="950" spans="4:50">
      <c r="D950" s="114"/>
      <c r="F950" s="114"/>
      <c r="G950" s="114"/>
      <c r="H950" s="114"/>
      <c r="I950" s="114"/>
      <c r="J950" s="114"/>
      <c r="K950" s="114"/>
      <c r="L950" s="114"/>
      <c r="M950" s="114"/>
      <c r="N950" s="114"/>
      <c r="O950" s="114"/>
      <c r="P950" s="114"/>
      <c r="Q950" s="114"/>
      <c r="R950" s="114"/>
      <c r="S950" s="114"/>
      <c r="T950" s="114"/>
      <c r="U950" s="114"/>
      <c r="V950" s="114"/>
      <c r="W950" s="114"/>
      <c r="X950" s="114"/>
      <c r="Y950" s="114"/>
      <c r="Z950" s="114"/>
      <c r="AA950" s="114"/>
      <c r="AB950" s="114"/>
      <c r="AC950" s="114"/>
      <c r="AD950" s="114"/>
      <c r="AE950" s="114"/>
      <c r="AF950" s="114"/>
      <c r="AG950" s="114"/>
      <c r="AH950" s="114"/>
      <c r="AI950" s="114"/>
      <c r="AJ950" s="114"/>
      <c r="AK950" s="114"/>
      <c r="AL950" s="114"/>
      <c r="AM950" s="114"/>
      <c r="AN950" s="114"/>
      <c r="AO950" s="114"/>
      <c r="AP950" s="114"/>
      <c r="AQ950" s="114"/>
      <c r="AR950" s="114"/>
      <c r="AS950" s="114"/>
      <c r="AT950" s="114"/>
      <c r="AU950" s="114"/>
      <c r="AV950" s="114"/>
      <c r="AW950" s="114"/>
      <c r="AX950" s="114"/>
    </row>
    <row r="951" spans="4:50">
      <c r="D951" s="114"/>
      <c r="F951" s="114"/>
      <c r="G951" s="114"/>
      <c r="H951" s="114"/>
      <c r="I951" s="114"/>
      <c r="J951" s="114"/>
      <c r="K951" s="114"/>
      <c r="L951" s="114"/>
      <c r="M951" s="114"/>
      <c r="N951" s="114"/>
      <c r="O951" s="114"/>
      <c r="P951" s="114"/>
      <c r="Q951" s="114"/>
      <c r="R951" s="114"/>
      <c r="S951" s="114"/>
      <c r="T951" s="114"/>
      <c r="U951" s="114"/>
      <c r="V951" s="114"/>
      <c r="W951" s="114"/>
      <c r="X951" s="114"/>
      <c r="Y951" s="114"/>
      <c r="Z951" s="114"/>
      <c r="AA951" s="114"/>
      <c r="AB951" s="114"/>
      <c r="AC951" s="114"/>
      <c r="AD951" s="114"/>
      <c r="AE951" s="114"/>
      <c r="AF951" s="114"/>
      <c r="AG951" s="114"/>
      <c r="AH951" s="114"/>
      <c r="AI951" s="114"/>
      <c r="AJ951" s="114"/>
      <c r="AK951" s="114"/>
      <c r="AL951" s="114"/>
      <c r="AM951" s="114"/>
      <c r="AN951" s="114"/>
      <c r="AO951" s="114"/>
      <c r="AP951" s="114"/>
      <c r="AQ951" s="114"/>
      <c r="AR951" s="114"/>
      <c r="AS951" s="114"/>
      <c r="AT951" s="114"/>
      <c r="AU951" s="114"/>
      <c r="AV951" s="114"/>
      <c r="AW951" s="114"/>
      <c r="AX951" s="114"/>
    </row>
    <row r="952" spans="4:50">
      <c r="D952" s="114"/>
      <c r="F952" s="114"/>
      <c r="G952" s="114"/>
      <c r="H952" s="114"/>
      <c r="I952" s="114"/>
      <c r="J952" s="114"/>
      <c r="K952" s="114"/>
      <c r="L952" s="114"/>
      <c r="M952" s="114"/>
      <c r="N952" s="114"/>
      <c r="O952" s="114"/>
      <c r="P952" s="114"/>
      <c r="Q952" s="114"/>
      <c r="R952" s="114"/>
      <c r="S952" s="114"/>
      <c r="T952" s="114"/>
      <c r="U952" s="114"/>
      <c r="V952" s="114"/>
      <c r="W952" s="114"/>
      <c r="X952" s="114"/>
      <c r="Y952" s="114"/>
      <c r="Z952" s="114"/>
      <c r="AA952" s="114"/>
      <c r="AB952" s="114"/>
      <c r="AC952" s="114"/>
      <c r="AD952" s="114"/>
      <c r="AE952" s="114"/>
      <c r="AF952" s="114"/>
      <c r="AG952" s="114"/>
      <c r="AH952" s="114"/>
      <c r="AI952" s="114"/>
      <c r="AJ952" s="114"/>
      <c r="AK952" s="114"/>
      <c r="AL952" s="114"/>
      <c r="AM952" s="114"/>
      <c r="AN952" s="114"/>
      <c r="AO952" s="114"/>
      <c r="AP952" s="114"/>
      <c r="AQ952" s="114"/>
      <c r="AR952" s="114"/>
      <c r="AS952" s="114"/>
      <c r="AT952" s="114"/>
      <c r="AU952" s="114"/>
      <c r="AV952" s="114"/>
      <c r="AW952" s="114"/>
      <c r="AX952" s="114"/>
    </row>
    <row r="953" spans="4:50">
      <c r="D953" s="114"/>
      <c r="F953" s="114"/>
      <c r="G953" s="114"/>
      <c r="H953" s="114"/>
      <c r="I953" s="114"/>
      <c r="J953" s="114"/>
      <c r="K953" s="114"/>
      <c r="L953" s="114"/>
      <c r="M953" s="114"/>
      <c r="N953" s="114"/>
      <c r="O953" s="114"/>
      <c r="P953" s="114"/>
      <c r="Q953" s="114"/>
      <c r="R953" s="114"/>
      <c r="S953" s="114"/>
      <c r="T953" s="114"/>
      <c r="U953" s="114"/>
      <c r="V953" s="114"/>
      <c r="W953" s="114"/>
      <c r="X953" s="114"/>
      <c r="Y953" s="114"/>
      <c r="Z953" s="114"/>
      <c r="AA953" s="114"/>
      <c r="AB953" s="114"/>
      <c r="AC953" s="114"/>
      <c r="AD953" s="114"/>
      <c r="AE953" s="114"/>
      <c r="AF953" s="114"/>
      <c r="AG953" s="114"/>
      <c r="AH953" s="114"/>
      <c r="AI953" s="114"/>
      <c r="AJ953" s="114"/>
      <c r="AK953" s="114"/>
      <c r="AL953" s="114"/>
      <c r="AM953" s="114"/>
      <c r="AN953" s="114"/>
      <c r="AO953" s="114"/>
      <c r="AP953" s="114"/>
      <c r="AQ953" s="114"/>
      <c r="AR953" s="114"/>
      <c r="AS953" s="114"/>
      <c r="AT953" s="114"/>
      <c r="AU953" s="114"/>
      <c r="AV953" s="114"/>
      <c r="AW953" s="114"/>
      <c r="AX953" s="114"/>
    </row>
    <row r="954" spans="4:50">
      <c r="D954" s="114"/>
      <c r="F954" s="114"/>
      <c r="G954" s="114"/>
      <c r="H954" s="114"/>
      <c r="I954" s="114"/>
      <c r="J954" s="114"/>
      <c r="K954" s="114"/>
      <c r="L954" s="114"/>
      <c r="M954" s="114"/>
      <c r="N954" s="114"/>
      <c r="O954" s="114"/>
      <c r="P954" s="114"/>
      <c r="Q954" s="114"/>
      <c r="R954" s="114"/>
      <c r="S954" s="114"/>
      <c r="T954" s="114"/>
      <c r="U954" s="114"/>
      <c r="V954" s="114"/>
      <c r="W954" s="114"/>
      <c r="X954" s="114"/>
      <c r="Y954" s="114"/>
      <c r="Z954" s="114"/>
      <c r="AA954" s="114"/>
      <c r="AB954" s="114"/>
      <c r="AC954" s="114"/>
      <c r="AD954" s="114"/>
      <c r="AE954" s="114"/>
      <c r="AF954" s="114"/>
      <c r="AG954" s="114"/>
      <c r="AH954" s="114"/>
      <c r="AI954" s="114"/>
      <c r="AJ954" s="114"/>
      <c r="AK954" s="114"/>
      <c r="AL954" s="114"/>
      <c r="AM954" s="114"/>
      <c r="AN954" s="114"/>
      <c r="AO954" s="114"/>
      <c r="AP954" s="114"/>
      <c r="AQ954" s="114"/>
      <c r="AR954" s="114"/>
      <c r="AS954" s="114"/>
      <c r="AT954" s="114"/>
      <c r="AU954" s="114"/>
      <c r="AV954" s="114"/>
      <c r="AW954" s="114"/>
      <c r="AX954" s="114"/>
    </row>
    <row r="955" spans="4:50">
      <c r="D955" s="114"/>
      <c r="F955" s="114"/>
      <c r="G955" s="114"/>
      <c r="H955" s="114"/>
      <c r="I955" s="114"/>
      <c r="J955" s="114"/>
      <c r="K955" s="114"/>
      <c r="L955" s="114"/>
      <c r="M955" s="114"/>
      <c r="N955" s="114"/>
      <c r="O955" s="114"/>
      <c r="P955" s="114"/>
      <c r="Q955" s="114"/>
      <c r="R955" s="114"/>
      <c r="S955" s="114"/>
      <c r="T955" s="114"/>
      <c r="U955" s="114"/>
      <c r="V955" s="114"/>
      <c r="W955" s="114"/>
      <c r="X955" s="114"/>
      <c r="Y955" s="114"/>
      <c r="Z955" s="114"/>
      <c r="AA955" s="114"/>
      <c r="AB955" s="114"/>
      <c r="AC955" s="114"/>
      <c r="AD955" s="114"/>
      <c r="AE955" s="114"/>
      <c r="AF955" s="114"/>
      <c r="AG955" s="114"/>
      <c r="AH955" s="114"/>
      <c r="AI955" s="114"/>
      <c r="AJ955" s="114"/>
      <c r="AK955" s="114"/>
      <c r="AL955" s="114"/>
      <c r="AM955" s="114"/>
      <c r="AN955" s="114"/>
      <c r="AO955" s="114"/>
      <c r="AP955" s="114"/>
      <c r="AQ955" s="114"/>
      <c r="AR955" s="114"/>
      <c r="AS955" s="114"/>
      <c r="AT955" s="114"/>
      <c r="AU955" s="114"/>
      <c r="AV955" s="114"/>
      <c r="AW955" s="114"/>
      <c r="AX955" s="114"/>
    </row>
    <row r="956" spans="4:50">
      <c r="D956" s="114"/>
      <c r="F956" s="114"/>
      <c r="G956" s="114"/>
      <c r="H956" s="114"/>
      <c r="I956" s="114"/>
      <c r="J956" s="114"/>
      <c r="K956" s="114"/>
      <c r="L956" s="114"/>
      <c r="M956" s="114"/>
      <c r="N956" s="114"/>
      <c r="O956" s="114"/>
      <c r="P956" s="114"/>
      <c r="Q956" s="114"/>
      <c r="R956" s="114"/>
      <c r="S956" s="114"/>
      <c r="T956" s="114"/>
      <c r="U956" s="114"/>
      <c r="V956" s="114"/>
      <c r="W956" s="114"/>
      <c r="X956" s="114"/>
      <c r="Y956" s="114"/>
      <c r="Z956" s="114"/>
      <c r="AA956" s="114"/>
      <c r="AB956" s="114"/>
      <c r="AC956" s="114"/>
      <c r="AD956" s="114"/>
      <c r="AE956" s="114"/>
      <c r="AF956" s="114"/>
      <c r="AG956" s="114"/>
      <c r="AH956" s="114"/>
      <c r="AI956" s="114"/>
      <c r="AJ956" s="114"/>
      <c r="AK956" s="114"/>
      <c r="AL956" s="114"/>
      <c r="AM956" s="114"/>
      <c r="AN956" s="114"/>
      <c r="AO956" s="114"/>
      <c r="AP956" s="114"/>
      <c r="AQ956" s="114"/>
      <c r="AR956" s="114"/>
      <c r="AS956" s="114"/>
      <c r="AT956" s="114"/>
      <c r="AU956" s="114"/>
      <c r="AV956" s="114"/>
      <c r="AW956" s="114"/>
      <c r="AX956" s="114"/>
    </row>
    <row r="957" spans="4:50">
      <c r="D957" s="114"/>
      <c r="F957" s="114"/>
      <c r="G957" s="114"/>
      <c r="H957" s="114"/>
      <c r="I957" s="114"/>
      <c r="J957" s="114"/>
      <c r="K957" s="114"/>
      <c r="L957" s="114"/>
      <c r="M957" s="114"/>
      <c r="N957" s="114"/>
      <c r="O957" s="114"/>
      <c r="P957" s="114"/>
      <c r="Q957" s="114"/>
      <c r="R957" s="114"/>
      <c r="S957" s="114"/>
      <c r="T957" s="114"/>
      <c r="U957" s="114"/>
      <c r="V957" s="114"/>
      <c r="W957" s="114"/>
      <c r="X957" s="114"/>
      <c r="Y957" s="114"/>
      <c r="Z957" s="114"/>
      <c r="AA957" s="114"/>
      <c r="AB957" s="114"/>
      <c r="AC957" s="114"/>
      <c r="AD957" s="114"/>
      <c r="AE957" s="114"/>
      <c r="AF957" s="114"/>
      <c r="AG957" s="114"/>
      <c r="AH957" s="114"/>
      <c r="AI957" s="114"/>
      <c r="AJ957" s="114"/>
      <c r="AK957" s="114"/>
      <c r="AL957" s="114"/>
      <c r="AM957" s="114"/>
      <c r="AN957" s="114"/>
      <c r="AO957" s="114"/>
      <c r="AP957" s="114"/>
      <c r="AQ957" s="114"/>
      <c r="AR957" s="114"/>
      <c r="AS957" s="114"/>
      <c r="AT957" s="114"/>
      <c r="AU957" s="114"/>
      <c r="AV957" s="114"/>
      <c r="AW957" s="114"/>
      <c r="AX957" s="114"/>
    </row>
    <row r="958" spans="4:50">
      <c r="D958" s="114"/>
      <c r="F958" s="114"/>
      <c r="G958" s="114"/>
      <c r="H958" s="114"/>
      <c r="I958" s="114"/>
      <c r="J958" s="114"/>
      <c r="K958" s="114"/>
      <c r="L958" s="114"/>
      <c r="M958" s="114"/>
      <c r="N958" s="114"/>
      <c r="O958" s="114"/>
      <c r="P958" s="114"/>
      <c r="Q958" s="114"/>
      <c r="R958" s="114"/>
      <c r="S958" s="114"/>
      <c r="T958" s="114"/>
      <c r="U958" s="114"/>
      <c r="V958" s="114"/>
      <c r="W958" s="114"/>
      <c r="X958" s="114"/>
      <c r="Y958" s="114"/>
      <c r="Z958" s="114"/>
      <c r="AA958" s="114"/>
      <c r="AB958" s="114"/>
      <c r="AC958" s="114"/>
      <c r="AD958" s="114"/>
      <c r="AE958" s="114"/>
      <c r="AF958" s="114"/>
      <c r="AG958" s="114"/>
      <c r="AH958" s="114"/>
      <c r="AI958" s="114"/>
      <c r="AJ958" s="114"/>
      <c r="AK958" s="114"/>
      <c r="AL958" s="114"/>
      <c r="AM958" s="114"/>
      <c r="AN958" s="114"/>
      <c r="AO958" s="114"/>
      <c r="AP958" s="114"/>
      <c r="AQ958" s="114"/>
      <c r="AR958" s="114"/>
      <c r="AS958" s="114"/>
      <c r="AT958" s="114"/>
      <c r="AU958" s="114"/>
      <c r="AV958" s="114"/>
      <c r="AW958" s="114"/>
      <c r="AX958" s="114"/>
    </row>
    <row r="959" spans="4:50">
      <c r="D959" s="114"/>
      <c r="F959" s="114"/>
      <c r="G959" s="114"/>
      <c r="H959" s="114"/>
      <c r="I959" s="114"/>
      <c r="J959" s="114"/>
      <c r="K959" s="114"/>
      <c r="L959" s="114"/>
      <c r="M959" s="114"/>
      <c r="N959" s="114"/>
      <c r="O959" s="114"/>
      <c r="P959" s="114"/>
      <c r="Q959" s="114"/>
      <c r="R959" s="114"/>
      <c r="S959" s="114"/>
      <c r="T959" s="114"/>
      <c r="U959" s="114"/>
      <c r="V959" s="114"/>
      <c r="W959" s="114"/>
      <c r="X959" s="114"/>
      <c r="Y959" s="114"/>
      <c r="Z959" s="114"/>
      <c r="AA959" s="114"/>
      <c r="AB959" s="114"/>
      <c r="AC959" s="114"/>
      <c r="AD959" s="114"/>
      <c r="AE959" s="114"/>
      <c r="AF959" s="114"/>
      <c r="AG959" s="114"/>
      <c r="AH959" s="114"/>
      <c r="AI959" s="114"/>
      <c r="AJ959" s="114"/>
      <c r="AK959" s="114"/>
      <c r="AL959" s="114"/>
      <c r="AM959" s="114"/>
      <c r="AN959" s="114"/>
      <c r="AO959" s="114"/>
      <c r="AP959" s="114"/>
      <c r="AQ959" s="114"/>
      <c r="AR959" s="114"/>
      <c r="AS959" s="114"/>
      <c r="AT959" s="114"/>
      <c r="AU959" s="114"/>
      <c r="AV959" s="114"/>
      <c r="AW959" s="114"/>
      <c r="AX959" s="114"/>
    </row>
    <row r="960" spans="4:50">
      <c r="D960" s="114"/>
      <c r="F960" s="114"/>
      <c r="G960" s="114"/>
      <c r="H960" s="114"/>
      <c r="I960" s="114"/>
      <c r="J960" s="114"/>
      <c r="K960" s="114"/>
      <c r="L960" s="114"/>
      <c r="M960" s="114"/>
      <c r="N960" s="114"/>
      <c r="O960" s="114"/>
      <c r="P960" s="114"/>
      <c r="Q960" s="114"/>
      <c r="R960" s="114"/>
      <c r="S960" s="114"/>
      <c r="T960" s="114"/>
      <c r="U960" s="114"/>
      <c r="V960" s="114"/>
      <c r="W960" s="114"/>
      <c r="X960" s="114"/>
      <c r="Y960" s="114"/>
      <c r="Z960" s="114"/>
      <c r="AA960" s="114"/>
      <c r="AB960" s="114"/>
      <c r="AC960" s="114"/>
      <c r="AD960" s="114"/>
      <c r="AE960" s="114"/>
      <c r="AF960" s="114"/>
      <c r="AG960" s="114"/>
      <c r="AH960" s="114"/>
      <c r="AI960" s="114"/>
      <c r="AJ960" s="114"/>
      <c r="AK960" s="114"/>
      <c r="AL960" s="114"/>
      <c r="AM960" s="114"/>
      <c r="AN960" s="114"/>
      <c r="AO960" s="114"/>
      <c r="AP960" s="114"/>
      <c r="AQ960" s="114"/>
      <c r="AR960" s="114"/>
      <c r="AS960" s="114"/>
      <c r="AT960" s="114"/>
      <c r="AU960" s="114"/>
      <c r="AV960" s="114"/>
      <c r="AW960" s="114"/>
      <c r="AX960" s="114"/>
    </row>
    <row r="961" spans="4:50">
      <c r="D961" s="114"/>
      <c r="F961" s="114"/>
      <c r="G961" s="114"/>
      <c r="H961" s="114"/>
      <c r="I961" s="114"/>
      <c r="J961" s="114"/>
      <c r="K961" s="114"/>
      <c r="L961" s="114"/>
      <c r="M961" s="114"/>
      <c r="N961" s="114"/>
      <c r="O961" s="114"/>
      <c r="P961" s="114"/>
      <c r="Q961" s="114"/>
      <c r="R961" s="114"/>
      <c r="S961" s="114"/>
      <c r="T961" s="114"/>
      <c r="U961" s="114"/>
      <c r="V961" s="114"/>
      <c r="W961" s="114"/>
      <c r="X961" s="114"/>
      <c r="Y961" s="114"/>
      <c r="Z961" s="114"/>
      <c r="AA961" s="114"/>
      <c r="AB961" s="114"/>
      <c r="AC961" s="114"/>
      <c r="AD961" s="114"/>
      <c r="AE961" s="114"/>
      <c r="AF961" s="114"/>
      <c r="AG961" s="114"/>
      <c r="AH961" s="114"/>
      <c r="AI961" s="114"/>
      <c r="AJ961" s="114"/>
      <c r="AK961" s="114"/>
      <c r="AL961" s="114"/>
      <c r="AM961" s="114"/>
      <c r="AN961" s="114"/>
      <c r="AO961" s="114"/>
      <c r="AP961" s="114"/>
      <c r="AQ961" s="114"/>
      <c r="AR961" s="114"/>
      <c r="AS961" s="114"/>
      <c r="AT961" s="114"/>
      <c r="AU961" s="114"/>
      <c r="AV961" s="114"/>
      <c r="AW961" s="114"/>
      <c r="AX961" s="114"/>
    </row>
    <row r="962" spans="4:50">
      <c r="D962" s="114"/>
      <c r="F962" s="114"/>
      <c r="G962" s="114"/>
      <c r="H962" s="114"/>
      <c r="I962" s="114"/>
      <c r="J962" s="114"/>
      <c r="K962" s="114"/>
      <c r="L962" s="114"/>
      <c r="M962" s="114"/>
      <c r="N962" s="114"/>
      <c r="O962" s="114"/>
      <c r="P962" s="114"/>
      <c r="Q962" s="114"/>
      <c r="R962" s="114"/>
      <c r="S962" s="114"/>
      <c r="T962" s="114"/>
      <c r="U962" s="114"/>
      <c r="V962" s="114"/>
      <c r="W962" s="114"/>
      <c r="X962" s="114"/>
      <c r="Y962" s="114"/>
      <c r="Z962" s="114"/>
      <c r="AA962" s="114"/>
      <c r="AB962" s="114"/>
      <c r="AC962" s="114"/>
      <c r="AD962" s="114"/>
      <c r="AE962" s="114"/>
      <c r="AF962" s="114"/>
      <c r="AG962" s="114"/>
      <c r="AH962" s="114"/>
      <c r="AI962" s="114"/>
      <c r="AJ962" s="114"/>
      <c r="AK962" s="114"/>
      <c r="AL962" s="114"/>
      <c r="AM962" s="114"/>
      <c r="AN962" s="114"/>
      <c r="AO962" s="114"/>
      <c r="AP962" s="114"/>
      <c r="AQ962" s="114"/>
      <c r="AR962" s="114"/>
      <c r="AS962" s="114"/>
      <c r="AT962" s="114"/>
      <c r="AU962" s="114"/>
      <c r="AV962" s="114"/>
      <c r="AW962" s="114"/>
      <c r="AX962" s="114"/>
    </row>
    <row r="963" spans="4:50">
      <c r="D963" s="114"/>
      <c r="F963" s="114"/>
      <c r="G963" s="114"/>
      <c r="H963" s="114"/>
      <c r="I963" s="114"/>
      <c r="J963" s="114"/>
      <c r="K963" s="114"/>
      <c r="L963" s="114"/>
      <c r="M963" s="114"/>
      <c r="N963" s="114"/>
      <c r="O963" s="114"/>
      <c r="P963" s="114"/>
      <c r="Q963" s="114"/>
      <c r="R963" s="114"/>
      <c r="S963" s="114"/>
      <c r="T963" s="114"/>
      <c r="U963" s="114"/>
      <c r="V963" s="114"/>
      <c r="W963" s="114"/>
      <c r="X963" s="114"/>
      <c r="Y963" s="114"/>
      <c r="Z963" s="114"/>
      <c r="AA963" s="114"/>
      <c r="AB963" s="114"/>
      <c r="AC963" s="114"/>
      <c r="AD963" s="114"/>
      <c r="AE963" s="114"/>
      <c r="AF963" s="114"/>
      <c r="AG963" s="114"/>
      <c r="AH963" s="114"/>
      <c r="AI963" s="114"/>
      <c r="AJ963" s="114"/>
      <c r="AK963" s="114"/>
      <c r="AL963" s="114"/>
      <c r="AM963" s="114"/>
      <c r="AN963" s="114"/>
      <c r="AO963" s="114"/>
      <c r="AP963" s="114"/>
      <c r="AQ963" s="114"/>
      <c r="AR963" s="114"/>
      <c r="AS963" s="114"/>
      <c r="AT963" s="114"/>
      <c r="AU963" s="114"/>
      <c r="AV963" s="114"/>
      <c r="AW963" s="114"/>
      <c r="AX963" s="114"/>
    </row>
    <row r="964" spans="4:50">
      <c r="D964" s="114"/>
      <c r="F964" s="114"/>
      <c r="G964" s="114"/>
      <c r="H964" s="114"/>
      <c r="I964" s="114"/>
      <c r="J964" s="114"/>
      <c r="K964" s="114"/>
      <c r="L964" s="114"/>
      <c r="M964" s="114"/>
      <c r="N964" s="114"/>
      <c r="O964" s="114"/>
      <c r="P964" s="114"/>
      <c r="Q964" s="114"/>
      <c r="R964" s="114"/>
      <c r="S964" s="114"/>
      <c r="T964" s="114"/>
      <c r="U964" s="114"/>
      <c r="V964" s="114"/>
      <c r="W964" s="114"/>
      <c r="X964" s="114"/>
      <c r="Y964" s="114"/>
      <c r="Z964" s="114"/>
      <c r="AA964" s="114"/>
      <c r="AB964" s="114"/>
      <c r="AC964" s="114"/>
      <c r="AD964" s="114"/>
      <c r="AE964" s="114"/>
      <c r="AF964" s="114"/>
      <c r="AG964" s="114"/>
      <c r="AH964" s="114"/>
      <c r="AI964" s="114"/>
      <c r="AJ964" s="114"/>
      <c r="AK964" s="114"/>
      <c r="AL964" s="114"/>
      <c r="AM964" s="114"/>
      <c r="AN964" s="114"/>
      <c r="AO964" s="114"/>
      <c r="AP964" s="114"/>
      <c r="AQ964" s="114"/>
      <c r="AR964" s="114"/>
      <c r="AS964" s="114"/>
      <c r="AT964" s="114"/>
      <c r="AU964" s="114"/>
      <c r="AV964" s="114"/>
      <c r="AW964" s="114"/>
      <c r="AX964" s="114"/>
    </row>
    <row r="965" spans="4:50">
      <c r="D965" s="114"/>
      <c r="F965" s="114"/>
      <c r="G965" s="114"/>
      <c r="H965" s="114"/>
      <c r="I965" s="114"/>
      <c r="J965" s="114"/>
      <c r="K965" s="114"/>
      <c r="L965" s="114"/>
      <c r="M965" s="114"/>
      <c r="N965" s="114"/>
      <c r="O965" s="114"/>
      <c r="P965" s="114"/>
      <c r="Q965" s="114"/>
      <c r="R965" s="114"/>
      <c r="S965" s="114"/>
      <c r="T965" s="114"/>
      <c r="U965" s="114"/>
      <c r="V965" s="114"/>
      <c r="W965" s="114"/>
      <c r="X965" s="114"/>
      <c r="Y965" s="114"/>
      <c r="Z965" s="114"/>
      <c r="AA965" s="114"/>
      <c r="AB965" s="114"/>
      <c r="AC965" s="114"/>
      <c r="AD965" s="114"/>
      <c r="AE965" s="114"/>
      <c r="AF965" s="114"/>
      <c r="AG965" s="114"/>
      <c r="AH965" s="114"/>
      <c r="AI965" s="114"/>
      <c r="AJ965" s="114"/>
      <c r="AK965" s="114"/>
      <c r="AL965" s="114"/>
      <c r="AM965" s="114"/>
      <c r="AN965" s="114"/>
      <c r="AO965" s="114"/>
      <c r="AP965" s="114"/>
      <c r="AQ965" s="114"/>
      <c r="AR965" s="114"/>
      <c r="AS965" s="114"/>
      <c r="AT965" s="114"/>
      <c r="AU965" s="114"/>
      <c r="AV965" s="114"/>
      <c r="AW965" s="114"/>
      <c r="AX965" s="114"/>
    </row>
    <row r="966" spans="4:50">
      <c r="D966" s="114"/>
      <c r="F966" s="114"/>
      <c r="G966" s="114"/>
      <c r="H966" s="114"/>
      <c r="I966" s="114"/>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row>
    <row r="967" spans="4:50">
      <c r="D967" s="114"/>
      <c r="F967" s="114"/>
      <c r="G967" s="114"/>
      <c r="H967" s="114"/>
      <c r="I967" s="114"/>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row>
    <row r="968" spans="4:50">
      <c r="D968" s="114"/>
      <c r="F968" s="114"/>
      <c r="G968" s="114"/>
      <c r="H968" s="114"/>
      <c r="I968" s="114"/>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row>
    <row r="969" spans="4:50">
      <c r="D969" s="114"/>
      <c r="F969" s="114"/>
      <c r="G969" s="114"/>
      <c r="H969" s="114"/>
      <c r="I969" s="114"/>
      <c r="J969" s="114"/>
      <c r="K969" s="114"/>
      <c r="L969" s="114"/>
      <c r="M969" s="114"/>
      <c r="N969" s="114"/>
      <c r="O969" s="114"/>
      <c r="P969" s="114"/>
      <c r="Q969" s="114"/>
      <c r="R969" s="114"/>
      <c r="S969" s="114"/>
      <c r="T969" s="114"/>
      <c r="U969" s="114"/>
      <c r="V969" s="114"/>
      <c r="W969" s="114"/>
      <c r="X969" s="114"/>
      <c r="Y969" s="114"/>
      <c r="Z969" s="114"/>
      <c r="AA969" s="114"/>
      <c r="AB969" s="114"/>
      <c r="AC969" s="114"/>
      <c r="AD969" s="114"/>
      <c r="AE969" s="114"/>
      <c r="AF969" s="114"/>
      <c r="AG969" s="114"/>
      <c r="AH969" s="114"/>
      <c r="AI969" s="114"/>
      <c r="AJ969" s="114"/>
      <c r="AK969" s="114"/>
      <c r="AL969" s="114"/>
      <c r="AM969" s="114"/>
      <c r="AN969" s="114"/>
      <c r="AO969" s="114"/>
      <c r="AP969" s="114"/>
      <c r="AQ969" s="114"/>
      <c r="AR969" s="114"/>
      <c r="AS969" s="114"/>
      <c r="AT969" s="114"/>
      <c r="AU969" s="114"/>
      <c r="AV969" s="114"/>
      <c r="AW969" s="114"/>
      <c r="AX969" s="114"/>
    </row>
    <row r="970" spans="4:50">
      <c r="D970" s="114"/>
      <c r="F970" s="114"/>
      <c r="G970" s="114"/>
      <c r="H970" s="114"/>
      <c r="I970" s="114"/>
      <c r="J970" s="114"/>
      <c r="K970" s="114"/>
      <c r="L970" s="114"/>
      <c r="M970" s="114"/>
      <c r="N970" s="114"/>
      <c r="O970" s="114"/>
      <c r="P970" s="114"/>
      <c r="Q970" s="114"/>
      <c r="R970" s="114"/>
      <c r="S970" s="114"/>
      <c r="T970" s="114"/>
      <c r="U970" s="114"/>
      <c r="V970" s="114"/>
      <c r="W970" s="114"/>
      <c r="X970" s="114"/>
      <c r="Y970" s="114"/>
      <c r="Z970" s="114"/>
      <c r="AA970" s="114"/>
      <c r="AB970" s="114"/>
      <c r="AC970" s="114"/>
      <c r="AD970" s="114"/>
      <c r="AE970" s="114"/>
      <c r="AF970" s="114"/>
      <c r="AG970" s="114"/>
      <c r="AH970" s="114"/>
      <c r="AI970" s="114"/>
      <c r="AJ970" s="114"/>
      <c r="AK970" s="114"/>
      <c r="AL970" s="114"/>
      <c r="AM970" s="114"/>
      <c r="AN970" s="114"/>
      <c r="AO970" s="114"/>
      <c r="AP970" s="114"/>
      <c r="AQ970" s="114"/>
      <c r="AR970" s="114"/>
      <c r="AS970" s="114"/>
      <c r="AT970" s="114"/>
      <c r="AU970" s="114"/>
      <c r="AV970" s="114"/>
      <c r="AW970" s="114"/>
      <c r="AX970" s="114"/>
    </row>
  </sheetData>
  <sortState ref="A7:BA45">
    <sortCondition ref="A7:A45"/>
    <sortCondition ref="E7:E45"/>
    <sortCondition ref="B7:B45"/>
  </sortState>
  <mergeCells count="1">
    <mergeCell ref="AZ3:BA3"/>
  </mergeCells>
  <phoneticPr fontId="0" type="noConversion"/>
  <conditionalFormatting sqref="K660:K663">
    <cfRule type="top10" dxfId="3" priority="4" percent="1" rank="10"/>
  </conditionalFormatting>
  <conditionalFormatting sqref="M660:M663">
    <cfRule type="top10" dxfId="2" priority="3" percent="1" rank="10"/>
  </conditionalFormatting>
  <conditionalFormatting sqref="O660:O663">
    <cfRule type="top10" dxfId="1" priority="2" percent="1" rank="10"/>
  </conditionalFormatting>
  <conditionalFormatting sqref="U660:U663">
    <cfRule type="top10" dxfId="0" priority="1" percent="1" rank="10"/>
  </conditionalFormatting>
  <pageMargins left="0.75" right="0.75" top="1" bottom="1" header="0.5" footer="0.5"/>
  <pageSetup paperSize="5"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220"/>
  <sheetViews>
    <sheetView workbookViewId="0">
      <selection sqref="A1:XFD1048576"/>
    </sheetView>
  </sheetViews>
  <sheetFormatPr defaultRowHeight="12.75"/>
  <cols>
    <col min="1" max="1" width="7.5" style="342" customWidth="1"/>
    <col min="2" max="2" width="46.6640625" style="269" customWidth="1"/>
    <col min="3" max="8" width="16.1640625" style="269" customWidth="1"/>
    <col min="9" max="9" width="17.5" style="269" customWidth="1"/>
    <col min="10" max="13" width="14.33203125" style="269" customWidth="1"/>
    <col min="14" max="14" width="17" style="269" customWidth="1"/>
    <col min="15" max="15" width="13.83203125" style="269" customWidth="1"/>
    <col min="16" max="16" width="13.83203125" style="269" hidden="1" customWidth="1"/>
    <col min="17" max="18" width="14.5" style="269" customWidth="1"/>
    <col min="19" max="19" width="11.6640625" style="269" customWidth="1"/>
    <col min="20" max="20" width="8.5" style="269" customWidth="1"/>
    <col min="21" max="21" width="10.83203125" style="269" customWidth="1"/>
    <col min="22" max="22" width="9.83203125" style="269" customWidth="1"/>
    <col min="23" max="23" width="12.1640625" style="269" customWidth="1"/>
    <col min="24" max="24" width="9.83203125" style="269" customWidth="1"/>
    <col min="25" max="25" width="12.1640625" style="269" customWidth="1"/>
    <col min="26" max="26" width="8.6640625" style="269" customWidth="1"/>
    <col min="27" max="27" width="12.1640625" style="269" customWidth="1"/>
    <col min="28" max="29" width="1.5" style="269" customWidth="1"/>
    <col min="30" max="30" width="2.1640625" style="269" customWidth="1"/>
    <col min="31" max="31" width="14.5" style="269" customWidth="1"/>
    <col min="32" max="32" width="13.6640625" style="269" customWidth="1"/>
    <col min="33" max="33" width="12.6640625" style="269" customWidth="1"/>
    <col min="34" max="34" width="16" style="269" customWidth="1"/>
    <col min="35" max="35" width="16.5" style="269" customWidth="1"/>
    <col min="36" max="36" width="14.6640625" style="269" customWidth="1"/>
    <col min="37" max="37" width="14" style="269" customWidth="1"/>
    <col min="38" max="16384" width="9.33203125" style="269"/>
  </cols>
  <sheetData>
    <row r="1" spans="1:31">
      <c r="A1" s="269"/>
      <c r="E1" s="270"/>
      <c r="F1" s="270"/>
      <c r="G1" s="270"/>
      <c r="H1" s="270"/>
      <c r="I1" s="270"/>
      <c r="J1" s="270"/>
      <c r="K1" s="270"/>
      <c r="L1" s="270"/>
      <c r="M1" s="271"/>
      <c r="N1" s="270"/>
      <c r="T1" s="272"/>
      <c r="U1" s="272"/>
      <c r="V1" s="272"/>
      <c r="W1" s="272"/>
      <c r="X1" s="272"/>
      <c r="Y1" s="272"/>
      <c r="Z1" s="272"/>
      <c r="AA1" s="272"/>
    </row>
    <row r="2" spans="1:31">
      <c r="A2" s="269"/>
      <c r="E2" s="273"/>
      <c r="F2" s="273"/>
      <c r="G2" s="273"/>
      <c r="H2" s="273"/>
      <c r="I2" s="273"/>
      <c r="J2" s="274"/>
      <c r="K2" s="273"/>
      <c r="L2" s="273"/>
      <c r="M2" s="275"/>
      <c r="N2" s="276"/>
      <c r="O2" s="274"/>
      <c r="P2" s="273"/>
      <c r="Q2" s="273"/>
      <c r="R2" s="273"/>
      <c r="S2" s="273"/>
      <c r="T2" s="277"/>
      <c r="U2" s="277"/>
      <c r="V2" s="277"/>
      <c r="W2" s="277"/>
      <c r="X2" s="277"/>
      <c r="Y2" s="277"/>
      <c r="Z2" s="277"/>
      <c r="AA2" s="278"/>
      <c r="AB2" s="279"/>
      <c r="AC2" s="280"/>
      <c r="AD2" s="281"/>
      <c r="AE2" s="282"/>
    </row>
    <row r="3" spans="1:31">
      <c r="A3" s="283"/>
      <c r="B3" s="284"/>
      <c r="C3" s="285"/>
      <c r="D3" s="273"/>
      <c r="E3" s="273"/>
      <c r="F3" s="273"/>
      <c r="G3" s="273"/>
      <c r="H3" s="273"/>
      <c r="I3" s="286"/>
      <c r="J3" s="285"/>
      <c r="K3" s="273"/>
      <c r="L3" s="273"/>
      <c r="M3" s="273"/>
      <c r="N3" s="286"/>
      <c r="O3" s="285"/>
      <c r="P3" s="273"/>
      <c r="Q3" s="286"/>
      <c r="R3" s="285"/>
      <c r="S3" s="285"/>
      <c r="T3" s="287"/>
      <c r="U3" s="287"/>
      <c r="V3" s="287"/>
      <c r="W3" s="287"/>
      <c r="X3" s="287"/>
      <c r="Y3" s="287"/>
      <c r="Z3" s="287"/>
      <c r="AA3" s="288"/>
      <c r="AB3" s="289"/>
      <c r="AC3" s="290"/>
      <c r="AD3" s="281"/>
      <c r="AE3" s="282"/>
    </row>
    <row r="4" spans="1:31">
      <c r="A4" s="283"/>
      <c r="B4" s="291"/>
      <c r="C4" s="292"/>
      <c r="D4" s="293"/>
      <c r="E4" s="293"/>
      <c r="F4" s="293"/>
      <c r="G4" s="293"/>
      <c r="H4" s="293"/>
      <c r="I4" s="294"/>
      <c r="J4" s="295"/>
      <c r="K4" s="296"/>
      <c r="L4" s="296"/>
      <c r="M4" s="296"/>
      <c r="N4" s="294"/>
      <c r="O4" s="295"/>
      <c r="P4" s="296"/>
      <c r="Q4" s="294"/>
      <c r="R4" s="285"/>
      <c r="S4" s="297"/>
      <c r="T4" s="287"/>
      <c r="U4" s="298"/>
      <c r="V4" s="299"/>
      <c r="W4" s="300"/>
      <c r="X4" s="299"/>
      <c r="Y4" s="300"/>
      <c r="Z4" s="287"/>
      <c r="AA4" s="301"/>
      <c r="AB4" s="289"/>
      <c r="AC4" s="302"/>
      <c r="AD4" s="281"/>
      <c r="AE4" s="282"/>
    </row>
    <row r="5" spans="1:31">
      <c r="A5" s="303"/>
      <c r="B5" s="291"/>
      <c r="C5" s="285"/>
      <c r="D5" s="276"/>
      <c r="E5" s="276"/>
      <c r="F5" s="276"/>
      <c r="G5" s="276"/>
      <c r="H5" s="276"/>
      <c r="I5" s="285"/>
      <c r="J5" s="285"/>
      <c r="K5" s="276"/>
      <c r="L5" s="276"/>
      <c r="M5" s="276"/>
      <c r="N5" s="285"/>
      <c r="O5" s="285"/>
      <c r="P5" s="276"/>
      <c r="Q5" s="285"/>
      <c r="R5" s="285"/>
      <c r="S5" s="285"/>
      <c r="T5" s="287"/>
      <c r="U5" s="287"/>
      <c r="V5" s="287"/>
      <c r="W5" s="287"/>
      <c r="X5" s="287"/>
      <c r="Y5" s="287"/>
      <c r="Z5" s="287"/>
      <c r="AA5" s="304"/>
      <c r="AB5" s="289"/>
      <c r="AC5" s="290"/>
      <c r="AD5" s="281"/>
      <c r="AE5" s="282"/>
    </row>
    <row r="6" spans="1:31">
      <c r="A6" s="305"/>
      <c r="B6" s="306"/>
      <c r="C6" s="307"/>
      <c r="D6" s="308"/>
      <c r="E6" s="308"/>
      <c r="F6" s="308"/>
      <c r="G6" s="308"/>
      <c r="H6" s="308"/>
      <c r="I6" s="307"/>
      <c r="J6" s="307"/>
      <c r="K6" s="308"/>
      <c r="L6" s="308"/>
      <c r="M6" s="308"/>
      <c r="N6" s="307"/>
      <c r="O6" s="307"/>
      <c r="P6" s="308"/>
      <c r="Q6" s="307"/>
      <c r="R6" s="307"/>
      <c r="S6" s="307"/>
      <c r="T6" s="309"/>
      <c r="U6" s="309"/>
      <c r="V6" s="309"/>
      <c r="W6" s="309"/>
      <c r="X6" s="309"/>
      <c r="Y6" s="309"/>
      <c r="Z6" s="309"/>
      <c r="AA6" s="310"/>
      <c r="AB6" s="311"/>
      <c r="AC6" s="312"/>
      <c r="AD6" s="281"/>
      <c r="AE6" s="282"/>
    </row>
    <row r="7" spans="1:31">
      <c r="A7" s="305"/>
      <c r="B7" s="313"/>
      <c r="C7" s="314"/>
      <c r="D7" s="315"/>
      <c r="E7" s="315"/>
      <c r="F7" s="315"/>
      <c r="G7" s="315"/>
      <c r="H7" s="315"/>
      <c r="I7" s="314"/>
      <c r="J7" s="314"/>
      <c r="K7" s="315"/>
      <c r="L7" s="315"/>
      <c r="M7" s="315"/>
      <c r="N7" s="314"/>
      <c r="O7" s="316"/>
      <c r="P7" s="315"/>
      <c r="Q7" s="314"/>
      <c r="R7" s="314"/>
      <c r="S7" s="314"/>
      <c r="T7" s="317"/>
      <c r="U7" s="317"/>
      <c r="V7" s="317"/>
      <c r="W7" s="317"/>
      <c r="X7" s="317"/>
      <c r="Y7" s="317"/>
      <c r="Z7" s="317"/>
      <c r="AA7" s="318"/>
      <c r="AB7" s="319"/>
      <c r="AC7" s="320"/>
      <c r="AD7" s="321"/>
      <c r="AE7" s="282"/>
    </row>
    <row r="8" spans="1:31">
      <c r="A8" s="305"/>
      <c r="B8" s="306"/>
      <c r="C8" s="307"/>
      <c r="D8" s="308"/>
      <c r="E8" s="308"/>
      <c r="F8" s="308"/>
      <c r="G8" s="308"/>
      <c r="H8" s="308"/>
      <c r="I8" s="307"/>
      <c r="J8" s="307"/>
      <c r="K8" s="308"/>
      <c r="L8" s="308"/>
      <c r="M8" s="308"/>
      <c r="N8" s="307"/>
      <c r="O8" s="322"/>
      <c r="P8" s="308"/>
      <c r="Q8" s="307"/>
      <c r="R8" s="307"/>
      <c r="S8" s="307"/>
      <c r="T8" s="309"/>
      <c r="U8" s="309"/>
      <c r="V8" s="309"/>
      <c r="W8" s="309"/>
      <c r="X8" s="309"/>
      <c r="Y8" s="309"/>
      <c r="Z8" s="309"/>
      <c r="AA8" s="323"/>
      <c r="AB8" s="311"/>
      <c r="AC8" s="312"/>
      <c r="AD8" s="281"/>
      <c r="AE8" s="282"/>
    </row>
    <row r="9" spans="1:31">
      <c r="A9" s="305"/>
      <c r="B9" s="306"/>
      <c r="C9" s="307"/>
      <c r="D9" s="308"/>
      <c r="E9" s="308"/>
      <c r="F9" s="308"/>
      <c r="G9" s="308"/>
      <c r="H9" s="308"/>
      <c r="I9" s="307"/>
      <c r="J9" s="307"/>
      <c r="K9" s="308"/>
      <c r="L9" s="308"/>
      <c r="M9" s="308"/>
      <c r="N9" s="307"/>
      <c r="O9" s="322"/>
      <c r="P9" s="308"/>
      <c r="Q9" s="307"/>
      <c r="R9" s="307"/>
      <c r="S9" s="307"/>
      <c r="T9" s="309"/>
      <c r="U9" s="309"/>
      <c r="V9" s="309"/>
      <c r="W9" s="309"/>
      <c r="X9" s="309"/>
      <c r="Y9" s="309"/>
      <c r="Z9" s="309"/>
      <c r="AA9" s="323"/>
      <c r="AB9" s="311"/>
      <c r="AC9" s="312"/>
      <c r="AD9" s="281"/>
      <c r="AE9" s="282"/>
    </row>
    <row r="10" spans="1:31">
      <c r="A10" s="305"/>
      <c r="B10" s="313"/>
      <c r="C10" s="314"/>
      <c r="D10" s="315"/>
      <c r="E10" s="315"/>
      <c r="F10" s="315"/>
      <c r="G10" s="315"/>
      <c r="H10" s="315"/>
      <c r="I10" s="314"/>
      <c r="J10" s="314"/>
      <c r="K10" s="315"/>
      <c r="L10" s="315"/>
      <c r="M10" s="315"/>
      <c r="N10" s="314"/>
      <c r="O10" s="316"/>
      <c r="P10" s="315"/>
      <c r="Q10" s="314"/>
      <c r="R10" s="314"/>
      <c r="S10" s="314"/>
      <c r="T10" s="317"/>
      <c r="U10" s="317"/>
      <c r="V10" s="317"/>
      <c r="W10" s="317"/>
      <c r="X10" s="317"/>
      <c r="Y10" s="317"/>
      <c r="Z10" s="317"/>
      <c r="AA10" s="318"/>
      <c r="AB10" s="319"/>
      <c r="AC10" s="320"/>
      <c r="AD10" s="321"/>
      <c r="AE10" s="282"/>
    </row>
    <row r="11" spans="1:31">
      <c r="A11" s="305"/>
      <c r="B11" s="306"/>
      <c r="C11" s="307"/>
      <c r="D11" s="308"/>
      <c r="E11" s="308"/>
      <c r="F11" s="308"/>
      <c r="G11" s="308"/>
      <c r="H11" s="308"/>
      <c r="I11" s="307"/>
      <c r="J11" s="307"/>
      <c r="K11" s="308"/>
      <c r="L11" s="308"/>
      <c r="M11" s="308"/>
      <c r="N11" s="307"/>
      <c r="O11" s="322"/>
      <c r="P11" s="308"/>
      <c r="Q11" s="307"/>
      <c r="R11" s="307"/>
      <c r="S11" s="307"/>
      <c r="T11" s="309"/>
      <c r="U11" s="309"/>
      <c r="V11" s="309"/>
      <c r="W11" s="309"/>
      <c r="X11" s="309"/>
      <c r="Y11" s="309"/>
      <c r="Z11" s="309"/>
      <c r="AA11" s="323"/>
      <c r="AB11" s="311"/>
      <c r="AC11" s="312"/>
      <c r="AD11" s="281"/>
      <c r="AE11" s="282"/>
    </row>
    <row r="12" spans="1:31">
      <c r="A12" s="305"/>
      <c r="B12" s="306"/>
      <c r="C12" s="307"/>
      <c r="D12" s="308"/>
      <c r="E12" s="308"/>
      <c r="F12" s="308"/>
      <c r="G12" s="308"/>
      <c r="H12" s="308"/>
      <c r="I12" s="307"/>
      <c r="J12" s="307"/>
      <c r="K12" s="308"/>
      <c r="L12" s="308"/>
      <c r="M12" s="308"/>
      <c r="N12" s="307"/>
      <c r="O12" s="322"/>
      <c r="P12" s="308"/>
      <c r="Q12" s="307"/>
      <c r="R12" s="307"/>
      <c r="S12" s="307"/>
      <c r="T12" s="309"/>
      <c r="U12" s="309"/>
      <c r="V12" s="309"/>
      <c r="W12" s="309"/>
      <c r="X12" s="309"/>
      <c r="Y12" s="309"/>
      <c r="Z12" s="309"/>
      <c r="AA12" s="323"/>
      <c r="AB12" s="311"/>
      <c r="AC12" s="312"/>
      <c r="AD12" s="281"/>
      <c r="AE12" s="282"/>
    </row>
    <row r="13" spans="1:31">
      <c r="A13" s="305"/>
      <c r="B13" s="313"/>
      <c r="C13" s="314"/>
      <c r="D13" s="315"/>
      <c r="E13" s="315"/>
      <c r="F13" s="315"/>
      <c r="G13" s="315"/>
      <c r="H13" s="315"/>
      <c r="I13" s="314"/>
      <c r="J13" s="314"/>
      <c r="K13" s="315"/>
      <c r="L13" s="315"/>
      <c r="M13" s="315"/>
      <c r="N13" s="314"/>
      <c r="O13" s="316"/>
      <c r="P13" s="315"/>
      <c r="Q13" s="314"/>
      <c r="R13" s="314"/>
      <c r="S13" s="314"/>
      <c r="T13" s="317"/>
      <c r="U13" s="317"/>
      <c r="V13" s="317"/>
      <c r="W13" s="317"/>
      <c r="X13" s="317"/>
      <c r="Y13" s="317"/>
      <c r="Z13" s="317"/>
      <c r="AA13" s="318"/>
      <c r="AB13" s="319"/>
      <c r="AC13" s="320"/>
      <c r="AD13" s="321"/>
      <c r="AE13" s="282"/>
    </row>
    <row r="14" spans="1:31">
      <c r="A14" s="305"/>
      <c r="B14" s="306"/>
      <c r="C14" s="307"/>
      <c r="D14" s="308"/>
      <c r="E14" s="308"/>
      <c r="F14" s="308"/>
      <c r="G14" s="308"/>
      <c r="H14" s="308"/>
      <c r="I14" s="307"/>
      <c r="J14" s="307"/>
      <c r="K14" s="308"/>
      <c r="L14" s="308"/>
      <c r="M14" s="308"/>
      <c r="N14" s="307"/>
      <c r="O14" s="322"/>
      <c r="P14" s="308"/>
      <c r="Q14" s="307"/>
      <c r="R14" s="307"/>
      <c r="S14" s="307"/>
      <c r="T14" s="309"/>
      <c r="U14" s="309"/>
      <c r="V14" s="309"/>
      <c r="W14" s="309"/>
      <c r="X14" s="309"/>
      <c r="Y14" s="309"/>
      <c r="Z14" s="309"/>
      <c r="AA14" s="323"/>
      <c r="AB14" s="311"/>
      <c r="AC14" s="312"/>
      <c r="AD14" s="281"/>
      <c r="AE14" s="282"/>
    </row>
    <row r="15" spans="1:31">
      <c r="A15" s="305"/>
      <c r="B15" s="306"/>
      <c r="C15" s="307"/>
      <c r="D15" s="308"/>
      <c r="E15" s="308"/>
      <c r="F15" s="308"/>
      <c r="G15" s="308"/>
      <c r="H15" s="308"/>
      <c r="I15" s="307"/>
      <c r="J15" s="307"/>
      <c r="K15" s="308"/>
      <c r="L15" s="308"/>
      <c r="M15" s="308"/>
      <c r="N15" s="307"/>
      <c r="O15" s="322"/>
      <c r="P15" s="308"/>
      <c r="Q15" s="307"/>
      <c r="R15" s="307"/>
      <c r="S15" s="307"/>
      <c r="T15" s="309"/>
      <c r="U15" s="309"/>
      <c r="V15" s="309"/>
      <c r="W15" s="309"/>
      <c r="X15" s="309"/>
      <c r="Y15" s="309"/>
      <c r="Z15" s="309"/>
      <c r="AA15" s="323"/>
      <c r="AB15" s="311"/>
      <c r="AC15" s="312"/>
      <c r="AD15" s="281"/>
      <c r="AE15" s="282"/>
    </row>
    <row r="16" spans="1:31">
      <c r="A16" s="324"/>
      <c r="B16" s="325"/>
      <c r="C16" s="314"/>
      <c r="D16" s="315"/>
      <c r="E16" s="315"/>
      <c r="F16" s="315"/>
      <c r="G16" s="315"/>
      <c r="H16" s="315"/>
      <c r="I16" s="314"/>
      <c r="J16" s="314"/>
      <c r="K16" s="315"/>
      <c r="L16" s="315"/>
      <c r="M16" s="315"/>
      <c r="N16" s="314"/>
      <c r="O16" s="316"/>
      <c r="P16" s="315"/>
      <c r="Q16" s="314"/>
      <c r="R16" s="314"/>
      <c r="S16" s="314"/>
      <c r="T16" s="317"/>
      <c r="U16" s="317"/>
      <c r="V16" s="317"/>
      <c r="W16" s="317"/>
      <c r="X16" s="317"/>
      <c r="Y16" s="317"/>
      <c r="Z16" s="317"/>
      <c r="AA16" s="318"/>
      <c r="AB16" s="311"/>
      <c r="AC16" s="312"/>
      <c r="AD16" s="321"/>
      <c r="AE16" s="282"/>
    </row>
    <row r="17" spans="1:31">
      <c r="A17" s="303"/>
      <c r="B17" s="291"/>
      <c r="C17" s="285"/>
      <c r="D17" s="276"/>
      <c r="E17" s="276"/>
      <c r="F17" s="276"/>
      <c r="G17" s="276"/>
      <c r="H17" s="276"/>
      <c r="I17" s="285"/>
      <c r="J17" s="285"/>
      <c r="K17" s="276"/>
      <c r="L17" s="276"/>
      <c r="M17" s="276"/>
      <c r="N17" s="285"/>
      <c r="O17" s="285"/>
      <c r="P17" s="276"/>
      <c r="Q17" s="285"/>
      <c r="R17" s="285"/>
      <c r="S17" s="285"/>
      <c r="T17" s="287"/>
      <c r="U17" s="287"/>
      <c r="V17" s="287"/>
      <c r="W17" s="287"/>
      <c r="X17" s="287"/>
      <c r="Y17" s="287"/>
      <c r="Z17" s="287"/>
      <c r="AA17" s="304"/>
      <c r="AB17" s="289"/>
      <c r="AC17" s="290"/>
      <c r="AD17" s="281"/>
      <c r="AE17" s="282"/>
    </row>
    <row r="18" spans="1:31">
      <c r="A18" s="305"/>
      <c r="B18" s="306"/>
      <c r="C18" s="307"/>
      <c r="D18" s="308"/>
      <c r="E18" s="308"/>
      <c r="F18" s="308"/>
      <c r="G18" s="308"/>
      <c r="H18" s="308"/>
      <c r="I18" s="307"/>
      <c r="J18" s="307"/>
      <c r="K18" s="308"/>
      <c r="L18" s="308"/>
      <c r="M18" s="308"/>
      <c r="N18" s="307"/>
      <c r="O18" s="307"/>
      <c r="P18" s="308"/>
      <c r="Q18" s="307"/>
      <c r="R18" s="307"/>
      <c r="S18" s="307"/>
      <c r="T18" s="309"/>
      <c r="U18" s="309"/>
      <c r="V18" s="309"/>
      <c r="W18" s="309"/>
      <c r="X18" s="309"/>
      <c r="Y18" s="309"/>
      <c r="Z18" s="309"/>
      <c r="AA18" s="310"/>
      <c r="AB18" s="311"/>
      <c r="AC18" s="312"/>
      <c r="AD18" s="281"/>
      <c r="AE18" s="282"/>
    </row>
    <row r="19" spans="1:31">
      <c r="A19" s="305"/>
      <c r="B19" s="313"/>
      <c r="C19" s="314"/>
      <c r="D19" s="315"/>
      <c r="E19" s="315"/>
      <c r="F19" s="315"/>
      <c r="G19" s="315"/>
      <c r="H19" s="315"/>
      <c r="I19" s="314"/>
      <c r="J19" s="314"/>
      <c r="K19" s="315"/>
      <c r="L19" s="315"/>
      <c r="M19" s="315"/>
      <c r="N19" s="314"/>
      <c r="O19" s="316"/>
      <c r="P19" s="315"/>
      <c r="Q19" s="314"/>
      <c r="R19" s="314"/>
      <c r="S19" s="314"/>
      <c r="T19" s="317"/>
      <c r="U19" s="317"/>
      <c r="V19" s="317"/>
      <c r="W19" s="317"/>
      <c r="X19" s="317"/>
      <c r="Y19" s="317"/>
      <c r="Z19" s="317"/>
      <c r="AA19" s="318"/>
      <c r="AB19" s="319"/>
      <c r="AC19" s="320"/>
      <c r="AD19" s="321"/>
      <c r="AE19" s="282"/>
    </row>
    <row r="20" spans="1:31">
      <c r="A20" s="305"/>
      <c r="B20" s="306"/>
      <c r="C20" s="307"/>
      <c r="D20" s="308"/>
      <c r="E20" s="308"/>
      <c r="F20" s="308"/>
      <c r="G20" s="308"/>
      <c r="H20" s="308"/>
      <c r="I20" s="307"/>
      <c r="J20" s="307"/>
      <c r="K20" s="308"/>
      <c r="L20" s="308"/>
      <c r="M20" s="308"/>
      <c r="N20" s="307"/>
      <c r="O20" s="322"/>
      <c r="P20" s="308"/>
      <c r="Q20" s="307"/>
      <c r="R20" s="307"/>
      <c r="S20" s="307"/>
      <c r="T20" s="309"/>
      <c r="U20" s="309"/>
      <c r="V20" s="309"/>
      <c r="W20" s="309"/>
      <c r="X20" s="309"/>
      <c r="Y20" s="309"/>
      <c r="Z20" s="309"/>
      <c r="AA20" s="323"/>
      <c r="AB20" s="311"/>
      <c r="AC20" s="312"/>
      <c r="AD20" s="281"/>
      <c r="AE20" s="282"/>
    </row>
    <row r="21" spans="1:31">
      <c r="A21" s="305"/>
      <c r="B21" s="306"/>
      <c r="C21" s="307"/>
      <c r="D21" s="308"/>
      <c r="E21" s="308"/>
      <c r="F21" s="308"/>
      <c r="G21" s="308"/>
      <c r="H21" s="308"/>
      <c r="I21" s="307"/>
      <c r="J21" s="307"/>
      <c r="K21" s="308"/>
      <c r="L21" s="308"/>
      <c r="M21" s="308"/>
      <c r="N21" s="307"/>
      <c r="O21" s="322"/>
      <c r="P21" s="308"/>
      <c r="Q21" s="307"/>
      <c r="R21" s="307"/>
      <c r="S21" s="307"/>
      <c r="T21" s="309"/>
      <c r="U21" s="309"/>
      <c r="V21" s="309"/>
      <c r="W21" s="309"/>
      <c r="X21" s="309"/>
      <c r="Y21" s="309"/>
      <c r="Z21" s="309"/>
      <c r="AA21" s="323"/>
      <c r="AB21" s="311"/>
      <c r="AC21" s="312"/>
      <c r="AD21" s="281"/>
      <c r="AE21" s="282"/>
    </row>
    <row r="22" spans="1:31">
      <c r="A22" s="305"/>
      <c r="B22" s="313"/>
      <c r="C22" s="314"/>
      <c r="D22" s="315"/>
      <c r="E22" s="315"/>
      <c r="F22" s="315"/>
      <c r="G22" s="315"/>
      <c r="H22" s="315"/>
      <c r="I22" s="314"/>
      <c r="J22" s="314"/>
      <c r="K22" s="315"/>
      <c r="L22" s="315"/>
      <c r="M22" s="315"/>
      <c r="N22" s="314"/>
      <c r="O22" s="316"/>
      <c r="P22" s="315"/>
      <c r="Q22" s="314"/>
      <c r="R22" s="314"/>
      <c r="S22" s="314"/>
      <c r="T22" s="317"/>
      <c r="U22" s="317"/>
      <c r="V22" s="317"/>
      <c r="W22" s="317"/>
      <c r="X22" s="317"/>
      <c r="Y22" s="317"/>
      <c r="Z22" s="317"/>
      <c r="AA22" s="318"/>
      <c r="AB22" s="319"/>
      <c r="AC22" s="320"/>
      <c r="AD22" s="321"/>
      <c r="AE22" s="282"/>
    </row>
    <row r="23" spans="1:31">
      <c r="A23" s="305"/>
      <c r="B23" s="306"/>
      <c r="C23" s="307"/>
      <c r="D23" s="308"/>
      <c r="E23" s="308"/>
      <c r="F23" s="308"/>
      <c r="G23" s="308"/>
      <c r="H23" s="308"/>
      <c r="I23" s="307"/>
      <c r="J23" s="307"/>
      <c r="K23" s="308"/>
      <c r="L23" s="308"/>
      <c r="M23" s="308"/>
      <c r="N23" s="307"/>
      <c r="O23" s="322"/>
      <c r="P23" s="308"/>
      <c r="Q23" s="307"/>
      <c r="R23" s="307"/>
      <c r="S23" s="307"/>
      <c r="T23" s="309"/>
      <c r="U23" s="309"/>
      <c r="V23" s="309"/>
      <c r="W23" s="309"/>
      <c r="X23" s="309"/>
      <c r="Y23" s="309"/>
      <c r="Z23" s="309"/>
      <c r="AA23" s="323"/>
      <c r="AB23" s="311"/>
      <c r="AC23" s="312"/>
      <c r="AD23" s="281"/>
      <c r="AE23" s="282"/>
    </row>
    <row r="24" spans="1:31">
      <c r="A24" s="305"/>
      <c r="B24" s="306"/>
      <c r="C24" s="307"/>
      <c r="D24" s="308"/>
      <c r="E24" s="308"/>
      <c r="F24" s="308"/>
      <c r="G24" s="308"/>
      <c r="H24" s="308"/>
      <c r="I24" s="307"/>
      <c r="J24" s="307"/>
      <c r="K24" s="308"/>
      <c r="L24" s="308"/>
      <c r="M24" s="308"/>
      <c r="N24" s="307"/>
      <c r="O24" s="322"/>
      <c r="P24" s="308"/>
      <c r="Q24" s="307"/>
      <c r="R24" s="307"/>
      <c r="S24" s="307"/>
      <c r="T24" s="309"/>
      <c r="U24" s="309"/>
      <c r="V24" s="309"/>
      <c r="W24" s="309"/>
      <c r="X24" s="309"/>
      <c r="Y24" s="309"/>
      <c r="Z24" s="309"/>
      <c r="AA24" s="323"/>
      <c r="AB24" s="311"/>
      <c r="AC24" s="312"/>
      <c r="AD24" s="281"/>
      <c r="AE24" s="282"/>
    </row>
    <row r="25" spans="1:31">
      <c r="A25" s="305"/>
      <c r="B25" s="313"/>
      <c r="C25" s="314"/>
      <c r="D25" s="315"/>
      <c r="E25" s="315"/>
      <c r="F25" s="315"/>
      <c r="G25" s="315"/>
      <c r="H25" s="315"/>
      <c r="I25" s="314"/>
      <c r="J25" s="314"/>
      <c r="K25" s="315"/>
      <c r="L25" s="315"/>
      <c r="M25" s="315"/>
      <c r="N25" s="314"/>
      <c r="O25" s="316"/>
      <c r="P25" s="315"/>
      <c r="Q25" s="314"/>
      <c r="R25" s="314"/>
      <c r="S25" s="314"/>
      <c r="T25" s="317"/>
      <c r="U25" s="317"/>
      <c r="V25" s="317"/>
      <c r="W25" s="317"/>
      <c r="X25" s="317"/>
      <c r="Y25" s="317"/>
      <c r="Z25" s="317"/>
      <c r="AA25" s="318"/>
      <c r="AB25" s="319"/>
      <c r="AC25" s="320"/>
      <c r="AD25" s="321"/>
      <c r="AE25" s="282"/>
    </row>
    <row r="26" spans="1:31">
      <c r="A26" s="305"/>
      <c r="B26" s="306"/>
      <c r="C26" s="307"/>
      <c r="D26" s="308"/>
      <c r="E26" s="308"/>
      <c r="F26" s="308"/>
      <c r="G26" s="308"/>
      <c r="H26" s="308"/>
      <c r="I26" s="307"/>
      <c r="J26" s="307"/>
      <c r="K26" s="308"/>
      <c r="L26" s="308"/>
      <c r="M26" s="308"/>
      <c r="N26" s="307"/>
      <c r="O26" s="322"/>
      <c r="P26" s="308"/>
      <c r="Q26" s="307"/>
      <c r="R26" s="307"/>
      <c r="S26" s="307"/>
      <c r="T26" s="309"/>
      <c r="U26" s="309"/>
      <c r="V26" s="309"/>
      <c r="W26" s="309"/>
      <c r="X26" s="309"/>
      <c r="Y26" s="309"/>
      <c r="Z26" s="309"/>
      <c r="AA26" s="323"/>
      <c r="AB26" s="311"/>
      <c r="AC26" s="312"/>
      <c r="AD26" s="281"/>
      <c r="AE26" s="282"/>
    </row>
    <row r="27" spans="1:31">
      <c r="A27" s="305"/>
      <c r="B27" s="306"/>
      <c r="C27" s="307"/>
      <c r="D27" s="308"/>
      <c r="E27" s="308"/>
      <c r="F27" s="308"/>
      <c r="G27" s="308"/>
      <c r="H27" s="308"/>
      <c r="I27" s="307"/>
      <c r="J27" s="307"/>
      <c r="K27" s="308"/>
      <c r="L27" s="308"/>
      <c r="M27" s="308"/>
      <c r="N27" s="307"/>
      <c r="O27" s="322"/>
      <c r="P27" s="308"/>
      <c r="Q27" s="307"/>
      <c r="R27" s="307"/>
      <c r="S27" s="307"/>
      <c r="T27" s="309"/>
      <c r="U27" s="309"/>
      <c r="V27" s="309"/>
      <c r="W27" s="309"/>
      <c r="X27" s="309"/>
      <c r="Y27" s="309"/>
      <c r="Z27" s="309"/>
      <c r="AA27" s="323"/>
      <c r="AB27" s="311"/>
      <c r="AC27" s="312"/>
      <c r="AD27" s="281"/>
      <c r="AE27" s="282"/>
    </row>
    <row r="28" spans="1:31">
      <c r="A28" s="324"/>
      <c r="B28" s="325"/>
      <c r="C28" s="314"/>
      <c r="D28" s="315"/>
      <c r="E28" s="315"/>
      <c r="F28" s="315"/>
      <c r="G28" s="315"/>
      <c r="H28" s="315"/>
      <c r="I28" s="314"/>
      <c r="J28" s="314"/>
      <c r="K28" s="315"/>
      <c r="L28" s="315"/>
      <c r="M28" s="315"/>
      <c r="N28" s="314"/>
      <c r="O28" s="316"/>
      <c r="P28" s="315"/>
      <c r="Q28" s="314"/>
      <c r="R28" s="314"/>
      <c r="S28" s="314"/>
      <c r="T28" s="317"/>
      <c r="U28" s="317"/>
      <c r="V28" s="317"/>
      <c r="W28" s="317"/>
      <c r="X28" s="317"/>
      <c r="Y28" s="317"/>
      <c r="Z28" s="317"/>
      <c r="AA28" s="318"/>
      <c r="AB28" s="311"/>
      <c r="AC28" s="312"/>
      <c r="AD28" s="321"/>
      <c r="AE28" s="282"/>
    </row>
    <row r="29" spans="1:31">
      <c r="A29" s="303"/>
      <c r="B29" s="291"/>
      <c r="C29" s="285"/>
      <c r="D29" s="276"/>
      <c r="E29" s="276"/>
      <c r="F29" s="276"/>
      <c r="G29" s="276"/>
      <c r="H29" s="276"/>
      <c r="I29" s="285"/>
      <c r="J29" s="285"/>
      <c r="K29" s="276"/>
      <c r="L29" s="276"/>
      <c r="M29" s="276"/>
      <c r="N29" s="285"/>
      <c r="O29" s="285"/>
      <c r="P29" s="276"/>
      <c r="Q29" s="285"/>
      <c r="R29" s="285"/>
      <c r="S29" s="285"/>
      <c r="T29" s="287"/>
      <c r="U29" s="287"/>
      <c r="V29" s="287"/>
      <c r="W29" s="287"/>
      <c r="X29" s="287"/>
      <c r="Y29" s="287"/>
      <c r="Z29" s="287"/>
      <c r="AA29" s="304"/>
      <c r="AB29" s="289"/>
      <c r="AC29" s="290"/>
      <c r="AD29" s="281"/>
      <c r="AE29" s="282"/>
    </row>
    <row r="30" spans="1:31">
      <c r="A30" s="305"/>
      <c r="B30" s="306"/>
      <c r="C30" s="307"/>
      <c r="D30" s="308"/>
      <c r="E30" s="308"/>
      <c r="F30" s="308"/>
      <c r="G30" s="308"/>
      <c r="H30" s="308"/>
      <c r="I30" s="307"/>
      <c r="J30" s="307"/>
      <c r="K30" s="308"/>
      <c r="L30" s="308"/>
      <c r="M30" s="308"/>
      <c r="N30" s="307"/>
      <c r="O30" s="307"/>
      <c r="P30" s="308"/>
      <c r="Q30" s="307"/>
      <c r="R30" s="307"/>
      <c r="S30" s="307"/>
      <c r="T30" s="309"/>
      <c r="U30" s="309"/>
      <c r="V30" s="309"/>
      <c r="W30" s="309"/>
      <c r="X30" s="309"/>
      <c r="Y30" s="309"/>
      <c r="Z30" s="309"/>
      <c r="AA30" s="310"/>
      <c r="AB30" s="311"/>
      <c r="AC30" s="312"/>
      <c r="AD30" s="281"/>
      <c r="AE30" s="282"/>
    </row>
    <row r="31" spans="1:31">
      <c r="A31" s="305"/>
      <c r="B31" s="313"/>
      <c r="C31" s="314"/>
      <c r="D31" s="315"/>
      <c r="E31" s="315"/>
      <c r="F31" s="315"/>
      <c r="G31" s="315"/>
      <c r="H31" s="315"/>
      <c r="I31" s="314"/>
      <c r="J31" s="314"/>
      <c r="K31" s="315"/>
      <c r="L31" s="315"/>
      <c r="M31" s="315"/>
      <c r="N31" s="314"/>
      <c r="O31" s="316"/>
      <c r="P31" s="315"/>
      <c r="Q31" s="314"/>
      <c r="R31" s="314"/>
      <c r="S31" s="314"/>
      <c r="T31" s="317"/>
      <c r="U31" s="317"/>
      <c r="V31" s="317"/>
      <c r="W31" s="317"/>
      <c r="X31" s="317"/>
      <c r="Y31" s="317"/>
      <c r="Z31" s="317"/>
      <c r="AA31" s="318"/>
      <c r="AB31" s="319"/>
      <c r="AC31" s="320"/>
      <c r="AD31" s="321"/>
      <c r="AE31" s="282"/>
    </row>
    <row r="32" spans="1:31">
      <c r="A32" s="305"/>
      <c r="B32" s="306"/>
      <c r="C32" s="307"/>
      <c r="D32" s="308"/>
      <c r="E32" s="308"/>
      <c r="F32" s="308"/>
      <c r="G32" s="308"/>
      <c r="H32" s="308"/>
      <c r="I32" s="307"/>
      <c r="J32" s="307"/>
      <c r="K32" s="308"/>
      <c r="L32" s="308"/>
      <c r="M32" s="308"/>
      <c r="N32" s="307"/>
      <c r="O32" s="322"/>
      <c r="P32" s="308"/>
      <c r="Q32" s="307"/>
      <c r="R32" s="307"/>
      <c r="S32" s="307"/>
      <c r="T32" s="309"/>
      <c r="U32" s="309"/>
      <c r="V32" s="309"/>
      <c r="W32" s="309"/>
      <c r="X32" s="309"/>
      <c r="Y32" s="309"/>
      <c r="Z32" s="309"/>
      <c r="AA32" s="323"/>
      <c r="AB32" s="311"/>
      <c r="AC32" s="312"/>
      <c r="AD32" s="281"/>
      <c r="AE32" s="282"/>
    </row>
    <row r="33" spans="1:31">
      <c r="A33" s="305"/>
      <c r="B33" s="306"/>
      <c r="C33" s="307"/>
      <c r="D33" s="308"/>
      <c r="E33" s="308"/>
      <c r="F33" s="308"/>
      <c r="G33" s="308"/>
      <c r="H33" s="308"/>
      <c r="I33" s="307"/>
      <c r="J33" s="307"/>
      <c r="K33" s="308"/>
      <c r="L33" s="308"/>
      <c r="M33" s="308"/>
      <c r="N33" s="307"/>
      <c r="O33" s="322"/>
      <c r="P33" s="308"/>
      <c r="Q33" s="307"/>
      <c r="R33" s="307"/>
      <c r="S33" s="307"/>
      <c r="T33" s="309"/>
      <c r="U33" s="309"/>
      <c r="V33" s="309"/>
      <c r="W33" s="309"/>
      <c r="X33" s="309"/>
      <c r="Y33" s="309"/>
      <c r="Z33" s="309"/>
      <c r="AA33" s="323"/>
      <c r="AB33" s="311"/>
      <c r="AC33" s="312"/>
      <c r="AD33" s="281"/>
      <c r="AE33" s="282"/>
    </row>
    <row r="34" spans="1:31">
      <c r="A34" s="305"/>
      <c r="B34" s="313"/>
      <c r="C34" s="314"/>
      <c r="D34" s="315"/>
      <c r="E34" s="315"/>
      <c r="F34" s="315"/>
      <c r="G34" s="315"/>
      <c r="H34" s="315"/>
      <c r="I34" s="314"/>
      <c r="J34" s="314"/>
      <c r="K34" s="315"/>
      <c r="L34" s="315"/>
      <c r="M34" s="315"/>
      <c r="N34" s="314"/>
      <c r="O34" s="316"/>
      <c r="P34" s="315"/>
      <c r="Q34" s="314"/>
      <c r="R34" s="314"/>
      <c r="S34" s="314"/>
      <c r="T34" s="317"/>
      <c r="U34" s="317"/>
      <c r="V34" s="317"/>
      <c r="W34" s="317"/>
      <c r="X34" s="317"/>
      <c r="Y34" s="317"/>
      <c r="Z34" s="317"/>
      <c r="AA34" s="318"/>
      <c r="AB34" s="319"/>
      <c r="AC34" s="320"/>
      <c r="AD34" s="321"/>
      <c r="AE34" s="282"/>
    </row>
    <row r="35" spans="1:31">
      <c r="A35" s="305"/>
      <c r="B35" s="306"/>
      <c r="C35" s="307"/>
      <c r="D35" s="308"/>
      <c r="E35" s="308"/>
      <c r="F35" s="308"/>
      <c r="G35" s="308"/>
      <c r="H35" s="308"/>
      <c r="I35" s="307"/>
      <c r="J35" s="307"/>
      <c r="K35" s="308"/>
      <c r="L35" s="308"/>
      <c r="M35" s="308"/>
      <c r="N35" s="307"/>
      <c r="O35" s="322"/>
      <c r="P35" s="308"/>
      <c r="Q35" s="307"/>
      <c r="R35" s="307"/>
      <c r="S35" s="307"/>
      <c r="T35" s="309"/>
      <c r="U35" s="309"/>
      <c r="V35" s="309"/>
      <c r="W35" s="309"/>
      <c r="X35" s="309"/>
      <c r="Y35" s="309"/>
      <c r="Z35" s="309"/>
      <c r="AA35" s="323"/>
      <c r="AB35" s="311"/>
      <c r="AC35" s="312"/>
      <c r="AD35" s="281"/>
      <c r="AE35" s="282"/>
    </row>
    <row r="36" spans="1:31">
      <c r="A36" s="305"/>
      <c r="B36" s="306"/>
      <c r="C36" s="307"/>
      <c r="D36" s="308"/>
      <c r="E36" s="308"/>
      <c r="F36" s="308"/>
      <c r="G36" s="308"/>
      <c r="H36" s="308"/>
      <c r="I36" s="307"/>
      <c r="J36" s="307"/>
      <c r="K36" s="308"/>
      <c r="L36" s="308"/>
      <c r="M36" s="308"/>
      <c r="N36" s="307"/>
      <c r="O36" s="322"/>
      <c r="P36" s="308"/>
      <c r="Q36" s="307"/>
      <c r="R36" s="307"/>
      <c r="S36" s="307"/>
      <c r="T36" s="309"/>
      <c r="U36" s="309"/>
      <c r="V36" s="309"/>
      <c r="W36" s="309"/>
      <c r="X36" s="309"/>
      <c r="Y36" s="309"/>
      <c r="Z36" s="309"/>
      <c r="AA36" s="323"/>
      <c r="AB36" s="311"/>
      <c r="AC36" s="312"/>
      <c r="AD36" s="281"/>
      <c r="AE36" s="282"/>
    </row>
    <row r="37" spans="1:31">
      <c r="A37" s="305"/>
      <c r="B37" s="313"/>
      <c r="C37" s="314"/>
      <c r="D37" s="315"/>
      <c r="E37" s="315"/>
      <c r="F37" s="315"/>
      <c r="G37" s="315"/>
      <c r="H37" s="315"/>
      <c r="I37" s="314"/>
      <c r="J37" s="314"/>
      <c r="K37" s="315"/>
      <c r="L37" s="315"/>
      <c r="M37" s="315"/>
      <c r="N37" s="314"/>
      <c r="O37" s="316"/>
      <c r="P37" s="315"/>
      <c r="Q37" s="314"/>
      <c r="R37" s="314"/>
      <c r="S37" s="314"/>
      <c r="T37" s="317"/>
      <c r="U37" s="317"/>
      <c r="V37" s="317"/>
      <c r="W37" s="317"/>
      <c r="X37" s="317"/>
      <c r="Y37" s="317"/>
      <c r="Z37" s="317"/>
      <c r="AA37" s="318"/>
      <c r="AB37" s="319"/>
      <c r="AC37" s="320"/>
      <c r="AD37" s="321"/>
      <c r="AE37" s="282"/>
    </row>
    <row r="38" spans="1:31">
      <c r="A38" s="305"/>
      <c r="B38" s="306"/>
      <c r="C38" s="307"/>
      <c r="D38" s="308"/>
      <c r="E38" s="308"/>
      <c r="F38" s="308"/>
      <c r="G38" s="308"/>
      <c r="H38" s="308"/>
      <c r="I38" s="307"/>
      <c r="J38" s="307"/>
      <c r="K38" s="308"/>
      <c r="L38" s="308"/>
      <c r="M38" s="308"/>
      <c r="N38" s="307"/>
      <c r="O38" s="322"/>
      <c r="P38" s="308"/>
      <c r="Q38" s="307"/>
      <c r="R38" s="307"/>
      <c r="S38" s="307"/>
      <c r="T38" s="309"/>
      <c r="U38" s="309"/>
      <c r="V38" s="309"/>
      <c r="W38" s="309"/>
      <c r="X38" s="309"/>
      <c r="Y38" s="309"/>
      <c r="Z38" s="309"/>
      <c r="AA38" s="323"/>
      <c r="AB38" s="311"/>
      <c r="AC38" s="312"/>
      <c r="AD38" s="281"/>
      <c r="AE38" s="282"/>
    </row>
    <row r="39" spans="1:31">
      <c r="A39" s="305"/>
      <c r="B39" s="306"/>
      <c r="C39" s="307"/>
      <c r="D39" s="308"/>
      <c r="E39" s="308"/>
      <c r="F39" s="308"/>
      <c r="G39" s="308"/>
      <c r="H39" s="308"/>
      <c r="I39" s="307"/>
      <c r="J39" s="307"/>
      <c r="K39" s="308"/>
      <c r="L39" s="308"/>
      <c r="M39" s="308"/>
      <c r="N39" s="307"/>
      <c r="O39" s="322"/>
      <c r="P39" s="308"/>
      <c r="Q39" s="307"/>
      <c r="R39" s="307"/>
      <c r="S39" s="307"/>
      <c r="T39" s="309"/>
      <c r="U39" s="309"/>
      <c r="V39" s="309"/>
      <c r="W39" s="309"/>
      <c r="X39" s="309"/>
      <c r="Y39" s="309"/>
      <c r="Z39" s="309"/>
      <c r="AA39" s="323"/>
      <c r="AB39" s="311"/>
      <c r="AC39" s="312"/>
      <c r="AD39" s="281"/>
      <c r="AE39" s="282"/>
    </row>
    <row r="40" spans="1:31">
      <c r="A40" s="324"/>
      <c r="B40" s="325"/>
      <c r="C40" s="314"/>
      <c r="D40" s="315"/>
      <c r="E40" s="315"/>
      <c r="F40" s="315"/>
      <c r="G40" s="315"/>
      <c r="H40" s="315"/>
      <c r="I40" s="314"/>
      <c r="J40" s="314"/>
      <c r="K40" s="315"/>
      <c r="L40" s="315"/>
      <c r="M40" s="315"/>
      <c r="N40" s="314"/>
      <c r="O40" s="316"/>
      <c r="P40" s="315"/>
      <c r="Q40" s="314"/>
      <c r="R40" s="314"/>
      <c r="S40" s="314"/>
      <c r="T40" s="317"/>
      <c r="U40" s="317"/>
      <c r="V40" s="317"/>
      <c r="W40" s="317"/>
      <c r="X40" s="317"/>
      <c r="Y40" s="317"/>
      <c r="Z40" s="317"/>
      <c r="AA40" s="318"/>
      <c r="AB40" s="311"/>
      <c r="AC40" s="312"/>
      <c r="AD40" s="321"/>
      <c r="AE40" s="282"/>
    </row>
    <row r="41" spans="1:31">
      <c r="A41" s="303"/>
      <c r="B41" s="291"/>
      <c r="C41" s="285"/>
      <c r="D41" s="276"/>
      <c r="E41" s="276"/>
      <c r="F41" s="276"/>
      <c r="G41" s="276"/>
      <c r="H41" s="276"/>
      <c r="I41" s="285"/>
      <c r="J41" s="285"/>
      <c r="K41" s="276"/>
      <c r="L41" s="276"/>
      <c r="M41" s="276"/>
      <c r="N41" s="285"/>
      <c r="O41" s="285"/>
      <c r="P41" s="276"/>
      <c r="Q41" s="285"/>
      <c r="R41" s="285"/>
      <c r="S41" s="285"/>
      <c r="T41" s="287"/>
      <c r="U41" s="287"/>
      <c r="V41" s="287"/>
      <c r="W41" s="287"/>
      <c r="X41" s="287"/>
      <c r="Y41" s="287"/>
      <c r="Z41" s="287"/>
      <c r="AA41" s="304"/>
      <c r="AB41" s="289"/>
      <c r="AC41" s="290"/>
      <c r="AD41" s="281"/>
      <c r="AE41" s="282"/>
    </row>
    <row r="42" spans="1:31">
      <c r="A42" s="305"/>
      <c r="B42" s="306"/>
      <c r="C42" s="307"/>
      <c r="D42" s="308"/>
      <c r="E42" s="308"/>
      <c r="F42" s="308"/>
      <c r="G42" s="308"/>
      <c r="H42" s="308"/>
      <c r="I42" s="307"/>
      <c r="J42" s="307"/>
      <c r="K42" s="308"/>
      <c r="L42" s="308"/>
      <c r="M42" s="308"/>
      <c r="N42" s="307"/>
      <c r="O42" s="307"/>
      <c r="P42" s="308"/>
      <c r="Q42" s="307"/>
      <c r="R42" s="307"/>
      <c r="S42" s="307"/>
      <c r="T42" s="309"/>
      <c r="U42" s="309"/>
      <c r="V42" s="309"/>
      <c r="W42" s="309"/>
      <c r="X42" s="309"/>
      <c r="Y42" s="309"/>
      <c r="Z42" s="309"/>
      <c r="AA42" s="310"/>
      <c r="AB42" s="311"/>
      <c r="AC42" s="312"/>
      <c r="AD42" s="281"/>
      <c r="AE42" s="282"/>
    </row>
    <row r="43" spans="1:31">
      <c r="A43" s="305"/>
      <c r="B43" s="313"/>
      <c r="C43" s="314"/>
      <c r="D43" s="315"/>
      <c r="E43" s="315"/>
      <c r="F43" s="315"/>
      <c r="G43" s="315"/>
      <c r="H43" s="315"/>
      <c r="I43" s="314"/>
      <c r="J43" s="314"/>
      <c r="K43" s="315"/>
      <c r="L43" s="315"/>
      <c r="M43" s="315"/>
      <c r="N43" s="314"/>
      <c r="O43" s="316"/>
      <c r="P43" s="315"/>
      <c r="Q43" s="314"/>
      <c r="R43" s="314"/>
      <c r="S43" s="314"/>
      <c r="T43" s="317"/>
      <c r="U43" s="317"/>
      <c r="V43" s="317"/>
      <c r="W43" s="317"/>
      <c r="X43" s="317"/>
      <c r="Y43" s="317"/>
      <c r="Z43" s="317"/>
      <c r="AA43" s="318"/>
      <c r="AB43" s="319"/>
      <c r="AC43" s="320"/>
      <c r="AD43" s="321"/>
      <c r="AE43" s="282"/>
    </row>
    <row r="44" spans="1:31">
      <c r="A44" s="305"/>
      <c r="B44" s="306"/>
      <c r="C44" s="307"/>
      <c r="D44" s="308"/>
      <c r="E44" s="308"/>
      <c r="F44" s="308"/>
      <c r="G44" s="308"/>
      <c r="H44" s="308"/>
      <c r="I44" s="307"/>
      <c r="J44" s="307"/>
      <c r="K44" s="308"/>
      <c r="L44" s="308"/>
      <c r="M44" s="308"/>
      <c r="N44" s="307"/>
      <c r="O44" s="322"/>
      <c r="P44" s="308"/>
      <c r="Q44" s="307"/>
      <c r="R44" s="307"/>
      <c r="S44" s="307"/>
      <c r="T44" s="309"/>
      <c r="U44" s="309"/>
      <c r="V44" s="309"/>
      <c r="W44" s="309"/>
      <c r="X44" s="309"/>
      <c r="Y44" s="309"/>
      <c r="Z44" s="309"/>
      <c r="AA44" s="323"/>
      <c r="AB44" s="311"/>
      <c r="AC44" s="312"/>
      <c r="AD44" s="281"/>
      <c r="AE44" s="282"/>
    </row>
    <row r="45" spans="1:31">
      <c r="A45" s="305"/>
      <c r="B45" s="306"/>
      <c r="C45" s="307"/>
      <c r="D45" s="308"/>
      <c r="E45" s="308"/>
      <c r="F45" s="308"/>
      <c r="G45" s="308"/>
      <c r="H45" s="308"/>
      <c r="I45" s="307"/>
      <c r="J45" s="307"/>
      <c r="K45" s="308"/>
      <c r="L45" s="308"/>
      <c r="M45" s="308"/>
      <c r="N45" s="307"/>
      <c r="O45" s="322"/>
      <c r="P45" s="308"/>
      <c r="Q45" s="307"/>
      <c r="R45" s="307"/>
      <c r="S45" s="307"/>
      <c r="T45" s="309"/>
      <c r="U45" s="309"/>
      <c r="V45" s="309"/>
      <c r="W45" s="309"/>
      <c r="X45" s="309"/>
      <c r="Y45" s="309"/>
      <c r="Z45" s="309"/>
      <c r="AA45" s="323"/>
      <c r="AB45" s="311"/>
      <c r="AC45" s="312"/>
      <c r="AD45" s="281"/>
      <c r="AE45" s="282"/>
    </row>
    <row r="46" spans="1:31">
      <c r="A46" s="305"/>
      <c r="B46" s="313"/>
      <c r="C46" s="314"/>
      <c r="D46" s="315"/>
      <c r="E46" s="315"/>
      <c r="F46" s="315"/>
      <c r="G46" s="315"/>
      <c r="H46" s="315"/>
      <c r="I46" s="314"/>
      <c r="J46" s="314"/>
      <c r="K46" s="315"/>
      <c r="L46" s="315"/>
      <c r="M46" s="315"/>
      <c r="N46" s="314"/>
      <c r="O46" s="316"/>
      <c r="P46" s="315"/>
      <c r="Q46" s="314"/>
      <c r="R46" s="314"/>
      <c r="S46" s="314"/>
      <c r="T46" s="317"/>
      <c r="U46" s="317"/>
      <c r="V46" s="317"/>
      <c r="W46" s="317"/>
      <c r="X46" s="317"/>
      <c r="Y46" s="317"/>
      <c r="Z46" s="317"/>
      <c r="AA46" s="318"/>
      <c r="AB46" s="319"/>
      <c r="AC46" s="320"/>
      <c r="AD46" s="321"/>
      <c r="AE46" s="282"/>
    </row>
    <row r="47" spans="1:31">
      <c r="A47" s="305"/>
      <c r="B47" s="306"/>
      <c r="C47" s="307"/>
      <c r="D47" s="308"/>
      <c r="E47" s="308"/>
      <c r="F47" s="308"/>
      <c r="G47" s="308"/>
      <c r="H47" s="308"/>
      <c r="I47" s="307"/>
      <c r="J47" s="307"/>
      <c r="K47" s="308"/>
      <c r="L47" s="308"/>
      <c r="M47" s="308"/>
      <c r="N47" s="307"/>
      <c r="O47" s="322"/>
      <c r="P47" s="308"/>
      <c r="Q47" s="307"/>
      <c r="R47" s="307"/>
      <c r="S47" s="307"/>
      <c r="T47" s="309"/>
      <c r="U47" s="309"/>
      <c r="V47" s="309"/>
      <c r="W47" s="309"/>
      <c r="X47" s="309"/>
      <c r="Y47" s="309"/>
      <c r="Z47" s="309"/>
      <c r="AA47" s="323"/>
      <c r="AB47" s="311"/>
      <c r="AC47" s="312"/>
      <c r="AD47" s="281"/>
      <c r="AE47" s="282"/>
    </row>
    <row r="48" spans="1:31">
      <c r="A48" s="305"/>
      <c r="B48" s="306"/>
      <c r="C48" s="307"/>
      <c r="D48" s="308"/>
      <c r="E48" s="308"/>
      <c r="F48" s="308"/>
      <c r="G48" s="308"/>
      <c r="H48" s="308"/>
      <c r="I48" s="307"/>
      <c r="J48" s="307"/>
      <c r="K48" s="308"/>
      <c r="L48" s="308"/>
      <c r="M48" s="308"/>
      <c r="N48" s="307"/>
      <c r="O48" s="322"/>
      <c r="P48" s="308"/>
      <c r="Q48" s="307"/>
      <c r="R48" s="307"/>
      <c r="S48" s="307"/>
      <c r="T48" s="309"/>
      <c r="U48" s="309"/>
      <c r="V48" s="309"/>
      <c r="W48" s="309"/>
      <c r="X48" s="309"/>
      <c r="Y48" s="309"/>
      <c r="Z48" s="309"/>
      <c r="AA48" s="323"/>
      <c r="AB48" s="311"/>
      <c r="AC48" s="312"/>
      <c r="AD48" s="281"/>
      <c r="AE48" s="282"/>
    </row>
    <row r="49" spans="1:31">
      <c r="A49" s="305"/>
      <c r="B49" s="313"/>
      <c r="C49" s="314"/>
      <c r="D49" s="315"/>
      <c r="E49" s="315"/>
      <c r="F49" s="315"/>
      <c r="G49" s="315"/>
      <c r="H49" s="315"/>
      <c r="I49" s="314"/>
      <c r="J49" s="314"/>
      <c r="K49" s="315"/>
      <c r="L49" s="315"/>
      <c r="M49" s="315"/>
      <c r="N49" s="314"/>
      <c r="O49" s="316"/>
      <c r="P49" s="315"/>
      <c r="Q49" s="314"/>
      <c r="R49" s="314"/>
      <c r="S49" s="314"/>
      <c r="T49" s="317"/>
      <c r="U49" s="317"/>
      <c r="V49" s="317"/>
      <c r="W49" s="317"/>
      <c r="X49" s="317"/>
      <c r="Y49" s="317"/>
      <c r="Z49" s="317"/>
      <c r="AA49" s="318"/>
      <c r="AB49" s="319"/>
      <c r="AC49" s="320"/>
      <c r="AD49" s="321"/>
      <c r="AE49" s="282"/>
    </row>
    <row r="50" spans="1:31">
      <c r="A50" s="305"/>
      <c r="B50" s="306"/>
      <c r="C50" s="307"/>
      <c r="D50" s="308"/>
      <c r="E50" s="308"/>
      <c r="F50" s="308"/>
      <c r="G50" s="308"/>
      <c r="H50" s="308"/>
      <c r="I50" s="307"/>
      <c r="J50" s="307"/>
      <c r="K50" s="308"/>
      <c r="L50" s="308"/>
      <c r="M50" s="308"/>
      <c r="N50" s="307"/>
      <c r="O50" s="322"/>
      <c r="P50" s="308"/>
      <c r="Q50" s="307"/>
      <c r="R50" s="307"/>
      <c r="S50" s="307"/>
      <c r="T50" s="309"/>
      <c r="U50" s="309"/>
      <c r="V50" s="309"/>
      <c r="W50" s="309"/>
      <c r="X50" s="309"/>
      <c r="Y50" s="309"/>
      <c r="Z50" s="309"/>
      <c r="AA50" s="323"/>
      <c r="AB50" s="311"/>
      <c r="AC50" s="312"/>
      <c r="AD50" s="281"/>
      <c r="AE50" s="282"/>
    </row>
    <row r="51" spans="1:31">
      <c r="A51" s="305"/>
      <c r="B51" s="306"/>
      <c r="C51" s="307"/>
      <c r="D51" s="308"/>
      <c r="E51" s="308"/>
      <c r="F51" s="308"/>
      <c r="G51" s="308"/>
      <c r="H51" s="308"/>
      <c r="I51" s="307"/>
      <c r="J51" s="307"/>
      <c r="K51" s="308"/>
      <c r="L51" s="308"/>
      <c r="M51" s="308"/>
      <c r="N51" s="307"/>
      <c r="O51" s="322"/>
      <c r="P51" s="308"/>
      <c r="Q51" s="307"/>
      <c r="R51" s="307"/>
      <c r="S51" s="307"/>
      <c r="T51" s="309"/>
      <c r="U51" s="309"/>
      <c r="V51" s="309"/>
      <c r="W51" s="309"/>
      <c r="X51" s="309"/>
      <c r="Y51" s="309"/>
      <c r="Z51" s="309"/>
      <c r="AA51" s="323"/>
      <c r="AB51" s="311"/>
      <c r="AC51" s="312"/>
      <c r="AD51" s="281"/>
      <c r="AE51" s="282"/>
    </row>
    <row r="52" spans="1:31">
      <c r="A52" s="324"/>
      <c r="B52" s="325"/>
      <c r="C52" s="314"/>
      <c r="D52" s="315"/>
      <c r="E52" s="315"/>
      <c r="F52" s="315"/>
      <c r="G52" s="315"/>
      <c r="H52" s="315"/>
      <c r="I52" s="314"/>
      <c r="J52" s="314"/>
      <c r="K52" s="315"/>
      <c r="L52" s="315"/>
      <c r="M52" s="315"/>
      <c r="N52" s="314"/>
      <c r="O52" s="316"/>
      <c r="P52" s="315"/>
      <c r="Q52" s="314"/>
      <c r="R52" s="314"/>
      <c r="S52" s="314"/>
      <c r="T52" s="317"/>
      <c r="U52" s="317"/>
      <c r="V52" s="317"/>
      <c r="W52" s="317"/>
      <c r="X52" s="317"/>
      <c r="Y52" s="317"/>
      <c r="Z52" s="317"/>
      <c r="AA52" s="318"/>
      <c r="AB52" s="311"/>
      <c r="AC52" s="312"/>
      <c r="AD52" s="321"/>
      <c r="AE52" s="282"/>
    </row>
    <row r="53" spans="1:31">
      <c r="A53" s="303"/>
      <c r="B53" s="291"/>
      <c r="C53" s="285"/>
      <c r="D53" s="276"/>
      <c r="E53" s="276"/>
      <c r="F53" s="276"/>
      <c r="G53" s="276"/>
      <c r="H53" s="276"/>
      <c r="I53" s="285"/>
      <c r="J53" s="285"/>
      <c r="K53" s="276"/>
      <c r="L53" s="276"/>
      <c r="M53" s="276"/>
      <c r="N53" s="285"/>
      <c r="O53" s="285"/>
      <c r="P53" s="276"/>
      <c r="Q53" s="285"/>
      <c r="R53" s="285"/>
      <c r="S53" s="285"/>
      <c r="T53" s="287"/>
      <c r="U53" s="287"/>
      <c r="V53" s="287"/>
      <c r="W53" s="287"/>
      <c r="X53" s="287"/>
      <c r="Y53" s="287"/>
      <c r="Z53" s="287"/>
      <c r="AA53" s="304"/>
      <c r="AB53" s="289"/>
      <c r="AC53" s="290"/>
      <c r="AD53" s="281"/>
      <c r="AE53" s="282"/>
    </row>
    <row r="54" spans="1:31">
      <c r="A54" s="305"/>
      <c r="B54" s="306"/>
      <c r="C54" s="307"/>
      <c r="D54" s="308"/>
      <c r="E54" s="308"/>
      <c r="F54" s="308"/>
      <c r="G54" s="308"/>
      <c r="H54" s="308"/>
      <c r="I54" s="307"/>
      <c r="J54" s="307"/>
      <c r="K54" s="308"/>
      <c r="L54" s="308"/>
      <c r="M54" s="308"/>
      <c r="N54" s="307"/>
      <c r="O54" s="307"/>
      <c r="P54" s="308"/>
      <c r="Q54" s="307"/>
      <c r="R54" s="307"/>
      <c r="S54" s="307"/>
      <c r="T54" s="309"/>
      <c r="U54" s="309"/>
      <c r="V54" s="309"/>
      <c r="W54" s="309"/>
      <c r="X54" s="309"/>
      <c r="Y54" s="309"/>
      <c r="Z54" s="309"/>
      <c r="AA54" s="310"/>
      <c r="AB54" s="311"/>
      <c r="AC54" s="312"/>
      <c r="AD54" s="281"/>
      <c r="AE54" s="282"/>
    </row>
    <row r="55" spans="1:31">
      <c r="A55" s="305"/>
      <c r="B55" s="313"/>
      <c r="C55" s="314"/>
      <c r="D55" s="315"/>
      <c r="E55" s="315"/>
      <c r="F55" s="315"/>
      <c r="G55" s="315"/>
      <c r="H55" s="315"/>
      <c r="I55" s="314"/>
      <c r="J55" s="314"/>
      <c r="K55" s="315"/>
      <c r="L55" s="315"/>
      <c r="M55" s="315"/>
      <c r="N55" s="314"/>
      <c r="O55" s="316"/>
      <c r="P55" s="315"/>
      <c r="Q55" s="314"/>
      <c r="R55" s="314"/>
      <c r="S55" s="314"/>
      <c r="T55" s="317"/>
      <c r="U55" s="317"/>
      <c r="V55" s="317"/>
      <c r="W55" s="317"/>
      <c r="X55" s="317"/>
      <c r="Y55" s="317"/>
      <c r="Z55" s="317"/>
      <c r="AA55" s="318"/>
      <c r="AB55" s="319"/>
      <c r="AC55" s="320"/>
      <c r="AD55" s="321"/>
      <c r="AE55" s="282"/>
    </row>
    <row r="56" spans="1:31">
      <c r="A56" s="305"/>
      <c r="B56" s="306"/>
      <c r="C56" s="307"/>
      <c r="D56" s="308"/>
      <c r="E56" s="308"/>
      <c r="F56" s="308"/>
      <c r="G56" s="308"/>
      <c r="H56" s="308"/>
      <c r="I56" s="307"/>
      <c r="J56" s="307"/>
      <c r="K56" s="308"/>
      <c r="L56" s="308"/>
      <c r="M56" s="308"/>
      <c r="N56" s="307"/>
      <c r="O56" s="322"/>
      <c r="P56" s="308"/>
      <c r="Q56" s="307"/>
      <c r="R56" s="307"/>
      <c r="S56" s="307"/>
      <c r="T56" s="309"/>
      <c r="U56" s="309"/>
      <c r="V56" s="309"/>
      <c r="W56" s="309"/>
      <c r="X56" s="309"/>
      <c r="Y56" s="309"/>
      <c r="Z56" s="309"/>
      <c r="AA56" s="323"/>
      <c r="AB56" s="311"/>
      <c r="AC56" s="312"/>
      <c r="AD56" s="281"/>
      <c r="AE56" s="282"/>
    </row>
    <row r="57" spans="1:31">
      <c r="A57" s="305"/>
      <c r="B57" s="306"/>
      <c r="C57" s="307"/>
      <c r="D57" s="308"/>
      <c r="E57" s="308"/>
      <c r="F57" s="308"/>
      <c r="G57" s="308"/>
      <c r="H57" s="308"/>
      <c r="I57" s="307"/>
      <c r="J57" s="307"/>
      <c r="K57" s="308"/>
      <c r="L57" s="308"/>
      <c r="M57" s="308"/>
      <c r="N57" s="307"/>
      <c r="O57" s="322"/>
      <c r="P57" s="308"/>
      <c r="Q57" s="307"/>
      <c r="R57" s="307"/>
      <c r="S57" s="307"/>
      <c r="T57" s="309"/>
      <c r="U57" s="309"/>
      <c r="V57" s="309"/>
      <c r="W57" s="309"/>
      <c r="X57" s="309"/>
      <c r="Y57" s="309"/>
      <c r="Z57" s="309"/>
      <c r="AA57" s="323"/>
      <c r="AB57" s="311"/>
      <c r="AC57" s="312"/>
      <c r="AD57" s="281"/>
      <c r="AE57" s="282"/>
    </row>
    <row r="58" spans="1:31">
      <c r="A58" s="305"/>
      <c r="B58" s="313"/>
      <c r="C58" s="314"/>
      <c r="D58" s="315"/>
      <c r="E58" s="315"/>
      <c r="F58" s="315"/>
      <c r="G58" s="315"/>
      <c r="H58" s="315"/>
      <c r="I58" s="314"/>
      <c r="J58" s="314"/>
      <c r="K58" s="315"/>
      <c r="L58" s="315"/>
      <c r="M58" s="315"/>
      <c r="N58" s="314"/>
      <c r="O58" s="316"/>
      <c r="P58" s="315"/>
      <c r="Q58" s="314"/>
      <c r="R58" s="314"/>
      <c r="S58" s="314"/>
      <c r="T58" s="317"/>
      <c r="U58" s="317"/>
      <c r="V58" s="317"/>
      <c r="W58" s="317"/>
      <c r="X58" s="317"/>
      <c r="Y58" s="317"/>
      <c r="Z58" s="317"/>
      <c r="AA58" s="318"/>
      <c r="AB58" s="319"/>
      <c r="AC58" s="320"/>
      <c r="AD58" s="321"/>
      <c r="AE58" s="282"/>
    </row>
    <row r="59" spans="1:31">
      <c r="A59" s="305"/>
      <c r="B59" s="306"/>
      <c r="C59" s="307"/>
      <c r="D59" s="308"/>
      <c r="E59" s="308"/>
      <c r="F59" s="308"/>
      <c r="G59" s="308"/>
      <c r="H59" s="308"/>
      <c r="I59" s="307"/>
      <c r="J59" s="307"/>
      <c r="K59" s="308"/>
      <c r="L59" s="308"/>
      <c r="M59" s="308"/>
      <c r="N59" s="307"/>
      <c r="O59" s="322"/>
      <c r="P59" s="308"/>
      <c r="Q59" s="307"/>
      <c r="R59" s="307"/>
      <c r="S59" s="307"/>
      <c r="T59" s="309"/>
      <c r="U59" s="309"/>
      <c r="V59" s="309"/>
      <c r="W59" s="309"/>
      <c r="X59" s="309"/>
      <c r="Y59" s="309"/>
      <c r="Z59" s="309"/>
      <c r="AA59" s="323"/>
      <c r="AB59" s="311"/>
      <c r="AC59" s="312"/>
      <c r="AD59" s="281"/>
      <c r="AE59" s="282"/>
    </row>
    <row r="60" spans="1:31">
      <c r="A60" s="305"/>
      <c r="B60" s="306"/>
      <c r="C60" s="307"/>
      <c r="D60" s="308"/>
      <c r="E60" s="308"/>
      <c r="F60" s="308"/>
      <c r="G60" s="308"/>
      <c r="H60" s="308"/>
      <c r="I60" s="307"/>
      <c r="J60" s="307"/>
      <c r="K60" s="308"/>
      <c r="L60" s="308"/>
      <c r="M60" s="308"/>
      <c r="N60" s="307"/>
      <c r="O60" s="322"/>
      <c r="P60" s="308"/>
      <c r="Q60" s="307"/>
      <c r="R60" s="307"/>
      <c r="S60" s="307"/>
      <c r="T60" s="309"/>
      <c r="U60" s="309"/>
      <c r="V60" s="309"/>
      <c r="W60" s="309"/>
      <c r="X60" s="309"/>
      <c r="Y60" s="309"/>
      <c r="Z60" s="309"/>
      <c r="AA60" s="323"/>
      <c r="AB60" s="311"/>
      <c r="AC60" s="312"/>
      <c r="AD60" s="281"/>
      <c r="AE60" s="282"/>
    </row>
    <row r="61" spans="1:31">
      <c r="A61" s="305"/>
      <c r="B61" s="313"/>
      <c r="C61" s="314"/>
      <c r="D61" s="315"/>
      <c r="E61" s="315"/>
      <c r="F61" s="315"/>
      <c r="G61" s="315"/>
      <c r="H61" s="315"/>
      <c r="I61" s="314"/>
      <c r="J61" s="314"/>
      <c r="K61" s="315"/>
      <c r="L61" s="315"/>
      <c r="M61" s="315"/>
      <c r="N61" s="314"/>
      <c r="O61" s="316"/>
      <c r="P61" s="315"/>
      <c r="Q61" s="314"/>
      <c r="R61" s="314"/>
      <c r="S61" s="314"/>
      <c r="T61" s="317"/>
      <c r="U61" s="317"/>
      <c r="V61" s="317"/>
      <c r="W61" s="317"/>
      <c r="X61" s="317"/>
      <c r="Y61" s="317"/>
      <c r="Z61" s="317"/>
      <c r="AA61" s="318"/>
      <c r="AB61" s="319"/>
      <c r="AC61" s="320"/>
      <c r="AD61" s="321"/>
      <c r="AE61" s="282"/>
    </row>
    <row r="62" spans="1:31">
      <c r="A62" s="305"/>
      <c r="B62" s="306"/>
      <c r="C62" s="307"/>
      <c r="D62" s="308"/>
      <c r="E62" s="308"/>
      <c r="F62" s="308"/>
      <c r="G62" s="308"/>
      <c r="H62" s="308"/>
      <c r="I62" s="307"/>
      <c r="J62" s="307"/>
      <c r="K62" s="308"/>
      <c r="L62" s="308"/>
      <c r="M62" s="308"/>
      <c r="N62" s="307"/>
      <c r="O62" s="322"/>
      <c r="P62" s="308"/>
      <c r="Q62" s="307"/>
      <c r="R62" s="307"/>
      <c r="S62" s="307"/>
      <c r="T62" s="309"/>
      <c r="U62" s="309"/>
      <c r="V62" s="309"/>
      <c r="W62" s="309"/>
      <c r="X62" s="309"/>
      <c r="Y62" s="309"/>
      <c r="Z62" s="309"/>
      <c r="AA62" s="323"/>
      <c r="AB62" s="311"/>
      <c r="AC62" s="312"/>
      <c r="AD62" s="281"/>
      <c r="AE62" s="282"/>
    </row>
    <row r="63" spans="1:31">
      <c r="A63" s="305"/>
      <c r="B63" s="306"/>
      <c r="C63" s="307"/>
      <c r="D63" s="308"/>
      <c r="E63" s="308"/>
      <c r="F63" s="308"/>
      <c r="G63" s="308"/>
      <c r="H63" s="308"/>
      <c r="I63" s="307"/>
      <c r="J63" s="307"/>
      <c r="K63" s="308"/>
      <c r="L63" s="308"/>
      <c r="M63" s="308"/>
      <c r="N63" s="307"/>
      <c r="O63" s="322"/>
      <c r="P63" s="308"/>
      <c r="Q63" s="307"/>
      <c r="R63" s="307"/>
      <c r="S63" s="307"/>
      <c r="T63" s="309"/>
      <c r="U63" s="309"/>
      <c r="V63" s="309"/>
      <c r="W63" s="309"/>
      <c r="X63" s="309"/>
      <c r="Y63" s="309"/>
      <c r="Z63" s="309"/>
      <c r="AA63" s="323"/>
      <c r="AB63" s="311"/>
      <c r="AC63" s="312"/>
      <c r="AD63" s="281"/>
      <c r="AE63" s="282"/>
    </row>
    <row r="64" spans="1:31">
      <c r="A64" s="324"/>
      <c r="B64" s="325"/>
      <c r="C64" s="314"/>
      <c r="D64" s="315"/>
      <c r="E64" s="315"/>
      <c r="F64" s="315"/>
      <c r="G64" s="315"/>
      <c r="H64" s="315"/>
      <c r="I64" s="314"/>
      <c r="J64" s="314"/>
      <c r="K64" s="315"/>
      <c r="L64" s="315"/>
      <c r="M64" s="315"/>
      <c r="N64" s="314"/>
      <c r="O64" s="316"/>
      <c r="P64" s="315"/>
      <c r="Q64" s="314"/>
      <c r="R64" s="314"/>
      <c r="S64" s="314"/>
      <c r="T64" s="317"/>
      <c r="U64" s="317"/>
      <c r="V64" s="317"/>
      <c r="W64" s="317"/>
      <c r="X64" s="317"/>
      <c r="Y64" s="317"/>
      <c r="Z64" s="317"/>
      <c r="AA64" s="318"/>
      <c r="AB64" s="311"/>
      <c r="AC64" s="312"/>
      <c r="AD64" s="321"/>
      <c r="AE64" s="282"/>
    </row>
    <row r="65" spans="1:31">
      <c r="A65" s="303"/>
      <c r="B65" s="291"/>
      <c r="C65" s="285"/>
      <c r="D65" s="276"/>
      <c r="E65" s="276"/>
      <c r="F65" s="276"/>
      <c r="G65" s="276"/>
      <c r="H65" s="276"/>
      <c r="I65" s="285"/>
      <c r="J65" s="285"/>
      <c r="K65" s="276"/>
      <c r="L65" s="276"/>
      <c r="M65" s="276"/>
      <c r="N65" s="285"/>
      <c r="O65" s="285"/>
      <c r="P65" s="276"/>
      <c r="Q65" s="285"/>
      <c r="R65" s="285"/>
      <c r="S65" s="285"/>
      <c r="T65" s="287"/>
      <c r="U65" s="287"/>
      <c r="V65" s="287"/>
      <c r="W65" s="287"/>
      <c r="X65" s="287"/>
      <c r="Y65" s="287"/>
      <c r="Z65" s="287"/>
      <c r="AA65" s="304"/>
      <c r="AB65" s="289"/>
      <c r="AC65" s="290"/>
      <c r="AD65" s="281"/>
      <c r="AE65" s="282"/>
    </row>
    <row r="66" spans="1:31">
      <c r="A66" s="305"/>
      <c r="B66" s="306"/>
      <c r="C66" s="307"/>
      <c r="D66" s="308"/>
      <c r="E66" s="308"/>
      <c r="F66" s="308"/>
      <c r="G66" s="308"/>
      <c r="H66" s="308"/>
      <c r="I66" s="307"/>
      <c r="J66" s="307"/>
      <c r="K66" s="308"/>
      <c r="L66" s="308"/>
      <c r="M66" s="308"/>
      <c r="N66" s="307"/>
      <c r="O66" s="307"/>
      <c r="P66" s="308"/>
      <c r="Q66" s="307"/>
      <c r="R66" s="307"/>
      <c r="S66" s="307"/>
      <c r="T66" s="309"/>
      <c r="U66" s="309"/>
      <c r="V66" s="309"/>
      <c r="W66" s="309"/>
      <c r="X66" s="309"/>
      <c r="Y66" s="309"/>
      <c r="Z66" s="309"/>
      <c r="AA66" s="310"/>
      <c r="AB66" s="311"/>
      <c r="AC66" s="312"/>
      <c r="AD66" s="281"/>
      <c r="AE66" s="282"/>
    </row>
    <row r="67" spans="1:31">
      <c r="A67" s="305"/>
      <c r="B67" s="313"/>
      <c r="C67" s="314"/>
      <c r="D67" s="315"/>
      <c r="E67" s="315"/>
      <c r="F67" s="315"/>
      <c r="G67" s="315"/>
      <c r="H67" s="315"/>
      <c r="I67" s="314"/>
      <c r="J67" s="314"/>
      <c r="K67" s="315"/>
      <c r="L67" s="315"/>
      <c r="M67" s="315"/>
      <c r="N67" s="314"/>
      <c r="O67" s="316"/>
      <c r="P67" s="315"/>
      <c r="Q67" s="314"/>
      <c r="R67" s="314"/>
      <c r="S67" s="314"/>
      <c r="T67" s="317"/>
      <c r="U67" s="317"/>
      <c r="V67" s="317"/>
      <c r="W67" s="317"/>
      <c r="X67" s="317"/>
      <c r="Y67" s="317"/>
      <c r="Z67" s="317"/>
      <c r="AA67" s="318"/>
      <c r="AB67" s="319"/>
      <c r="AC67" s="320"/>
      <c r="AD67" s="321"/>
      <c r="AE67" s="282"/>
    </row>
    <row r="68" spans="1:31">
      <c r="A68" s="305"/>
      <c r="B68" s="306"/>
      <c r="C68" s="307"/>
      <c r="D68" s="308"/>
      <c r="E68" s="308"/>
      <c r="F68" s="308"/>
      <c r="G68" s="308"/>
      <c r="H68" s="308"/>
      <c r="I68" s="307"/>
      <c r="J68" s="307"/>
      <c r="K68" s="308"/>
      <c r="L68" s="308"/>
      <c r="M68" s="308"/>
      <c r="N68" s="307"/>
      <c r="O68" s="322"/>
      <c r="P68" s="308"/>
      <c r="Q68" s="307"/>
      <c r="R68" s="307"/>
      <c r="S68" s="307"/>
      <c r="T68" s="309"/>
      <c r="U68" s="309"/>
      <c r="V68" s="309"/>
      <c r="W68" s="309"/>
      <c r="X68" s="309"/>
      <c r="Y68" s="309"/>
      <c r="Z68" s="309"/>
      <c r="AA68" s="323"/>
      <c r="AB68" s="311"/>
      <c r="AC68" s="312"/>
      <c r="AD68" s="281"/>
      <c r="AE68" s="282"/>
    </row>
    <row r="69" spans="1:31">
      <c r="A69" s="305"/>
      <c r="B69" s="306"/>
      <c r="C69" s="307"/>
      <c r="D69" s="308"/>
      <c r="E69" s="308"/>
      <c r="F69" s="308"/>
      <c r="G69" s="308"/>
      <c r="H69" s="308"/>
      <c r="I69" s="307"/>
      <c r="J69" s="307"/>
      <c r="K69" s="308"/>
      <c r="L69" s="308"/>
      <c r="M69" s="308"/>
      <c r="N69" s="307"/>
      <c r="O69" s="322"/>
      <c r="P69" s="308"/>
      <c r="Q69" s="307"/>
      <c r="R69" s="307"/>
      <c r="S69" s="307"/>
      <c r="T69" s="309"/>
      <c r="U69" s="309"/>
      <c r="V69" s="309"/>
      <c r="W69" s="309"/>
      <c r="X69" s="309"/>
      <c r="Y69" s="309"/>
      <c r="Z69" s="309"/>
      <c r="AA69" s="323"/>
      <c r="AB69" s="311"/>
      <c r="AC69" s="312"/>
      <c r="AD69" s="281"/>
      <c r="AE69" s="282"/>
    </row>
    <row r="70" spans="1:31">
      <c r="A70" s="305"/>
      <c r="B70" s="313"/>
      <c r="C70" s="314"/>
      <c r="D70" s="315"/>
      <c r="E70" s="315"/>
      <c r="F70" s="315"/>
      <c r="G70" s="315"/>
      <c r="H70" s="315"/>
      <c r="I70" s="314"/>
      <c r="J70" s="314"/>
      <c r="K70" s="315"/>
      <c r="L70" s="315"/>
      <c r="M70" s="315"/>
      <c r="N70" s="314"/>
      <c r="O70" s="316"/>
      <c r="P70" s="315"/>
      <c r="Q70" s="314"/>
      <c r="R70" s="314"/>
      <c r="S70" s="314"/>
      <c r="T70" s="317"/>
      <c r="U70" s="317"/>
      <c r="V70" s="317"/>
      <c r="W70" s="317"/>
      <c r="X70" s="317"/>
      <c r="Y70" s="317"/>
      <c r="Z70" s="317"/>
      <c r="AA70" s="318"/>
      <c r="AB70" s="319"/>
      <c r="AC70" s="320"/>
      <c r="AD70" s="321"/>
      <c r="AE70" s="282"/>
    </row>
    <row r="71" spans="1:31">
      <c r="A71" s="305"/>
      <c r="B71" s="306"/>
      <c r="C71" s="307"/>
      <c r="D71" s="308"/>
      <c r="E71" s="308"/>
      <c r="F71" s="308"/>
      <c r="G71" s="308"/>
      <c r="H71" s="308"/>
      <c r="I71" s="307"/>
      <c r="J71" s="307"/>
      <c r="K71" s="308"/>
      <c r="L71" s="308"/>
      <c r="M71" s="308"/>
      <c r="N71" s="307"/>
      <c r="O71" s="322"/>
      <c r="P71" s="308"/>
      <c r="Q71" s="307"/>
      <c r="R71" s="307"/>
      <c r="S71" s="307"/>
      <c r="T71" s="309"/>
      <c r="U71" s="309"/>
      <c r="V71" s="309"/>
      <c r="W71" s="309"/>
      <c r="X71" s="309"/>
      <c r="Y71" s="309"/>
      <c r="Z71" s="309"/>
      <c r="AA71" s="323"/>
      <c r="AB71" s="311"/>
      <c r="AC71" s="312"/>
      <c r="AD71" s="281"/>
      <c r="AE71" s="282"/>
    </row>
    <row r="72" spans="1:31">
      <c r="A72" s="305"/>
      <c r="B72" s="306"/>
      <c r="C72" s="307"/>
      <c r="D72" s="308"/>
      <c r="E72" s="308"/>
      <c r="F72" s="308"/>
      <c r="G72" s="308"/>
      <c r="H72" s="308"/>
      <c r="I72" s="307"/>
      <c r="J72" s="307"/>
      <c r="K72" s="308"/>
      <c r="L72" s="308"/>
      <c r="M72" s="308"/>
      <c r="N72" s="307"/>
      <c r="O72" s="322"/>
      <c r="P72" s="308"/>
      <c r="Q72" s="307"/>
      <c r="R72" s="307"/>
      <c r="S72" s="307"/>
      <c r="T72" s="309"/>
      <c r="U72" s="309"/>
      <c r="V72" s="309"/>
      <c r="W72" s="309"/>
      <c r="X72" s="309"/>
      <c r="Y72" s="309"/>
      <c r="Z72" s="309"/>
      <c r="AA72" s="323"/>
      <c r="AB72" s="311"/>
      <c r="AC72" s="312"/>
      <c r="AD72" s="281"/>
      <c r="AE72" s="282"/>
    </row>
    <row r="73" spans="1:31">
      <c r="A73" s="305"/>
      <c r="B73" s="313"/>
      <c r="C73" s="314"/>
      <c r="D73" s="315"/>
      <c r="E73" s="315"/>
      <c r="F73" s="315"/>
      <c r="G73" s="315"/>
      <c r="H73" s="315"/>
      <c r="I73" s="314"/>
      <c r="J73" s="314"/>
      <c r="K73" s="315"/>
      <c r="L73" s="315"/>
      <c r="M73" s="315"/>
      <c r="N73" s="314"/>
      <c r="O73" s="316"/>
      <c r="P73" s="315"/>
      <c r="Q73" s="314"/>
      <c r="R73" s="314"/>
      <c r="S73" s="314"/>
      <c r="T73" s="317"/>
      <c r="U73" s="317"/>
      <c r="V73" s="317"/>
      <c r="W73" s="317"/>
      <c r="X73" s="317"/>
      <c r="Y73" s="317"/>
      <c r="Z73" s="317"/>
      <c r="AA73" s="318"/>
      <c r="AB73" s="319"/>
      <c r="AC73" s="320"/>
      <c r="AD73" s="321"/>
      <c r="AE73" s="282"/>
    </row>
    <row r="74" spans="1:31">
      <c r="A74" s="305"/>
      <c r="B74" s="306"/>
      <c r="C74" s="307"/>
      <c r="D74" s="308"/>
      <c r="E74" s="308"/>
      <c r="F74" s="308"/>
      <c r="G74" s="308"/>
      <c r="H74" s="308"/>
      <c r="I74" s="307"/>
      <c r="J74" s="307"/>
      <c r="K74" s="308"/>
      <c r="L74" s="308"/>
      <c r="M74" s="308"/>
      <c r="N74" s="307"/>
      <c r="O74" s="322"/>
      <c r="P74" s="308"/>
      <c r="Q74" s="307"/>
      <c r="R74" s="307"/>
      <c r="S74" s="307"/>
      <c r="T74" s="309"/>
      <c r="U74" s="309"/>
      <c r="V74" s="309"/>
      <c r="W74" s="309"/>
      <c r="X74" s="309"/>
      <c r="Y74" s="309"/>
      <c r="Z74" s="309"/>
      <c r="AA74" s="323"/>
      <c r="AB74" s="311"/>
      <c r="AC74" s="312"/>
      <c r="AD74" s="281"/>
      <c r="AE74" s="282"/>
    </row>
    <row r="75" spans="1:31">
      <c r="A75" s="305"/>
      <c r="B75" s="306"/>
      <c r="C75" s="307"/>
      <c r="D75" s="308"/>
      <c r="E75" s="308"/>
      <c r="F75" s="308"/>
      <c r="G75" s="308"/>
      <c r="H75" s="308"/>
      <c r="I75" s="307"/>
      <c r="J75" s="307"/>
      <c r="K75" s="308"/>
      <c r="L75" s="308"/>
      <c r="M75" s="308"/>
      <c r="N75" s="307"/>
      <c r="O75" s="322"/>
      <c r="P75" s="308"/>
      <c r="Q75" s="307"/>
      <c r="R75" s="307"/>
      <c r="S75" s="307"/>
      <c r="T75" s="309"/>
      <c r="U75" s="309"/>
      <c r="V75" s="309"/>
      <c r="W75" s="309"/>
      <c r="X75" s="309"/>
      <c r="Y75" s="309"/>
      <c r="Z75" s="309"/>
      <c r="AA75" s="323"/>
      <c r="AB75" s="311"/>
      <c r="AC75" s="312"/>
      <c r="AD75" s="281"/>
      <c r="AE75" s="282"/>
    </row>
    <row r="76" spans="1:31">
      <c r="A76" s="324"/>
      <c r="B76" s="325"/>
      <c r="C76" s="314"/>
      <c r="D76" s="315"/>
      <c r="E76" s="315"/>
      <c r="F76" s="315"/>
      <c r="G76" s="315"/>
      <c r="H76" s="315"/>
      <c r="I76" s="314"/>
      <c r="J76" s="314"/>
      <c r="K76" s="315"/>
      <c r="L76" s="315"/>
      <c r="M76" s="315"/>
      <c r="N76" s="314"/>
      <c r="O76" s="316"/>
      <c r="P76" s="315"/>
      <c r="Q76" s="314"/>
      <c r="R76" s="314"/>
      <c r="S76" s="314"/>
      <c r="T76" s="317"/>
      <c r="U76" s="317"/>
      <c r="V76" s="317"/>
      <c r="W76" s="317"/>
      <c r="X76" s="317"/>
      <c r="Y76" s="317"/>
      <c r="Z76" s="317"/>
      <c r="AA76" s="318"/>
      <c r="AB76" s="311"/>
      <c r="AC76" s="312"/>
      <c r="AD76" s="321"/>
      <c r="AE76" s="282"/>
    </row>
    <row r="77" spans="1:31">
      <c r="A77" s="303"/>
      <c r="B77" s="291"/>
      <c r="C77" s="285"/>
      <c r="D77" s="276"/>
      <c r="E77" s="276"/>
      <c r="F77" s="276"/>
      <c r="G77" s="276"/>
      <c r="H77" s="276"/>
      <c r="I77" s="285"/>
      <c r="J77" s="285"/>
      <c r="K77" s="276"/>
      <c r="L77" s="276"/>
      <c r="M77" s="276"/>
      <c r="N77" s="285"/>
      <c r="O77" s="285"/>
      <c r="P77" s="276"/>
      <c r="Q77" s="285"/>
      <c r="R77" s="285"/>
      <c r="S77" s="285"/>
      <c r="T77" s="287"/>
      <c r="U77" s="287"/>
      <c r="V77" s="287"/>
      <c r="W77" s="287"/>
      <c r="X77" s="287"/>
      <c r="Y77" s="287"/>
      <c r="Z77" s="287"/>
      <c r="AA77" s="304"/>
      <c r="AB77" s="289"/>
      <c r="AC77" s="290"/>
      <c r="AD77" s="281"/>
      <c r="AE77" s="282"/>
    </row>
    <row r="78" spans="1:31">
      <c r="A78" s="305"/>
      <c r="B78" s="306"/>
      <c r="C78" s="307"/>
      <c r="D78" s="308"/>
      <c r="E78" s="308"/>
      <c r="F78" s="308"/>
      <c r="G78" s="308"/>
      <c r="H78" s="308"/>
      <c r="I78" s="307"/>
      <c r="J78" s="307"/>
      <c r="K78" s="308"/>
      <c r="L78" s="308"/>
      <c r="M78" s="308"/>
      <c r="N78" s="307"/>
      <c r="O78" s="307"/>
      <c r="P78" s="308"/>
      <c r="Q78" s="307"/>
      <c r="R78" s="307"/>
      <c r="S78" s="307"/>
      <c r="T78" s="309"/>
      <c r="U78" s="309"/>
      <c r="V78" s="309"/>
      <c r="W78" s="309"/>
      <c r="X78" s="309"/>
      <c r="Y78" s="309"/>
      <c r="Z78" s="309"/>
      <c r="AA78" s="310"/>
      <c r="AB78" s="311"/>
      <c r="AC78" s="312"/>
      <c r="AD78" s="281"/>
      <c r="AE78" s="282"/>
    </row>
    <row r="79" spans="1:31">
      <c r="A79" s="305"/>
      <c r="B79" s="313"/>
      <c r="C79" s="314"/>
      <c r="D79" s="315"/>
      <c r="E79" s="315"/>
      <c r="F79" s="315"/>
      <c r="G79" s="315"/>
      <c r="H79" s="315"/>
      <c r="I79" s="314"/>
      <c r="J79" s="314"/>
      <c r="K79" s="315"/>
      <c r="L79" s="315"/>
      <c r="M79" s="315"/>
      <c r="N79" s="314"/>
      <c r="O79" s="316"/>
      <c r="P79" s="315"/>
      <c r="Q79" s="314"/>
      <c r="R79" s="314"/>
      <c r="S79" s="314"/>
      <c r="T79" s="317"/>
      <c r="U79" s="317"/>
      <c r="V79" s="317"/>
      <c r="W79" s="317"/>
      <c r="X79" s="317"/>
      <c r="Y79" s="317"/>
      <c r="Z79" s="317"/>
      <c r="AA79" s="318"/>
      <c r="AB79" s="319"/>
      <c r="AC79" s="320"/>
      <c r="AD79" s="321"/>
      <c r="AE79" s="282"/>
    </row>
    <row r="80" spans="1:31">
      <c r="A80" s="305"/>
      <c r="B80" s="306"/>
      <c r="C80" s="307"/>
      <c r="D80" s="308"/>
      <c r="E80" s="308"/>
      <c r="F80" s="308"/>
      <c r="G80" s="308"/>
      <c r="H80" s="308"/>
      <c r="I80" s="307"/>
      <c r="J80" s="307"/>
      <c r="K80" s="308"/>
      <c r="L80" s="326"/>
      <c r="M80" s="308"/>
      <c r="N80" s="327"/>
      <c r="O80" s="322"/>
      <c r="P80" s="308"/>
      <c r="Q80" s="307"/>
      <c r="R80" s="307"/>
      <c r="S80" s="307"/>
      <c r="T80" s="309"/>
      <c r="U80" s="309"/>
      <c r="V80" s="309"/>
      <c r="W80" s="309"/>
      <c r="X80" s="309"/>
      <c r="Y80" s="309"/>
      <c r="Z80" s="309"/>
      <c r="AA80" s="323"/>
      <c r="AB80" s="311"/>
      <c r="AC80" s="312"/>
      <c r="AD80" s="281"/>
      <c r="AE80" s="282"/>
    </row>
    <row r="81" spans="1:31">
      <c r="A81" s="305"/>
      <c r="B81" s="306"/>
      <c r="C81" s="307"/>
      <c r="D81" s="308"/>
      <c r="E81" s="308"/>
      <c r="F81" s="308"/>
      <c r="G81" s="308"/>
      <c r="H81" s="308"/>
      <c r="I81" s="307"/>
      <c r="J81" s="307"/>
      <c r="K81" s="308"/>
      <c r="L81" s="308"/>
      <c r="M81" s="308"/>
      <c r="N81" s="307"/>
      <c r="O81" s="322"/>
      <c r="P81" s="308"/>
      <c r="Q81" s="307"/>
      <c r="R81" s="307"/>
      <c r="S81" s="307"/>
      <c r="T81" s="309"/>
      <c r="U81" s="309"/>
      <c r="V81" s="309"/>
      <c r="W81" s="309"/>
      <c r="X81" s="309"/>
      <c r="Y81" s="309"/>
      <c r="Z81" s="309"/>
      <c r="AA81" s="323"/>
      <c r="AB81" s="311"/>
      <c r="AC81" s="312"/>
      <c r="AD81" s="281"/>
      <c r="AE81" s="282"/>
    </row>
    <row r="82" spans="1:31">
      <c r="A82" s="305"/>
      <c r="B82" s="313"/>
      <c r="C82" s="314"/>
      <c r="D82" s="315"/>
      <c r="E82" s="315"/>
      <c r="F82" s="315"/>
      <c r="G82" s="315"/>
      <c r="H82" s="315"/>
      <c r="I82" s="314"/>
      <c r="J82" s="314"/>
      <c r="K82" s="315"/>
      <c r="L82" s="315"/>
      <c r="M82" s="315"/>
      <c r="N82" s="314"/>
      <c r="O82" s="316"/>
      <c r="P82" s="315"/>
      <c r="Q82" s="314"/>
      <c r="R82" s="314"/>
      <c r="S82" s="314"/>
      <c r="T82" s="317"/>
      <c r="U82" s="317"/>
      <c r="V82" s="317"/>
      <c r="W82" s="317"/>
      <c r="X82" s="317"/>
      <c r="Y82" s="317"/>
      <c r="Z82" s="317"/>
      <c r="AA82" s="318"/>
      <c r="AB82" s="319"/>
      <c r="AC82" s="320"/>
      <c r="AD82" s="321"/>
      <c r="AE82" s="282"/>
    </row>
    <row r="83" spans="1:31">
      <c r="A83" s="305"/>
      <c r="B83" s="306"/>
      <c r="C83" s="307"/>
      <c r="D83" s="308"/>
      <c r="E83" s="308"/>
      <c r="F83" s="308"/>
      <c r="G83" s="308"/>
      <c r="H83" s="308"/>
      <c r="I83" s="307"/>
      <c r="J83" s="307"/>
      <c r="K83" s="308"/>
      <c r="L83" s="308"/>
      <c r="M83" s="308"/>
      <c r="N83" s="307"/>
      <c r="O83" s="322"/>
      <c r="P83" s="308"/>
      <c r="Q83" s="307"/>
      <c r="R83" s="307"/>
      <c r="S83" s="307"/>
      <c r="T83" s="309"/>
      <c r="U83" s="309"/>
      <c r="V83" s="309"/>
      <c r="W83" s="309"/>
      <c r="X83" s="309"/>
      <c r="Y83" s="309"/>
      <c r="Z83" s="309"/>
      <c r="AA83" s="323"/>
      <c r="AB83" s="311"/>
      <c r="AC83" s="312"/>
      <c r="AD83" s="281"/>
      <c r="AE83" s="282"/>
    </row>
    <row r="84" spans="1:31">
      <c r="A84" s="305"/>
      <c r="B84" s="306"/>
      <c r="C84" s="307"/>
      <c r="D84" s="308"/>
      <c r="E84" s="308"/>
      <c r="F84" s="308"/>
      <c r="G84" s="308"/>
      <c r="H84" s="308"/>
      <c r="I84" s="307"/>
      <c r="J84" s="307"/>
      <c r="K84" s="308"/>
      <c r="L84" s="308"/>
      <c r="M84" s="308"/>
      <c r="N84" s="307"/>
      <c r="O84" s="322"/>
      <c r="P84" s="308"/>
      <c r="Q84" s="307"/>
      <c r="R84" s="307"/>
      <c r="S84" s="307"/>
      <c r="T84" s="309"/>
      <c r="U84" s="309"/>
      <c r="V84" s="309"/>
      <c r="W84" s="309"/>
      <c r="X84" s="309"/>
      <c r="Y84" s="309"/>
      <c r="Z84" s="309"/>
      <c r="AA84" s="323"/>
      <c r="AB84" s="311"/>
      <c r="AC84" s="312"/>
      <c r="AD84" s="281"/>
      <c r="AE84" s="282"/>
    </row>
    <row r="85" spans="1:31">
      <c r="A85" s="305"/>
      <c r="B85" s="313"/>
      <c r="C85" s="314"/>
      <c r="D85" s="315"/>
      <c r="E85" s="315"/>
      <c r="F85" s="315"/>
      <c r="G85" s="315"/>
      <c r="H85" s="315"/>
      <c r="I85" s="314"/>
      <c r="J85" s="314"/>
      <c r="K85" s="315"/>
      <c r="L85" s="315"/>
      <c r="M85" s="315"/>
      <c r="N85" s="314"/>
      <c r="O85" s="316"/>
      <c r="P85" s="315"/>
      <c r="Q85" s="314"/>
      <c r="R85" s="314"/>
      <c r="S85" s="314"/>
      <c r="T85" s="317"/>
      <c r="U85" s="317"/>
      <c r="V85" s="317"/>
      <c r="W85" s="317"/>
      <c r="X85" s="317"/>
      <c r="Y85" s="317"/>
      <c r="Z85" s="317"/>
      <c r="AA85" s="318"/>
      <c r="AB85" s="319"/>
      <c r="AC85" s="320"/>
      <c r="AD85" s="321"/>
      <c r="AE85" s="282"/>
    </row>
    <row r="86" spans="1:31">
      <c r="A86" s="305"/>
      <c r="B86" s="306"/>
      <c r="C86" s="307"/>
      <c r="D86" s="308"/>
      <c r="E86" s="308"/>
      <c r="F86" s="308"/>
      <c r="G86" s="308"/>
      <c r="H86" s="308"/>
      <c r="I86" s="307"/>
      <c r="J86" s="307"/>
      <c r="K86" s="308"/>
      <c r="L86" s="308"/>
      <c r="M86" s="308"/>
      <c r="N86" s="307"/>
      <c r="O86" s="322"/>
      <c r="P86" s="308"/>
      <c r="Q86" s="307"/>
      <c r="R86" s="307"/>
      <c r="S86" s="307"/>
      <c r="T86" s="309"/>
      <c r="U86" s="309"/>
      <c r="V86" s="309"/>
      <c r="W86" s="309"/>
      <c r="X86" s="309"/>
      <c r="Y86" s="309"/>
      <c r="Z86" s="309"/>
      <c r="AA86" s="323"/>
      <c r="AB86" s="311"/>
      <c r="AC86" s="312"/>
      <c r="AD86" s="281"/>
      <c r="AE86" s="282"/>
    </row>
    <row r="87" spans="1:31">
      <c r="A87" s="305"/>
      <c r="B87" s="306"/>
      <c r="C87" s="307"/>
      <c r="D87" s="308"/>
      <c r="E87" s="308"/>
      <c r="F87" s="308"/>
      <c r="G87" s="308"/>
      <c r="H87" s="308"/>
      <c r="I87" s="307"/>
      <c r="J87" s="307"/>
      <c r="K87" s="308"/>
      <c r="L87" s="308"/>
      <c r="M87" s="308"/>
      <c r="N87" s="307"/>
      <c r="O87" s="322"/>
      <c r="P87" s="308"/>
      <c r="Q87" s="307"/>
      <c r="R87" s="307"/>
      <c r="S87" s="307"/>
      <c r="T87" s="309"/>
      <c r="U87" s="309"/>
      <c r="V87" s="309"/>
      <c r="W87" s="309"/>
      <c r="X87" s="309"/>
      <c r="Y87" s="309"/>
      <c r="Z87" s="309"/>
      <c r="AA87" s="323"/>
      <c r="AB87" s="311"/>
      <c r="AC87" s="312"/>
      <c r="AD87" s="281"/>
      <c r="AE87" s="282"/>
    </row>
    <row r="88" spans="1:31">
      <c r="A88" s="324"/>
      <c r="B88" s="325"/>
      <c r="C88" s="314"/>
      <c r="D88" s="315"/>
      <c r="E88" s="315"/>
      <c r="F88" s="315"/>
      <c r="G88" s="315"/>
      <c r="H88" s="315"/>
      <c r="I88" s="314"/>
      <c r="J88" s="314"/>
      <c r="K88" s="315"/>
      <c r="L88" s="315"/>
      <c r="M88" s="315"/>
      <c r="N88" s="314"/>
      <c r="O88" s="316"/>
      <c r="P88" s="315"/>
      <c r="Q88" s="314"/>
      <c r="R88" s="314"/>
      <c r="S88" s="314"/>
      <c r="T88" s="317"/>
      <c r="U88" s="317"/>
      <c r="V88" s="317"/>
      <c r="W88" s="317"/>
      <c r="X88" s="317"/>
      <c r="Y88" s="317"/>
      <c r="Z88" s="317"/>
      <c r="AA88" s="318"/>
      <c r="AB88" s="311"/>
      <c r="AC88" s="312"/>
      <c r="AD88" s="321"/>
      <c r="AE88" s="282"/>
    </row>
    <row r="89" spans="1:31">
      <c r="A89" s="303"/>
      <c r="B89" s="291"/>
      <c r="C89" s="285"/>
      <c r="D89" s="276"/>
      <c r="E89" s="276"/>
      <c r="F89" s="276"/>
      <c r="G89" s="276"/>
      <c r="H89" s="276"/>
      <c r="I89" s="285"/>
      <c r="J89" s="285"/>
      <c r="K89" s="276"/>
      <c r="L89" s="276"/>
      <c r="M89" s="276"/>
      <c r="N89" s="285"/>
      <c r="O89" s="285"/>
      <c r="P89" s="276"/>
      <c r="Q89" s="285"/>
      <c r="R89" s="285"/>
      <c r="S89" s="285"/>
      <c r="T89" s="287"/>
      <c r="U89" s="287"/>
      <c r="V89" s="287"/>
      <c r="W89" s="287"/>
      <c r="X89" s="287"/>
      <c r="Y89" s="287"/>
      <c r="Z89" s="287"/>
      <c r="AA89" s="304"/>
      <c r="AB89" s="289"/>
      <c r="AC89" s="290"/>
      <c r="AD89" s="281"/>
      <c r="AE89" s="282"/>
    </row>
    <row r="90" spans="1:31">
      <c r="A90" s="305"/>
      <c r="B90" s="306"/>
      <c r="C90" s="307"/>
      <c r="D90" s="308"/>
      <c r="E90" s="308"/>
      <c r="F90" s="308"/>
      <c r="G90" s="308"/>
      <c r="H90" s="308"/>
      <c r="I90" s="307"/>
      <c r="J90" s="307"/>
      <c r="K90" s="308"/>
      <c r="L90" s="308"/>
      <c r="M90" s="308"/>
      <c r="N90" s="307"/>
      <c r="O90" s="307"/>
      <c r="P90" s="308"/>
      <c r="Q90" s="307"/>
      <c r="R90" s="307"/>
      <c r="S90" s="307"/>
      <c r="T90" s="309"/>
      <c r="U90" s="309"/>
      <c r="V90" s="309"/>
      <c r="W90" s="309"/>
      <c r="X90" s="309"/>
      <c r="Y90" s="309"/>
      <c r="Z90" s="309"/>
      <c r="AA90" s="310"/>
      <c r="AB90" s="311"/>
      <c r="AC90" s="312"/>
      <c r="AD90" s="281"/>
      <c r="AE90" s="282"/>
    </row>
    <row r="91" spans="1:31">
      <c r="A91" s="305"/>
      <c r="B91" s="313"/>
      <c r="C91" s="314"/>
      <c r="D91" s="315"/>
      <c r="E91" s="315"/>
      <c r="F91" s="315"/>
      <c r="G91" s="315"/>
      <c r="H91" s="315"/>
      <c r="I91" s="314"/>
      <c r="J91" s="314"/>
      <c r="K91" s="315"/>
      <c r="L91" s="315"/>
      <c r="M91" s="315"/>
      <c r="N91" s="314"/>
      <c r="O91" s="316"/>
      <c r="P91" s="315"/>
      <c r="Q91" s="314"/>
      <c r="R91" s="314"/>
      <c r="S91" s="314"/>
      <c r="T91" s="317"/>
      <c r="U91" s="317"/>
      <c r="V91" s="317"/>
      <c r="W91" s="317"/>
      <c r="X91" s="317"/>
      <c r="Y91" s="317"/>
      <c r="Z91" s="317"/>
      <c r="AA91" s="318"/>
      <c r="AB91" s="319"/>
      <c r="AC91" s="320"/>
      <c r="AD91" s="321"/>
      <c r="AE91" s="282"/>
    </row>
    <row r="92" spans="1:31">
      <c r="A92" s="305"/>
      <c r="B92" s="306"/>
      <c r="C92" s="307"/>
      <c r="D92" s="308"/>
      <c r="E92" s="308"/>
      <c r="F92" s="308"/>
      <c r="G92" s="308"/>
      <c r="H92" s="308"/>
      <c r="I92" s="307"/>
      <c r="J92" s="307"/>
      <c r="K92" s="308"/>
      <c r="L92" s="308"/>
      <c r="M92" s="308"/>
      <c r="N92" s="307"/>
      <c r="O92" s="322"/>
      <c r="P92" s="308"/>
      <c r="Q92" s="307"/>
      <c r="R92" s="307"/>
      <c r="S92" s="307"/>
      <c r="T92" s="309"/>
      <c r="U92" s="309"/>
      <c r="V92" s="309"/>
      <c r="W92" s="309"/>
      <c r="X92" s="309"/>
      <c r="Y92" s="309"/>
      <c r="Z92" s="309"/>
      <c r="AA92" s="323"/>
      <c r="AB92" s="311"/>
      <c r="AC92" s="312"/>
      <c r="AD92" s="281"/>
      <c r="AE92" s="282"/>
    </row>
    <row r="93" spans="1:31">
      <c r="A93" s="305"/>
      <c r="B93" s="306"/>
      <c r="C93" s="307"/>
      <c r="D93" s="308"/>
      <c r="E93" s="308"/>
      <c r="F93" s="308"/>
      <c r="G93" s="308"/>
      <c r="H93" s="308"/>
      <c r="I93" s="307"/>
      <c r="J93" s="307"/>
      <c r="K93" s="308"/>
      <c r="L93" s="308"/>
      <c r="M93" s="308"/>
      <c r="N93" s="307"/>
      <c r="O93" s="322"/>
      <c r="P93" s="308"/>
      <c r="Q93" s="307"/>
      <c r="R93" s="307"/>
      <c r="S93" s="307"/>
      <c r="T93" s="309"/>
      <c r="U93" s="309"/>
      <c r="V93" s="309"/>
      <c r="W93" s="309"/>
      <c r="X93" s="309"/>
      <c r="Y93" s="309"/>
      <c r="Z93" s="309"/>
      <c r="AA93" s="323"/>
      <c r="AB93" s="311"/>
      <c r="AC93" s="312"/>
      <c r="AD93" s="281"/>
      <c r="AE93" s="282"/>
    </row>
    <row r="94" spans="1:31">
      <c r="A94" s="305"/>
      <c r="B94" s="313"/>
      <c r="C94" s="314"/>
      <c r="D94" s="315"/>
      <c r="E94" s="315"/>
      <c r="F94" s="315"/>
      <c r="G94" s="315"/>
      <c r="H94" s="315"/>
      <c r="I94" s="314"/>
      <c r="J94" s="314"/>
      <c r="K94" s="315"/>
      <c r="L94" s="315"/>
      <c r="M94" s="315"/>
      <c r="N94" s="314"/>
      <c r="O94" s="316"/>
      <c r="P94" s="315"/>
      <c r="Q94" s="314"/>
      <c r="R94" s="314"/>
      <c r="S94" s="314"/>
      <c r="T94" s="317"/>
      <c r="U94" s="317"/>
      <c r="V94" s="317"/>
      <c r="W94" s="317"/>
      <c r="X94" s="317"/>
      <c r="Y94" s="317"/>
      <c r="Z94" s="317"/>
      <c r="AA94" s="318"/>
      <c r="AB94" s="319"/>
      <c r="AC94" s="320"/>
      <c r="AD94" s="321"/>
      <c r="AE94" s="282"/>
    </row>
    <row r="95" spans="1:31">
      <c r="A95" s="305"/>
      <c r="B95" s="306"/>
      <c r="C95" s="307"/>
      <c r="D95" s="308"/>
      <c r="E95" s="308"/>
      <c r="F95" s="308"/>
      <c r="G95" s="308"/>
      <c r="H95" s="308"/>
      <c r="I95" s="307"/>
      <c r="J95" s="307"/>
      <c r="K95" s="308"/>
      <c r="L95" s="308"/>
      <c r="M95" s="308"/>
      <c r="N95" s="307"/>
      <c r="O95" s="322"/>
      <c r="P95" s="308"/>
      <c r="Q95" s="307"/>
      <c r="R95" s="307"/>
      <c r="S95" s="307"/>
      <c r="T95" s="309"/>
      <c r="U95" s="309"/>
      <c r="V95" s="309"/>
      <c r="W95" s="309"/>
      <c r="X95" s="309"/>
      <c r="Y95" s="309"/>
      <c r="Z95" s="309"/>
      <c r="AA95" s="323"/>
      <c r="AB95" s="311"/>
      <c r="AC95" s="312"/>
      <c r="AD95" s="281"/>
      <c r="AE95" s="282"/>
    </row>
    <row r="96" spans="1:31">
      <c r="A96" s="305"/>
      <c r="B96" s="306"/>
      <c r="C96" s="307"/>
      <c r="D96" s="308"/>
      <c r="E96" s="308"/>
      <c r="F96" s="308"/>
      <c r="G96" s="308"/>
      <c r="H96" s="308"/>
      <c r="I96" s="307"/>
      <c r="J96" s="307"/>
      <c r="K96" s="308"/>
      <c r="L96" s="308"/>
      <c r="M96" s="308"/>
      <c r="N96" s="307"/>
      <c r="O96" s="322"/>
      <c r="P96" s="308"/>
      <c r="Q96" s="307"/>
      <c r="R96" s="307"/>
      <c r="S96" s="307"/>
      <c r="T96" s="309"/>
      <c r="U96" s="309"/>
      <c r="V96" s="309"/>
      <c r="W96" s="309"/>
      <c r="X96" s="309"/>
      <c r="Y96" s="309"/>
      <c r="Z96" s="309"/>
      <c r="AA96" s="323"/>
      <c r="AB96" s="311"/>
      <c r="AC96" s="312"/>
      <c r="AD96" s="281"/>
      <c r="AE96" s="282"/>
    </row>
    <row r="97" spans="1:31">
      <c r="A97" s="305"/>
      <c r="B97" s="313"/>
      <c r="C97" s="314"/>
      <c r="D97" s="315"/>
      <c r="E97" s="315"/>
      <c r="F97" s="315"/>
      <c r="G97" s="315"/>
      <c r="H97" s="315"/>
      <c r="I97" s="314"/>
      <c r="J97" s="314"/>
      <c r="K97" s="315"/>
      <c r="L97" s="315"/>
      <c r="M97" s="315"/>
      <c r="N97" s="314"/>
      <c r="O97" s="316"/>
      <c r="P97" s="315"/>
      <c r="Q97" s="314"/>
      <c r="R97" s="314"/>
      <c r="S97" s="314"/>
      <c r="T97" s="317"/>
      <c r="U97" s="317"/>
      <c r="V97" s="317"/>
      <c r="W97" s="317"/>
      <c r="X97" s="317"/>
      <c r="Y97" s="317"/>
      <c r="Z97" s="317"/>
      <c r="AA97" s="318"/>
      <c r="AB97" s="319"/>
      <c r="AC97" s="320"/>
      <c r="AD97" s="321"/>
      <c r="AE97" s="282"/>
    </row>
    <row r="98" spans="1:31">
      <c r="A98" s="305"/>
      <c r="B98" s="306"/>
      <c r="C98" s="307"/>
      <c r="D98" s="308"/>
      <c r="E98" s="308"/>
      <c r="F98" s="308"/>
      <c r="G98" s="308"/>
      <c r="H98" s="308"/>
      <c r="I98" s="307"/>
      <c r="J98" s="307"/>
      <c r="K98" s="308"/>
      <c r="L98" s="308"/>
      <c r="M98" s="308"/>
      <c r="N98" s="307"/>
      <c r="O98" s="322"/>
      <c r="P98" s="308"/>
      <c r="Q98" s="307"/>
      <c r="R98" s="307"/>
      <c r="S98" s="307"/>
      <c r="T98" s="309"/>
      <c r="U98" s="309"/>
      <c r="V98" s="309"/>
      <c r="W98" s="309"/>
      <c r="X98" s="309"/>
      <c r="Y98" s="309"/>
      <c r="Z98" s="309"/>
      <c r="AA98" s="323"/>
      <c r="AB98" s="311"/>
      <c r="AC98" s="312"/>
      <c r="AD98" s="281"/>
      <c r="AE98" s="282"/>
    </row>
    <row r="99" spans="1:31">
      <c r="A99" s="305"/>
      <c r="B99" s="306"/>
      <c r="C99" s="307"/>
      <c r="D99" s="308"/>
      <c r="E99" s="308"/>
      <c r="F99" s="308"/>
      <c r="G99" s="308"/>
      <c r="H99" s="308"/>
      <c r="I99" s="307"/>
      <c r="J99" s="307"/>
      <c r="K99" s="308"/>
      <c r="L99" s="308"/>
      <c r="M99" s="308"/>
      <c r="N99" s="307"/>
      <c r="O99" s="322"/>
      <c r="P99" s="308"/>
      <c r="Q99" s="307"/>
      <c r="R99" s="307"/>
      <c r="S99" s="307"/>
      <c r="T99" s="309"/>
      <c r="U99" s="309"/>
      <c r="V99" s="309"/>
      <c r="W99" s="309"/>
      <c r="X99" s="309"/>
      <c r="Y99" s="309"/>
      <c r="Z99" s="309"/>
      <c r="AA99" s="323"/>
      <c r="AB99" s="311"/>
      <c r="AC99" s="312"/>
      <c r="AD99" s="281"/>
      <c r="AE99" s="282"/>
    </row>
    <row r="100" spans="1:31">
      <c r="A100" s="324"/>
      <c r="B100" s="325"/>
      <c r="C100" s="314"/>
      <c r="D100" s="315"/>
      <c r="E100" s="315"/>
      <c r="F100" s="315"/>
      <c r="G100" s="315"/>
      <c r="H100" s="315"/>
      <c r="I100" s="314"/>
      <c r="J100" s="314"/>
      <c r="K100" s="315"/>
      <c r="L100" s="315"/>
      <c r="M100" s="315"/>
      <c r="N100" s="314"/>
      <c r="O100" s="316"/>
      <c r="P100" s="315"/>
      <c r="Q100" s="314"/>
      <c r="R100" s="314"/>
      <c r="S100" s="314"/>
      <c r="T100" s="317"/>
      <c r="U100" s="317"/>
      <c r="V100" s="317"/>
      <c r="W100" s="317"/>
      <c r="X100" s="317"/>
      <c r="Y100" s="317"/>
      <c r="Z100" s="317"/>
      <c r="AA100" s="318"/>
      <c r="AB100" s="311"/>
      <c r="AC100" s="312"/>
      <c r="AD100" s="321"/>
      <c r="AE100" s="282"/>
    </row>
    <row r="101" spans="1:31">
      <c r="A101" s="303"/>
      <c r="B101" s="291"/>
      <c r="C101" s="285"/>
      <c r="D101" s="276"/>
      <c r="E101" s="276"/>
      <c r="F101" s="276"/>
      <c r="G101" s="276"/>
      <c r="H101" s="276"/>
      <c r="I101" s="285"/>
      <c r="J101" s="285"/>
      <c r="K101" s="276"/>
      <c r="L101" s="276"/>
      <c r="M101" s="276"/>
      <c r="N101" s="285"/>
      <c r="O101" s="285"/>
      <c r="P101" s="276"/>
      <c r="Q101" s="285"/>
      <c r="R101" s="285"/>
      <c r="S101" s="285"/>
      <c r="T101" s="287"/>
      <c r="U101" s="287"/>
      <c r="V101" s="287"/>
      <c r="W101" s="287"/>
      <c r="X101" s="287"/>
      <c r="Y101" s="287"/>
      <c r="Z101" s="287"/>
      <c r="AA101" s="304"/>
      <c r="AB101" s="289"/>
      <c r="AC101" s="290"/>
      <c r="AD101" s="281"/>
      <c r="AE101" s="282"/>
    </row>
    <row r="102" spans="1:31">
      <c r="A102" s="305"/>
      <c r="B102" s="306"/>
      <c r="C102" s="307"/>
      <c r="D102" s="308"/>
      <c r="E102" s="308"/>
      <c r="F102" s="308"/>
      <c r="G102" s="308"/>
      <c r="H102" s="308"/>
      <c r="I102" s="307"/>
      <c r="J102" s="307"/>
      <c r="K102" s="308"/>
      <c r="L102" s="308"/>
      <c r="M102" s="308"/>
      <c r="N102" s="307"/>
      <c r="O102" s="307"/>
      <c r="P102" s="308"/>
      <c r="Q102" s="307"/>
      <c r="R102" s="307"/>
      <c r="S102" s="307"/>
      <c r="T102" s="309"/>
      <c r="U102" s="309"/>
      <c r="V102" s="309"/>
      <c r="W102" s="309"/>
      <c r="X102" s="309"/>
      <c r="Y102" s="309"/>
      <c r="Z102" s="309"/>
      <c r="AA102" s="310"/>
      <c r="AB102" s="311"/>
      <c r="AC102" s="312"/>
      <c r="AD102" s="281"/>
      <c r="AE102" s="282"/>
    </row>
    <row r="103" spans="1:31">
      <c r="A103" s="305"/>
      <c r="B103" s="313"/>
      <c r="C103" s="314"/>
      <c r="D103" s="315"/>
      <c r="E103" s="315"/>
      <c r="F103" s="315"/>
      <c r="G103" s="315"/>
      <c r="H103" s="315"/>
      <c r="I103" s="314"/>
      <c r="J103" s="314"/>
      <c r="K103" s="315"/>
      <c r="L103" s="315"/>
      <c r="M103" s="315"/>
      <c r="N103" s="314"/>
      <c r="O103" s="316"/>
      <c r="P103" s="315"/>
      <c r="Q103" s="314"/>
      <c r="R103" s="314"/>
      <c r="S103" s="314"/>
      <c r="T103" s="317"/>
      <c r="U103" s="317"/>
      <c r="V103" s="317"/>
      <c r="W103" s="317"/>
      <c r="X103" s="317"/>
      <c r="Y103" s="317"/>
      <c r="Z103" s="317"/>
      <c r="AA103" s="318"/>
      <c r="AB103" s="319"/>
      <c r="AC103" s="320"/>
      <c r="AD103" s="321"/>
      <c r="AE103" s="282"/>
    </row>
    <row r="104" spans="1:31">
      <c r="A104" s="305"/>
      <c r="B104" s="306"/>
      <c r="C104" s="307"/>
      <c r="D104" s="308"/>
      <c r="E104" s="308"/>
      <c r="F104" s="308"/>
      <c r="G104" s="308"/>
      <c r="H104" s="308"/>
      <c r="I104" s="307"/>
      <c r="J104" s="307"/>
      <c r="K104" s="308"/>
      <c r="L104" s="308"/>
      <c r="M104" s="308"/>
      <c r="N104" s="307"/>
      <c r="O104" s="322"/>
      <c r="P104" s="308"/>
      <c r="Q104" s="307"/>
      <c r="R104" s="307"/>
      <c r="S104" s="307"/>
      <c r="T104" s="309"/>
      <c r="U104" s="309"/>
      <c r="V104" s="309"/>
      <c r="W104" s="309"/>
      <c r="X104" s="309"/>
      <c r="Y104" s="309"/>
      <c r="Z104" s="309"/>
      <c r="AA104" s="323"/>
      <c r="AB104" s="311"/>
      <c r="AC104" s="312"/>
      <c r="AD104" s="281"/>
      <c r="AE104" s="282"/>
    </row>
    <row r="105" spans="1:31">
      <c r="A105" s="305"/>
      <c r="B105" s="306"/>
      <c r="C105" s="307"/>
      <c r="D105" s="308"/>
      <c r="E105" s="308"/>
      <c r="F105" s="308"/>
      <c r="G105" s="308"/>
      <c r="H105" s="308"/>
      <c r="I105" s="307"/>
      <c r="J105" s="307"/>
      <c r="K105" s="308"/>
      <c r="L105" s="308"/>
      <c r="M105" s="308"/>
      <c r="N105" s="307"/>
      <c r="O105" s="322"/>
      <c r="P105" s="308"/>
      <c r="Q105" s="307"/>
      <c r="R105" s="307"/>
      <c r="S105" s="307"/>
      <c r="T105" s="309"/>
      <c r="U105" s="309"/>
      <c r="V105" s="309"/>
      <c r="W105" s="309"/>
      <c r="X105" s="309"/>
      <c r="Y105" s="309"/>
      <c r="Z105" s="309"/>
      <c r="AA105" s="323"/>
      <c r="AB105" s="311"/>
      <c r="AC105" s="312"/>
      <c r="AD105" s="281"/>
      <c r="AE105" s="282"/>
    </row>
    <row r="106" spans="1:31">
      <c r="A106" s="305"/>
      <c r="B106" s="313"/>
      <c r="C106" s="314"/>
      <c r="D106" s="315"/>
      <c r="E106" s="315"/>
      <c r="F106" s="315"/>
      <c r="G106" s="315"/>
      <c r="H106" s="315"/>
      <c r="I106" s="314"/>
      <c r="J106" s="314"/>
      <c r="K106" s="315"/>
      <c r="L106" s="315"/>
      <c r="M106" s="315"/>
      <c r="N106" s="314"/>
      <c r="O106" s="316"/>
      <c r="P106" s="315"/>
      <c r="Q106" s="314"/>
      <c r="R106" s="314"/>
      <c r="S106" s="314"/>
      <c r="T106" s="317"/>
      <c r="U106" s="317"/>
      <c r="V106" s="317"/>
      <c r="W106" s="317"/>
      <c r="X106" s="317"/>
      <c r="Y106" s="317"/>
      <c r="Z106" s="317"/>
      <c r="AA106" s="318"/>
      <c r="AB106" s="319"/>
      <c r="AC106" s="320"/>
      <c r="AD106" s="321"/>
      <c r="AE106" s="282"/>
    </row>
    <row r="107" spans="1:31">
      <c r="A107" s="305"/>
      <c r="B107" s="306"/>
      <c r="C107" s="307"/>
      <c r="D107" s="308"/>
      <c r="E107" s="308"/>
      <c r="F107" s="308"/>
      <c r="G107" s="308"/>
      <c r="H107" s="308"/>
      <c r="I107" s="307"/>
      <c r="J107" s="307"/>
      <c r="K107" s="308"/>
      <c r="L107" s="308"/>
      <c r="M107" s="308"/>
      <c r="N107" s="307"/>
      <c r="O107" s="322"/>
      <c r="P107" s="308"/>
      <c r="Q107" s="307"/>
      <c r="R107" s="307"/>
      <c r="S107" s="307"/>
      <c r="T107" s="309"/>
      <c r="U107" s="309"/>
      <c r="V107" s="309"/>
      <c r="W107" s="309"/>
      <c r="X107" s="309"/>
      <c r="Y107" s="309"/>
      <c r="Z107" s="309"/>
      <c r="AA107" s="323"/>
      <c r="AB107" s="311"/>
      <c r="AC107" s="312"/>
      <c r="AD107" s="281"/>
      <c r="AE107" s="282"/>
    </row>
    <row r="108" spans="1:31">
      <c r="A108" s="305"/>
      <c r="B108" s="306"/>
      <c r="C108" s="307"/>
      <c r="D108" s="308"/>
      <c r="E108" s="308"/>
      <c r="F108" s="308"/>
      <c r="G108" s="308"/>
      <c r="H108" s="308"/>
      <c r="I108" s="307"/>
      <c r="J108" s="307"/>
      <c r="K108" s="308"/>
      <c r="L108" s="308"/>
      <c r="M108" s="308"/>
      <c r="N108" s="307"/>
      <c r="O108" s="322"/>
      <c r="P108" s="308"/>
      <c r="Q108" s="307"/>
      <c r="R108" s="307"/>
      <c r="S108" s="307"/>
      <c r="T108" s="309"/>
      <c r="U108" s="309"/>
      <c r="V108" s="309"/>
      <c r="W108" s="309"/>
      <c r="X108" s="309"/>
      <c r="Y108" s="309"/>
      <c r="Z108" s="309"/>
      <c r="AA108" s="323"/>
      <c r="AB108" s="311"/>
      <c r="AC108" s="312"/>
      <c r="AD108" s="281"/>
      <c r="AE108" s="282"/>
    </row>
    <row r="109" spans="1:31">
      <c r="A109" s="305"/>
      <c r="B109" s="313"/>
      <c r="C109" s="314"/>
      <c r="D109" s="315"/>
      <c r="E109" s="315"/>
      <c r="F109" s="315"/>
      <c r="G109" s="315"/>
      <c r="H109" s="315"/>
      <c r="I109" s="314"/>
      <c r="J109" s="314"/>
      <c r="K109" s="315"/>
      <c r="L109" s="315"/>
      <c r="M109" s="315"/>
      <c r="N109" s="314"/>
      <c r="O109" s="316"/>
      <c r="P109" s="315"/>
      <c r="Q109" s="314"/>
      <c r="R109" s="314"/>
      <c r="S109" s="314"/>
      <c r="T109" s="317"/>
      <c r="U109" s="317"/>
      <c r="V109" s="317"/>
      <c r="W109" s="317"/>
      <c r="X109" s="317"/>
      <c r="Y109" s="317"/>
      <c r="Z109" s="317"/>
      <c r="AA109" s="318"/>
      <c r="AB109" s="319"/>
      <c r="AC109" s="320"/>
      <c r="AD109" s="321"/>
      <c r="AE109" s="282"/>
    </row>
    <row r="110" spans="1:31">
      <c r="A110" s="305"/>
      <c r="B110" s="306"/>
      <c r="C110" s="307"/>
      <c r="D110" s="308"/>
      <c r="E110" s="308"/>
      <c r="F110" s="308"/>
      <c r="G110" s="308"/>
      <c r="H110" s="308"/>
      <c r="I110" s="307"/>
      <c r="J110" s="307"/>
      <c r="K110" s="308"/>
      <c r="L110" s="308"/>
      <c r="M110" s="308"/>
      <c r="N110" s="307"/>
      <c r="O110" s="322"/>
      <c r="P110" s="308"/>
      <c r="Q110" s="307"/>
      <c r="R110" s="307"/>
      <c r="S110" s="307"/>
      <c r="T110" s="309"/>
      <c r="U110" s="309"/>
      <c r="V110" s="309"/>
      <c r="W110" s="309"/>
      <c r="X110" s="309"/>
      <c r="Y110" s="309"/>
      <c r="Z110" s="309"/>
      <c r="AA110" s="323"/>
      <c r="AB110" s="311"/>
      <c r="AC110" s="312"/>
      <c r="AD110" s="281"/>
      <c r="AE110" s="282"/>
    </row>
    <row r="111" spans="1:31">
      <c r="A111" s="305"/>
      <c r="B111" s="306"/>
      <c r="C111" s="307"/>
      <c r="D111" s="308"/>
      <c r="E111" s="308"/>
      <c r="F111" s="308"/>
      <c r="G111" s="308"/>
      <c r="H111" s="308"/>
      <c r="I111" s="307"/>
      <c r="J111" s="307"/>
      <c r="K111" s="308"/>
      <c r="L111" s="308"/>
      <c r="M111" s="308"/>
      <c r="N111" s="307"/>
      <c r="O111" s="322"/>
      <c r="P111" s="308"/>
      <c r="Q111" s="307"/>
      <c r="R111" s="307"/>
      <c r="S111" s="307"/>
      <c r="T111" s="309"/>
      <c r="U111" s="309"/>
      <c r="V111" s="309"/>
      <c r="W111" s="309"/>
      <c r="X111" s="309"/>
      <c r="Y111" s="309"/>
      <c r="Z111" s="309"/>
      <c r="AA111" s="323"/>
      <c r="AB111" s="311"/>
      <c r="AC111" s="312"/>
      <c r="AD111" s="281"/>
      <c r="AE111" s="282"/>
    </row>
    <row r="112" spans="1:31">
      <c r="A112" s="324"/>
      <c r="B112" s="325"/>
      <c r="C112" s="314"/>
      <c r="D112" s="315"/>
      <c r="E112" s="315"/>
      <c r="F112" s="315"/>
      <c r="G112" s="315"/>
      <c r="H112" s="315"/>
      <c r="I112" s="314"/>
      <c r="J112" s="314"/>
      <c r="K112" s="315"/>
      <c r="L112" s="315"/>
      <c r="M112" s="315"/>
      <c r="N112" s="314"/>
      <c r="O112" s="316"/>
      <c r="P112" s="315"/>
      <c r="Q112" s="314"/>
      <c r="R112" s="314"/>
      <c r="S112" s="314"/>
      <c r="T112" s="317"/>
      <c r="U112" s="317"/>
      <c r="V112" s="317"/>
      <c r="W112" s="317"/>
      <c r="X112" s="317"/>
      <c r="Y112" s="317"/>
      <c r="Z112" s="317"/>
      <c r="AA112" s="318"/>
      <c r="AB112" s="311"/>
      <c r="AC112" s="312"/>
      <c r="AD112" s="321"/>
      <c r="AE112" s="282"/>
    </row>
    <row r="113" spans="1:31">
      <c r="A113" s="303"/>
      <c r="B113" s="291"/>
      <c r="C113" s="285"/>
      <c r="D113" s="276"/>
      <c r="E113" s="276"/>
      <c r="F113" s="276"/>
      <c r="G113" s="276"/>
      <c r="H113" s="276"/>
      <c r="I113" s="285"/>
      <c r="J113" s="285"/>
      <c r="K113" s="276"/>
      <c r="L113" s="276"/>
      <c r="M113" s="276"/>
      <c r="N113" s="285"/>
      <c r="O113" s="285"/>
      <c r="P113" s="276"/>
      <c r="Q113" s="285"/>
      <c r="R113" s="285"/>
      <c r="S113" s="285"/>
      <c r="T113" s="287"/>
      <c r="U113" s="287"/>
      <c r="V113" s="287"/>
      <c r="W113" s="287"/>
      <c r="X113" s="287"/>
      <c r="Y113" s="287"/>
      <c r="Z113" s="287"/>
      <c r="AA113" s="304"/>
      <c r="AB113" s="289"/>
      <c r="AC113" s="290"/>
      <c r="AD113" s="281"/>
      <c r="AE113" s="282"/>
    </row>
    <row r="114" spans="1:31">
      <c r="A114" s="305"/>
      <c r="B114" s="306"/>
      <c r="C114" s="307"/>
      <c r="D114" s="308"/>
      <c r="E114" s="308"/>
      <c r="F114" s="308"/>
      <c r="G114" s="308"/>
      <c r="H114" s="308"/>
      <c r="I114" s="307"/>
      <c r="J114" s="307"/>
      <c r="K114" s="308"/>
      <c r="L114" s="308"/>
      <c r="M114" s="308"/>
      <c r="N114" s="307"/>
      <c r="O114" s="307"/>
      <c r="P114" s="308"/>
      <c r="Q114" s="307"/>
      <c r="R114" s="307"/>
      <c r="S114" s="307"/>
      <c r="T114" s="309"/>
      <c r="U114" s="309"/>
      <c r="V114" s="309"/>
      <c r="W114" s="309"/>
      <c r="X114" s="309"/>
      <c r="Y114" s="309"/>
      <c r="Z114" s="309"/>
      <c r="AA114" s="310"/>
      <c r="AB114" s="311"/>
      <c r="AC114" s="312"/>
      <c r="AD114" s="281"/>
      <c r="AE114" s="282"/>
    </row>
    <row r="115" spans="1:31">
      <c r="A115" s="305"/>
      <c r="B115" s="313"/>
      <c r="C115" s="314"/>
      <c r="D115" s="315"/>
      <c r="E115" s="315"/>
      <c r="F115" s="315"/>
      <c r="G115" s="315"/>
      <c r="H115" s="315"/>
      <c r="I115" s="314"/>
      <c r="J115" s="314"/>
      <c r="K115" s="315"/>
      <c r="L115" s="315"/>
      <c r="M115" s="315"/>
      <c r="N115" s="314"/>
      <c r="O115" s="316"/>
      <c r="P115" s="315"/>
      <c r="Q115" s="314"/>
      <c r="R115" s="314"/>
      <c r="S115" s="314"/>
      <c r="T115" s="317"/>
      <c r="U115" s="317"/>
      <c r="V115" s="317"/>
      <c r="W115" s="317"/>
      <c r="X115" s="317"/>
      <c r="Y115" s="317"/>
      <c r="Z115" s="317"/>
      <c r="AA115" s="318"/>
      <c r="AB115" s="319"/>
      <c r="AC115" s="320"/>
      <c r="AD115" s="321"/>
      <c r="AE115" s="282"/>
    </row>
    <row r="116" spans="1:31">
      <c r="A116" s="305"/>
      <c r="B116" s="306"/>
      <c r="C116" s="307"/>
      <c r="D116" s="308"/>
      <c r="E116" s="308"/>
      <c r="F116" s="308"/>
      <c r="G116" s="308"/>
      <c r="H116" s="308"/>
      <c r="I116" s="307"/>
      <c r="J116" s="307"/>
      <c r="K116" s="308"/>
      <c r="L116" s="308"/>
      <c r="M116" s="308"/>
      <c r="N116" s="307"/>
      <c r="O116" s="322"/>
      <c r="P116" s="308"/>
      <c r="Q116" s="307"/>
      <c r="R116" s="307"/>
      <c r="S116" s="307"/>
      <c r="T116" s="309"/>
      <c r="U116" s="309"/>
      <c r="V116" s="309"/>
      <c r="W116" s="309"/>
      <c r="X116" s="309"/>
      <c r="Y116" s="309"/>
      <c r="Z116" s="309"/>
      <c r="AA116" s="323"/>
      <c r="AB116" s="311"/>
      <c r="AC116" s="312"/>
      <c r="AD116" s="281"/>
      <c r="AE116" s="282"/>
    </row>
    <row r="117" spans="1:31">
      <c r="A117" s="305"/>
      <c r="B117" s="306"/>
      <c r="C117" s="307"/>
      <c r="D117" s="308"/>
      <c r="E117" s="308"/>
      <c r="F117" s="308"/>
      <c r="G117" s="308"/>
      <c r="H117" s="308"/>
      <c r="I117" s="307"/>
      <c r="J117" s="307"/>
      <c r="K117" s="308"/>
      <c r="L117" s="308"/>
      <c r="M117" s="308"/>
      <c r="N117" s="307"/>
      <c r="O117" s="322"/>
      <c r="P117" s="308"/>
      <c r="Q117" s="307"/>
      <c r="R117" s="307"/>
      <c r="S117" s="307"/>
      <c r="T117" s="309"/>
      <c r="U117" s="309"/>
      <c r="V117" s="309"/>
      <c r="W117" s="309"/>
      <c r="X117" s="309"/>
      <c r="Y117" s="309"/>
      <c r="Z117" s="309"/>
      <c r="AA117" s="323"/>
      <c r="AB117" s="311"/>
      <c r="AC117" s="312"/>
      <c r="AD117" s="281"/>
      <c r="AE117" s="282"/>
    </row>
    <row r="118" spans="1:31">
      <c r="A118" s="305"/>
      <c r="B118" s="313"/>
      <c r="C118" s="314"/>
      <c r="D118" s="315"/>
      <c r="E118" s="315"/>
      <c r="F118" s="315"/>
      <c r="G118" s="315"/>
      <c r="H118" s="315"/>
      <c r="I118" s="314"/>
      <c r="J118" s="314"/>
      <c r="K118" s="315"/>
      <c r="L118" s="315"/>
      <c r="M118" s="315"/>
      <c r="N118" s="314"/>
      <c r="O118" s="316"/>
      <c r="P118" s="315"/>
      <c r="Q118" s="314"/>
      <c r="R118" s="314"/>
      <c r="S118" s="314"/>
      <c r="T118" s="317"/>
      <c r="U118" s="317"/>
      <c r="V118" s="317"/>
      <c r="W118" s="317"/>
      <c r="X118" s="317"/>
      <c r="Y118" s="317"/>
      <c r="Z118" s="317"/>
      <c r="AA118" s="318"/>
      <c r="AB118" s="319"/>
      <c r="AC118" s="320"/>
      <c r="AD118" s="321"/>
      <c r="AE118" s="282"/>
    </row>
    <row r="119" spans="1:31">
      <c r="A119" s="305"/>
      <c r="B119" s="306"/>
      <c r="C119" s="307"/>
      <c r="D119" s="308"/>
      <c r="E119" s="308"/>
      <c r="F119" s="308"/>
      <c r="G119" s="308"/>
      <c r="H119" s="308"/>
      <c r="I119" s="307"/>
      <c r="J119" s="307"/>
      <c r="K119" s="308"/>
      <c r="L119" s="308"/>
      <c r="M119" s="308"/>
      <c r="N119" s="307"/>
      <c r="O119" s="322"/>
      <c r="P119" s="308"/>
      <c r="Q119" s="307"/>
      <c r="R119" s="307"/>
      <c r="S119" s="307"/>
      <c r="T119" s="309"/>
      <c r="U119" s="309"/>
      <c r="V119" s="309"/>
      <c r="W119" s="309"/>
      <c r="X119" s="309"/>
      <c r="Y119" s="309"/>
      <c r="Z119" s="309"/>
      <c r="AA119" s="323"/>
      <c r="AB119" s="311"/>
      <c r="AC119" s="312"/>
      <c r="AD119" s="281"/>
      <c r="AE119" s="282"/>
    </row>
    <row r="120" spans="1:31">
      <c r="A120" s="305"/>
      <c r="B120" s="306"/>
      <c r="C120" s="307"/>
      <c r="D120" s="308"/>
      <c r="E120" s="308"/>
      <c r="F120" s="308"/>
      <c r="G120" s="308"/>
      <c r="H120" s="308"/>
      <c r="I120" s="307"/>
      <c r="J120" s="307"/>
      <c r="K120" s="308"/>
      <c r="L120" s="308"/>
      <c r="M120" s="308"/>
      <c r="N120" s="307"/>
      <c r="O120" s="322"/>
      <c r="P120" s="308"/>
      <c r="Q120" s="307"/>
      <c r="R120" s="307"/>
      <c r="S120" s="307"/>
      <c r="T120" s="309"/>
      <c r="U120" s="309"/>
      <c r="V120" s="309"/>
      <c r="W120" s="309"/>
      <c r="X120" s="309"/>
      <c r="Y120" s="309"/>
      <c r="Z120" s="309"/>
      <c r="AA120" s="323"/>
      <c r="AB120" s="311"/>
      <c r="AC120" s="312"/>
      <c r="AD120" s="281"/>
      <c r="AE120" s="282"/>
    </row>
    <row r="121" spans="1:31">
      <c r="A121" s="305"/>
      <c r="B121" s="313"/>
      <c r="C121" s="314"/>
      <c r="D121" s="315"/>
      <c r="E121" s="315"/>
      <c r="F121" s="315"/>
      <c r="G121" s="315"/>
      <c r="H121" s="315"/>
      <c r="I121" s="314"/>
      <c r="J121" s="314"/>
      <c r="K121" s="315"/>
      <c r="L121" s="315"/>
      <c r="M121" s="315"/>
      <c r="N121" s="314"/>
      <c r="O121" s="316"/>
      <c r="P121" s="315"/>
      <c r="Q121" s="314"/>
      <c r="R121" s="314"/>
      <c r="S121" s="314"/>
      <c r="T121" s="317"/>
      <c r="U121" s="317"/>
      <c r="V121" s="317"/>
      <c r="W121" s="317"/>
      <c r="X121" s="317"/>
      <c r="Y121" s="317"/>
      <c r="Z121" s="317"/>
      <c r="AA121" s="318"/>
      <c r="AB121" s="319"/>
      <c r="AC121" s="320"/>
      <c r="AD121" s="321"/>
      <c r="AE121" s="282"/>
    </row>
    <row r="122" spans="1:31">
      <c r="A122" s="305"/>
      <c r="B122" s="306"/>
      <c r="C122" s="307"/>
      <c r="D122" s="308"/>
      <c r="E122" s="308"/>
      <c r="F122" s="308"/>
      <c r="G122" s="308"/>
      <c r="H122" s="308"/>
      <c r="I122" s="307"/>
      <c r="J122" s="307"/>
      <c r="K122" s="308"/>
      <c r="L122" s="308"/>
      <c r="M122" s="308"/>
      <c r="N122" s="307"/>
      <c r="O122" s="322"/>
      <c r="P122" s="308"/>
      <c r="Q122" s="307"/>
      <c r="R122" s="307"/>
      <c r="S122" s="307"/>
      <c r="T122" s="309"/>
      <c r="U122" s="309"/>
      <c r="V122" s="309"/>
      <c r="W122" s="309"/>
      <c r="X122" s="309"/>
      <c r="Y122" s="309"/>
      <c r="Z122" s="309"/>
      <c r="AA122" s="323"/>
      <c r="AB122" s="311"/>
      <c r="AC122" s="312"/>
      <c r="AD122" s="281"/>
      <c r="AE122" s="282"/>
    </row>
    <row r="123" spans="1:31">
      <c r="A123" s="305"/>
      <c r="B123" s="306"/>
      <c r="C123" s="307"/>
      <c r="D123" s="308"/>
      <c r="E123" s="308"/>
      <c r="F123" s="308"/>
      <c r="G123" s="308"/>
      <c r="H123" s="308"/>
      <c r="I123" s="307"/>
      <c r="J123" s="307"/>
      <c r="K123" s="308"/>
      <c r="L123" s="308"/>
      <c r="M123" s="308"/>
      <c r="N123" s="307"/>
      <c r="O123" s="322"/>
      <c r="P123" s="308"/>
      <c r="Q123" s="307"/>
      <c r="R123" s="307"/>
      <c r="S123" s="307"/>
      <c r="T123" s="309"/>
      <c r="U123" s="309"/>
      <c r="V123" s="309"/>
      <c r="W123" s="309"/>
      <c r="X123" s="309"/>
      <c r="Y123" s="309"/>
      <c r="Z123" s="309"/>
      <c r="AA123" s="323"/>
      <c r="AB123" s="311"/>
      <c r="AC123" s="312"/>
      <c r="AD123" s="281"/>
      <c r="AE123" s="282"/>
    </row>
    <row r="124" spans="1:31">
      <c r="A124" s="324"/>
      <c r="B124" s="325"/>
      <c r="C124" s="314"/>
      <c r="D124" s="315"/>
      <c r="E124" s="315"/>
      <c r="F124" s="315"/>
      <c r="G124" s="315"/>
      <c r="H124" s="315"/>
      <c r="I124" s="314"/>
      <c r="J124" s="314"/>
      <c r="K124" s="315"/>
      <c r="L124" s="315"/>
      <c r="M124" s="315"/>
      <c r="N124" s="314"/>
      <c r="O124" s="316"/>
      <c r="P124" s="315"/>
      <c r="Q124" s="314"/>
      <c r="R124" s="314"/>
      <c r="S124" s="314"/>
      <c r="T124" s="317"/>
      <c r="U124" s="317"/>
      <c r="V124" s="317"/>
      <c r="W124" s="317"/>
      <c r="X124" s="317"/>
      <c r="Y124" s="317"/>
      <c r="Z124" s="317"/>
      <c r="AA124" s="318"/>
      <c r="AB124" s="311"/>
      <c r="AC124" s="312"/>
      <c r="AD124" s="321"/>
      <c r="AE124" s="282"/>
    </row>
    <row r="125" spans="1:31">
      <c r="A125" s="303"/>
      <c r="B125" s="291"/>
      <c r="C125" s="285"/>
      <c r="D125" s="276"/>
      <c r="E125" s="276"/>
      <c r="F125" s="276"/>
      <c r="G125" s="276"/>
      <c r="H125" s="276"/>
      <c r="I125" s="285"/>
      <c r="J125" s="285"/>
      <c r="K125" s="276"/>
      <c r="L125" s="276"/>
      <c r="M125" s="276"/>
      <c r="N125" s="285"/>
      <c r="O125" s="285"/>
      <c r="P125" s="276"/>
      <c r="Q125" s="285"/>
      <c r="R125" s="285"/>
      <c r="S125" s="285"/>
      <c r="T125" s="287"/>
      <c r="U125" s="287"/>
      <c r="V125" s="287"/>
      <c r="W125" s="287"/>
      <c r="X125" s="287"/>
      <c r="Y125" s="287"/>
      <c r="Z125" s="287"/>
      <c r="AA125" s="304"/>
      <c r="AB125" s="289"/>
      <c r="AC125" s="290"/>
      <c r="AD125" s="281"/>
      <c r="AE125" s="282"/>
    </row>
    <row r="126" spans="1:31">
      <c r="A126" s="305"/>
      <c r="B126" s="306"/>
      <c r="C126" s="307"/>
      <c r="D126" s="308"/>
      <c r="E126" s="308"/>
      <c r="F126" s="308"/>
      <c r="G126" s="308"/>
      <c r="H126" s="308"/>
      <c r="I126" s="307"/>
      <c r="J126" s="307"/>
      <c r="K126" s="308"/>
      <c r="L126" s="308"/>
      <c r="M126" s="308"/>
      <c r="N126" s="307"/>
      <c r="O126" s="307"/>
      <c r="P126" s="308"/>
      <c r="Q126" s="307"/>
      <c r="R126" s="307"/>
      <c r="S126" s="307"/>
      <c r="T126" s="309"/>
      <c r="U126" s="309"/>
      <c r="V126" s="309"/>
      <c r="W126" s="309"/>
      <c r="X126" s="309"/>
      <c r="Y126" s="309"/>
      <c r="Z126" s="309"/>
      <c r="AA126" s="310"/>
      <c r="AB126" s="311"/>
      <c r="AC126" s="312"/>
      <c r="AD126" s="281"/>
      <c r="AE126" s="282"/>
    </row>
    <row r="127" spans="1:31">
      <c r="A127" s="305"/>
      <c r="B127" s="313"/>
      <c r="C127" s="314"/>
      <c r="D127" s="315"/>
      <c r="E127" s="315"/>
      <c r="F127" s="315"/>
      <c r="G127" s="315"/>
      <c r="H127" s="315"/>
      <c r="I127" s="314"/>
      <c r="J127" s="314"/>
      <c r="K127" s="315"/>
      <c r="L127" s="315"/>
      <c r="M127" s="315"/>
      <c r="N127" s="314"/>
      <c r="O127" s="316"/>
      <c r="P127" s="315"/>
      <c r="Q127" s="314"/>
      <c r="R127" s="314"/>
      <c r="S127" s="314"/>
      <c r="T127" s="317"/>
      <c r="U127" s="317"/>
      <c r="V127" s="317"/>
      <c r="W127" s="317"/>
      <c r="X127" s="317"/>
      <c r="Y127" s="317"/>
      <c r="Z127" s="317"/>
      <c r="AA127" s="318"/>
      <c r="AB127" s="319"/>
      <c r="AC127" s="320"/>
      <c r="AD127" s="321"/>
      <c r="AE127" s="282"/>
    </row>
    <row r="128" spans="1:31">
      <c r="A128" s="305"/>
      <c r="B128" s="306"/>
      <c r="C128" s="307"/>
      <c r="D128" s="308"/>
      <c r="E128" s="308"/>
      <c r="F128" s="308"/>
      <c r="G128" s="308"/>
      <c r="H128" s="308"/>
      <c r="I128" s="307"/>
      <c r="J128" s="307"/>
      <c r="K128" s="308"/>
      <c r="L128" s="308"/>
      <c r="M128" s="308"/>
      <c r="N128" s="307"/>
      <c r="O128" s="322"/>
      <c r="P128" s="308"/>
      <c r="Q128" s="307"/>
      <c r="R128" s="307"/>
      <c r="S128" s="307"/>
      <c r="T128" s="309"/>
      <c r="U128" s="309"/>
      <c r="V128" s="309"/>
      <c r="W128" s="309"/>
      <c r="X128" s="309"/>
      <c r="Y128" s="309"/>
      <c r="Z128" s="309"/>
      <c r="AA128" s="323"/>
      <c r="AB128" s="311"/>
      <c r="AC128" s="312"/>
      <c r="AD128" s="281"/>
      <c r="AE128" s="282"/>
    </row>
    <row r="129" spans="1:31">
      <c r="A129" s="305"/>
      <c r="B129" s="306"/>
      <c r="C129" s="307"/>
      <c r="D129" s="308"/>
      <c r="E129" s="308"/>
      <c r="F129" s="308"/>
      <c r="G129" s="308"/>
      <c r="H129" s="308"/>
      <c r="I129" s="307"/>
      <c r="J129" s="307"/>
      <c r="K129" s="308"/>
      <c r="L129" s="308"/>
      <c r="M129" s="308"/>
      <c r="N129" s="307"/>
      <c r="O129" s="322"/>
      <c r="P129" s="308"/>
      <c r="Q129" s="307"/>
      <c r="R129" s="307"/>
      <c r="S129" s="307"/>
      <c r="T129" s="309"/>
      <c r="U129" s="309"/>
      <c r="V129" s="309"/>
      <c r="W129" s="309"/>
      <c r="X129" s="309"/>
      <c r="Y129" s="309"/>
      <c r="Z129" s="309"/>
      <c r="AA129" s="323"/>
      <c r="AB129" s="311"/>
      <c r="AC129" s="312"/>
      <c r="AD129" s="281"/>
      <c r="AE129" s="282"/>
    </row>
    <row r="130" spans="1:31">
      <c r="A130" s="305"/>
      <c r="B130" s="313"/>
      <c r="C130" s="314"/>
      <c r="D130" s="315"/>
      <c r="E130" s="315"/>
      <c r="F130" s="315"/>
      <c r="G130" s="315"/>
      <c r="H130" s="315"/>
      <c r="I130" s="314"/>
      <c r="J130" s="314"/>
      <c r="K130" s="315"/>
      <c r="L130" s="315"/>
      <c r="M130" s="315"/>
      <c r="N130" s="314"/>
      <c r="O130" s="316"/>
      <c r="P130" s="315"/>
      <c r="Q130" s="314"/>
      <c r="R130" s="314"/>
      <c r="S130" s="314"/>
      <c r="T130" s="317"/>
      <c r="U130" s="317"/>
      <c r="V130" s="317"/>
      <c r="W130" s="317"/>
      <c r="X130" s="317"/>
      <c r="Y130" s="317"/>
      <c r="Z130" s="317"/>
      <c r="AA130" s="318"/>
      <c r="AB130" s="319"/>
      <c r="AC130" s="320"/>
      <c r="AD130" s="321"/>
      <c r="AE130" s="282"/>
    </row>
    <row r="131" spans="1:31">
      <c r="A131" s="305"/>
      <c r="B131" s="306"/>
      <c r="C131" s="307"/>
      <c r="D131" s="308"/>
      <c r="E131" s="308"/>
      <c r="F131" s="308"/>
      <c r="G131" s="308"/>
      <c r="H131" s="308"/>
      <c r="I131" s="307"/>
      <c r="J131" s="307"/>
      <c r="K131" s="308"/>
      <c r="L131" s="308"/>
      <c r="M131" s="308"/>
      <c r="N131" s="307"/>
      <c r="O131" s="322"/>
      <c r="P131" s="308"/>
      <c r="Q131" s="307"/>
      <c r="R131" s="307"/>
      <c r="S131" s="307"/>
      <c r="T131" s="309"/>
      <c r="U131" s="309"/>
      <c r="V131" s="309"/>
      <c r="W131" s="309"/>
      <c r="X131" s="309"/>
      <c r="Y131" s="309"/>
      <c r="Z131" s="309"/>
      <c r="AA131" s="323"/>
      <c r="AB131" s="311"/>
      <c r="AC131" s="312"/>
      <c r="AD131" s="281"/>
      <c r="AE131" s="282"/>
    </row>
    <row r="132" spans="1:31">
      <c r="A132" s="305"/>
      <c r="B132" s="306"/>
      <c r="C132" s="307"/>
      <c r="D132" s="308"/>
      <c r="E132" s="308"/>
      <c r="F132" s="308"/>
      <c r="G132" s="308"/>
      <c r="H132" s="308"/>
      <c r="I132" s="307"/>
      <c r="J132" s="307"/>
      <c r="K132" s="308"/>
      <c r="L132" s="308"/>
      <c r="M132" s="308"/>
      <c r="N132" s="307"/>
      <c r="O132" s="322"/>
      <c r="P132" s="308"/>
      <c r="Q132" s="307"/>
      <c r="R132" s="307"/>
      <c r="S132" s="307"/>
      <c r="T132" s="309"/>
      <c r="U132" s="309"/>
      <c r="V132" s="309"/>
      <c r="W132" s="309"/>
      <c r="X132" s="309"/>
      <c r="Y132" s="309"/>
      <c r="Z132" s="309"/>
      <c r="AA132" s="323"/>
      <c r="AB132" s="311"/>
      <c r="AC132" s="312"/>
      <c r="AD132" s="281"/>
      <c r="AE132" s="282"/>
    </row>
    <row r="133" spans="1:31">
      <c r="A133" s="305"/>
      <c r="B133" s="313"/>
      <c r="C133" s="314"/>
      <c r="D133" s="315"/>
      <c r="E133" s="315"/>
      <c r="F133" s="315"/>
      <c r="G133" s="315"/>
      <c r="H133" s="315"/>
      <c r="I133" s="314"/>
      <c r="J133" s="314"/>
      <c r="K133" s="315"/>
      <c r="L133" s="315"/>
      <c r="M133" s="315"/>
      <c r="N133" s="314"/>
      <c r="O133" s="316"/>
      <c r="P133" s="315"/>
      <c r="Q133" s="314"/>
      <c r="R133" s="314"/>
      <c r="S133" s="314"/>
      <c r="T133" s="317"/>
      <c r="U133" s="317"/>
      <c r="V133" s="317"/>
      <c r="W133" s="317"/>
      <c r="X133" s="317"/>
      <c r="Y133" s="317"/>
      <c r="Z133" s="317"/>
      <c r="AA133" s="318"/>
      <c r="AB133" s="319"/>
      <c r="AC133" s="320"/>
      <c r="AD133" s="321"/>
      <c r="AE133" s="282"/>
    </row>
    <row r="134" spans="1:31">
      <c r="A134" s="305"/>
      <c r="B134" s="306"/>
      <c r="C134" s="307"/>
      <c r="D134" s="308"/>
      <c r="E134" s="308"/>
      <c r="F134" s="308"/>
      <c r="G134" s="308"/>
      <c r="H134" s="308"/>
      <c r="I134" s="307"/>
      <c r="J134" s="307"/>
      <c r="K134" s="308"/>
      <c r="L134" s="308"/>
      <c r="M134" s="308"/>
      <c r="N134" s="307"/>
      <c r="O134" s="322"/>
      <c r="P134" s="308"/>
      <c r="Q134" s="307"/>
      <c r="R134" s="307"/>
      <c r="S134" s="307"/>
      <c r="T134" s="309"/>
      <c r="U134" s="309"/>
      <c r="V134" s="309"/>
      <c r="W134" s="309"/>
      <c r="X134" s="309"/>
      <c r="Y134" s="309"/>
      <c r="Z134" s="309"/>
      <c r="AA134" s="323"/>
      <c r="AB134" s="311"/>
      <c r="AC134" s="312"/>
      <c r="AD134" s="281"/>
      <c r="AE134" s="282"/>
    </row>
    <row r="135" spans="1:31">
      <c r="A135" s="305"/>
      <c r="B135" s="306"/>
      <c r="C135" s="307"/>
      <c r="D135" s="308"/>
      <c r="E135" s="308"/>
      <c r="F135" s="308"/>
      <c r="G135" s="308"/>
      <c r="H135" s="308"/>
      <c r="I135" s="307"/>
      <c r="J135" s="307"/>
      <c r="K135" s="308"/>
      <c r="L135" s="308"/>
      <c r="M135" s="308"/>
      <c r="N135" s="307"/>
      <c r="O135" s="322"/>
      <c r="P135" s="308"/>
      <c r="Q135" s="307"/>
      <c r="R135" s="307"/>
      <c r="S135" s="307"/>
      <c r="T135" s="309"/>
      <c r="U135" s="309"/>
      <c r="V135" s="309"/>
      <c r="W135" s="309"/>
      <c r="X135" s="309"/>
      <c r="Y135" s="309"/>
      <c r="Z135" s="309"/>
      <c r="AA135" s="323"/>
      <c r="AB135" s="311"/>
      <c r="AC135" s="312"/>
      <c r="AD135" s="281"/>
      <c r="AE135" s="282"/>
    </row>
    <row r="136" spans="1:31">
      <c r="A136" s="324"/>
      <c r="B136" s="325"/>
      <c r="C136" s="314"/>
      <c r="D136" s="315"/>
      <c r="E136" s="315"/>
      <c r="F136" s="315"/>
      <c r="G136" s="315"/>
      <c r="H136" s="315"/>
      <c r="I136" s="314"/>
      <c r="J136" s="314"/>
      <c r="K136" s="315"/>
      <c r="L136" s="315"/>
      <c r="M136" s="315"/>
      <c r="N136" s="314"/>
      <c r="O136" s="316"/>
      <c r="P136" s="315"/>
      <c r="Q136" s="314"/>
      <c r="R136" s="314"/>
      <c r="S136" s="314"/>
      <c r="T136" s="317"/>
      <c r="U136" s="317"/>
      <c r="V136" s="317"/>
      <c r="W136" s="317"/>
      <c r="X136" s="317"/>
      <c r="Y136" s="317"/>
      <c r="Z136" s="317"/>
      <c r="AA136" s="318"/>
      <c r="AB136" s="311"/>
      <c r="AC136" s="312"/>
      <c r="AD136" s="321"/>
      <c r="AE136" s="282"/>
    </row>
    <row r="137" spans="1:31">
      <c r="A137" s="303"/>
      <c r="B137" s="291"/>
      <c r="C137" s="285"/>
      <c r="D137" s="276"/>
      <c r="E137" s="276"/>
      <c r="F137" s="276"/>
      <c r="G137" s="276"/>
      <c r="H137" s="276"/>
      <c r="I137" s="285"/>
      <c r="J137" s="285"/>
      <c r="K137" s="276"/>
      <c r="L137" s="276"/>
      <c r="M137" s="276"/>
      <c r="N137" s="285"/>
      <c r="O137" s="285"/>
      <c r="P137" s="276"/>
      <c r="Q137" s="285"/>
      <c r="R137" s="285"/>
      <c r="S137" s="285"/>
      <c r="T137" s="287"/>
      <c r="U137" s="287"/>
      <c r="V137" s="287"/>
      <c r="W137" s="287"/>
      <c r="X137" s="287"/>
      <c r="Y137" s="287"/>
      <c r="Z137" s="287"/>
      <c r="AA137" s="304"/>
      <c r="AB137" s="289"/>
      <c r="AC137" s="290"/>
      <c r="AD137" s="281"/>
      <c r="AE137" s="282"/>
    </row>
    <row r="138" spans="1:31">
      <c r="A138" s="305"/>
      <c r="B138" s="306"/>
      <c r="C138" s="307"/>
      <c r="D138" s="308"/>
      <c r="E138" s="308"/>
      <c r="F138" s="308"/>
      <c r="G138" s="308"/>
      <c r="H138" s="308"/>
      <c r="I138" s="307"/>
      <c r="J138" s="307"/>
      <c r="K138" s="308"/>
      <c r="L138" s="308"/>
      <c r="M138" s="308"/>
      <c r="N138" s="307"/>
      <c r="O138" s="307"/>
      <c r="P138" s="308"/>
      <c r="Q138" s="307"/>
      <c r="R138" s="307"/>
      <c r="S138" s="307"/>
      <c r="T138" s="309"/>
      <c r="U138" s="309"/>
      <c r="V138" s="309"/>
      <c r="W138" s="309"/>
      <c r="X138" s="309"/>
      <c r="Y138" s="309"/>
      <c r="Z138" s="309"/>
      <c r="AA138" s="310"/>
      <c r="AB138" s="311"/>
      <c r="AC138" s="312"/>
      <c r="AD138" s="281"/>
      <c r="AE138" s="282"/>
    </row>
    <row r="139" spans="1:31">
      <c r="A139" s="305"/>
      <c r="B139" s="313"/>
      <c r="C139" s="314"/>
      <c r="D139" s="315"/>
      <c r="E139" s="315"/>
      <c r="F139" s="315"/>
      <c r="G139" s="315"/>
      <c r="H139" s="315"/>
      <c r="I139" s="314"/>
      <c r="J139" s="314"/>
      <c r="K139" s="315"/>
      <c r="L139" s="315"/>
      <c r="M139" s="315"/>
      <c r="N139" s="314"/>
      <c r="O139" s="316"/>
      <c r="P139" s="315"/>
      <c r="Q139" s="314"/>
      <c r="R139" s="314"/>
      <c r="S139" s="314"/>
      <c r="T139" s="317"/>
      <c r="U139" s="317"/>
      <c r="V139" s="317"/>
      <c r="W139" s="317"/>
      <c r="X139" s="317"/>
      <c r="Y139" s="317"/>
      <c r="Z139" s="317"/>
      <c r="AA139" s="318"/>
      <c r="AB139" s="319"/>
      <c r="AC139" s="320"/>
      <c r="AD139" s="321"/>
      <c r="AE139" s="282"/>
    </row>
    <row r="140" spans="1:31">
      <c r="A140" s="305"/>
      <c r="B140" s="306"/>
      <c r="C140" s="307"/>
      <c r="D140" s="308"/>
      <c r="E140" s="308"/>
      <c r="F140" s="308"/>
      <c r="G140" s="308"/>
      <c r="H140" s="308"/>
      <c r="I140" s="307"/>
      <c r="J140" s="307"/>
      <c r="K140" s="308"/>
      <c r="L140" s="308"/>
      <c r="M140" s="308"/>
      <c r="N140" s="307"/>
      <c r="O140" s="322"/>
      <c r="P140" s="308"/>
      <c r="Q140" s="307"/>
      <c r="R140" s="307"/>
      <c r="S140" s="307"/>
      <c r="T140" s="309"/>
      <c r="U140" s="309"/>
      <c r="V140" s="309"/>
      <c r="W140" s="309"/>
      <c r="X140" s="309"/>
      <c r="Y140" s="309"/>
      <c r="Z140" s="309"/>
      <c r="AA140" s="323"/>
      <c r="AB140" s="311"/>
      <c r="AC140" s="312"/>
      <c r="AD140" s="281"/>
      <c r="AE140" s="282"/>
    </row>
    <row r="141" spans="1:31">
      <c r="A141" s="305"/>
      <c r="B141" s="306"/>
      <c r="C141" s="307"/>
      <c r="D141" s="308"/>
      <c r="E141" s="308"/>
      <c r="F141" s="308"/>
      <c r="G141" s="308"/>
      <c r="H141" s="308"/>
      <c r="I141" s="307"/>
      <c r="J141" s="307"/>
      <c r="K141" s="308"/>
      <c r="L141" s="308"/>
      <c r="M141" s="308"/>
      <c r="N141" s="307"/>
      <c r="O141" s="322"/>
      <c r="P141" s="308"/>
      <c r="Q141" s="307"/>
      <c r="R141" s="307"/>
      <c r="S141" s="307"/>
      <c r="T141" s="309"/>
      <c r="U141" s="309"/>
      <c r="V141" s="309"/>
      <c r="W141" s="309"/>
      <c r="X141" s="309"/>
      <c r="Y141" s="309"/>
      <c r="Z141" s="309"/>
      <c r="AA141" s="323"/>
      <c r="AB141" s="311"/>
      <c r="AC141" s="312"/>
      <c r="AD141" s="281"/>
      <c r="AE141" s="282"/>
    </row>
    <row r="142" spans="1:31">
      <c r="A142" s="305"/>
      <c r="B142" s="313"/>
      <c r="C142" s="314"/>
      <c r="D142" s="315"/>
      <c r="E142" s="315"/>
      <c r="F142" s="315"/>
      <c r="G142" s="315"/>
      <c r="H142" s="315"/>
      <c r="I142" s="314"/>
      <c r="J142" s="314"/>
      <c r="K142" s="315"/>
      <c r="L142" s="315"/>
      <c r="M142" s="315"/>
      <c r="N142" s="314"/>
      <c r="O142" s="316"/>
      <c r="P142" s="315"/>
      <c r="Q142" s="314"/>
      <c r="R142" s="314"/>
      <c r="S142" s="314"/>
      <c r="T142" s="317"/>
      <c r="U142" s="317"/>
      <c r="V142" s="317"/>
      <c r="W142" s="317"/>
      <c r="X142" s="317"/>
      <c r="Y142" s="317"/>
      <c r="Z142" s="317"/>
      <c r="AA142" s="318"/>
      <c r="AB142" s="319"/>
      <c r="AC142" s="320"/>
      <c r="AD142" s="321"/>
      <c r="AE142" s="282"/>
    </row>
    <row r="143" spans="1:31">
      <c r="A143" s="305"/>
      <c r="B143" s="306"/>
      <c r="C143" s="307"/>
      <c r="D143" s="308"/>
      <c r="E143" s="308"/>
      <c r="F143" s="308"/>
      <c r="G143" s="308"/>
      <c r="H143" s="308"/>
      <c r="I143" s="307"/>
      <c r="J143" s="307"/>
      <c r="K143" s="308"/>
      <c r="L143" s="308"/>
      <c r="M143" s="308"/>
      <c r="N143" s="307"/>
      <c r="O143" s="322"/>
      <c r="P143" s="308"/>
      <c r="Q143" s="307"/>
      <c r="R143" s="307"/>
      <c r="S143" s="307"/>
      <c r="T143" s="309"/>
      <c r="U143" s="309"/>
      <c r="V143" s="309"/>
      <c r="W143" s="309"/>
      <c r="X143" s="309"/>
      <c r="Y143" s="309"/>
      <c r="Z143" s="309"/>
      <c r="AA143" s="323"/>
      <c r="AB143" s="311"/>
      <c r="AC143" s="312"/>
      <c r="AD143" s="281"/>
      <c r="AE143" s="282"/>
    </row>
    <row r="144" spans="1:31">
      <c r="A144" s="305"/>
      <c r="B144" s="306"/>
      <c r="C144" s="307"/>
      <c r="D144" s="308"/>
      <c r="E144" s="308"/>
      <c r="F144" s="308"/>
      <c r="G144" s="308"/>
      <c r="H144" s="308"/>
      <c r="I144" s="307"/>
      <c r="J144" s="307"/>
      <c r="K144" s="308"/>
      <c r="L144" s="308"/>
      <c r="M144" s="308"/>
      <c r="N144" s="307"/>
      <c r="O144" s="322"/>
      <c r="P144" s="308"/>
      <c r="Q144" s="307"/>
      <c r="R144" s="307"/>
      <c r="S144" s="307"/>
      <c r="T144" s="309"/>
      <c r="U144" s="309"/>
      <c r="V144" s="309"/>
      <c r="W144" s="309"/>
      <c r="X144" s="309"/>
      <c r="Y144" s="309"/>
      <c r="Z144" s="309"/>
      <c r="AA144" s="323"/>
      <c r="AB144" s="311"/>
      <c r="AC144" s="312"/>
      <c r="AD144" s="281"/>
      <c r="AE144" s="282"/>
    </row>
    <row r="145" spans="1:31">
      <c r="A145" s="305"/>
      <c r="B145" s="313"/>
      <c r="C145" s="314"/>
      <c r="D145" s="315"/>
      <c r="E145" s="315"/>
      <c r="F145" s="315"/>
      <c r="G145" s="315"/>
      <c r="H145" s="315"/>
      <c r="I145" s="314"/>
      <c r="J145" s="314"/>
      <c r="K145" s="315"/>
      <c r="L145" s="315"/>
      <c r="M145" s="315"/>
      <c r="N145" s="314"/>
      <c r="O145" s="316"/>
      <c r="P145" s="315"/>
      <c r="Q145" s="314"/>
      <c r="R145" s="314"/>
      <c r="S145" s="314"/>
      <c r="T145" s="317"/>
      <c r="U145" s="317"/>
      <c r="V145" s="317"/>
      <c r="W145" s="317"/>
      <c r="X145" s="317"/>
      <c r="Y145" s="317"/>
      <c r="Z145" s="317"/>
      <c r="AA145" s="318"/>
      <c r="AB145" s="319"/>
      <c r="AC145" s="320"/>
      <c r="AD145" s="321"/>
      <c r="AE145" s="282"/>
    </row>
    <row r="146" spans="1:31">
      <c r="A146" s="305"/>
      <c r="B146" s="306"/>
      <c r="C146" s="307"/>
      <c r="D146" s="308"/>
      <c r="E146" s="308"/>
      <c r="F146" s="308"/>
      <c r="G146" s="308"/>
      <c r="H146" s="308"/>
      <c r="I146" s="307"/>
      <c r="J146" s="307"/>
      <c r="K146" s="308"/>
      <c r="L146" s="308"/>
      <c r="M146" s="308"/>
      <c r="N146" s="307"/>
      <c r="O146" s="322"/>
      <c r="P146" s="308"/>
      <c r="Q146" s="307"/>
      <c r="R146" s="307"/>
      <c r="S146" s="307"/>
      <c r="T146" s="309"/>
      <c r="U146" s="309"/>
      <c r="V146" s="309"/>
      <c r="W146" s="309"/>
      <c r="X146" s="309"/>
      <c r="Y146" s="309"/>
      <c r="Z146" s="309"/>
      <c r="AA146" s="323"/>
      <c r="AB146" s="311"/>
      <c r="AC146" s="312"/>
      <c r="AD146" s="281"/>
      <c r="AE146" s="282"/>
    </row>
    <row r="147" spans="1:31">
      <c r="A147" s="305"/>
      <c r="B147" s="306"/>
      <c r="C147" s="307"/>
      <c r="D147" s="308"/>
      <c r="E147" s="308"/>
      <c r="F147" s="308"/>
      <c r="G147" s="308"/>
      <c r="H147" s="308"/>
      <c r="I147" s="307"/>
      <c r="J147" s="307"/>
      <c r="K147" s="308"/>
      <c r="L147" s="308"/>
      <c r="M147" s="308"/>
      <c r="N147" s="307"/>
      <c r="O147" s="322"/>
      <c r="P147" s="308"/>
      <c r="Q147" s="307"/>
      <c r="R147" s="307"/>
      <c r="S147" s="307"/>
      <c r="T147" s="309"/>
      <c r="U147" s="309"/>
      <c r="V147" s="309"/>
      <c r="W147" s="309"/>
      <c r="X147" s="309"/>
      <c r="Y147" s="309"/>
      <c r="Z147" s="309"/>
      <c r="AA147" s="323"/>
      <c r="AB147" s="311"/>
      <c r="AC147" s="312"/>
      <c r="AD147" s="281"/>
      <c r="AE147" s="282"/>
    </row>
    <row r="148" spans="1:31">
      <c r="A148" s="324"/>
      <c r="B148" s="325"/>
      <c r="C148" s="314"/>
      <c r="D148" s="315"/>
      <c r="E148" s="315"/>
      <c r="F148" s="315"/>
      <c r="G148" s="315"/>
      <c r="H148" s="315"/>
      <c r="I148" s="314"/>
      <c r="J148" s="314"/>
      <c r="K148" s="315"/>
      <c r="L148" s="315"/>
      <c r="M148" s="315"/>
      <c r="N148" s="314"/>
      <c r="O148" s="316"/>
      <c r="P148" s="315"/>
      <c r="Q148" s="314"/>
      <c r="R148" s="314"/>
      <c r="S148" s="314"/>
      <c r="T148" s="317"/>
      <c r="U148" s="317"/>
      <c r="V148" s="317"/>
      <c r="W148" s="317"/>
      <c r="X148" s="317"/>
      <c r="Y148" s="317"/>
      <c r="Z148" s="317"/>
      <c r="AA148" s="318"/>
      <c r="AB148" s="311"/>
      <c r="AC148" s="312"/>
      <c r="AD148" s="321"/>
      <c r="AE148" s="282"/>
    </row>
    <row r="149" spans="1:31">
      <c r="A149" s="303"/>
      <c r="B149" s="291"/>
      <c r="C149" s="285"/>
      <c r="D149" s="276"/>
      <c r="E149" s="276"/>
      <c r="F149" s="276"/>
      <c r="G149" s="276"/>
      <c r="H149" s="276"/>
      <c r="I149" s="285"/>
      <c r="J149" s="285"/>
      <c r="K149" s="276"/>
      <c r="L149" s="276"/>
      <c r="M149" s="276"/>
      <c r="N149" s="285"/>
      <c r="O149" s="285"/>
      <c r="P149" s="276"/>
      <c r="Q149" s="285"/>
      <c r="R149" s="285"/>
      <c r="S149" s="285"/>
      <c r="T149" s="287"/>
      <c r="U149" s="287"/>
      <c r="V149" s="287"/>
      <c r="W149" s="287"/>
      <c r="X149" s="287"/>
      <c r="Y149" s="287"/>
      <c r="Z149" s="287"/>
      <c r="AA149" s="304"/>
      <c r="AB149" s="289"/>
      <c r="AC149" s="290"/>
      <c r="AD149" s="281"/>
      <c r="AE149" s="282"/>
    </row>
    <row r="150" spans="1:31">
      <c r="A150" s="305"/>
      <c r="B150" s="306"/>
      <c r="C150" s="307"/>
      <c r="D150" s="308"/>
      <c r="E150" s="308"/>
      <c r="F150" s="308"/>
      <c r="G150" s="308"/>
      <c r="H150" s="308"/>
      <c r="I150" s="307"/>
      <c r="J150" s="307"/>
      <c r="K150" s="308"/>
      <c r="L150" s="308"/>
      <c r="M150" s="308"/>
      <c r="N150" s="307"/>
      <c r="O150" s="307"/>
      <c r="P150" s="308"/>
      <c r="Q150" s="307"/>
      <c r="R150" s="307"/>
      <c r="S150" s="307"/>
      <c r="T150" s="309"/>
      <c r="U150" s="309"/>
      <c r="V150" s="309"/>
      <c r="W150" s="309"/>
      <c r="X150" s="309"/>
      <c r="Y150" s="309"/>
      <c r="Z150" s="309"/>
      <c r="AA150" s="310"/>
      <c r="AB150" s="311"/>
      <c r="AC150" s="312"/>
      <c r="AD150" s="281"/>
      <c r="AE150" s="282"/>
    </row>
    <row r="151" spans="1:31">
      <c r="A151" s="305"/>
      <c r="B151" s="313"/>
      <c r="C151" s="314"/>
      <c r="D151" s="315"/>
      <c r="E151" s="315"/>
      <c r="F151" s="315"/>
      <c r="G151" s="315"/>
      <c r="H151" s="315"/>
      <c r="I151" s="314"/>
      <c r="J151" s="314"/>
      <c r="K151" s="315"/>
      <c r="L151" s="315"/>
      <c r="M151" s="315"/>
      <c r="N151" s="314"/>
      <c r="O151" s="316"/>
      <c r="P151" s="315"/>
      <c r="Q151" s="314"/>
      <c r="R151" s="314"/>
      <c r="S151" s="314"/>
      <c r="T151" s="317"/>
      <c r="U151" s="317"/>
      <c r="V151" s="317"/>
      <c r="W151" s="317"/>
      <c r="X151" s="317"/>
      <c r="Y151" s="317"/>
      <c r="Z151" s="317"/>
      <c r="AA151" s="318"/>
      <c r="AB151" s="319"/>
      <c r="AC151" s="320"/>
      <c r="AD151" s="321"/>
      <c r="AE151" s="282"/>
    </row>
    <row r="152" spans="1:31">
      <c r="A152" s="305"/>
      <c r="B152" s="306"/>
      <c r="C152" s="307"/>
      <c r="D152" s="308"/>
      <c r="E152" s="308"/>
      <c r="F152" s="308"/>
      <c r="G152" s="308"/>
      <c r="H152" s="308"/>
      <c r="I152" s="307"/>
      <c r="J152" s="307"/>
      <c r="K152" s="308"/>
      <c r="L152" s="308"/>
      <c r="M152" s="308"/>
      <c r="N152" s="307"/>
      <c r="O152" s="322"/>
      <c r="P152" s="308"/>
      <c r="Q152" s="307"/>
      <c r="R152" s="307"/>
      <c r="S152" s="307"/>
      <c r="T152" s="309"/>
      <c r="U152" s="309"/>
      <c r="V152" s="309"/>
      <c r="W152" s="309"/>
      <c r="X152" s="309"/>
      <c r="Y152" s="309"/>
      <c r="Z152" s="309"/>
      <c r="AA152" s="323"/>
      <c r="AB152" s="311"/>
      <c r="AC152" s="312"/>
      <c r="AD152" s="281"/>
      <c r="AE152" s="282"/>
    </row>
    <row r="153" spans="1:31">
      <c r="A153" s="305"/>
      <c r="B153" s="306"/>
      <c r="C153" s="307"/>
      <c r="D153" s="308"/>
      <c r="E153" s="308"/>
      <c r="F153" s="308"/>
      <c r="G153" s="308"/>
      <c r="H153" s="308"/>
      <c r="I153" s="307"/>
      <c r="J153" s="307"/>
      <c r="K153" s="308"/>
      <c r="L153" s="308"/>
      <c r="M153" s="308"/>
      <c r="N153" s="307"/>
      <c r="O153" s="322"/>
      <c r="P153" s="308"/>
      <c r="Q153" s="307"/>
      <c r="R153" s="307"/>
      <c r="S153" s="307"/>
      <c r="T153" s="309"/>
      <c r="U153" s="309"/>
      <c r="V153" s="309"/>
      <c r="W153" s="309"/>
      <c r="X153" s="309"/>
      <c r="Y153" s="309"/>
      <c r="Z153" s="309"/>
      <c r="AA153" s="323"/>
      <c r="AB153" s="311"/>
      <c r="AC153" s="312"/>
      <c r="AD153" s="281"/>
      <c r="AE153" s="282"/>
    </row>
    <row r="154" spans="1:31">
      <c r="A154" s="305"/>
      <c r="B154" s="313"/>
      <c r="C154" s="314"/>
      <c r="D154" s="315"/>
      <c r="E154" s="315"/>
      <c r="F154" s="315"/>
      <c r="G154" s="315"/>
      <c r="H154" s="315"/>
      <c r="I154" s="314"/>
      <c r="J154" s="314"/>
      <c r="K154" s="315"/>
      <c r="L154" s="315"/>
      <c r="M154" s="315"/>
      <c r="N154" s="314"/>
      <c r="O154" s="316"/>
      <c r="P154" s="315"/>
      <c r="Q154" s="314"/>
      <c r="R154" s="314"/>
      <c r="S154" s="314"/>
      <c r="T154" s="317"/>
      <c r="U154" s="317"/>
      <c r="V154" s="317"/>
      <c r="W154" s="317"/>
      <c r="X154" s="317"/>
      <c r="Y154" s="317"/>
      <c r="Z154" s="317"/>
      <c r="AA154" s="318"/>
      <c r="AB154" s="319"/>
      <c r="AC154" s="320"/>
      <c r="AD154" s="321"/>
      <c r="AE154" s="282"/>
    </row>
    <row r="155" spans="1:31">
      <c r="A155" s="305"/>
      <c r="B155" s="306"/>
      <c r="C155" s="307"/>
      <c r="D155" s="308"/>
      <c r="E155" s="308"/>
      <c r="F155" s="308"/>
      <c r="G155" s="308"/>
      <c r="H155" s="308"/>
      <c r="I155" s="307"/>
      <c r="J155" s="307"/>
      <c r="K155" s="308"/>
      <c r="L155" s="308"/>
      <c r="M155" s="308"/>
      <c r="N155" s="307"/>
      <c r="O155" s="322"/>
      <c r="P155" s="308"/>
      <c r="Q155" s="307"/>
      <c r="R155" s="307"/>
      <c r="S155" s="307"/>
      <c r="T155" s="309"/>
      <c r="U155" s="309"/>
      <c r="V155" s="309"/>
      <c r="W155" s="309"/>
      <c r="X155" s="309"/>
      <c r="Y155" s="309"/>
      <c r="Z155" s="309"/>
      <c r="AA155" s="323"/>
      <c r="AB155" s="311"/>
      <c r="AC155" s="312"/>
      <c r="AD155" s="281"/>
      <c r="AE155" s="282"/>
    </row>
    <row r="156" spans="1:31">
      <c r="A156" s="305"/>
      <c r="B156" s="306"/>
      <c r="C156" s="307"/>
      <c r="D156" s="308"/>
      <c r="E156" s="308"/>
      <c r="F156" s="308"/>
      <c r="G156" s="308"/>
      <c r="H156" s="308"/>
      <c r="I156" s="307"/>
      <c r="J156" s="307"/>
      <c r="K156" s="308"/>
      <c r="L156" s="308"/>
      <c r="M156" s="308"/>
      <c r="N156" s="307"/>
      <c r="O156" s="322"/>
      <c r="P156" s="308"/>
      <c r="Q156" s="307"/>
      <c r="R156" s="307"/>
      <c r="S156" s="307"/>
      <c r="T156" s="309"/>
      <c r="U156" s="309"/>
      <c r="V156" s="309"/>
      <c r="W156" s="309"/>
      <c r="X156" s="309"/>
      <c r="Y156" s="309"/>
      <c r="Z156" s="309"/>
      <c r="AA156" s="323"/>
      <c r="AB156" s="311"/>
      <c r="AC156" s="312"/>
      <c r="AD156" s="281"/>
      <c r="AE156" s="282"/>
    </row>
    <row r="157" spans="1:31">
      <c r="A157" s="305"/>
      <c r="B157" s="313"/>
      <c r="C157" s="314"/>
      <c r="D157" s="315"/>
      <c r="E157" s="315"/>
      <c r="F157" s="315"/>
      <c r="G157" s="315"/>
      <c r="H157" s="315"/>
      <c r="I157" s="314"/>
      <c r="J157" s="314"/>
      <c r="K157" s="315"/>
      <c r="L157" s="315"/>
      <c r="M157" s="315"/>
      <c r="N157" s="314"/>
      <c r="O157" s="316"/>
      <c r="P157" s="315"/>
      <c r="Q157" s="314"/>
      <c r="R157" s="314"/>
      <c r="S157" s="314"/>
      <c r="T157" s="317"/>
      <c r="U157" s="317"/>
      <c r="V157" s="317"/>
      <c r="W157" s="317"/>
      <c r="X157" s="317"/>
      <c r="Y157" s="317"/>
      <c r="Z157" s="317"/>
      <c r="AA157" s="318"/>
      <c r="AB157" s="319"/>
      <c r="AC157" s="320"/>
      <c r="AD157" s="321"/>
      <c r="AE157" s="282"/>
    </row>
    <row r="158" spans="1:31">
      <c r="A158" s="305"/>
      <c r="B158" s="306"/>
      <c r="C158" s="307"/>
      <c r="D158" s="308"/>
      <c r="E158" s="308"/>
      <c r="F158" s="308"/>
      <c r="G158" s="308"/>
      <c r="H158" s="308"/>
      <c r="I158" s="307"/>
      <c r="J158" s="307"/>
      <c r="K158" s="308"/>
      <c r="L158" s="308"/>
      <c r="M158" s="308"/>
      <c r="N158" s="307"/>
      <c r="O158" s="322"/>
      <c r="P158" s="308"/>
      <c r="Q158" s="307"/>
      <c r="R158" s="307"/>
      <c r="S158" s="307"/>
      <c r="T158" s="309"/>
      <c r="U158" s="309"/>
      <c r="V158" s="309"/>
      <c r="W158" s="309"/>
      <c r="X158" s="309"/>
      <c r="Y158" s="309"/>
      <c r="Z158" s="309"/>
      <c r="AA158" s="323"/>
      <c r="AB158" s="311"/>
      <c r="AC158" s="312"/>
      <c r="AD158" s="281"/>
      <c r="AE158" s="282"/>
    </row>
    <row r="159" spans="1:31">
      <c r="A159" s="305"/>
      <c r="B159" s="306"/>
      <c r="C159" s="307"/>
      <c r="D159" s="308"/>
      <c r="E159" s="308"/>
      <c r="F159" s="308"/>
      <c r="G159" s="308"/>
      <c r="H159" s="308"/>
      <c r="I159" s="307"/>
      <c r="J159" s="307"/>
      <c r="K159" s="308"/>
      <c r="L159" s="308"/>
      <c r="M159" s="308"/>
      <c r="N159" s="307"/>
      <c r="O159" s="322"/>
      <c r="P159" s="308"/>
      <c r="Q159" s="307"/>
      <c r="R159" s="307"/>
      <c r="S159" s="307"/>
      <c r="T159" s="309"/>
      <c r="U159" s="309"/>
      <c r="V159" s="309"/>
      <c r="W159" s="309"/>
      <c r="X159" s="309"/>
      <c r="Y159" s="309"/>
      <c r="Z159" s="309"/>
      <c r="AA159" s="323"/>
      <c r="AB159" s="311"/>
      <c r="AC159" s="312"/>
      <c r="AD159" s="281"/>
      <c r="AE159" s="282"/>
    </row>
    <row r="160" spans="1:31">
      <c r="A160" s="324"/>
      <c r="B160" s="325"/>
      <c r="C160" s="314"/>
      <c r="D160" s="315"/>
      <c r="E160" s="315"/>
      <c r="F160" s="315"/>
      <c r="G160" s="315"/>
      <c r="H160" s="315"/>
      <c r="I160" s="314"/>
      <c r="J160" s="314"/>
      <c r="K160" s="315"/>
      <c r="L160" s="315"/>
      <c r="M160" s="315"/>
      <c r="N160" s="314"/>
      <c r="O160" s="316"/>
      <c r="P160" s="315"/>
      <c r="Q160" s="314"/>
      <c r="R160" s="314"/>
      <c r="S160" s="314"/>
      <c r="T160" s="317"/>
      <c r="U160" s="317"/>
      <c r="V160" s="317"/>
      <c r="W160" s="317"/>
      <c r="X160" s="317"/>
      <c r="Y160" s="317"/>
      <c r="Z160" s="317"/>
      <c r="AA160" s="318"/>
      <c r="AB160" s="311"/>
      <c r="AC160" s="312"/>
      <c r="AD160" s="321"/>
      <c r="AE160" s="282"/>
    </row>
    <row r="161" spans="1:31">
      <c r="A161" s="303"/>
      <c r="B161" s="291"/>
      <c r="C161" s="285"/>
      <c r="D161" s="276"/>
      <c r="E161" s="276"/>
      <c r="F161" s="276"/>
      <c r="G161" s="276"/>
      <c r="H161" s="276"/>
      <c r="I161" s="285"/>
      <c r="J161" s="285"/>
      <c r="K161" s="276"/>
      <c r="L161" s="276"/>
      <c r="M161" s="276"/>
      <c r="N161" s="285"/>
      <c r="O161" s="285"/>
      <c r="P161" s="276"/>
      <c r="Q161" s="285"/>
      <c r="R161" s="285"/>
      <c r="S161" s="285"/>
      <c r="T161" s="287"/>
      <c r="U161" s="287"/>
      <c r="V161" s="287"/>
      <c r="W161" s="287"/>
      <c r="X161" s="287"/>
      <c r="Y161" s="287"/>
      <c r="Z161" s="287"/>
      <c r="AA161" s="304"/>
      <c r="AB161" s="289"/>
      <c r="AC161" s="290"/>
      <c r="AD161" s="281"/>
      <c r="AE161" s="282"/>
    </row>
    <row r="162" spans="1:31">
      <c r="A162" s="305"/>
      <c r="B162" s="306"/>
      <c r="C162" s="307"/>
      <c r="D162" s="308"/>
      <c r="E162" s="308"/>
      <c r="F162" s="308"/>
      <c r="G162" s="308"/>
      <c r="H162" s="308"/>
      <c r="I162" s="307"/>
      <c r="J162" s="307"/>
      <c r="K162" s="308"/>
      <c r="L162" s="308"/>
      <c r="M162" s="308"/>
      <c r="N162" s="307"/>
      <c r="O162" s="307"/>
      <c r="P162" s="308"/>
      <c r="Q162" s="307"/>
      <c r="R162" s="307"/>
      <c r="S162" s="307"/>
      <c r="T162" s="309"/>
      <c r="U162" s="309"/>
      <c r="V162" s="309"/>
      <c r="W162" s="309"/>
      <c r="X162" s="309"/>
      <c r="Y162" s="309"/>
      <c r="Z162" s="309"/>
      <c r="AA162" s="310"/>
      <c r="AB162" s="311"/>
      <c r="AC162" s="312"/>
      <c r="AD162" s="281"/>
      <c r="AE162" s="282"/>
    </row>
    <row r="163" spans="1:31">
      <c r="A163" s="305"/>
      <c r="B163" s="313"/>
      <c r="C163" s="314"/>
      <c r="D163" s="315"/>
      <c r="E163" s="315"/>
      <c r="F163" s="315"/>
      <c r="G163" s="315"/>
      <c r="H163" s="315"/>
      <c r="I163" s="314"/>
      <c r="J163" s="314"/>
      <c r="K163" s="315"/>
      <c r="L163" s="315"/>
      <c r="M163" s="315"/>
      <c r="N163" s="314"/>
      <c r="O163" s="316"/>
      <c r="P163" s="315"/>
      <c r="Q163" s="314"/>
      <c r="R163" s="314"/>
      <c r="S163" s="314"/>
      <c r="T163" s="317"/>
      <c r="U163" s="317"/>
      <c r="V163" s="317"/>
      <c r="W163" s="317"/>
      <c r="X163" s="317"/>
      <c r="Y163" s="317"/>
      <c r="Z163" s="317"/>
      <c r="AA163" s="318"/>
      <c r="AB163" s="319"/>
      <c r="AC163" s="320"/>
      <c r="AD163" s="321"/>
      <c r="AE163" s="282"/>
    </row>
    <row r="164" spans="1:31">
      <c r="A164" s="305"/>
      <c r="B164" s="306"/>
      <c r="C164" s="307"/>
      <c r="D164" s="308"/>
      <c r="E164" s="308"/>
      <c r="F164" s="308"/>
      <c r="G164" s="308"/>
      <c r="H164" s="308"/>
      <c r="I164" s="307"/>
      <c r="J164" s="307"/>
      <c r="K164" s="308"/>
      <c r="L164" s="308"/>
      <c r="M164" s="308"/>
      <c r="N164" s="307"/>
      <c r="O164" s="322"/>
      <c r="P164" s="308"/>
      <c r="Q164" s="307"/>
      <c r="R164" s="307"/>
      <c r="S164" s="307"/>
      <c r="T164" s="309"/>
      <c r="U164" s="309"/>
      <c r="V164" s="309"/>
      <c r="W164" s="309"/>
      <c r="X164" s="309"/>
      <c r="Y164" s="309"/>
      <c r="Z164" s="309"/>
      <c r="AA164" s="323"/>
      <c r="AB164" s="311"/>
      <c r="AC164" s="312"/>
      <c r="AD164" s="281"/>
      <c r="AE164" s="282"/>
    </row>
    <row r="165" spans="1:31">
      <c r="A165" s="305"/>
      <c r="B165" s="306"/>
      <c r="C165" s="307"/>
      <c r="D165" s="308"/>
      <c r="E165" s="308"/>
      <c r="F165" s="308"/>
      <c r="G165" s="308"/>
      <c r="H165" s="308"/>
      <c r="I165" s="307"/>
      <c r="J165" s="307"/>
      <c r="K165" s="308"/>
      <c r="L165" s="308"/>
      <c r="M165" s="308"/>
      <c r="N165" s="307"/>
      <c r="O165" s="322"/>
      <c r="P165" s="308"/>
      <c r="Q165" s="307"/>
      <c r="R165" s="307"/>
      <c r="S165" s="307"/>
      <c r="T165" s="309"/>
      <c r="U165" s="309"/>
      <c r="V165" s="309"/>
      <c r="W165" s="309"/>
      <c r="X165" s="309"/>
      <c r="Y165" s="309"/>
      <c r="Z165" s="309"/>
      <c r="AA165" s="323"/>
      <c r="AB165" s="311"/>
      <c r="AC165" s="312"/>
      <c r="AD165" s="281"/>
      <c r="AE165" s="282"/>
    </row>
    <row r="166" spans="1:31">
      <c r="A166" s="305"/>
      <c r="B166" s="313"/>
      <c r="C166" s="314"/>
      <c r="D166" s="315"/>
      <c r="E166" s="315"/>
      <c r="F166" s="315"/>
      <c r="G166" s="315"/>
      <c r="H166" s="315"/>
      <c r="I166" s="314"/>
      <c r="J166" s="314"/>
      <c r="K166" s="315"/>
      <c r="L166" s="315"/>
      <c r="M166" s="315"/>
      <c r="N166" s="314"/>
      <c r="O166" s="316"/>
      <c r="P166" s="315"/>
      <c r="Q166" s="314"/>
      <c r="R166" s="314"/>
      <c r="S166" s="314"/>
      <c r="T166" s="317"/>
      <c r="U166" s="317"/>
      <c r="V166" s="317"/>
      <c r="W166" s="317"/>
      <c r="X166" s="317"/>
      <c r="Y166" s="317"/>
      <c r="Z166" s="317"/>
      <c r="AA166" s="318"/>
      <c r="AB166" s="319"/>
      <c r="AC166" s="320"/>
      <c r="AD166" s="321"/>
      <c r="AE166" s="282"/>
    </row>
    <row r="167" spans="1:31">
      <c r="A167" s="305"/>
      <c r="B167" s="306"/>
      <c r="C167" s="307"/>
      <c r="D167" s="308"/>
      <c r="E167" s="308"/>
      <c r="F167" s="308"/>
      <c r="G167" s="308"/>
      <c r="H167" s="308"/>
      <c r="I167" s="307"/>
      <c r="J167" s="307"/>
      <c r="K167" s="308"/>
      <c r="L167" s="308"/>
      <c r="M167" s="308"/>
      <c r="N167" s="307"/>
      <c r="O167" s="322"/>
      <c r="P167" s="308"/>
      <c r="Q167" s="307"/>
      <c r="R167" s="307"/>
      <c r="S167" s="307"/>
      <c r="T167" s="309"/>
      <c r="U167" s="309"/>
      <c r="V167" s="309"/>
      <c r="W167" s="309"/>
      <c r="X167" s="309"/>
      <c r="Y167" s="309"/>
      <c r="Z167" s="309"/>
      <c r="AA167" s="323"/>
      <c r="AB167" s="311"/>
      <c r="AC167" s="312"/>
      <c r="AD167" s="281"/>
      <c r="AE167" s="282"/>
    </row>
    <row r="168" spans="1:31">
      <c r="A168" s="305"/>
      <c r="B168" s="306"/>
      <c r="C168" s="307"/>
      <c r="D168" s="308"/>
      <c r="E168" s="308"/>
      <c r="F168" s="308"/>
      <c r="G168" s="308"/>
      <c r="H168" s="308"/>
      <c r="I168" s="307"/>
      <c r="J168" s="307"/>
      <c r="K168" s="308"/>
      <c r="L168" s="308"/>
      <c r="M168" s="308"/>
      <c r="N168" s="307"/>
      <c r="O168" s="322"/>
      <c r="P168" s="308"/>
      <c r="Q168" s="307"/>
      <c r="R168" s="307"/>
      <c r="S168" s="307"/>
      <c r="T168" s="309"/>
      <c r="U168" s="309"/>
      <c r="V168" s="309"/>
      <c r="W168" s="309"/>
      <c r="X168" s="309"/>
      <c r="Y168" s="309"/>
      <c r="Z168" s="309"/>
      <c r="AA168" s="323"/>
      <c r="AB168" s="311"/>
      <c r="AC168" s="312"/>
      <c r="AD168" s="281"/>
      <c r="AE168" s="282"/>
    </row>
    <row r="169" spans="1:31">
      <c r="A169" s="305"/>
      <c r="B169" s="313"/>
      <c r="C169" s="314"/>
      <c r="D169" s="315"/>
      <c r="E169" s="315"/>
      <c r="F169" s="315"/>
      <c r="G169" s="315"/>
      <c r="H169" s="315"/>
      <c r="I169" s="314"/>
      <c r="J169" s="314"/>
      <c r="K169" s="315"/>
      <c r="L169" s="315"/>
      <c r="M169" s="315"/>
      <c r="N169" s="314"/>
      <c r="O169" s="316"/>
      <c r="P169" s="315"/>
      <c r="Q169" s="314"/>
      <c r="R169" s="314"/>
      <c r="S169" s="314"/>
      <c r="T169" s="317"/>
      <c r="U169" s="317"/>
      <c r="V169" s="317"/>
      <c r="W169" s="317"/>
      <c r="X169" s="317"/>
      <c r="Y169" s="317"/>
      <c r="Z169" s="317"/>
      <c r="AA169" s="318"/>
      <c r="AB169" s="319"/>
      <c r="AC169" s="320"/>
      <c r="AD169" s="321"/>
      <c r="AE169" s="282"/>
    </row>
    <row r="170" spans="1:31">
      <c r="A170" s="305"/>
      <c r="B170" s="306"/>
      <c r="C170" s="307"/>
      <c r="D170" s="308"/>
      <c r="E170" s="308"/>
      <c r="F170" s="308"/>
      <c r="G170" s="308"/>
      <c r="H170" s="308"/>
      <c r="I170" s="307"/>
      <c r="J170" s="307"/>
      <c r="K170" s="308"/>
      <c r="L170" s="308"/>
      <c r="M170" s="308"/>
      <c r="N170" s="307"/>
      <c r="O170" s="322"/>
      <c r="P170" s="308"/>
      <c r="Q170" s="307"/>
      <c r="R170" s="307"/>
      <c r="S170" s="307"/>
      <c r="T170" s="309"/>
      <c r="U170" s="309"/>
      <c r="V170" s="309"/>
      <c r="W170" s="309"/>
      <c r="X170" s="309"/>
      <c r="Y170" s="309"/>
      <c r="Z170" s="309"/>
      <c r="AA170" s="323"/>
      <c r="AB170" s="311"/>
      <c r="AC170" s="312"/>
      <c r="AD170" s="281"/>
      <c r="AE170" s="282"/>
    </row>
    <row r="171" spans="1:31">
      <c r="A171" s="305"/>
      <c r="B171" s="306"/>
      <c r="C171" s="307"/>
      <c r="D171" s="308"/>
      <c r="E171" s="308"/>
      <c r="F171" s="308"/>
      <c r="G171" s="308"/>
      <c r="H171" s="308"/>
      <c r="I171" s="307"/>
      <c r="J171" s="307"/>
      <c r="K171" s="308"/>
      <c r="L171" s="308"/>
      <c r="M171" s="308"/>
      <c r="N171" s="307"/>
      <c r="O171" s="322"/>
      <c r="P171" s="308"/>
      <c r="Q171" s="307"/>
      <c r="R171" s="307"/>
      <c r="S171" s="307"/>
      <c r="T171" s="309"/>
      <c r="U171" s="309"/>
      <c r="V171" s="309"/>
      <c r="W171" s="309"/>
      <c r="X171" s="309"/>
      <c r="Y171" s="309"/>
      <c r="Z171" s="309"/>
      <c r="AA171" s="323"/>
      <c r="AB171" s="311"/>
      <c r="AC171" s="312"/>
      <c r="AD171" s="281"/>
      <c r="AE171" s="282"/>
    </row>
    <row r="172" spans="1:31">
      <c r="A172" s="324"/>
      <c r="B172" s="325"/>
      <c r="C172" s="314"/>
      <c r="D172" s="315"/>
      <c r="E172" s="315"/>
      <c r="F172" s="315"/>
      <c r="G172" s="315"/>
      <c r="H172" s="315"/>
      <c r="I172" s="314"/>
      <c r="J172" s="314"/>
      <c r="K172" s="315"/>
      <c r="L172" s="315"/>
      <c r="M172" s="315"/>
      <c r="N172" s="314"/>
      <c r="O172" s="316"/>
      <c r="P172" s="315"/>
      <c r="Q172" s="314"/>
      <c r="R172" s="314"/>
      <c r="S172" s="314"/>
      <c r="T172" s="317"/>
      <c r="U172" s="317"/>
      <c r="V172" s="317"/>
      <c r="W172" s="317"/>
      <c r="X172" s="317"/>
      <c r="Y172" s="317"/>
      <c r="Z172" s="317"/>
      <c r="AA172" s="318"/>
      <c r="AB172" s="311"/>
      <c r="AC172" s="312"/>
      <c r="AD172" s="321"/>
      <c r="AE172" s="282"/>
    </row>
    <row r="173" spans="1:31">
      <c r="A173" s="303"/>
      <c r="B173" s="291"/>
      <c r="C173" s="285"/>
      <c r="D173" s="276"/>
      <c r="E173" s="276"/>
      <c r="F173" s="276"/>
      <c r="G173" s="276"/>
      <c r="H173" s="276"/>
      <c r="I173" s="285"/>
      <c r="J173" s="285"/>
      <c r="K173" s="276"/>
      <c r="L173" s="276"/>
      <c r="M173" s="276"/>
      <c r="N173" s="285"/>
      <c r="O173" s="285"/>
      <c r="P173" s="276"/>
      <c r="Q173" s="285"/>
      <c r="R173" s="285"/>
      <c r="S173" s="285"/>
      <c r="T173" s="287"/>
      <c r="U173" s="287"/>
      <c r="V173" s="287"/>
      <c r="W173" s="287"/>
      <c r="X173" s="287"/>
      <c r="Y173" s="287"/>
      <c r="Z173" s="287"/>
      <c r="AA173" s="304"/>
      <c r="AB173" s="289"/>
      <c r="AC173" s="290"/>
      <c r="AD173" s="281"/>
      <c r="AE173" s="282"/>
    </row>
    <row r="174" spans="1:31">
      <c r="A174" s="305"/>
      <c r="B174" s="306"/>
      <c r="C174" s="307"/>
      <c r="D174" s="308"/>
      <c r="E174" s="308"/>
      <c r="F174" s="308"/>
      <c r="G174" s="308"/>
      <c r="H174" s="308"/>
      <c r="I174" s="307"/>
      <c r="J174" s="307"/>
      <c r="K174" s="308"/>
      <c r="L174" s="308"/>
      <c r="M174" s="308"/>
      <c r="N174" s="307"/>
      <c r="O174" s="307"/>
      <c r="P174" s="308"/>
      <c r="Q174" s="307"/>
      <c r="R174" s="307"/>
      <c r="S174" s="307"/>
      <c r="T174" s="309"/>
      <c r="U174" s="309"/>
      <c r="V174" s="309"/>
      <c r="W174" s="309"/>
      <c r="X174" s="309"/>
      <c r="Y174" s="309"/>
      <c r="Z174" s="309"/>
      <c r="AA174" s="310"/>
      <c r="AB174" s="311"/>
      <c r="AC174" s="312"/>
      <c r="AD174" s="281"/>
      <c r="AE174" s="282"/>
    </row>
    <row r="175" spans="1:31">
      <c r="A175" s="305"/>
      <c r="B175" s="313"/>
      <c r="C175" s="314"/>
      <c r="D175" s="315"/>
      <c r="E175" s="315"/>
      <c r="F175" s="315"/>
      <c r="G175" s="315"/>
      <c r="H175" s="315"/>
      <c r="I175" s="314"/>
      <c r="J175" s="314"/>
      <c r="K175" s="315"/>
      <c r="L175" s="315"/>
      <c r="M175" s="315"/>
      <c r="N175" s="314"/>
      <c r="O175" s="316"/>
      <c r="P175" s="315"/>
      <c r="Q175" s="314"/>
      <c r="R175" s="314"/>
      <c r="S175" s="314"/>
      <c r="T175" s="317"/>
      <c r="U175" s="317"/>
      <c r="V175" s="317"/>
      <c r="W175" s="317"/>
      <c r="X175" s="317"/>
      <c r="Y175" s="317"/>
      <c r="Z175" s="317"/>
      <c r="AA175" s="318"/>
      <c r="AB175" s="319"/>
      <c r="AC175" s="320"/>
      <c r="AD175" s="321"/>
      <c r="AE175" s="282"/>
    </row>
    <row r="176" spans="1:31">
      <c r="A176" s="305"/>
      <c r="B176" s="306"/>
      <c r="C176" s="307"/>
      <c r="D176" s="308"/>
      <c r="E176" s="308"/>
      <c r="F176" s="308"/>
      <c r="G176" s="308"/>
      <c r="H176" s="308"/>
      <c r="I176" s="307"/>
      <c r="J176" s="307"/>
      <c r="K176" s="308"/>
      <c r="L176" s="308"/>
      <c r="M176" s="308"/>
      <c r="N176" s="307"/>
      <c r="O176" s="322"/>
      <c r="P176" s="308"/>
      <c r="Q176" s="307"/>
      <c r="R176" s="307"/>
      <c r="S176" s="307"/>
      <c r="T176" s="309"/>
      <c r="U176" s="309"/>
      <c r="V176" s="309"/>
      <c r="W176" s="309"/>
      <c r="X176" s="309"/>
      <c r="Y176" s="309"/>
      <c r="Z176" s="309"/>
      <c r="AA176" s="323"/>
      <c r="AB176" s="311"/>
      <c r="AC176" s="312"/>
      <c r="AD176" s="281"/>
      <c r="AE176" s="282"/>
    </row>
    <row r="177" spans="1:33">
      <c r="A177" s="305"/>
      <c r="B177" s="306"/>
      <c r="C177" s="307"/>
      <c r="D177" s="308"/>
      <c r="E177" s="308"/>
      <c r="F177" s="308"/>
      <c r="G177" s="308"/>
      <c r="H177" s="308"/>
      <c r="I177" s="307"/>
      <c r="J177" s="307"/>
      <c r="K177" s="308"/>
      <c r="L177" s="308"/>
      <c r="M177" s="308"/>
      <c r="N177" s="307"/>
      <c r="O177" s="322"/>
      <c r="P177" s="308"/>
      <c r="Q177" s="307"/>
      <c r="R177" s="307"/>
      <c r="S177" s="307"/>
      <c r="T177" s="309"/>
      <c r="U177" s="309"/>
      <c r="V177" s="309"/>
      <c r="W177" s="309"/>
      <c r="X177" s="309"/>
      <c r="Y177" s="309"/>
      <c r="Z177" s="309"/>
      <c r="AA177" s="323"/>
      <c r="AB177" s="311"/>
      <c r="AC177" s="312"/>
      <c r="AD177" s="281"/>
      <c r="AE177" s="282"/>
    </row>
    <row r="178" spans="1:33">
      <c r="A178" s="305"/>
      <c r="B178" s="313"/>
      <c r="C178" s="314"/>
      <c r="D178" s="315"/>
      <c r="E178" s="315"/>
      <c r="F178" s="315"/>
      <c r="G178" s="315"/>
      <c r="H178" s="315"/>
      <c r="I178" s="314"/>
      <c r="J178" s="314"/>
      <c r="K178" s="315"/>
      <c r="L178" s="315"/>
      <c r="M178" s="315"/>
      <c r="N178" s="314"/>
      <c r="O178" s="316"/>
      <c r="P178" s="315"/>
      <c r="Q178" s="314"/>
      <c r="R178" s="314"/>
      <c r="S178" s="314"/>
      <c r="T178" s="317"/>
      <c r="U178" s="317"/>
      <c r="V178" s="317"/>
      <c r="W178" s="317"/>
      <c r="X178" s="317"/>
      <c r="Y178" s="317"/>
      <c r="Z178" s="317"/>
      <c r="AA178" s="318"/>
      <c r="AB178" s="319"/>
      <c r="AC178" s="320"/>
      <c r="AD178" s="321"/>
      <c r="AE178" s="282"/>
    </row>
    <row r="179" spans="1:33">
      <c r="A179" s="305"/>
      <c r="B179" s="306"/>
      <c r="C179" s="307"/>
      <c r="D179" s="308"/>
      <c r="E179" s="308"/>
      <c r="F179" s="308"/>
      <c r="G179" s="308"/>
      <c r="H179" s="308"/>
      <c r="I179" s="307"/>
      <c r="J179" s="307"/>
      <c r="K179" s="308"/>
      <c r="L179" s="308"/>
      <c r="M179" s="308"/>
      <c r="N179" s="307"/>
      <c r="O179" s="322"/>
      <c r="P179" s="308"/>
      <c r="Q179" s="307"/>
      <c r="R179" s="307"/>
      <c r="S179" s="307"/>
      <c r="T179" s="309"/>
      <c r="U179" s="309"/>
      <c r="V179" s="309"/>
      <c r="W179" s="309"/>
      <c r="X179" s="309"/>
      <c r="Y179" s="309"/>
      <c r="Z179" s="309"/>
      <c r="AA179" s="323"/>
      <c r="AB179" s="311"/>
      <c r="AC179" s="312"/>
      <c r="AD179" s="281"/>
      <c r="AE179" s="282"/>
    </row>
    <row r="180" spans="1:33">
      <c r="A180" s="305"/>
      <c r="B180" s="306"/>
      <c r="C180" s="307"/>
      <c r="D180" s="308"/>
      <c r="E180" s="308"/>
      <c r="F180" s="308"/>
      <c r="G180" s="308"/>
      <c r="H180" s="308"/>
      <c r="I180" s="307"/>
      <c r="J180" s="307"/>
      <c r="K180" s="308"/>
      <c r="L180" s="308"/>
      <c r="M180" s="308"/>
      <c r="N180" s="307"/>
      <c r="O180" s="322"/>
      <c r="P180" s="308"/>
      <c r="Q180" s="307"/>
      <c r="R180" s="307"/>
      <c r="S180" s="307"/>
      <c r="T180" s="309"/>
      <c r="U180" s="309"/>
      <c r="V180" s="309"/>
      <c r="W180" s="309"/>
      <c r="X180" s="309"/>
      <c r="Y180" s="309"/>
      <c r="Z180" s="309"/>
      <c r="AA180" s="323"/>
      <c r="AB180" s="311"/>
      <c r="AC180" s="312"/>
      <c r="AD180" s="281"/>
      <c r="AE180" s="282"/>
    </row>
    <row r="181" spans="1:33">
      <c r="A181" s="305"/>
      <c r="B181" s="313"/>
      <c r="C181" s="314"/>
      <c r="D181" s="315"/>
      <c r="E181" s="315"/>
      <c r="F181" s="315"/>
      <c r="G181" s="315"/>
      <c r="H181" s="315"/>
      <c r="I181" s="314"/>
      <c r="J181" s="314"/>
      <c r="K181" s="315"/>
      <c r="L181" s="315"/>
      <c r="M181" s="315"/>
      <c r="N181" s="314"/>
      <c r="O181" s="316"/>
      <c r="P181" s="315"/>
      <c r="Q181" s="314"/>
      <c r="R181" s="314"/>
      <c r="S181" s="314"/>
      <c r="T181" s="317"/>
      <c r="U181" s="317"/>
      <c r="V181" s="317"/>
      <c r="W181" s="317"/>
      <c r="X181" s="317"/>
      <c r="Y181" s="317"/>
      <c r="Z181" s="317"/>
      <c r="AA181" s="318"/>
      <c r="AB181" s="319"/>
      <c r="AC181" s="320"/>
      <c r="AD181" s="321"/>
      <c r="AE181" s="282"/>
      <c r="AF181" s="328"/>
      <c r="AG181" s="329"/>
    </row>
    <row r="182" spans="1:33">
      <c r="A182" s="305"/>
      <c r="B182" s="306"/>
      <c r="C182" s="307"/>
      <c r="D182" s="308"/>
      <c r="E182" s="308"/>
      <c r="F182" s="308"/>
      <c r="G182" s="308"/>
      <c r="H182" s="308"/>
      <c r="I182" s="307"/>
      <c r="J182" s="307"/>
      <c r="K182" s="308"/>
      <c r="L182" s="308"/>
      <c r="M182" s="308"/>
      <c r="N182" s="307"/>
      <c r="O182" s="322"/>
      <c r="P182" s="308"/>
      <c r="Q182" s="307"/>
      <c r="R182" s="307"/>
      <c r="S182" s="307"/>
      <c r="T182" s="309"/>
      <c r="U182" s="309"/>
      <c r="V182" s="309"/>
      <c r="W182" s="309"/>
      <c r="X182" s="309"/>
      <c r="Y182" s="309"/>
      <c r="Z182" s="309"/>
      <c r="AA182" s="323"/>
      <c r="AB182" s="311"/>
      <c r="AC182" s="312"/>
      <c r="AD182" s="281"/>
      <c r="AE182" s="282"/>
      <c r="AF182" s="330"/>
    </row>
    <row r="183" spans="1:33">
      <c r="A183" s="305"/>
      <c r="B183" s="306"/>
      <c r="C183" s="307"/>
      <c r="D183" s="308"/>
      <c r="E183" s="308"/>
      <c r="F183" s="308"/>
      <c r="G183" s="308"/>
      <c r="H183" s="308"/>
      <c r="I183" s="307"/>
      <c r="J183" s="307"/>
      <c r="K183" s="308"/>
      <c r="L183" s="308"/>
      <c r="M183" s="308"/>
      <c r="N183" s="307"/>
      <c r="O183" s="322"/>
      <c r="P183" s="308"/>
      <c r="Q183" s="307"/>
      <c r="R183" s="307"/>
      <c r="S183" s="307"/>
      <c r="T183" s="309"/>
      <c r="U183" s="309"/>
      <c r="V183" s="309"/>
      <c r="W183" s="309"/>
      <c r="X183" s="309"/>
      <c r="Y183" s="309"/>
      <c r="Z183" s="309"/>
      <c r="AA183" s="323"/>
      <c r="AB183" s="311"/>
      <c r="AC183" s="312"/>
      <c r="AD183" s="281"/>
      <c r="AE183" s="282"/>
      <c r="AF183" s="330"/>
    </row>
    <row r="184" spans="1:33">
      <c r="A184" s="324"/>
      <c r="B184" s="325"/>
      <c r="C184" s="314"/>
      <c r="D184" s="315"/>
      <c r="E184" s="315"/>
      <c r="F184" s="315"/>
      <c r="G184" s="315"/>
      <c r="H184" s="315"/>
      <c r="I184" s="314"/>
      <c r="J184" s="314"/>
      <c r="K184" s="315"/>
      <c r="L184" s="315"/>
      <c r="M184" s="315"/>
      <c r="N184" s="314"/>
      <c r="O184" s="316"/>
      <c r="P184" s="315"/>
      <c r="Q184" s="314"/>
      <c r="R184" s="314"/>
      <c r="S184" s="314"/>
      <c r="T184" s="317"/>
      <c r="U184" s="317"/>
      <c r="V184" s="317"/>
      <c r="W184" s="317"/>
      <c r="X184" s="317"/>
      <c r="Y184" s="317"/>
      <c r="Z184" s="317"/>
      <c r="AA184" s="318"/>
      <c r="AB184" s="311"/>
      <c r="AC184" s="312"/>
      <c r="AD184" s="321"/>
      <c r="AE184" s="282"/>
      <c r="AF184" s="331"/>
      <c r="AG184" s="328"/>
    </row>
    <row r="185" spans="1:33">
      <c r="A185" s="303"/>
      <c r="B185" s="291"/>
      <c r="C185" s="285"/>
      <c r="D185" s="276"/>
      <c r="E185" s="276"/>
      <c r="F185" s="276"/>
      <c r="G185" s="276"/>
      <c r="H185" s="276"/>
      <c r="I185" s="285"/>
      <c r="J185" s="285"/>
      <c r="K185" s="276"/>
      <c r="L185" s="276"/>
      <c r="M185" s="276"/>
      <c r="N185" s="285"/>
      <c r="O185" s="285"/>
      <c r="P185" s="276"/>
      <c r="Q185" s="285"/>
      <c r="R185" s="285"/>
      <c r="S185" s="285"/>
      <c r="T185" s="287"/>
      <c r="U185" s="287"/>
      <c r="V185" s="287"/>
      <c r="W185" s="287"/>
      <c r="X185" s="287"/>
      <c r="Y185" s="287"/>
      <c r="Z185" s="287"/>
      <c r="AA185" s="304"/>
      <c r="AB185" s="289"/>
      <c r="AC185" s="290"/>
      <c r="AD185" s="281"/>
      <c r="AE185" s="282"/>
    </row>
    <row r="186" spans="1:33">
      <c r="A186" s="305"/>
      <c r="B186" s="306"/>
      <c r="C186" s="307"/>
      <c r="D186" s="308"/>
      <c r="E186" s="308"/>
      <c r="F186" s="308"/>
      <c r="G186" s="308"/>
      <c r="H186" s="308"/>
      <c r="I186" s="307"/>
      <c r="J186" s="307"/>
      <c r="K186" s="308"/>
      <c r="L186" s="308"/>
      <c r="M186" s="308"/>
      <c r="N186" s="307"/>
      <c r="O186" s="307"/>
      <c r="P186" s="308"/>
      <c r="Q186" s="307"/>
      <c r="R186" s="307"/>
      <c r="S186" s="307"/>
      <c r="T186" s="309"/>
      <c r="U186" s="309"/>
      <c r="V186" s="309"/>
      <c r="W186" s="309"/>
      <c r="X186" s="309"/>
      <c r="Y186" s="309"/>
      <c r="Z186" s="309"/>
      <c r="AA186" s="310"/>
      <c r="AB186" s="311"/>
      <c r="AC186" s="312"/>
      <c r="AD186" s="281"/>
      <c r="AE186" s="282"/>
    </row>
    <row r="187" spans="1:33">
      <c r="A187" s="305"/>
      <c r="B187" s="313"/>
      <c r="C187" s="314"/>
      <c r="D187" s="315"/>
      <c r="E187" s="315"/>
      <c r="F187" s="315"/>
      <c r="G187" s="315"/>
      <c r="H187" s="315"/>
      <c r="I187" s="314"/>
      <c r="J187" s="314"/>
      <c r="K187" s="315"/>
      <c r="L187" s="315"/>
      <c r="M187" s="315"/>
      <c r="N187" s="314"/>
      <c r="O187" s="316"/>
      <c r="P187" s="315"/>
      <c r="Q187" s="314"/>
      <c r="R187" s="314"/>
      <c r="S187" s="314"/>
      <c r="T187" s="317"/>
      <c r="U187" s="317"/>
      <c r="V187" s="317"/>
      <c r="W187" s="317"/>
      <c r="X187" s="317"/>
      <c r="Y187" s="317"/>
      <c r="Z187" s="317"/>
      <c r="AA187" s="318"/>
      <c r="AB187" s="319"/>
      <c r="AC187" s="320"/>
      <c r="AD187" s="321"/>
      <c r="AE187" s="282"/>
    </row>
    <row r="188" spans="1:33">
      <c r="A188" s="305"/>
      <c r="B188" s="306"/>
      <c r="C188" s="307"/>
      <c r="D188" s="308"/>
      <c r="E188" s="308"/>
      <c r="F188" s="308"/>
      <c r="G188" s="308"/>
      <c r="H188" s="308"/>
      <c r="I188" s="307"/>
      <c r="J188" s="307"/>
      <c r="K188" s="308"/>
      <c r="L188" s="308"/>
      <c r="M188" s="308"/>
      <c r="N188" s="307"/>
      <c r="O188" s="322"/>
      <c r="P188" s="308"/>
      <c r="Q188" s="307"/>
      <c r="R188" s="307"/>
      <c r="S188" s="307"/>
      <c r="T188" s="309"/>
      <c r="U188" s="309"/>
      <c r="V188" s="309"/>
      <c r="W188" s="309"/>
      <c r="X188" s="309"/>
      <c r="Y188" s="309"/>
      <c r="Z188" s="309"/>
      <c r="AA188" s="323"/>
      <c r="AB188" s="311"/>
      <c r="AC188" s="312"/>
      <c r="AD188" s="281"/>
      <c r="AE188" s="282"/>
    </row>
    <row r="189" spans="1:33">
      <c r="A189" s="305"/>
      <c r="B189" s="306"/>
      <c r="C189" s="307"/>
      <c r="D189" s="308"/>
      <c r="E189" s="308"/>
      <c r="F189" s="308"/>
      <c r="G189" s="308"/>
      <c r="H189" s="308"/>
      <c r="I189" s="307"/>
      <c r="J189" s="307"/>
      <c r="K189" s="308"/>
      <c r="L189" s="308"/>
      <c r="M189" s="308"/>
      <c r="N189" s="307"/>
      <c r="O189" s="322"/>
      <c r="P189" s="308"/>
      <c r="Q189" s="307"/>
      <c r="R189" s="307"/>
      <c r="S189" s="307"/>
      <c r="T189" s="309"/>
      <c r="U189" s="309"/>
      <c r="V189" s="309"/>
      <c r="W189" s="309"/>
      <c r="X189" s="309"/>
      <c r="Y189" s="309"/>
      <c r="Z189" s="309"/>
      <c r="AA189" s="323"/>
      <c r="AB189" s="311"/>
      <c r="AC189" s="312"/>
      <c r="AD189" s="281"/>
      <c r="AE189" s="282"/>
    </row>
    <row r="190" spans="1:33">
      <c r="A190" s="305"/>
      <c r="B190" s="313"/>
      <c r="C190" s="314"/>
      <c r="D190" s="315"/>
      <c r="E190" s="315"/>
      <c r="F190" s="315"/>
      <c r="G190" s="315"/>
      <c r="H190" s="315"/>
      <c r="I190" s="314"/>
      <c r="J190" s="314"/>
      <c r="K190" s="315"/>
      <c r="L190" s="315"/>
      <c r="M190" s="315"/>
      <c r="N190" s="314"/>
      <c r="O190" s="316"/>
      <c r="P190" s="315"/>
      <c r="Q190" s="314"/>
      <c r="R190" s="314"/>
      <c r="S190" s="314"/>
      <c r="T190" s="317"/>
      <c r="U190" s="317"/>
      <c r="V190" s="317"/>
      <c r="W190" s="317"/>
      <c r="X190" s="317"/>
      <c r="Y190" s="317"/>
      <c r="Z190" s="317"/>
      <c r="AA190" s="318"/>
      <c r="AB190" s="319"/>
      <c r="AC190" s="320"/>
      <c r="AD190" s="321"/>
      <c r="AE190" s="282"/>
    </row>
    <row r="191" spans="1:33">
      <c r="A191" s="305"/>
      <c r="B191" s="306"/>
      <c r="C191" s="307"/>
      <c r="D191" s="308"/>
      <c r="E191" s="308"/>
      <c r="F191" s="308"/>
      <c r="G191" s="308"/>
      <c r="H191" s="308"/>
      <c r="I191" s="307"/>
      <c r="J191" s="307"/>
      <c r="K191" s="308"/>
      <c r="L191" s="308"/>
      <c r="M191" s="308"/>
      <c r="N191" s="307"/>
      <c r="O191" s="322"/>
      <c r="P191" s="308"/>
      <c r="Q191" s="307"/>
      <c r="R191" s="307"/>
      <c r="S191" s="307"/>
      <c r="T191" s="309"/>
      <c r="U191" s="309"/>
      <c r="V191" s="309"/>
      <c r="W191" s="309"/>
      <c r="X191" s="309"/>
      <c r="Y191" s="309"/>
      <c r="Z191" s="309"/>
      <c r="AA191" s="323"/>
      <c r="AB191" s="311"/>
      <c r="AC191" s="312"/>
      <c r="AD191" s="281"/>
      <c r="AE191" s="282"/>
    </row>
    <row r="192" spans="1:33">
      <c r="A192" s="305"/>
      <c r="B192" s="306"/>
      <c r="C192" s="307"/>
      <c r="D192" s="308"/>
      <c r="E192" s="308"/>
      <c r="F192" s="308"/>
      <c r="G192" s="308"/>
      <c r="H192" s="308"/>
      <c r="I192" s="307"/>
      <c r="J192" s="307"/>
      <c r="K192" s="308"/>
      <c r="L192" s="308"/>
      <c r="M192" s="308"/>
      <c r="N192" s="307"/>
      <c r="O192" s="322"/>
      <c r="P192" s="308"/>
      <c r="Q192" s="307"/>
      <c r="R192" s="307"/>
      <c r="S192" s="307"/>
      <c r="T192" s="309"/>
      <c r="U192" s="309"/>
      <c r="V192" s="309"/>
      <c r="W192" s="309"/>
      <c r="X192" s="309"/>
      <c r="Y192" s="309"/>
      <c r="Z192" s="309"/>
      <c r="AA192" s="323"/>
      <c r="AB192" s="311"/>
      <c r="AC192" s="312"/>
      <c r="AD192" s="281"/>
      <c r="AE192" s="282"/>
    </row>
    <row r="193" spans="1:33">
      <c r="A193" s="305"/>
      <c r="B193" s="313"/>
      <c r="C193" s="314"/>
      <c r="D193" s="315"/>
      <c r="E193" s="315"/>
      <c r="F193" s="315"/>
      <c r="G193" s="315"/>
      <c r="H193" s="315"/>
      <c r="I193" s="314"/>
      <c r="J193" s="314"/>
      <c r="K193" s="315"/>
      <c r="L193" s="315"/>
      <c r="M193" s="315"/>
      <c r="N193" s="314"/>
      <c r="O193" s="316"/>
      <c r="P193" s="315"/>
      <c r="Q193" s="314"/>
      <c r="R193" s="314"/>
      <c r="S193" s="314"/>
      <c r="T193" s="317"/>
      <c r="U193" s="317"/>
      <c r="V193" s="317"/>
      <c r="W193" s="317"/>
      <c r="X193" s="317"/>
      <c r="Y193" s="317"/>
      <c r="Z193" s="317"/>
      <c r="AA193" s="318"/>
      <c r="AB193" s="319"/>
      <c r="AC193" s="320"/>
      <c r="AD193" s="321"/>
      <c r="AE193" s="282"/>
      <c r="AF193" s="328"/>
      <c r="AG193" s="329"/>
    </row>
    <row r="194" spans="1:33">
      <c r="A194" s="305"/>
      <c r="B194" s="306"/>
      <c r="C194" s="307"/>
      <c r="D194" s="308"/>
      <c r="E194" s="308"/>
      <c r="F194" s="308"/>
      <c r="G194" s="308"/>
      <c r="H194" s="308"/>
      <c r="I194" s="307"/>
      <c r="J194" s="307"/>
      <c r="K194" s="308"/>
      <c r="L194" s="308"/>
      <c r="M194" s="308"/>
      <c r="N194" s="307"/>
      <c r="O194" s="322"/>
      <c r="P194" s="308"/>
      <c r="Q194" s="307"/>
      <c r="R194" s="307"/>
      <c r="S194" s="307"/>
      <c r="T194" s="309"/>
      <c r="U194" s="309"/>
      <c r="V194" s="309"/>
      <c r="W194" s="309"/>
      <c r="X194" s="309"/>
      <c r="Y194" s="309"/>
      <c r="Z194" s="309"/>
      <c r="AA194" s="323"/>
      <c r="AB194" s="311"/>
      <c r="AC194" s="312"/>
      <c r="AD194" s="281"/>
      <c r="AE194" s="282"/>
      <c r="AF194" s="330"/>
    </row>
    <row r="195" spans="1:33">
      <c r="A195" s="305"/>
      <c r="B195" s="306"/>
      <c r="C195" s="307"/>
      <c r="D195" s="308"/>
      <c r="E195" s="308"/>
      <c r="F195" s="308"/>
      <c r="G195" s="308"/>
      <c r="H195" s="308"/>
      <c r="I195" s="307"/>
      <c r="J195" s="307"/>
      <c r="K195" s="308"/>
      <c r="L195" s="308"/>
      <c r="M195" s="308"/>
      <c r="N195" s="307"/>
      <c r="O195" s="322"/>
      <c r="P195" s="308"/>
      <c r="Q195" s="307"/>
      <c r="R195" s="307"/>
      <c r="S195" s="307"/>
      <c r="T195" s="309"/>
      <c r="U195" s="309"/>
      <c r="V195" s="309"/>
      <c r="W195" s="309"/>
      <c r="X195" s="309"/>
      <c r="Y195" s="309"/>
      <c r="Z195" s="309"/>
      <c r="AA195" s="323"/>
      <c r="AB195" s="311"/>
      <c r="AC195" s="312"/>
      <c r="AD195" s="281"/>
      <c r="AE195" s="282"/>
      <c r="AF195" s="330"/>
    </row>
    <row r="196" spans="1:33">
      <c r="A196" s="324"/>
      <c r="B196" s="325"/>
      <c r="C196" s="314"/>
      <c r="D196" s="315"/>
      <c r="E196" s="315"/>
      <c r="F196" s="315"/>
      <c r="G196" s="315"/>
      <c r="H196" s="315"/>
      <c r="I196" s="314"/>
      <c r="J196" s="314"/>
      <c r="K196" s="315"/>
      <c r="L196" s="315"/>
      <c r="M196" s="315"/>
      <c r="N196" s="314"/>
      <c r="O196" s="316"/>
      <c r="P196" s="315"/>
      <c r="Q196" s="314"/>
      <c r="R196" s="314"/>
      <c r="S196" s="314"/>
      <c r="T196" s="317"/>
      <c r="U196" s="317"/>
      <c r="V196" s="317"/>
      <c r="W196" s="317"/>
      <c r="X196" s="317"/>
      <c r="Y196" s="317"/>
      <c r="Z196" s="317"/>
      <c r="AA196" s="318"/>
      <c r="AB196" s="311"/>
      <c r="AC196" s="312"/>
      <c r="AD196" s="321"/>
      <c r="AE196" s="282"/>
      <c r="AF196" s="331"/>
      <c r="AG196" s="328"/>
    </row>
    <row r="197" spans="1:33">
      <c r="A197" s="303"/>
      <c r="B197" s="291"/>
      <c r="C197" s="285"/>
      <c r="D197" s="276"/>
      <c r="E197" s="276"/>
      <c r="F197" s="276"/>
      <c r="G197" s="276"/>
      <c r="H197" s="276"/>
      <c r="I197" s="285"/>
      <c r="J197" s="285"/>
      <c r="K197" s="276"/>
      <c r="L197" s="276"/>
      <c r="M197" s="276"/>
      <c r="N197" s="285"/>
      <c r="O197" s="285"/>
      <c r="P197" s="276"/>
      <c r="Q197" s="285"/>
      <c r="R197" s="285"/>
      <c r="S197" s="285"/>
      <c r="T197" s="285"/>
      <c r="U197" s="285"/>
      <c r="V197" s="285"/>
      <c r="W197" s="285"/>
      <c r="X197" s="285"/>
      <c r="Y197" s="285"/>
      <c r="Z197" s="285"/>
      <c r="AA197" s="332"/>
      <c r="AB197" s="289"/>
      <c r="AC197" s="290"/>
      <c r="AD197" s="281"/>
      <c r="AE197" s="282"/>
    </row>
    <row r="198" spans="1:33">
      <c r="A198" s="305"/>
      <c r="B198" s="306"/>
      <c r="C198" s="307"/>
      <c r="D198" s="308"/>
      <c r="E198" s="308"/>
      <c r="F198" s="308"/>
      <c r="G198" s="308"/>
      <c r="H198" s="308"/>
      <c r="I198" s="307"/>
      <c r="J198" s="307"/>
      <c r="K198" s="308"/>
      <c r="L198" s="308"/>
      <c r="M198" s="308"/>
      <c r="N198" s="307"/>
      <c r="O198" s="307"/>
      <c r="P198" s="308"/>
      <c r="Q198" s="307"/>
      <c r="R198" s="307"/>
      <c r="S198" s="307"/>
      <c r="T198" s="307"/>
      <c r="U198" s="307"/>
      <c r="V198" s="307"/>
      <c r="W198" s="307"/>
      <c r="X198" s="307"/>
      <c r="Y198" s="307"/>
      <c r="Z198" s="307"/>
      <c r="AA198" s="333"/>
      <c r="AB198" s="289"/>
      <c r="AC198" s="290"/>
      <c r="AD198" s="281"/>
      <c r="AE198" s="282"/>
    </row>
    <row r="199" spans="1:33">
      <c r="A199" s="305"/>
      <c r="B199" s="313"/>
      <c r="C199" s="314"/>
      <c r="D199" s="315"/>
      <c r="E199" s="315"/>
      <c r="F199" s="315"/>
      <c r="G199" s="315"/>
      <c r="H199" s="315"/>
      <c r="I199" s="314"/>
      <c r="J199" s="314"/>
      <c r="K199" s="315"/>
      <c r="L199" s="315"/>
      <c r="M199" s="315"/>
      <c r="N199" s="314"/>
      <c r="O199" s="316"/>
      <c r="P199" s="315"/>
      <c r="Q199" s="314"/>
      <c r="R199" s="314"/>
      <c r="S199" s="314"/>
      <c r="T199" s="314"/>
      <c r="U199" s="314"/>
      <c r="V199" s="314"/>
      <c r="W199" s="314"/>
      <c r="X199" s="314"/>
      <c r="Y199" s="314"/>
      <c r="Z199" s="314"/>
      <c r="AA199" s="334"/>
      <c r="AB199" s="335"/>
      <c r="AC199" s="336"/>
      <c r="AD199" s="321"/>
      <c r="AE199" s="282"/>
    </row>
    <row r="200" spans="1:33">
      <c r="A200" s="305"/>
      <c r="B200" s="306"/>
      <c r="C200" s="307"/>
      <c r="D200" s="308"/>
      <c r="E200" s="308"/>
      <c r="F200" s="308"/>
      <c r="G200" s="308"/>
      <c r="H200" s="308"/>
      <c r="I200" s="307"/>
      <c r="J200" s="307"/>
      <c r="K200" s="308"/>
      <c r="L200" s="308"/>
      <c r="M200" s="308"/>
      <c r="N200" s="307"/>
      <c r="O200" s="322"/>
      <c r="P200" s="308"/>
      <c r="Q200" s="307"/>
      <c r="R200" s="307"/>
      <c r="S200" s="307"/>
      <c r="T200" s="307"/>
      <c r="U200" s="307"/>
      <c r="V200" s="307"/>
      <c r="W200" s="307"/>
      <c r="X200" s="307"/>
      <c r="Y200" s="307"/>
      <c r="Z200" s="307"/>
      <c r="AA200" s="306"/>
      <c r="AB200" s="289"/>
      <c r="AC200" s="290"/>
      <c r="AD200" s="281"/>
      <c r="AE200" s="282"/>
    </row>
    <row r="201" spans="1:33">
      <c r="A201" s="305"/>
      <c r="B201" s="306"/>
      <c r="C201" s="307"/>
      <c r="D201" s="308"/>
      <c r="E201" s="308"/>
      <c r="F201" s="308"/>
      <c r="G201" s="308"/>
      <c r="H201" s="308"/>
      <c r="I201" s="307"/>
      <c r="J201" s="307"/>
      <c r="K201" s="308"/>
      <c r="L201" s="308"/>
      <c r="M201" s="308"/>
      <c r="N201" s="307"/>
      <c r="O201" s="322"/>
      <c r="P201" s="308"/>
      <c r="Q201" s="307"/>
      <c r="R201" s="307"/>
      <c r="S201" s="307"/>
      <c r="T201" s="307"/>
      <c r="U201" s="307"/>
      <c r="V201" s="307"/>
      <c r="W201" s="307"/>
      <c r="X201" s="307"/>
      <c r="Y201" s="307"/>
      <c r="Z201" s="307"/>
      <c r="AA201" s="306"/>
      <c r="AB201" s="289"/>
      <c r="AC201" s="290"/>
      <c r="AD201" s="281"/>
      <c r="AE201" s="282"/>
    </row>
    <row r="202" spans="1:33">
      <c r="A202" s="305"/>
      <c r="B202" s="313"/>
      <c r="C202" s="314"/>
      <c r="D202" s="315"/>
      <c r="E202" s="315"/>
      <c r="F202" s="315"/>
      <c r="G202" s="315"/>
      <c r="H202" s="315"/>
      <c r="I202" s="314"/>
      <c r="J202" s="314"/>
      <c r="K202" s="315"/>
      <c r="L202" s="315"/>
      <c r="M202" s="315"/>
      <c r="N202" s="314"/>
      <c r="O202" s="316"/>
      <c r="P202" s="315"/>
      <c r="Q202" s="314"/>
      <c r="R202" s="314"/>
      <c r="S202" s="314"/>
      <c r="T202" s="314"/>
      <c r="U202" s="314"/>
      <c r="V202" s="314"/>
      <c r="W202" s="314"/>
      <c r="X202" s="314"/>
      <c r="Y202" s="314"/>
      <c r="Z202" s="314"/>
      <c r="AA202" s="334"/>
      <c r="AB202" s="337"/>
      <c r="AC202" s="338"/>
      <c r="AD202" s="321"/>
      <c r="AE202" s="282"/>
    </row>
    <row r="203" spans="1:33">
      <c r="A203" s="305"/>
      <c r="B203" s="306"/>
      <c r="C203" s="307"/>
      <c r="D203" s="308"/>
      <c r="E203" s="308"/>
      <c r="F203" s="308"/>
      <c r="G203" s="308"/>
      <c r="H203" s="308"/>
      <c r="I203" s="307"/>
      <c r="J203" s="307"/>
      <c r="K203" s="308"/>
      <c r="L203" s="308"/>
      <c r="M203" s="308"/>
      <c r="N203" s="307"/>
      <c r="O203" s="322"/>
      <c r="P203" s="308"/>
      <c r="Q203" s="307"/>
      <c r="R203" s="307"/>
      <c r="S203" s="307"/>
      <c r="T203" s="307"/>
      <c r="U203" s="307"/>
      <c r="V203" s="307"/>
      <c r="W203" s="307"/>
      <c r="X203" s="307"/>
      <c r="Y203" s="307"/>
      <c r="Z203" s="307"/>
      <c r="AA203" s="306"/>
      <c r="AB203" s="289"/>
      <c r="AC203" s="290"/>
      <c r="AD203" s="281"/>
      <c r="AE203" s="282"/>
    </row>
    <row r="204" spans="1:33">
      <c r="A204" s="305"/>
      <c r="B204" s="306"/>
      <c r="C204" s="307"/>
      <c r="D204" s="308"/>
      <c r="E204" s="308"/>
      <c r="F204" s="308"/>
      <c r="G204" s="308"/>
      <c r="H204" s="308"/>
      <c r="I204" s="307"/>
      <c r="J204" s="307"/>
      <c r="K204" s="308"/>
      <c r="L204" s="308"/>
      <c r="M204" s="308"/>
      <c r="N204" s="307"/>
      <c r="O204" s="322"/>
      <c r="P204" s="308"/>
      <c r="Q204" s="307"/>
      <c r="R204" s="307"/>
      <c r="S204" s="307"/>
      <c r="T204" s="307"/>
      <c r="U204" s="307"/>
      <c r="V204" s="307"/>
      <c r="W204" s="307"/>
      <c r="X204" s="307"/>
      <c r="Y204" s="307"/>
      <c r="Z204" s="307"/>
      <c r="AA204" s="306"/>
      <c r="AB204" s="289"/>
      <c r="AC204" s="290"/>
      <c r="AD204" s="281"/>
      <c r="AE204" s="282"/>
    </row>
    <row r="205" spans="1:33">
      <c r="A205" s="305"/>
      <c r="B205" s="313"/>
      <c r="C205" s="314"/>
      <c r="D205" s="315"/>
      <c r="E205" s="315"/>
      <c r="F205" s="315"/>
      <c r="G205" s="315"/>
      <c r="H205" s="315"/>
      <c r="I205" s="314"/>
      <c r="J205" s="314"/>
      <c r="K205" s="315"/>
      <c r="L205" s="315"/>
      <c r="M205" s="315"/>
      <c r="N205" s="314"/>
      <c r="O205" s="316"/>
      <c r="P205" s="315"/>
      <c r="Q205" s="314"/>
      <c r="R205" s="314"/>
      <c r="S205" s="314"/>
      <c r="T205" s="314"/>
      <c r="U205" s="314"/>
      <c r="V205" s="314"/>
      <c r="W205" s="314"/>
      <c r="X205" s="314"/>
      <c r="Y205" s="314"/>
      <c r="Z205" s="314"/>
      <c r="AA205" s="334"/>
      <c r="AB205" s="337"/>
      <c r="AC205" s="338"/>
      <c r="AD205" s="321"/>
      <c r="AE205" s="282"/>
      <c r="AF205" s="328"/>
      <c r="AG205" s="329"/>
    </row>
    <row r="206" spans="1:33">
      <c r="A206" s="305"/>
      <c r="B206" s="306"/>
      <c r="C206" s="307"/>
      <c r="D206" s="308"/>
      <c r="E206" s="308"/>
      <c r="F206" s="308"/>
      <c r="G206" s="308"/>
      <c r="H206" s="308"/>
      <c r="I206" s="307"/>
      <c r="J206" s="307"/>
      <c r="K206" s="308"/>
      <c r="L206" s="308"/>
      <c r="M206" s="308"/>
      <c r="N206" s="307"/>
      <c r="O206" s="322"/>
      <c r="P206" s="308"/>
      <c r="Q206" s="307"/>
      <c r="R206" s="307"/>
      <c r="S206" s="307"/>
      <c r="T206" s="307"/>
      <c r="U206" s="307"/>
      <c r="V206" s="307"/>
      <c r="W206" s="307"/>
      <c r="X206" s="307"/>
      <c r="Y206" s="307"/>
      <c r="Z206" s="307"/>
      <c r="AA206" s="306"/>
      <c r="AB206" s="289"/>
      <c r="AC206" s="290"/>
      <c r="AD206" s="281"/>
      <c r="AE206" s="282"/>
      <c r="AF206" s="330"/>
    </row>
    <row r="207" spans="1:33">
      <c r="A207" s="305"/>
      <c r="B207" s="306"/>
      <c r="C207" s="307"/>
      <c r="D207" s="308"/>
      <c r="E207" s="308"/>
      <c r="F207" s="308"/>
      <c r="G207" s="308"/>
      <c r="H207" s="308"/>
      <c r="I207" s="307"/>
      <c r="J207" s="307"/>
      <c r="K207" s="308"/>
      <c r="L207" s="308"/>
      <c r="M207" s="308"/>
      <c r="N207" s="307"/>
      <c r="O207" s="322"/>
      <c r="P207" s="308"/>
      <c r="Q207" s="307"/>
      <c r="R207" s="307"/>
      <c r="S207" s="307"/>
      <c r="T207" s="307"/>
      <c r="U207" s="307"/>
      <c r="V207" s="307"/>
      <c r="W207" s="307"/>
      <c r="X207" s="307"/>
      <c r="Y207" s="307"/>
      <c r="Z207" s="307"/>
      <c r="AA207" s="306"/>
      <c r="AB207" s="289"/>
      <c r="AC207" s="290"/>
      <c r="AD207" s="281"/>
      <c r="AE207" s="282"/>
      <c r="AF207" s="330"/>
    </row>
    <row r="208" spans="1:33">
      <c r="A208" s="324"/>
      <c r="B208" s="325"/>
      <c r="C208" s="314"/>
      <c r="D208" s="315"/>
      <c r="E208" s="315"/>
      <c r="F208" s="315"/>
      <c r="G208" s="315"/>
      <c r="H208" s="315"/>
      <c r="I208" s="314"/>
      <c r="J208" s="314"/>
      <c r="K208" s="315"/>
      <c r="L208" s="315"/>
      <c r="M208" s="315"/>
      <c r="N208" s="314"/>
      <c r="O208" s="316"/>
      <c r="P208" s="315"/>
      <c r="Q208" s="314"/>
      <c r="R208" s="314"/>
      <c r="S208" s="314"/>
      <c r="T208" s="314"/>
      <c r="U208" s="314"/>
      <c r="V208" s="314"/>
      <c r="W208" s="314"/>
      <c r="X208" s="314"/>
      <c r="Y208" s="314"/>
      <c r="Z208" s="314"/>
      <c r="AA208" s="334"/>
      <c r="AB208" s="339"/>
      <c r="AC208" s="340"/>
      <c r="AD208" s="321"/>
      <c r="AE208" s="282"/>
      <c r="AF208" s="331"/>
      <c r="AG208" s="328"/>
    </row>
    <row r="209" spans="1:27">
      <c r="A209" s="269"/>
      <c r="C209" s="341"/>
      <c r="D209" s="341"/>
      <c r="E209" s="341"/>
      <c r="F209" s="341"/>
      <c r="G209" s="341"/>
      <c r="H209" s="341"/>
      <c r="I209" s="341"/>
      <c r="J209" s="341"/>
      <c r="K209" s="341"/>
      <c r="L209" s="341"/>
      <c r="M209" s="341"/>
      <c r="N209" s="341"/>
      <c r="O209" s="341"/>
      <c r="P209" s="341"/>
      <c r="Q209" s="341"/>
      <c r="R209" s="341"/>
      <c r="S209" s="341"/>
      <c r="T209" s="341"/>
      <c r="U209" s="341"/>
      <c r="V209" s="341"/>
      <c r="W209" s="341"/>
      <c r="X209" s="341"/>
      <c r="Y209" s="341"/>
      <c r="Z209" s="341"/>
      <c r="AA209" s="341"/>
    </row>
    <row r="210" spans="1:27">
      <c r="A210" s="269"/>
    </row>
    <row r="211" spans="1:27">
      <c r="A211" s="269"/>
    </row>
    <row r="212" spans="1:27">
      <c r="A212" s="269"/>
    </row>
    <row r="213" spans="1:27">
      <c r="A213" s="269"/>
    </row>
    <row r="214" spans="1:27">
      <c r="A214" s="269"/>
    </row>
    <row r="215" spans="1:27">
      <c r="A215" s="269"/>
    </row>
    <row r="216" spans="1:27">
      <c r="A216" s="269"/>
    </row>
    <row r="217" spans="1:27">
      <c r="A217" s="269"/>
    </row>
    <row r="218" spans="1:27">
      <c r="A218" s="269"/>
    </row>
    <row r="219" spans="1:27">
      <c r="A219" s="269"/>
    </row>
    <row r="220" spans="1:27">
      <c r="A220" s="269"/>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8"/>
  <sheetViews>
    <sheetView workbookViewId="0">
      <selection sqref="A1:XFD1048576"/>
    </sheetView>
  </sheetViews>
  <sheetFormatPr defaultRowHeight="12.75"/>
  <cols>
    <col min="1" max="1" width="5" style="345" customWidth="1"/>
    <col min="2" max="2" width="32" style="345" customWidth="1"/>
    <col min="3" max="8" width="15.1640625" style="270" customWidth="1"/>
    <col min="9" max="9" width="17.5" style="270" customWidth="1"/>
    <col min="10" max="13" width="13.6640625" style="270" customWidth="1"/>
    <col min="14" max="14" width="17.5" style="270" customWidth="1"/>
    <col min="15" max="16" width="11.5" style="270" customWidth="1"/>
    <col min="17" max="18" width="12.83203125" style="270" customWidth="1"/>
    <col min="19" max="19" width="16.6640625" style="270" customWidth="1"/>
    <col min="20" max="20" width="6.5" style="345" customWidth="1"/>
    <col min="21" max="21" width="9.33203125" style="345"/>
    <col min="22" max="25" width="11.5" style="345" customWidth="1"/>
    <col min="26" max="26" width="9.5" style="345" customWidth="1"/>
    <col min="27" max="27" width="10.6640625" style="345" customWidth="1"/>
    <col min="28" max="28" width="10.1640625" style="345" customWidth="1"/>
    <col min="29" max="29" width="13.6640625" style="345" customWidth="1"/>
    <col min="30" max="16384" width="9.33203125" style="345"/>
  </cols>
  <sheetData>
    <row r="1" spans="1:29">
      <c r="A1" s="270"/>
      <c r="B1" s="270"/>
      <c r="E1" s="343"/>
      <c r="L1" s="344"/>
    </row>
    <row r="2" spans="1:29">
      <c r="A2" s="270"/>
      <c r="B2" s="270"/>
    </row>
    <row r="3" spans="1:29">
      <c r="A3" s="346"/>
      <c r="B3" s="347"/>
      <c r="C3" s="346"/>
      <c r="D3" s="347"/>
      <c r="E3" s="347"/>
      <c r="F3" s="347"/>
      <c r="G3" s="347"/>
      <c r="H3" s="347"/>
      <c r="I3" s="347"/>
      <c r="J3" s="347"/>
      <c r="K3" s="347"/>
      <c r="L3" s="347"/>
      <c r="M3" s="347"/>
      <c r="N3" s="347"/>
      <c r="O3" s="347"/>
      <c r="P3" s="347"/>
      <c r="Q3" s="347"/>
      <c r="R3" s="347"/>
      <c r="S3" s="347"/>
      <c r="T3" s="348"/>
      <c r="U3" s="348"/>
      <c r="V3" s="348"/>
      <c r="W3" s="349"/>
      <c r="X3" s="348"/>
      <c r="Y3" s="348"/>
      <c r="Z3" s="348"/>
      <c r="AA3" s="349"/>
      <c r="AB3" s="350"/>
      <c r="AC3" s="351"/>
    </row>
    <row r="4" spans="1:29">
      <c r="A4" s="352"/>
      <c r="B4" s="353"/>
      <c r="C4" s="346"/>
      <c r="D4" s="347"/>
      <c r="E4" s="347"/>
      <c r="F4" s="347"/>
      <c r="G4" s="347"/>
      <c r="H4" s="347"/>
      <c r="I4" s="346"/>
      <c r="J4" s="346"/>
      <c r="K4" s="347"/>
      <c r="L4" s="347"/>
      <c r="M4" s="347"/>
      <c r="N4" s="346"/>
      <c r="O4" s="346"/>
      <c r="P4" s="347"/>
      <c r="Q4" s="346"/>
      <c r="R4" s="346"/>
      <c r="S4" s="346"/>
      <c r="T4" s="354"/>
      <c r="U4" s="354"/>
      <c r="V4" s="354"/>
      <c r="W4" s="355"/>
      <c r="X4" s="354"/>
      <c r="Y4" s="354"/>
      <c r="Z4" s="354"/>
      <c r="AA4" s="355"/>
      <c r="AB4" s="356"/>
      <c r="AC4" s="357"/>
    </row>
    <row r="5" spans="1:29">
      <c r="A5" s="346"/>
      <c r="B5" s="346"/>
      <c r="C5" s="346"/>
      <c r="D5" s="358"/>
      <c r="E5" s="358"/>
      <c r="F5" s="358"/>
      <c r="G5" s="358"/>
      <c r="H5" s="358"/>
      <c r="I5" s="352"/>
      <c r="J5" s="346"/>
      <c r="K5" s="358"/>
      <c r="L5" s="358"/>
      <c r="M5" s="358"/>
      <c r="N5" s="352"/>
      <c r="O5" s="346"/>
      <c r="P5" s="358"/>
      <c r="Q5" s="352"/>
      <c r="R5" s="346"/>
      <c r="S5" s="352"/>
      <c r="T5" s="354"/>
      <c r="U5" s="359"/>
      <c r="V5" s="354"/>
      <c r="W5" s="360"/>
      <c r="X5" s="354"/>
      <c r="Y5" s="359"/>
      <c r="Z5" s="354"/>
      <c r="AA5" s="360"/>
      <c r="AB5" s="356"/>
      <c r="AC5" s="361"/>
    </row>
    <row r="6" spans="1:29">
      <c r="A6" s="362"/>
      <c r="B6" s="346"/>
      <c r="C6" s="363"/>
      <c r="D6" s="364"/>
      <c r="E6" s="364"/>
      <c r="F6" s="364"/>
      <c r="G6" s="364"/>
      <c r="H6" s="364"/>
      <c r="I6" s="363"/>
      <c r="J6" s="363"/>
      <c r="K6" s="364"/>
      <c r="L6" s="364"/>
      <c r="M6" s="364"/>
      <c r="N6" s="363"/>
      <c r="O6" s="363"/>
      <c r="P6" s="364"/>
      <c r="Q6" s="363"/>
      <c r="R6" s="363"/>
      <c r="S6" s="363"/>
      <c r="T6" s="365"/>
      <c r="U6" s="365"/>
      <c r="V6" s="365"/>
      <c r="W6" s="366"/>
      <c r="X6" s="365"/>
      <c r="Y6" s="365"/>
      <c r="Z6" s="365"/>
      <c r="AA6" s="366"/>
      <c r="AB6" s="367"/>
      <c r="AC6" s="368"/>
    </row>
    <row r="7" spans="1:29">
      <c r="A7" s="369"/>
      <c r="B7" s="370"/>
      <c r="C7" s="371"/>
      <c r="D7" s="372"/>
      <c r="E7" s="372"/>
      <c r="F7" s="372"/>
      <c r="G7" s="372"/>
      <c r="H7" s="372"/>
      <c r="I7" s="371"/>
      <c r="J7" s="371"/>
      <c r="K7" s="372"/>
      <c r="L7" s="372"/>
      <c r="M7" s="372"/>
      <c r="N7" s="371"/>
      <c r="O7" s="371"/>
      <c r="P7" s="372"/>
      <c r="Q7" s="371"/>
      <c r="R7" s="371"/>
      <c r="S7" s="371"/>
      <c r="T7" s="373"/>
      <c r="U7" s="373"/>
      <c r="V7" s="373"/>
      <c r="W7" s="374"/>
      <c r="X7" s="373"/>
      <c r="Y7" s="373"/>
      <c r="Z7" s="373"/>
      <c r="AA7" s="374"/>
      <c r="AB7" s="375"/>
      <c r="AC7" s="376"/>
    </row>
    <row r="8" spans="1:29">
      <c r="A8" s="369"/>
      <c r="B8" s="377"/>
      <c r="C8" s="377"/>
      <c r="D8" s="378"/>
      <c r="E8" s="378"/>
      <c r="F8" s="378"/>
      <c r="G8" s="378"/>
      <c r="H8" s="378"/>
      <c r="I8" s="377"/>
      <c r="J8" s="377"/>
      <c r="K8" s="378"/>
      <c r="L8" s="378"/>
      <c r="M8" s="378"/>
      <c r="N8" s="377"/>
      <c r="O8" s="377"/>
      <c r="P8" s="378"/>
      <c r="Q8" s="377"/>
      <c r="R8" s="377"/>
      <c r="S8" s="377"/>
      <c r="T8" s="379"/>
      <c r="U8" s="379"/>
      <c r="V8" s="379"/>
      <c r="W8" s="380"/>
      <c r="X8" s="379"/>
      <c r="Y8" s="379"/>
      <c r="Z8" s="379"/>
      <c r="AA8" s="380"/>
      <c r="AB8" s="375"/>
      <c r="AC8" s="376"/>
    </row>
    <row r="9" spans="1:29">
      <c r="A9" s="369"/>
      <c r="B9" s="370"/>
      <c r="C9" s="371"/>
      <c r="D9" s="372"/>
      <c r="E9" s="372"/>
      <c r="F9" s="372"/>
      <c r="G9" s="372"/>
      <c r="H9" s="372"/>
      <c r="I9" s="371"/>
      <c r="J9" s="371"/>
      <c r="K9" s="372"/>
      <c r="L9" s="372"/>
      <c r="M9" s="372"/>
      <c r="N9" s="371"/>
      <c r="O9" s="371"/>
      <c r="P9" s="372"/>
      <c r="Q9" s="371"/>
      <c r="R9" s="371"/>
      <c r="S9" s="371"/>
      <c r="T9" s="373"/>
      <c r="U9" s="373"/>
      <c r="V9" s="373"/>
      <c r="W9" s="374"/>
      <c r="X9" s="373"/>
      <c r="Y9" s="373"/>
      <c r="Z9" s="373"/>
      <c r="AA9" s="374"/>
      <c r="AB9" s="375"/>
      <c r="AC9" s="376"/>
    </row>
    <row r="10" spans="1:29">
      <c r="A10" s="369"/>
      <c r="B10" s="370"/>
      <c r="C10" s="371"/>
      <c r="D10" s="372"/>
      <c r="E10" s="372"/>
      <c r="F10" s="372"/>
      <c r="G10" s="372"/>
      <c r="H10" s="372"/>
      <c r="I10" s="371"/>
      <c r="J10" s="371"/>
      <c r="K10" s="372"/>
      <c r="L10" s="372"/>
      <c r="M10" s="372"/>
      <c r="N10" s="371"/>
      <c r="O10" s="371"/>
      <c r="P10" s="372"/>
      <c r="Q10" s="371"/>
      <c r="R10" s="371"/>
      <c r="S10" s="371"/>
      <c r="T10" s="373"/>
      <c r="U10" s="373"/>
      <c r="V10" s="373"/>
      <c r="W10" s="374"/>
      <c r="X10" s="373"/>
      <c r="Y10" s="373"/>
      <c r="Z10" s="373"/>
      <c r="AA10" s="374"/>
      <c r="AB10" s="375"/>
      <c r="AC10" s="376"/>
    </row>
    <row r="11" spans="1:29">
      <c r="A11" s="369"/>
      <c r="B11" s="381"/>
      <c r="C11" s="377"/>
      <c r="D11" s="378"/>
      <c r="E11" s="378"/>
      <c r="F11" s="378"/>
      <c r="G11" s="378"/>
      <c r="H11" s="378"/>
      <c r="I11" s="377"/>
      <c r="J11" s="377"/>
      <c r="K11" s="378"/>
      <c r="L11" s="378"/>
      <c r="M11" s="378"/>
      <c r="N11" s="377"/>
      <c r="O11" s="377"/>
      <c r="P11" s="378"/>
      <c r="Q11" s="377"/>
      <c r="R11" s="381"/>
      <c r="S11" s="381"/>
      <c r="T11" s="382"/>
      <c r="U11" s="382"/>
      <c r="V11" s="382"/>
      <c r="W11" s="383"/>
      <c r="X11" s="382"/>
      <c r="Y11" s="382"/>
      <c r="Z11" s="382"/>
      <c r="AA11" s="383"/>
      <c r="AB11" s="375"/>
      <c r="AC11" s="376"/>
    </row>
    <row r="12" spans="1:29">
      <c r="A12" s="384"/>
      <c r="B12" s="385"/>
      <c r="C12" s="386"/>
      <c r="D12" s="387"/>
      <c r="E12" s="387"/>
      <c r="F12" s="387"/>
      <c r="G12" s="387"/>
      <c r="H12" s="387"/>
      <c r="I12" s="386"/>
      <c r="J12" s="386"/>
      <c r="K12" s="387"/>
      <c r="L12" s="387"/>
      <c r="M12" s="387"/>
      <c r="N12" s="386"/>
      <c r="O12" s="386"/>
      <c r="P12" s="387"/>
      <c r="Q12" s="386"/>
      <c r="R12" s="386"/>
      <c r="S12" s="386"/>
      <c r="T12" s="388"/>
      <c r="U12" s="388"/>
      <c r="V12" s="388"/>
      <c r="W12" s="389"/>
      <c r="X12" s="388"/>
      <c r="Y12" s="388"/>
      <c r="Z12" s="388"/>
      <c r="AA12" s="389"/>
      <c r="AB12" s="375"/>
      <c r="AC12" s="376"/>
    </row>
    <row r="13" spans="1:29">
      <c r="A13" s="362"/>
      <c r="B13" s="346"/>
      <c r="C13" s="363"/>
      <c r="D13" s="364"/>
      <c r="E13" s="364"/>
      <c r="F13" s="364"/>
      <c r="G13" s="364"/>
      <c r="H13" s="364"/>
      <c r="I13" s="363"/>
      <c r="J13" s="363"/>
      <c r="K13" s="364"/>
      <c r="L13" s="364"/>
      <c r="M13" s="364"/>
      <c r="N13" s="363"/>
      <c r="O13" s="363"/>
      <c r="P13" s="364"/>
      <c r="Q13" s="363"/>
      <c r="R13" s="363"/>
      <c r="S13" s="363"/>
      <c r="T13" s="365"/>
      <c r="U13" s="365"/>
      <c r="V13" s="365"/>
      <c r="W13" s="366"/>
      <c r="X13" s="365"/>
      <c r="Y13" s="365"/>
      <c r="Z13" s="365"/>
      <c r="AA13" s="366"/>
      <c r="AB13" s="367"/>
      <c r="AC13" s="368"/>
    </row>
    <row r="14" spans="1:29">
      <c r="A14" s="369"/>
      <c r="B14" s="370"/>
      <c r="C14" s="371"/>
      <c r="D14" s="372"/>
      <c r="E14" s="372"/>
      <c r="F14" s="372"/>
      <c r="G14" s="372"/>
      <c r="H14" s="372"/>
      <c r="I14" s="371"/>
      <c r="J14" s="371"/>
      <c r="K14" s="372"/>
      <c r="L14" s="372"/>
      <c r="M14" s="372"/>
      <c r="N14" s="371"/>
      <c r="O14" s="371"/>
      <c r="P14" s="372"/>
      <c r="Q14" s="371"/>
      <c r="R14" s="371"/>
      <c r="S14" s="371"/>
      <c r="T14" s="373"/>
      <c r="U14" s="373"/>
      <c r="V14" s="373"/>
      <c r="W14" s="374"/>
      <c r="X14" s="373"/>
      <c r="Y14" s="373"/>
      <c r="Z14" s="373"/>
      <c r="AA14" s="374"/>
      <c r="AB14" s="375"/>
      <c r="AC14" s="376"/>
    </row>
    <row r="15" spans="1:29">
      <c r="A15" s="369"/>
      <c r="B15" s="377"/>
      <c r="C15" s="377"/>
      <c r="D15" s="378"/>
      <c r="E15" s="378"/>
      <c r="F15" s="378"/>
      <c r="G15" s="378"/>
      <c r="H15" s="378"/>
      <c r="I15" s="377"/>
      <c r="J15" s="377"/>
      <c r="K15" s="378"/>
      <c r="L15" s="378"/>
      <c r="M15" s="378"/>
      <c r="N15" s="377"/>
      <c r="O15" s="377"/>
      <c r="P15" s="378"/>
      <c r="Q15" s="377"/>
      <c r="R15" s="377"/>
      <c r="S15" s="377"/>
      <c r="T15" s="379"/>
      <c r="U15" s="379"/>
      <c r="V15" s="379"/>
      <c r="W15" s="380"/>
      <c r="X15" s="379"/>
      <c r="Y15" s="379"/>
      <c r="Z15" s="379"/>
      <c r="AA15" s="380"/>
      <c r="AB15" s="375"/>
      <c r="AC15" s="376"/>
    </row>
    <row r="16" spans="1:29">
      <c r="A16" s="369"/>
      <c r="B16" s="370"/>
      <c r="C16" s="371"/>
      <c r="D16" s="372"/>
      <c r="E16" s="372"/>
      <c r="F16" s="372"/>
      <c r="G16" s="372"/>
      <c r="H16" s="372"/>
      <c r="I16" s="371"/>
      <c r="J16" s="371"/>
      <c r="K16" s="372"/>
      <c r="L16" s="372"/>
      <c r="M16" s="372"/>
      <c r="N16" s="371"/>
      <c r="O16" s="371"/>
      <c r="P16" s="372"/>
      <c r="Q16" s="371"/>
      <c r="R16" s="371"/>
      <c r="S16" s="371"/>
      <c r="T16" s="373"/>
      <c r="U16" s="373"/>
      <c r="V16" s="373"/>
      <c r="W16" s="374"/>
      <c r="X16" s="373"/>
      <c r="Y16" s="373"/>
      <c r="Z16" s="373"/>
      <c r="AA16" s="374"/>
      <c r="AB16" s="375"/>
      <c r="AC16" s="376"/>
    </row>
    <row r="17" spans="1:29">
      <c r="A17" s="369"/>
      <c r="B17" s="370"/>
      <c r="C17" s="371"/>
      <c r="D17" s="372"/>
      <c r="E17" s="372"/>
      <c r="F17" s="372"/>
      <c r="G17" s="372"/>
      <c r="H17" s="372"/>
      <c r="I17" s="371"/>
      <c r="J17" s="371"/>
      <c r="K17" s="372"/>
      <c r="L17" s="372"/>
      <c r="M17" s="372"/>
      <c r="N17" s="371"/>
      <c r="O17" s="371"/>
      <c r="P17" s="372"/>
      <c r="Q17" s="371"/>
      <c r="R17" s="371"/>
      <c r="S17" s="371"/>
      <c r="T17" s="373"/>
      <c r="U17" s="373"/>
      <c r="V17" s="373"/>
      <c r="W17" s="374"/>
      <c r="X17" s="373"/>
      <c r="Y17" s="373"/>
      <c r="Z17" s="373"/>
      <c r="AA17" s="374"/>
      <c r="AB17" s="375"/>
      <c r="AC17" s="376"/>
    </row>
    <row r="18" spans="1:29">
      <c r="A18" s="369"/>
      <c r="B18" s="381"/>
      <c r="C18" s="377"/>
      <c r="D18" s="378"/>
      <c r="E18" s="378"/>
      <c r="F18" s="378"/>
      <c r="G18" s="378"/>
      <c r="H18" s="378"/>
      <c r="I18" s="377"/>
      <c r="J18" s="377"/>
      <c r="K18" s="378"/>
      <c r="L18" s="378"/>
      <c r="M18" s="378"/>
      <c r="N18" s="377"/>
      <c r="O18" s="377"/>
      <c r="P18" s="378"/>
      <c r="Q18" s="377"/>
      <c r="R18" s="381"/>
      <c r="S18" s="381"/>
      <c r="T18" s="382"/>
      <c r="U18" s="382"/>
      <c r="V18" s="382"/>
      <c r="W18" s="383"/>
      <c r="X18" s="382"/>
      <c r="Y18" s="382"/>
      <c r="Z18" s="382"/>
      <c r="AA18" s="383"/>
      <c r="AB18" s="375"/>
      <c r="AC18" s="376"/>
    </row>
    <row r="19" spans="1:29">
      <c r="A19" s="384"/>
      <c r="B19" s="385"/>
      <c r="C19" s="386"/>
      <c r="D19" s="387"/>
      <c r="E19" s="387"/>
      <c r="F19" s="387"/>
      <c r="G19" s="387"/>
      <c r="H19" s="387"/>
      <c r="I19" s="386"/>
      <c r="J19" s="386"/>
      <c r="K19" s="387"/>
      <c r="L19" s="387"/>
      <c r="M19" s="387"/>
      <c r="N19" s="386"/>
      <c r="O19" s="386"/>
      <c r="P19" s="387"/>
      <c r="Q19" s="386"/>
      <c r="R19" s="386"/>
      <c r="S19" s="386"/>
      <c r="T19" s="388"/>
      <c r="U19" s="388"/>
      <c r="V19" s="388"/>
      <c r="W19" s="389"/>
      <c r="X19" s="388"/>
      <c r="Y19" s="388"/>
      <c r="Z19" s="388"/>
      <c r="AA19" s="389"/>
      <c r="AB19" s="375"/>
      <c r="AC19" s="376"/>
    </row>
    <row r="20" spans="1:29">
      <c r="A20" s="362"/>
      <c r="B20" s="346"/>
      <c r="C20" s="363"/>
      <c r="D20" s="364"/>
      <c r="E20" s="364"/>
      <c r="F20" s="364"/>
      <c r="G20" s="364"/>
      <c r="H20" s="364"/>
      <c r="I20" s="363"/>
      <c r="J20" s="363"/>
      <c r="K20" s="364"/>
      <c r="L20" s="364"/>
      <c r="M20" s="364"/>
      <c r="N20" s="363"/>
      <c r="O20" s="363"/>
      <c r="P20" s="364"/>
      <c r="Q20" s="363"/>
      <c r="R20" s="363"/>
      <c r="S20" s="363"/>
      <c r="T20" s="365"/>
      <c r="U20" s="365"/>
      <c r="V20" s="365"/>
      <c r="W20" s="366"/>
      <c r="X20" s="365"/>
      <c r="Y20" s="365"/>
      <c r="Z20" s="365"/>
      <c r="AA20" s="366"/>
      <c r="AB20" s="367"/>
      <c r="AC20" s="368"/>
    </row>
    <row r="21" spans="1:29">
      <c r="A21" s="369"/>
      <c r="B21" s="370"/>
      <c r="C21" s="371"/>
      <c r="D21" s="372"/>
      <c r="E21" s="372"/>
      <c r="F21" s="372"/>
      <c r="G21" s="372"/>
      <c r="H21" s="372"/>
      <c r="I21" s="371"/>
      <c r="J21" s="371"/>
      <c r="K21" s="372"/>
      <c r="L21" s="372"/>
      <c r="M21" s="372"/>
      <c r="N21" s="371"/>
      <c r="O21" s="371"/>
      <c r="P21" s="372"/>
      <c r="Q21" s="371"/>
      <c r="R21" s="371"/>
      <c r="S21" s="371"/>
      <c r="T21" s="373"/>
      <c r="U21" s="373"/>
      <c r="V21" s="373"/>
      <c r="W21" s="374"/>
      <c r="X21" s="373"/>
      <c r="Y21" s="373"/>
      <c r="Z21" s="373"/>
      <c r="AA21" s="374"/>
      <c r="AB21" s="375"/>
      <c r="AC21" s="376"/>
    </row>
    <row r="22" spans="1:29">
      <c r="A22" s="369"/>
      <c r="B22" s="377"/>
      <c r="C22" s="377"/>
      <c r="D22" s="378"/>
      <c r="E22" s="378"/>
      <c r="F22" s="378"/>
      <c r="G22" s="378"/>
      <c r="H22" s="378"/>
      <c r="I22" s="377"/>
      <c r="J22" s="377"/>
      <c r="K22" s="378"/>
      <c r="L22" s="378"/>
      <c r="M22" s="378"/>
      <c r="N22" s="377"/>
      <c r="O22" s="377"/>
      <c r="P22" s="378"/>
      <c r="Q22" s="377"/>
      <c r="R22" s="377"/>
      <c r="S22" s="377"/>
      <c r="T22" s="379"/>
      <c r="U22" s="379"/>
      <c r="V22" s="379"/>
      <c r="W22" s="380"/>
      <c r="X22" s="379"/>
      <c r="Y22" s="379"/>
      <c r="Z22" s="379"/>
      <c r="AA22" s="380"/>
      <c r="AB22" s="375"/>
      <c r="AC22" s="376"/>
    </row>
    <row r="23" spans="1:29">
      <c r="A23" s="369"/>
      <c r="B23" s="370"/>
      <c r="C23" s="371"/>
      <c r="D23" s="372"/>
      <c r="E23" s="372"/>
      <c r="F23" s="372"/>
      <c r="G23" s="372"/>
      <c r="H23" s="372"/>
      <c r="I23" s="371"/>
      <c r="J23" s="371"/>
      <c r="K23" s="372"/>
      <c r="L23" s="372"/>
      <c r="M23" s="372"/>
      <c r="N23" s="371"/>
      <c r="O23" s="371"/>
      <c r="P23" s="372"/>
      <c r="Q23" s="371"/>
      <c r="R23" s="371"/>
      <c r="S23" s="371"/>
      <c r="T23" s="373"/>
      <c r="U23" s="373"/>
      <c r="V23" s="373"/>
      <c r="W23" s="374"/>
      <c r="X23" s="373"/>
      <c r="Y23" s="373"/>
      <c r="Z23" s="373"/>
      <c r="AA23" s="374"/>
      <c r="AB23" s="375"/>
      <c r="AC23" s="376"/>
    </row>
    <row r="24" spans="1:29">
      <c r="A24" s="369"/>
      <c r="B24" s="370"/>
      <c r="C24" s="371"/>
      <c r="D24" s="372"/>
      <c r="E24" s="372"/>
      <c r="F24" s="372"/>
      <c r="G24" s="372"/>
      <c r="H24" s="372"/>
      <c r="I24" s="371"/>
      <c r="J24" s="371"/>
      <c r="K24" s="372"/>
      <c r="L24" s="372"/>
      <c r="M24" s="372"/>
      <c r="N24" s="371"/>
      <c r="O24" s="371"/>
      <c r="P24" s="372"/>
      <c r="Q24" s="371"/>
      <c r="R24" s="371"/>
      <c r="S24" s="371"/>
      <c r="T24" s="373"/>
      <c r="U24" s="373"/>
      <c r="V24" s="373"/>
      <c r="W24" s="374"/>
      <c r="X24" s="373"/>
      <c r="Y24" s="373"/>
      <c r="Z24" s="373"/>
      <c r="AA24" s="374"/>
      <c r="AB24" s="375"/>
      <c r="AC24" s="376"/>
    </row>
    <row r="25" spans="1:29">
      <c r="A25" s="369"/>
      <c r="B25" s="381"/>
      <c r="C25" s="377"/>
      <c r="D25" s="378"/>
      <c r="E25" s="378"/>
      <c r="F25" s="378"/>
      <c r="G25" s="378"/>
      <c r="H25" s="378"/>
      <c r="I25" s="377"/>
      <c r="J25" s="377"/>
      <c r="K25" s="378"/>
      <c r="L25" s="378"/>
      <c r="M25" s="378"/>
      <c r="N25" s="377"/>
      <c r="O25" s="377"/>
      <c r="P25" s="378"/>
      <c r="Q25" s="377"/>
      <c r="R25" s="381"/>
      <c r="S25" s="381"/>
      <c r="T25" s="382"/>
      <c r="U25" s="382"/>
      <c r="V25" s="382"/>
      <c r="W25" s="383"/>
      <c r="X25" s="382"/>
      <c r="Y25" s="382"/>
      <c r="Z25" s="382"/>
      <c r="AA25" s="383"/>
      <c r="AB25" s="375"/>
      <c r="AC25" s="376"/>
    </row>
    <row r="26" spans="1:29">
      <c r="A26" s="384"/>
      <c r="B26" s="385"/>
      <c r="C26" s="386"/>
      <c r="D26" s="387"/>
      <c r="E26" s="387"/>
      <c r="F26" s="387"/>
      <c r="G26" s="387"/>
      <c r="H26" s="387"/>
      <c r="I26" s="386"/>
      <c r="J26" s="386"/>
      <c r="K26" s="387"/>
      <c r="L26" s="387"/>
      <c r="M26" s="387"/>
      <c r="N26" s="386"/>
      <c r="O26" s="386"/>
      <c r="P26" s="387"/>
      <c r="Q26" s="386"/>
      <c r="R26" s="386"/>
      <c r="S26" s="386"/>
      <c r="T26" s="388"/>
      <c r="U26" s="388"/>
      <c r="V26" s="388"/>
      <c r="W26" s="389"/>
      <c r="X26" s="388"/>
      <c r="Y26" s="388"/>
      <c r="Z26" s="388"/>
      <c r="AA26" s="389"/>
      <c r="AB26" s="375"/>
      <c r="AC26" s="376"/>
    </row>
    <row r="27" spans="1:29">
      <c r="A27" s="362"/>
      <c r="B27" s="346"/>
      <c r="C27" s="363"/>
      <c r="D27" s="364"/>
      <c r="E27" s="364"/>
      <c r="F27" s="364"/>
      <c r="G27" s="364"/>
      <c r="H27" s="364"/>
      <c r="I27" s="363"/>
      <c r="J27" s="363"/>
      <c r="K27" s="364"/>
      <c r="L27" s="364"/>
      <c r="M27" s="364"/>
      <c r="N27" s="363"/>
      <c r="O27" s="363"/>
      <c r="P27" s="364"/>
      <c r="Q27" s="363"/>
      <c r="R27" s="363"/>
      <c r="S27" s="363"/>
      <c r="T27" s="365"/>
      <c r="U27" s="365"/>
      <c r="V27" s="365"/>
      <c r="W27" s="366"/>
      <c r="X27" s="365"/>
      <c r="Y27" s="365"/>
      <c r="Z27" s="365"/>
      <c r="AA27" s="366"/>
      <c r="AB27" s="367"/>
      <c r="AC27" s="368"/>
    </row>
    <row r="28" spans="1:29">
      <c r="A28" s="369"/>
      <c r="B28" s="370"/>
      <c r="C28" s="371"/>
      <c r="D28" s="372"/>
      <c r="E28" s="372"/>
      <c r="F28" s="372"/>
      <c r="G28" s="372"/>
      <c r="H28" s="372"/>
      <c r="I28" s="371"/>
      <c r="J28" s="371"/>
      <c r="K28" s="372"/>
      <c r="L28" s="372"/>
      <c r="M28" s="372"/>
      <c r="N28" s="371"/>
      <c r="O28" s="371"/>
      <c r="P28" s="372"/>
      <c r="Q28" s="371"/>
      <c r="R28" s="371"/>
      <c r="S28" s="371"/>
      <c r="T28" s="373"/>
      <c r="U28" s="373"/>
      <c r="V28" s="373"/>
      <c r="W28" s="374"/>
      <c r="X28" s="373"/>
      <c r="Y28" s="373"/>
      <c r="Z28" s="373"/>
      <c r="AA28" s="374"/>
      <c r="AB28" s="375"/>
      <c r="AC28" s="376"/>
    </row>
    <row r="29" spans="1:29">
      <c r="A29" s="369"/>
      <c r="B29" s="377"/>
      <c r="C29" s="377"/>
      <c r="D29" s="378"/>
      <c r="E29" s="378"/>
      <c r="F29" s="378"/>
      <c r="G29" s="378"/>
      <c r="H29" s="378"/>
      <c r="I29" s="377"/>
      <c r="J29" s="377"/>
      <c r="K29" s="378"/>
      <c r="L29" s="378"/>
      <c r="M29" s="378"/>
      <c r="N29" s="377"/>
      <c r="O29" s="377"/>
      <c r="P29" s="378"/>
      <c r="Q29" s="377"/>
      <c r="R29" s="377"/>
      <c r="S29" s="377"/>
      <c r="T29" s="379"/>
      <c r="U29" s="379"/>
      <c r="V29" s="379"/>
      <c r="W29" s="380"/>
      <c r="X29" s="379"/>
      <c r="Y29" s="379"/>
      <c r="Z29" s="379"/>
      <c r="AA29" s="380"/>
      <c r="AB29" s="375"/>
      <c r="AC29" s="376"/>
    </row>
    <row r="30" spans="1:29">
      <c r="A30" s="369"/>
      <c r="B30" s="370"/>
      <c r="C30" s="371"/>
      <c r="D30" s="372"/>
      <c r="E30" s="372"/>
      <c r="F30" s="372"/>
      <c r="G30" s="372"/>
      <c r="H30" s="372"/>
      <c r="I30" s="371"/>
      <c r="J30" s="371"/>
      <c r="K30" s="372"/>
      <c r="L30" s="372"/>
      <c r="M30" s="372"/>
      <c r="N30" s="371"/>
      <c r="O30" s="371"/>
      <c r="P30" s="372"/>
      <c r="Q30" s="371"/>
      <c r="R30" s="371"/>
      <c r="S30" s="371"/>
      <c r="T30" s="373"/>
      <c r="U30" s="373"/>
      <c r="V30" s="373"/>
      <c r="W30" s="374"/>
      <c r="X30" s="373"/>
      <c r="Y30" s="373"/>
      <c r="Z30" s="373"/>
      <c r="AA30" s="374"/>
      <c r="AB30" s="375"/>
      <c r="AC30" s="376"/>
    </row>
    <row r="31" spans="1:29">
      <c r="A31" s="369"/>
      <c r="B31" s="370"/>
      <c r="C31" s="371"/>
      <c r="D31" s="372"/>
      <c r="E31" s="372"/>
      <c r="F31" s="372"/>
      <c r="G31" s="372"/>
      <c r="H31" s="372"/>
      <c r="I31" s="371"/>
      <c r="J31" s="371"/>
      <c r="K31" s="372"/>
      <c r="L31" s="372"/>
      <c r="M31" s="372"/>
      <c r="N31" s="371"/>
      <c r="O31" s="371"/>
      <c r="P31" s="372"/>
      <c r="Q31" s="371"/>
      <c r="R31" s="371"/>
      <c r="S31" s="371"/>
      <c r="T31" s="373"/>
      <c r="U31" s="373"/>
      <c r="V31" s="373"/>
      <c r="W31" s="374"/>
      <c r="X31" s="373"/>
      <c r="Y31" s="373"/>
      <c r="Z31" s="373"/>
      <c r="AA31" s="374"/>
      <c r="AB31" s="375"/>
      <c r="AC31" s="376"/>
    </row>
    <row r="32" spans="1:29">
      <c r="A32" s="369"/>
      <c r="B32" s="381"/>
      <c r="C32" s="377"/>
      <c r="D32" s="378"/>
      <c r="E32" s="378"/>
      <c r="F32" s="378"/>
      <c r="G32" s="378"/>
      <c r="H32" s="378"/>
      <c r="I32" s="377"/>
      <c r="J32" s="377"/>
      <c r="K32" s="378"/>
      <c r="L32" s="378"/>
      <c r="M32" s="378"/>
      <c r="N32" s="377"/>
      <c r="O32" s="377"/>
      <c r="P32" s="378"/>
      <c r="Q32" s="377"/>
      <c r="R32" s="381"/>
      <c r="S32" s="381"/>
      <c r="T32" s="382"/>
      <c r="U32" s="382"/>
      <c r="V32" s="382"/>
      <c r="W32" s="383"/>
      <c r="X32" s="382"/>
      <c r="Y32" s="382"/>
      <c r="Z32" s="382"/>
      <c r="AA32" s="383"/>
      <c r="AB32" s="375"/>
      <c r="AC32" s="376"/>
    </row>
    <row r="33" spans="1:29">
      <c r="A33" s="384"/>
      <c r="B33" s="385"/>
      <c r="C33" s="386"/>
      <c r="D33" s="387"/>
      <c r="E33" s="387"/>
      <c r="F33" s="387"/>
      <c r="G33" s="387"/>
      <c r="H33" s="387"/>
      <c r="I33" s="386"/>
      <c r="J33" s="386"/>
      <c r="K33" s="387"/>
      <c r="L33" s="387"/>
      <c r="M33" s="387"/>
      <c r="N33" s="386"/>
      <c r="O33" s="386"/>
      <c r="P33" s="387"/>
      <c r="Q33" s="386"/>
      <c r="R33" s="386"/>
      <c r="S33" s="386"/>
      <c r="T33" s="388"/>
      <c r="U33" s="388"/>
      <c r="V33" s="388"/>
      <c r="W33" s="389"/>
      <c r="X33" s="388"/>
      <c r="Y33" s="388"/>
      <c r="Z33" s="388"/>
      <c r="AA33" s="389"/>
      <c r="AB33" s="375"/>
      <c r="AC33" s="376"/>
    </row>
    <row r="34" spans="1:29">
      <c r="A34" s="362"/>
      <c r="B34" s="346"/>
      <c r="C34" s="363"/>
      <c r="D34" s="364"/>
      <c r="E34" s="364"/>
      <c r="F34" s="364"/>
      <c r="G34" s="364"/>
      <c r="H34" s="364"/>
      <c r="I34" s="363"/>
      <c r="J34" s="363"/>
      <c r="K34" s="364"/>
      <c r="L34" s="364"/>
      <c r="M34" s="364"/>
      <c r="N34" s="363"/>
      <c r="O34" s="363"/>
      <c r="P34" s="364"/>
      <c r="Q34" s="363"/>
      <c r="R34" s="363"/>
      <c r="S34" s="363"/>
      <c r="T34" s="365"/>
      <c r="U34" s="365"/>
      <c r="V34" s="365"/>
      <c r="W34" s="366"/>
      <c r="X34" s="365"/>
      <c r="Y34" s="365"/>
      <c r="Z34" s="365"/>
      <c r="AA34" s="366"/>
      <c r="AB34" s="367"/>
      <c r="AC34" s="368"/>
    </row>
    <row r="35" spans="1:29">
      <c r="A35" s="369"/>
      <c r="B35" s="370"/>
      <c r="C35" s="371"/>
      <c r="D35" s="372"/>
      <c r="E35" s="372"/>
      <c r="F35" s="372"/>
      <c r="G35" s="372"/>
      <c r="H35" s="372"/>
      <c r="I35" s="371"/>
      <c r="J35" s="371"/>
      <c r="K35" s="372"/>
      <c r="L35" s="372"/>
      <c r="M35" s="372"/>
      <c r="N35" s="371"/>
      <c r="O35" s="371"/>
      <c r="P35" s="372"/>
      <c r="Q35" s="371"/>
      <c r="R35" s="371"/>
      <c r="S35" s="371"/>
      <c r="T35" s="373"/>
      <c r="U35" s="373"/>
      <c r="V35" s="373"/>
      <c r="W35" s="374"/>
      <c r="X35" s="373"/>
      <c r="Y35" s="373"/>
      <c r="Z35" s="373"/>
      <c r="AA35" s="374"/>
      <c r="AB35" s="375"/>
      <c r="AC35" s="376"/>
    </row>
    <row r="36" spans="1:29">
      <c r="A36" s="369"/>
      <c r="B36" s="377"/>
      <c r="C36" s="377"/>
      <c r="D36" s="378"/>
      <c r="E36" s="378"/>
      <c r="F36" s="378"/>
      <c r="G36" s="378"/>
      <c r="H36" s="378"/>
      <c r="I36" s="377"/>
      <c r="J36" s="377"/>
      <c r="K36" s="378"/>
      <c r="L36" s="378"/>
      <c r="M36" s="378"/>
      <c r="N36" s="377"/>
      <c r="O36" s="377"/>
      <c r="P36" s="378"/>
      <c r="Q36" s="377"/>
      <c r="R36" s="377"/>
      <c r="S36" s="377"/>
      <c r="T36" s="379"/>
      <c r="U36" s="379"/>
      <c r="V36" s="379"/>
      <c r="W36" s="380"/>
      <c r="X36" s="379"/>
      <c r="Y36" s="379"/>
      <c r="Z36" s="379"/>
      <c r="AA36" s="380"/>
      <c r="AB36" s="375"/>
      <c r="AC36" s="376"/>
    </row>
    <row r="37" spans="1:29">
      <c r="A37" s="369"/>
      <c r="B37" s="370"/>
      <c r="C37" s="371"/>
      <c r="D37" s="372"/>
      <c r="E37" s="372"/>
      <c r="F37" s="372"/>
      <c r="G37" s="372"/>
      <c r="H37" s="372"/>
      <c r="I37" s="371"/>
      <c r="J37" s="371"/>
      <c r="K37" s="372"/>
      <c r="L37" s="372"/>
      <c r="M37" s="372"/>
      <c r="N37" s="371"/>
      <c r="O37" s="371"/>
      <c r="P37" s="372"/>
      <c r="Q37" s="371"/>
      <c r="R37" s="371"/>
      <c r="S37" s="371"/>
      <c r="T37" s="373"/>
      <c r="U37" s="373"/>
      <c r="V37" s="373"/>
      <c r="W37" s="374"/>
      <c r="X37" s="373"/>
      <c r="Y37" s="373"/>
      <c r="Z37" s="373"/>
      <c r="AA37" s="374"/>
      <c r="AB37" s="375"/>
      <c r="AC37" s="376"/>
    </row>
    <row r="38" spans="1:29">
      <c r="A38" s="369"/>
      <c r="B38" s="370"/>
      <c r="C38" s="371"/>
      <c r="D38" s="372"/>
      <c r="E38" s="372"/>
      <c r="F38" s="372"/>
      <c r="G38" s="372"/>
      <c r="H38" s="372"/>
      <c r="I38" s="371"/>
      <c r="J38" s="371"/>
      <c r="K38" s="372"/>
      <c r="L38" s="372"/>
      <c r="M38" s="372"/>
      <c r="N38" s="371"/>
      <c r="O38" s="371"/>
      <c r="P38" s="372"/>
      <c r="Q38" s="371"/>
      <c r="R38" s="371"/>
      <c r="S38" s="371"/>
      <c r="T38" s="373"/>
      <c r="U38" s="373"/>
      <c r="V38" s="373"/>
      <c r="W38" s="374"/>
      <c r="X38" s="373"/>
      <c r="Y38" s="373"/>
      <c r="Z38" s="373"/>
      <c r="AA38" s="374"/>
      <c r="AB38" s="375"/>
      <c r="AC38" s="376"/>
    </row>
    <row r="39" spans="1:29">
      <c r="A39" s="369"/>
      <c r="B39" s="381"/>
      <c r="C39" s="377"/>
      <c r="D39" s="378"/>
      <c r="E39" s="378"/>
      <c r="F39" s="378"/>
      <c r="G39" s="378"/>
      <c r="H39" s="378"/>
      <c r="I39" s="377"/>
      <c r="J39" s="377"/>
      <c r="K39" s="378"/>
      <c r="L39" s="378"/>
      <c r="M39" s="378"/>
      <c r="N39" s="377"/>
      <c r="O39" s="377"/>
      <c r="P39" s="378"/>
      <c r="Q39" s="377"/>
      <c r="R39" s="381"/>
      <c r="S39" s="381"/>
      <c r="T39" s="382"/>
      <c r="U39" s="382"/>
      <c r="V39" s="382"/>
      <c r="W39" s="383"/>
      <c r="X39" s="382"/>
      <c r="Y39" s="382"/>
      <c r="Z39" s="382"/>
      <c r="AA39" s="383"/>
      <c r="AB39" s="375"/>
      <c r="AC39" s="376"/>
    </row>
    <row r="40" spans="1:29">
      <c r="A40" s="384"/>
      <c r="B40" s="385"/>
      <c r="C40" s="386"/>
      <c r="D40" s="387"/>
      <c r="E40" s="387"/>
      <c r="F40" s="387"/>
      <c r="G40" s="387"/>
      <c r="H40" s="387"/>
      <c r="I40" s="386"/>
      <c r="J40" s="386"/>
      <c r="K40" s="387"/>
      <c r="L40" s="387"/>
      <c r="M40" s="387"/>
      <c r="N40" s="386"/>
      <c r="O40" s="386"/>
      <c r="P40" s="387"/>
      <c r="Q40" s="386"/>
      <c r="R40" s="386"/>
      <c r="S40" s="386"/>
      <c r="T40" s="388"/>
      <c r="U40" s="388"/>
      <c r="V40" s="388"/>
      <c r="W40" s="389"/>
      <c r="X40" s="388"/>
      <c r="Y40" s="388"/>
      <c r="Z40" s="388"/>
      <c r="AA40" s="389"/>
      <c r="AB40" s="375"/>
      <c r="AC40" s="376"/>
    </row>
    <row r="41" spans="1:29">
      <c r="A41" s="362"/>
      <c r="B41" s="346"/>
      <c r="C41" s="363"/>
      <c r="D41" s="364"/>
      <c r="E41" s="364"/>
      <c r="F41" s="364"/>
      <c r="G41" s="364"/>
      <c r="H41" s="364"/>
      <c r="I41" s="363"/>
      <c r="J41" s="363"/>
      <c r="K41" s="364"/>
      <c r="L41" s="364"/>
      <c r="M41" s="364"/>
      <c r="N41" s="363"/>
      <c r="O41" s="363"/>
      <c r="P41" s="364"/>
      <c r="Q41" s="363"/>
      <c r="R41" s="363"/>
      <c r="S41" s="363"/>
      <c r="T41" s="365"/>
      <c r="U41" s="365"/>
      <c r="V41" s="365"/>
      <c r="W41" s="366"/>
      <c r="X41" s="365"/>
      <c r="Y41" s="365"/>
      <c r="Z41" s="365"/>
      <c r="AA41" s="366"/>
      <c r="AB41" s="367"/>
      <c r="AC41" s="368"/>
    </row>
    <row r="42" spans="1:29">
      <c r="A42" s="369"/>
      <c r="B42" s="370"/>
      <c r="C42" s="371"/>
      <c r="D42" s="372"/>
      <c r="E42" s="372"/>
      <c r="F42" s="372"/>
      <c r="G42" s="372"/>
      <c r="H42" s="372"/>
      <c r="I42" s="371"/>
      <c r="J42" s="371"/>
      <c r="K42" s="372"/>
      <c r="L42" s="372"/>
      <c r="M42" s="372"/>
      <c r="N42" s="371"/>
      <c r="O42" s="371"/>
      <c r="P42" s="372"/>
      <c r="Q42" s="371"/>
      <c r="R42" s="371"/>
      <c r="S42" s="371"/>
      <c r="T42" s="373"/>
      <c r="U42" s="373"/>
      <c r="V42" s="373"/>
      <c r="W42" s="374"/>
      <c r="X42" s="373"/>
      <c r="Y42" s="373"/>
      <c r="Z42" s="373"/>
      <c r="AA42" s="374"/>
      <c r="AB42" s="375"/>
      <c r="AC42" s="376"/>
    </row>
    <row r="43" spans="1:29">
      <c r="A43" s="369"/>
      <c r="B43" s="377"/>
      <c r="C43" s="377"/>
      <c r="D43" s="378"/>
      <c r="E43" s="378"/>
      <c r="F43" s="378"/>
      <c r="G43" s="378"/>
      <c r="H43" s="378"/>
      <c r="I43" s="377"/>
      <c r="J43" s="377"/>
      <c r="K43" s="378"/>
      <c r="L43" s="378"/>
      <c r="M43" s="378"/>
      <c r="N43" s="377"/>
      <c r="O43" s="377"/>
      <c r="P43" s="378"/>
      <c r="Q43" s="377"/>
      <c r="R43" s="377"/>
      <c r="S43" s="377"/>
      <c r="T43" s="379"/>
      <c r="U43" s="379"/>
      <c r="V43" s="379"/>
      <c r="W43" s="380"/>
      <c r="X43" s="379"/>
      <c r="Y43" s="379"/>
      <c r="Z43" s="379"/>
      <c r="AA43" s="380"/>
      <c r="AB43" s="375"/>
      <c r="AC43" s="376"/>
    </row>
    <row r="44" spans="1:29">
      <c r="A44" s="369"/>
      <c r="B44" s="370"/>
      <c r="C44" s="371"/>
      <c r="D44" s="372"/>
      <c r="E44" s="372"/>
      <c r="F44" s="372"/>
      <c r="G44" s="372"/>
      <c r="H44" s="372"/>
      <c r="I44" s="371"/>
      <c r="J44" s="371"/>
      <c r="K44" s="372"/>
      <c r="L44" s="372"/>
      <c r="M44" s="372"/>
      <c r="N44" s="371"/>
      <c r="O44" s="371"/>
      <c r="P44" s="372"/>
      <c r="Q44" s="371"/>
      <c r="R44" s="371"/>
      <c r="S44" s="371"/>
      <c r="T44" s="373"/>
      <c r="U44" s="373"/>
      <c r="V44" s="373"/>
      <c r="W44" s="374"/>
      <c r="X44" s="373"/>
      <c r="Y44" s="373"/>
      <c r="Z44" s="373"/>
      <c r="AA44" s="374"/>
      <c r="AB44" s="375"/>
      <c r="AC44" s="376"/>
    </row>
    <row r="45" spans="1:29">
      <c r="A45" s="369"/>
      <c r="B45" s="370"/>
      <c r="C45" s="371"/>
      <c r="D45" s="372"/>
      <c r="E45" s="372"/>
      <c r="F45" s="372"/>
      <c r="G45" s="372"/>
      <c r="H45" s="372"/>
      <c r="I45" s="371"/>
      <c r="J45" s="371"/>
      <c r="K45" s="372"/>
      <c r="L45" s="372"/>
      <c r="M45" s="372"/>
      <c r="N45" s="371"/>
      <c r="O45" s="371"/>
      <c r="P45" s="372"/>
      <c r="Q45" s="371"/>
      <c r="R45" s="371"/>
      <c r="S45" s="371"/>
      <c r="T45" s="373"/>
      <c r="U45" s="373"/>
      <c r="V45" s="373"/>
      <c r="W45" s="374"/>
      <c r="X45" s="373"/>
      <c r="Y45" s="373"/>
      <c r="Z45" s="373"/>
      <c r="AA45" s="374"/>
      <c r="AB45" s="375"/>
      <c r="AC45" s="376"/>
    </row>
    <row r="46" spans="1:29">
      <c r="A46" s="369"/>
      <c r="B46" s="381"/>
      <c r="C46" s="377"/>
      <c r="D46" s="378"/>
      <c r="E46" s="378"/>
      <c r="F46" s="378"/>
      <c r="G46" s="378"/>
      <c r="H46" s="378"/>
      <c r="I46" s="377"/>
      <c r="J46" s="377"/>
      <c r="K46" s="378"/>
      <c r="L46" s="378"/>
      <c r="M46" s="378"/>
      <c r="N46" s="377"/>
      <c r="O46" s="377"/>
      <c r="P46" s="378"/>
      <c r="Q46" s="377"/>
      <c r="R46" s="381"/>
      <c r="S46" s="381"/>
      <c r="T46" s="382"/>
      <c r="U46" s="382"/>
      <c r="V46" s="382"/>
      <c r="W46" s="383"/>
      <c r="X46" s="382"/>
      <c r="Y46" s="382"/>
      <c r="Z46" s="382"/>
      <c r="AA46" s="383"/>
      <c r="AB46" s="375"/>
      <c r="AC46" s="376"/>
    </row>
    <row r="47" spans="1:29">
      <c r="A47" s="384"/>
      <c r="B47" s="385"/>
      <c r="C47" s="386"/>
      <c r="D47" s="387"/>
      <c r="E47" s="387"/>
      <c r="F47" s="387"/>
      <c r="G47" s="387"/>
      <c r="H47" s="387"/>
      <c r="I47" s="386"/>
      <c r="J47" s="386"/>
      <c r="K47" s="387"/>
      <c r="L47" s="387"/>
      <c r="M47" s="387"/>
      <c r="N47" s="386"/>
      <c r="O47" s="386"/>
      <c r="P47" s="387"/>
      <c r="Q47" s="386"/>
      <c r="R47" s="386"/>
      <c r="S47" s="386"/>
      <c r="T47" s="388"/>
      <c r="U47" s="388"/>
      <c r="V47" s="388"/>
      <c r="W47" s="389"/>
      <c r="X47" s="388"/>
      <c r="Y47" s="388"/>
      <c r="Z47" s="388"/>
      <c r="AA47" s="389"/>
      <c r="AB47" s="375"/>
      <c r="AC47" s="376"/>
    </row>
    <row r="48" spans="1:29">
      <c r="A48" s="362"/>
      <c r="B48" s="346"/>
      <c r="C48" s="363"/>
      <c r="D48" s="364"/>
      <c r="E48" s="364"/>
      <c r="F48" s="364"/>
      <c r="G48" s="364"/>
      <c r="H48" s="364"/>
      <c r="I48" s="363"/>
      <c r="J48" s="363"/>
      <c r="K48" s="364"/>
      <c r="L48" s="364"/>
      <c r="M48" s="364"/>
      <c r="N48" s="363"/>
      <c r="O48" s="363"/>
      <c r="P48" s="364"/>
      <c r="Q48" s="363"/>
      <c r="R48" s="363"/>
      <c r="S48" s="363"/>
      <c r="T48" s="365"/>
      <c r="U48" s="365"/>
      <c r="V48" s="365"/>
      <c r="W48" s="366"/>
      <c r="X48" s="365"/>
      <c r="Y48" s="365"/>
      <c r="Z48" s="365"/>
      <c r="AA48" s="366"/>
      <c r="AB48" s="367"/>
      <c r="AC48" s="368"/>
    </row>
    <row r="49" spans="1:29">
      <c r="A49" s="369"/>
      <c r="B49" s="370"/>
      <c r="C49" s="371"/>
      <c r="D49" s="372"/>
      <c r="E49" s="372"/>
      <c r="F49" s="372"/>
      <c r="G49" s="372"/>
      <c r="H49" s="372"/>
      <c r="I49" s="371"/>
      <c r="J49" s="371"/>
      <c r="K49" s="372"/>
      <c r="L49" s="372"/>
      <c r="M49" s="372"/>
      <c r="N49" s="371"/>
      <c r="O49" s="371"/>
      <c r="P49" s="372"/>
      <c r="Q49" s="371"/>
      <c r="R49" s="371"/>
      <c r="S49" s="371"/>
      <c r="T49" s="373"/>
      <c r="U49" s="373"/>
      <c r="V49" s="373"/>
      <c r="W49" s="374"/>
      <c r="X49" s="373"/>
      <c r="Y49" s="373"/>
      <c r="Z49" s="373"/>
      <c r="AA49" s="374"/>
      <c r="AB49" s="375"/>
      <c r="AC49" s="376"/>
    </row>
    <row r="50" spans="1:29">
      <c r="A50" s="369"/>
      <c r="B50" s="377"/>
      <c r="C50" s="377"/>
      <c r="D50" s="378"/>
      <c r="E50" s="378"/>
      <c r="F50" s="378"/>
      <c r="G50" s="378"/>
      <c r="H50" s="378"/>
      <c r="I50" s="377"/>
      <c r="J50" s="377"/>
      <c r="K50" s="378"/>
      <c r="L50" s="378"/>
      <c r="M50" s="378"/>
      <c r="N50" s="377"/>
      <c r="O50" s="377"/>
      <c r="P50" s="378"/>
      <c r="Q50" s="377"/>
      <c r="R50" s="377"/>
      <c r="S50" s="377"/>
      <c r="T50" s="379"/>
      <c r="U50" s="379"/>
      <c r="V50" s="379"/>
      <c r="W50" s="380"/>
      <c r="X50" s="379"/>
      <c r="Y50" s="379"/>
      <c r="Z50" s="379"/>
      <c r="AA50" s="380"/>
      <c r="AB50" s="375"/>
      <c r="AC50" s="376"/>
    </row>
    <row r="51" spans="1:29">
      <c r="A51" s="369"/>
      <c r="B51" s="370"/>
      <c r="C51" s="371"/>
      <c r="D51" s="372"/>
      <c r="E51" s="372"/>
      <c r="F51" s="372"/>
      <c r="G51" s="372"/>
      <c r="H51" s="372"/>
      <c r="I51" s="371"/>
      <c r="J51" s="371"/>
      <c r="K51" s="372"/>
      <c r="L51" s="372"/>
      <c r="M51" s="372"/>
      <c r="N51" s="371"/>
      <c r="O51" s="371"/>
      <c r="P51" s="372"/>
      <c r="Q51" s="371"/>
      <c r="R51" s="371"/>
      <c r="S51" s="371"/>
      <c r="T51" s="373"/>
      <c r="U51" s="373"/>
      <c r="V51" s="373"/>
      <c r="W51" s="374"/>
      <c r="X51" s="373"/>
      <c r="Y51" s="373"/>
      <c r="Z51" s="373"/>
      <c r="AA51" s="374"/>
      <c r="AB51" s="375"/>
      <c r="AC51" s="376"/>
    </row>
    <row r="52" spans="1:29">
      <c r="A52" s="369"/>
      <c r="B52" s="370"/>
      <c r="C52" s="371"/>
      <c r="D52" s="372"/>
      <c r="E52" s="372"/>
      <c r="F52" s="372"/>
      <c r="G52" s="372"/>
      <c r="H52" s="372"/>
      <c r="I52" s="371"/>
      <c r="J52" s="371"/>
      <c r="K52" s="372"/>
      <c r="L52" s="372"/>
      <c r="M52" s="372"/>
      <c r="N52" s="371"/>
      <c r="O52" s="371"/>
      <c r="P52" s="372"/>
      <c r="Q52" s="371"/>
      <c r="R52" s="371"/>
      <c r="S52" s="371"/>
      <c r="T52" s="373"/>
      <c r="U52" s="373"/>
      <c r="V52" s="373"/>
      <c r="W52" s="374"/>
      <c r="X52" s="373"/>
      <c r="Y52" s="373"/>
      <c r="Z52" s="373"/>
      <c r="AA52" s="374"/>
      <c r="AB52" s="375"/>
      <c r="AC52" s="376"/>
    </row>
    <row r="53" spans="1:29">
      <c r="A53" s="369"/>
      <c r="B53" s="381"/>
      <c r="C53" s="377"/>
      <c r="D53" s="378"/>
      <c r="E53" s="378"/>
      <c r="F53" s="378"/>
      <c r="G53" s="378"/>
      <c r="H53" s="378"/>
      <c r="I53" s="377"/>
      <c r="J53" s="377"/>
      <c r="K53" s="378"/>
      <c r="L53" s="378"/>
      <c r="M53" s="378"/>
      <c r="N53" s="377"/>
      <c r="O53" s="377"/>
      <c r="P53" s="378"/>
      <c r="Q53" s="377"/>
      <c r="R53" s="381"/>
      <c r="S53" s="381"/>
      <c r="T53" s="382"/>
      <c r="U53" s="382"/>
      <c r="V53" s="382"/>
      <c r="W53" s="383"/>
      <c r="X53" s="382"/>
      <c r="Y53" s="382"/>
      <c r="Z53" s="382"/>
      <c r="AA53" s="383"/>
      <c r="AB53" s="375"/>
      <c r="AC53" s="376"/>
    </row>
    <row r="54" spans="1:29">
      <c r="A54" s="384"/>
      <c r="B54" s="385"/>
      <c r="C54" s="386"/>
      <c r="D54" s="387"/>
      <c r="E54" s="387"/>
      <c r="F54" s="387"/>
      <c r="G54" s="387"/>
      <c r="H54" s="387"/>
      <c r="I54" s="386"/>
      <c r="J54" s="386"/>
      <c r="K54" s="387"/>
      <c r="L54" s="387"/>
      <c r="M54" s="387"/>
      <c r="N54" s="386"/>
      <c r="O54" s="386"/>
      <c r="P54" s="387"/>
      <c r="Q54" s="386"/>
      <c r="R54" s="386"/>
      <c r="S54" s="386"/>
      <c r="T54" s="388"/>
      <c r="U54" s="388"/>
      <c r="V54" s="388"/>
      <c r="W54" s="389"/>
      <c r="X54" s="388"/>
      <c r="Y54" s="388"/>
      <c r="Z54" s="388"/>
      <c r="AA54" s="389"/>
      <c r="AB54" s="375"/>
      <c r="AC54" s="376"/>
    </row>
    <row r="55" spans="1:29">
      <c r="A55" s="362"/>
      <c r="B55" s="346"/>
      <c r="C55" s="363"/>
      <c r="D55" s="364"/>
      <c r="E55" s="364"/>
      <c r="F55" s="364"/>
      <c r="G55" s="364"/>
      <c r="H55" s="364"/>
      <c r="I55" s="363"/>
      <c r="J55" s="363"/>
      <c r="K55" s="364"/>
      <c r="L55" s="364"/>
      <c r="M55" s="364"/>
      <c r="N55" s="363"/>
      <c r="O55" s="363"/>
      <c r="P55" s="364"/>
      <c r="Q55" s="363"/>
      <c r="R55" s="363"/>
      <c r="S55" s="363"/>
      <c r="T55" s="365"/>
      <c r="U55" s="365"/>
      <c r="V55" s="365"/>
      <c r="W55" s="366"/>
      <c r="X55" s="365"/>
      <c r="Y55" s="365"/>
      <c r="Z55" s="365"/>
      <c r="AA55" s="366"/>
      <c r="AB55" s="367"/>
      <c r="AC55" s="368"/>
    </row>
    <row r="56" spans="1:29">
      <c r="A56" s="369"/>
      <c r="B56" s="370"/>
      <c r="C56" s="371"/>
      <c r="D56" s="372"/>
      <c r="E56" s="372"/>
      <c r="F56" s="372"/>
      <c r="G56" s="372"/>
      <c r="H56" s="372"/>
      <c r="I56" s="371"/>
      <c r="J56" s="371"/>
      <c r="K56" s="372"/>
      <c r="L56" s="372"/>
      <c r="M56" s="372"/>
      <c r="N56" s="371"/>
      <c r="O56" s="371"/>
      <c r="P56" s="372"/>
      <c r="Q56" s="371"/>
      <c r="R56" s="371"/>
      <c r="S56" s="371"/>
      <c r="T56" s="373"/>
      <c r="U56" s="373"/>
      <c r="V56" s="373"/>
      <c r="W56" s="374"/>
      <c r="X56" s="373"/>
      <c r="Y56" s="373"/>
      <c r="Z56" s="373"/>
      <c r="AA56" s="374"/>
      <c r="AB56" s="375"/>
      <c r="AC56" s="376"/>
    </row>
    <row r="57" spans="1:29">
      <c r="A57" s="369"/>
      <c r="B57" s="377"/>
      <c r="C57" s="377"/>
      <c r="D57" s="378"/>
      <c r="E57" s="378"/>
      <c r="F57" s="378"/>
      <c r="G57" s="378"/>
      <c r="H57" s="378"/>
      <c r="I57" s="377"/>
      <c r="J57" s="377"/>
      <c r="K57" s="378"/>
      <c r="L57" s="378"/>
      <c r="M57" s="378"/>
      <c r="N57" s="377"/>
      <c r="O57" s="377"/>
      <c r="P57" s="378"/>
      <c r="Q57" s="377"/>
      <c r="R57" s="377"/>
      <c r="S57" s="377"/>
      <c r="T57" s="379"/>
      <c r="U57" s="379"/>
      <c r="V57" s="379"/>
      <c r="W57" s="380"/>
      <c r="X57" s="379"/>
      <c r="Y57" s="379"/>
      <c r="Z57" s="379"/>
      <c r="AA57" s="380"/>
      <c r="AB57" s="375"/>
      <c r="AC57" s="376"/>
    </row>
    <row r="58" spans="1:29">
      <c r="A58" s="369"/>
      <c r="B58" s="370"/>
      <c r="C58" s="371"/>
      <c r="D58" s="372"/>
      <c r="E58" s="372"/>
      <c r="F58" s="372"/>
      <c r="G58" s="372"/>
      <c r="H58" s="372"/>
      <c r="I58" s="371"/>
      <c r="J58" s="371"/>
      <c r="K58" s="372"/>
      <c r="L58" s="372"/>
      <c r="M58" s="372"/>
      <c r="N58" s="371"/>
      <c r="O58" s="371"/>
      <c r="P58" s="372"/>
      <c r="Q58" s="371"/>
      <c r="R58" s="371"/>
      <c r="S58" s="371"/>
      <c r="T58" s="373"/>
      <c r="U58" s="373"/>
      <c r="V58" s="373"/>
      <c r="W58" s="374"/>
      <c r="X58" s="373"/>
      <c r="Y58" s="373"/>
      <c r="Z58" s="373"/>
      <c r="AA58" s="374"/>
      <c r="AB58" s="375"/>
      <c r="AC58" s="376"/>
    </row>
    <row r="59" spans="1:29">
      <c r="A59" s="369"/>
      <c r="B59" s="370"/>
      <c r="C59" s="371"/>
      <c r="D59" s="372"/>
      <c r="E59" s="372"/>
      <c r="F59" s="372"/>
      <c r="G59" s="372"/>
      <c r="H59" s="372"/>
      <c r="I59" s="371"/>
      <c r="J59" s="371"/>
      <c r="K59" s="372"/>
      <c r="L59" s="372"/>
      <c r="M59" s="372"/>
      <c r="N59" s="371"/>
      <c r="O59" s="371"/>
      <c r="P59" s="372"/>
      <c r="Q59" s="371"/>
      <c r="R59" s="371"/>
      <c r="S59" s="371"/>
      <c r="T59" s="373"/>
      <c r="U59" s="373"/>
      <c r="V59" s="373"/>
      <c r="W59" s="374"/>
      <c r="X59" s="373"/>
      <c r="Y59" s="373"/>
      <c r="Z59" s="373"/>
      <c r="AA59" s="374"/>
      <c r="AB59" s="375"/>
      <c r="AC59" s="376"/>
    </row>
    <row r="60" spans="1:29">
      <c r="A60" s="369"/>
      <c r="B60" s="381"/>
      <c r="C60" s="377"/>
      <c r="D60" s="378"/>
      <c r="E60" s="378"/>
      <c r="F60" s="378"/>
      <c r="G60" s="378"/>
      <c r="H60" s="378"/>
      <c r="I60" s="377"/>
      <c r="J60" s="377"/>
      <c r="K60" s="378"/>
      <c r="L60" s="378"/>
      <c r="M60" s="378"/>
      <c r="N60" s="377"/>
      <c r="O60" s="377"/>
      <c r="P60" s="378"/>
      <c r="Q60" s="377"/>
      <c r="R60" s="381"/>
      <c r="S60" s="381"/>
      <c r="T60" s="382"/>
      <c r="U60" s="382"/>
      <c r="V60" s="382"/>
      <c r="W60" s="383"/>
      <c r="X60" s="382"/>
      <c r="Y60" s="382"/>
      <c r="Z60" s="382"/>
      <c r="AA60" s="383"/>
      <c r="AB60" s="375"/>
      <c r="AC60" s="376"/>
    </row>
    <row r="61" spans="1:29">
      <c r="A61" s="384"/>
      <c r="B61" s="385"/>
      <c r="C61" s="386"/>
      <c r="D61" s="387"/>
      <c r="E61" s="387"/>
      <c r="F61" s="387"/>
      <c r="G61" s="387"/>
      <c r="H61" s="387"/>
      <c r="I61" s="386"/>
      <c r="J61" s="386"/>
      <c r="K61" s="387"/>
      <c r="L61" s="387"/>
      <c r="M61" s="387"/>
      <c r="N61" s="386"/>
      <c r="O61" s="386"/>
      <c r="P61" s="387"/>
      <c r="Q61" s="386"/>
      <c r="R61" s="386"/>
      <c r="S61" s="386"/>
      <c r="T61" s="388"/>
      <c r="U61" s="388"/>
      <c r="V61" s="388"/>
      <c r="W61" s="389"/>
      <c r="X61" s="388"/>
      <c r="Y61" s="388"/>
      <c r="Z61" s="388"/>
      <c r="AA61" s="389"/>
      <c r="AB61" s="375"/>
      <c r="AC61" s="376"/>
    </row>
    <row r="62" spans="1:29">
      <c r="A62" s="362"/>
      <c r="B62" s="346"/>
      <c r="C62" s="363"/>
      <c r="D62" s="364"/>
      <c r="E62" s="364"/>
      <c r="F62" s="364"/>
      <c r="G62" s="364"/>
      <c r="H62" s="364"/>
      <c r="I62" s="363"/>
      <c r="J62" s="363"/>
      <c r="K62" s="364"/>
      <c r="L62" s="364"/>
      <c r="M62" s="364"/>
      <c r="N62" s="363"/>
      <c r="O62" s="363"/>
      <c r="P62" s="364"/>
      <c r="Q62" s="363"/>
      <c r="R62" s="363"/>
      <c r="S62" s="363"/>
      <c r="T62" s="365"/>
      <c r="U62" s="365"/>
      <c r="V62" s="365"/>
      <c r="W62" s="366"/>
      <c r="X62" s="365"/>
      <c r="Y62" s="365"/>
      <c r="Z62" s="365"/>
      <c r="AA62" s="366"/>
      <c r="AB62" s="367"/>
      <c r="AC62" s="368"/>
    </row>
    <row r="63" spans="1:29">
      <c r="A63" s="369"/>
      <c r="B63" s="370"/>
      <c r="C63" s="371"/>
      <c r="D63" s="372"/>
      <c r="E63" s="372"/>
      <c r="F63" s="372"/>
      <c r="G63" s="372"/>
      <c r="H63" s="372"/>
      <c r="I63" s="371"/>
      <c r="J63" s="371"/>
      <c r="K63" s="372"/>
      <c r="L63" s="372"/>
      <c r="M63" s="372"/>
      <c r="N63" s="371"/>
      <c r="O63" s="371"/>
      <c r="P63" s="372"/>
      <c r="Q63" s="371"/>
      <c r="R63" s="371"/>
      <c r="S63" s="371"/>
      <c r="T63" s="373"/>
      <c r="U63" s="373"/>
      <c r="V63" s="373"/>
      <c r="W63" s="374"/>
      <c r="X63" s="373"/>
      <c r="Y63" s="373"/>
      <c r="Z63" s="373"/>
      <c r="AA63" s="374"/>
      <c r="AB63" s="375"/>
      <c r="AC63" s="376"/>
    </row>
    <row r="64" spans="1:29">
      <c r="A64" s="369"/>
      <c r="B64" s="377"/>
      <c r="C64" s="377"/>
      <c r="D64" s="378"/>
      <c r="E64" s="378"/>
      <c r="F64" s="378"/>
      <c r="G64" s="378"/>
      <c r="H64" s="378"/>
      <c r="I64" s="377"/>
      <c r="J64" s="377"/>
      <c r="K64" s="378"/>
      <c r="L64" s="378"/>
      <c r="M64" s="378"/>
      <c r="N64" s="377"/>
      <c r="O64" s="377"/>
      <c r="P64" s="378"/>
      <c r="Q64" s="377"/>
      <c r="R64" s="377"/>
      <c r="S64" s="377"/>
      <c r="T64" s="379"/>
      <c r="U64" s="379"/>
      <c r="V64" s="379"/>
      <c r="W64" s="380"/>
      <c r="X64" s="379"/>
      <c r="Y64" s="379"/>
      <c r="Z64" s="379"/>
      <c r="AA64" s="380"/>
      <c r="AB64" s="375"/>
      <c r="AC64" s="376"/>
    </row>
    <row r="65" spans="1:29">
      <c r="A65" s="369"/>
      <c r="B65" s="370"/>
      <c r="C65" s="371"/>
      <c r="D65" s="372"/>
      <c r="E65" s="372"/>
      <c r="F65" s="372"/>
      <c r="G65" s="372"/>
      <c r="H65" s="372"/>
      <c r="I65" s="371"/>
      <c r="J65" s="371"/>
      <c r="K65" s="372"/>
      <c r="L65" s="372"/>
      <c r="M65" s="372"/>
      <c r="N65" s="371"/>
      <c r="O65" s="371"/>
      <c r="P65" s="372"/>
      <c r="Q65" s="371"/>
      <c r="R65" s="371"/>
      <c r="S65" s="371"/>
      <c r="T65" s="373"/>
      <c r="U65" s="373"/>
      <c r="V65" s="373"/>
      <c r="W65" s="374"/>
      <c r="X65" s="373"/>
      <c r="Y65" s="373"/>
      <c r="Z65" s="373"/>
      <c r="AA65" s="374"/>
      <c r="AB65" s="375"/>
      <c r="AC65" s="376"/>
    </row>
    <row r="66" spans="1:29">
      <c r="A66" s="369"/>
      <c r="B66" s="370"/>
      <c r="C66" s="371"/>
      <c r="D66" s="372"/>
      <c r="E66" s="372"/>
      <c r="F66" s="372"/>
      <c r="G66" s="372"/>
      <c r="H66" s="372"/>
      <c r="I66" s="371"/>
      <c r="J66" s="371"/>
      <c r="K66" s="372"/>
      <c r="L66" s="372"/>
      <c r="M66" s="372"/>
      <c r="N66" s="371"/>
      <c r="O66" s="371"/>
      <c r="P66" s="372"/>
      <c r="Q66" s="371"/>
      <c r="R66" s="371"/>
      <c r="S66" s="371"/>
      <c r="T66" s="373"/>
      <c r="U66" s="373"/>
      <c r="V66" s="373"/>
      <c r="W66" s="374"/>
      <c r="X66" s="373"/>
      <c r="Y66" s="373"/>
      <c r="Z66" s="373"/>
      <c r="AA66" s="374"/>
      <c r="AB66" s="375"/>
      <c r="AC66" s="376"/>
    </row>
    <row r="67" spans="1:29">
      <c r="A67" s="369"/>
      <c r="B67" s="381"/>
      <c r="C67" s="377"/>
      <c r="D67" s="378"/>
      <c r="E67" s="378"/>
      <c r="F67" s="378"/>
      <c r="G67" s="378"/>
      <c r="H67" s="378"/>
      <c r="I67" s="377"/>
      <c r="J67" s="377"/>
      <c r="K67" s="378"/>
      <c r="L67" s="378"/>
      <c r="M67" s="378"/>
      <c r="N67" s="377"/>
      <c r="O67" s="377"/>
      <c r="P67" s="378"/>
      <c r="Q67" s="377"/>
      <c r="R67" s="381"/>
      <c r="S67" s="381"/>
      <c r="T67" s="382"/>
      <c r="U67" s="382"/>
      <c r="V67" s="382"/>
      <c r="W67" s="383"/>
      <c r="X67" s="382"/>
      <c r="Y67" s="382"/>
      <c r="Z67" s="382"/>
      <c r="AA67" s="383"/>
      <c r="AB67" s="375"/>
      <c r="AC67" s="376"/>
    </row>
    <row r="68" spans="1:29">
      <c r="A68" s="369"/>
      <c r="B68" s="385"/>
      <c r="C68" s="386"/>
      <c r="D68" s="387"/>
      <c r="E68" s="387"/>
      <c r="F68" s="387"/>
      <c r="G68" s="387"/>
      <c r="H68" s="387"/>
      <c r="I68" s="386"/>
      <c r="J68" s="386"/>
      <c r="K68" s="387"/>
      <c r="L68" s="387"/>
      <c r="M68" s="387"/>
      <c r="N68" s="386"/>
      <c r="O68" s="386"/>
      <c r="P68" s="387"/>
      <c r="Q68" s="386"/>
      <c r="R68" s="386"/>
      <c r="S68" s="386"/>
      <c r="T68" s="388"/>
      <c r="U68" s="388"/>
      <c r="V68" s="388"/>
      <c r="W68" s="389"/>
      <c r="X68" s="388"/>
      <c r="Y68" s="388"/>
      <c r="Z68" s="388"/>
      <c r="AA68" s="389"/>
      <c r="AB68" s="375"/>
      <c r="AC68" s="376"/>
    </row>
    <row r="69" spans="1:29">
      <c r="A69" s="362"/>
      <c r="B69" s="346"/>
      <c r="C69" s="363"/>
      <c r="D69" s="364"/>
      <c r="E69" s="364"/>
      <c r="F69" s="364"/>
      <c r="G69" s="364"/>
      <c r="H69" s="364"/>
      <c r="I69" s="363"/>
      <c r="J69" s="363"/>
      <c r="K69" s="364"/>
      <c r="L69" s="364"/>
      <c r="M69" s="364"/>
      <c r="N69" s="363"/>
      <c r="O69" s="363"/>
      <c r="P69" s="364"/>
      <c r="Q69" s="363"/>
      <c r="R69" s="363"/>
      <c r="S69" s="363"/>
      <c r="T69" s="365"/>
      <c r="U69" s="365"/>
      <c r="V69" s="365"/>
      <c r="W69" s="366"/>
      <c r="X69" s="365"/>
      <c r="Y69" s="365"/>
      <c r="Z69" s="365"/>
      <c r="AA69" s="366"/>
      <c r="AB69" s="367"/>
      <c r="AC69" s="368"/>
    </row>
    <row r="70" spans="1:29">
      <c r="A70" s="369"/>
      <c r="B70" s="370"/>
      <c r="C70" s="371"/>
      <c r="D70" s="372"/>
      <c r="E70" s="372"/>
      <c r="F70" s="372"/>
      <c r="G70" s="372"/>
      <c r="H70" s="372"/>
      <c r="I70" s="371"/>
      <c r="J70" s="371"/>
      <c r="K70" s="372"/>
      <c r="L70" s="372"/>
      <c r="M70" s="372"/>
      <c r="N70" s="371"/>
      <c r="O70" s="371"/>
      <c r="P70" s="372"/>
      <c r="Q70" s="371"/>
      <c r="R70" s="371"/>
      <c r="S70" s="371"/>
      <c r="T70" s="373"/>
      <c r="U70" s="373"/>
      <c r="V70" s="373"/>
      <c r="W70" s="374"/>
      <c r="X70" s="373"/>
      <c r="Y70" s="373"/>
      <c r="Z70" s="373"/>
      <c r="AA70" s="374"/>
      <c r="AB70" s="375"/>
      <c r="AC70" s="376"/>
    </row>
    <row r="71" spans="1:29">
      <c r="A71" s="369"/>
      <c r="B71" s="377"/>
      <c r="C71" s="377"/>
      <c r="D71" s="378"/>
      <c r="E71" s="378"/>
      <c r="F71" s="378"/>
      <c r="G71" s="378"/>
      <c r="H71" s="378"/>
      <c r="I71" s="377"/>
      <c r="J71" s="377"/>
      <c r="K71" s="378"/>
      <c r="L71" s="378"/>
      <c r="M71" s="378"/>
      <c r="N71" s="377"/>
      <c r="O71" s="377"/>
      <c r="P71" s="378"/>
      <c r="Q71" s="377"/>
      <c r="R71" s="377"/>
      <c r="S71" s="377"/>
      <c r="T71" s="379"/>
      <c r="U71" s="379"/>
      <c r="V71" s="379"/>
      <c r="W71" s="380"/>
      <c r="X71" s="379"/>
      <c r="Y71" s="379"/>
      <c r="Z71" s="379"/>
      <c r="AA71" s="380"/>
      <c r="AB71" s="375"/>
      <c r="AC71" s="376"/>
    </row>
    <row r="72" spans="1:29">
      <c r="A72" s="369"/>
      <c r="B72" s="370"/>
      <c r="C72" s="371"/>
      <c r="D72" s="372"/>
      <c r="E72" s="372"/>
      <c r="F72" s="372"/>
      <c r="G72" s="372"/>
      <c r="H72" s="372"/>
      <c r="I72" s="371"/>
      <c r="J72" s="371"/>
      <c r="K72" s="372"/>
      <c r="L72" s="372"/>
      <c r="M72" s="372"/>
      <c r="N72" s="371"/>
      <c r="O72" s="371"/>
      <c r="P72" s="372"/>
      <c r="Q72" s="371"/>
      <c r="R72" s="371"/>
      <c r="S72" s="371"/>
      <c r="T72" s="373"/>
      <c r="U72" s="373"/>
      <c r="V72" s="373"/>
      <c r="W72" s="374"/>
      <c r="X72" s="373"/>
      <c r="Y72" s="373"/>
      <c r="Z72" s="373"/>
      <c r="AA72" s="374"/>
      <c r="AB72" s="375"/>
      <c r="AC72" s="376"/>
    </row>
    <row r="73" spans="1:29">
      <c r="A73" s="369"/>
      <c r="B73" s="370"/>
      <c r="C73" s="371"/>
      <c r="D73" s="372"/>
      <c r="E73" s="372"/>
      <c r="F73" s="372"/>
      <c r="G73" s="372"/>
      <c r="H73" s="372"/>
      <c r="I73" s="371"/>
      <c r="J73" s="371"/>
      <c r="K73" s="372"/>
      <c r="L73" s="372"/>
      <c r="M73" s="372"/>
      <c r="N73" s="371"/>
      <c r="O73" s="371"/>
      <c r="P73" s="372"/>
      <c r="Q73" s="371"/>
      <c r="R73" s="371"/>
      <c r="S73" s="371"/>
      <c r="T73" s="373"/>
      <c r="U73" s="373"/>
      <c r="V73" s="373"/>
      <c r="W73" s="374"/>
      <c r="X73" s="373"/>
      <c r="Y73" s="373"/>
      <c r="Z73" s="373"/>
      <c r="AA73" s="374"/>
      <c r="AB73" s="375"/>
      <c r="AC73" s="376"/>
    </row>
    <row r="74" spans="1:29">
      <c r="A74" s="369"/>
      <c r="B74" s="381"/>
      <c r="C74" s="377"/>
      <c r="D74" s="378"/>
      <c r="E74" s="378"/>
      <c r="F74" s="378"/>
      <c r="G74" s="378"/>
      <c r="H74" s="378"/>
      <c r="I74" s="377"/>
      <c r="J74" s="377"/>
      <c r="K74" s="378"/>
      <c r="L74" s="378"/>
      <c r="M74" s="378"/>
      <c r="N74" s="377"/>
      <c r="O74" s="377"/>
      <c r="P74" s="378"/>
      <c r="Q74" s="377"/>
      <c r="R74" s="381"/>
      <c r="S74" s="381"/>
      <c r="T74" s="382"/>
      <c r="U74" s="382"/>
      <c r="V74" s="382"/>
      <c r="W74" s="383"/>
      <c r="X74" s="382"/>
      <c r="Y74" s="382"/>
      <c r="Z74" s="382"/>
      <c r="AA74" s="383"/>
      <c r="AB74" s="375"/>
      <c r="AC74" s="376"/>
    </row>
    <row r="75" spans="1:29">
      <c r="A75" s="369"/>
      <c r="B75" s="385"/>
      <c r="C75" s="386"/>
      <c r="D75" s="387"/>
      <c r="E75" s="387"/>
      <c r="F75" s="387"/>
      <c r="G75" s="387"/>
      <c r="H75" s="387"/>
      <c r="I75" s="386"/>
      <c r="J75" s="386"/>
      <c r="K75" s="387"/>
      <c r="L75" s="387"/>
      <c r="M75" s="387"/>
      <c r="N75" s="386"/>
      <c r="O75" s="386"/>
      <c r="P75" s="387"/>
      <c r="Q75" s="386"/>
      <c r="R75" s="386"/>
      <c r="S75" s="386"/>
      <c r="T75" s="388"/>
      <c r="U75" s="388"/>
      <c r="V75" s="388"/>
      <c r="W75" s="389"/>
      <c r="X75" s="388"/>
      <c r="Y75" s="388"/>
      <c r="Z75" s="388"/>
      <c r="AA75" s="389"/>
      <c r="AB75" s="375"/>
      <c r="AC75" s="376"/>
    </row>
    <row r="76" spans="1:29">
      <c r="A76" s="362"/>
      <c r="B76" s="346"/>
      <c r="C76" s="363"/>
      <c r="D76" s="364"/>
      <c r="E76" s="364"/>
      <c r="F76" s="364"/>
      <c r="G76" s="364"/>
      <c r="H76" s="364"/>
      <c r="I76" s="363"/>
      <c r="J76" s="363"/>
      <c r="K76" s="364"/>
      <c r="L76" s="364"/>
      <c r="M76" s="364"/>
      <c r="N76" s="363"/>
      <c r="O76" s="363"/>
      <c r="P76" s="364"/>
      <c r="Q76" s="363"/>
      <c r="R76" s="363"/>
      <c r="S76" s="363"/>
      <c r="T76" s="365"/>
      <c r="U76" s="365"/>
      <c r="V76" s="365"/>
      <c r="W76" s="366"/>
      <c r="X76" s="365"/>
      <c r="Y76" s="365"/>
      <c r="Z76" s="365"/>
      <c r="AA76" s="366"/>
      <c r="AB76" s="367"/>
      <c r="AC76" s="368"/>
    </row>
    <row r="77" spans="1:29">
      <c r="A77" s="369"/>
      <c r="B77" s="370"/>
      <c r="C77" s="371"/>
      <c r="D77" s="372"/>
      <c r="E77" s="372"/>
      <c r="F77" s="372"/>
      <c r="G77" s="372"/>
      <c r="H77" s="372"/>
      <c r="I77" s="371"/>
      <c r="J77" s="371"/>
      <c r="K77" s="372"/>
      <c r="L77" s="372"/>
      <c r="M77" s="372"/>
      <c r="N77" s="371"/>
      <c r="O77" s="371"/>
      <c r="P77" s="372"/>
      <c r="Q77" s="371"/>
      <c r="R77" s="371"/>
      <c r="S77" s="371"/>
      <c r="T77" s="373"/>
      <c r="U77" s="373"/>
      <c r="V77" s="373"/>
      <c r="W77" s="374"/>
      <c r="X77" s="373"/>
      <c r="Y77" s="373"/>
      <c r="Z77" s="373"/>
      <c r="AA77" s="374"/>
      <c r="AB77" s="375"/>
      <c r="AC77" s="376"/>
    </row>
    <row r="78" spans="1:29">
      <c r="A78" s="369"/>
      <c r="B78" s="377"/>
      <c r="C78" s="377"/>
      <c r="D78" s="378"/>
      <c r="E78" s="378"/>
      <c r="F78" s="378"/>
      <c r="G78" s="378"/>
      <c r="H78" s="378"/>
      <c r="I78" s="377"/>
      <c r="J78" s="377"/>
      <c r="K78" s="378"/>
      <c r="L78" s="378"/>
      <c r="M78" s="378"/>
      <c r="N78" s="377"/>
      <c r="O78" s="377"/>
      <c r="P78" s="378"/>
      <c r="Q78" s="377"/>
      <c r="R78" s="377"/>
      <c r="S78" s="377"/>
      <c r="T78" s="379"/>
      <c r="U78" s="379"/>
      <c r="V78" s="379"/>
      <c r="W78" s="380"/>
      <c r="X78" s="379"/>
      <c r="Y78" s="379"/>
      <c r="Z78" s="379"/>
      <c r="AA78" s="380"/>
      <c r="AB78" s="375"/>
      <c r="AC78" s="376"/>
    </row>
    <row r="79" spans="1:29">
      <c r="A79" s="369"/>
      <c r="B79" s="370"/>
      <c r="C79" s="371"/>
      <c r="D79" s="372"/>
      <c r="E79" s="372"/>
      <c r="F79" s="372"/>
      <c r="G79" s="372"/>
      <c r="H79" s="372"/>
      <c r="I79" s="371"/>
      <c r="J79" s="371"/>
      <c r="K79" s="372"/>
      <c r="L79" s="372"/>
      <c r="M79" s="372"/>
      <c r="N79" s="371"/>
      <c r="O79" s="371"/>
      <c r="P79" s="372"/>
      <c r="Q79" s="371"/>
      <c r="R79" s="371"/>
      <c r="S79" s="371"/>
      <c r="T79" s="373"/>
      <c r="U79" s="373"/>
      <c r="V79" s="373"/>
      <c r="W79" s="374"/>
      <c r="X79" s="373"/>
      <c r="Y79" s="373"/>
      <c r="Z79" s="373"/>
      <c r="AA79" s="374"/>
      <c r="AB79" s="375"/>
      <c r="AC79" s="376"/>
    </row>
    <row r="80" spans="1:29">
      <c r="A80" s="369"/>
      <c r="B80" s="370"/>
      <c r="C80" s="371"/>
      <c r="D80" s="372"/>
      <c r="E80" s="372"/>
      <c r="F80" s="372"/>
      <c r="G80" s="372"/>
      <c r="H80" s="372"/>
      <c r="I80" s="371"/>
      <c r="J80" s="371"/>
      <c r="K80" s="372"/>
      <c r="L80" s="372"/>
      <c r="M80" s="372"/>
      <c r="N80" s="371"/>
      <c r="O80" s="371"/>
      <c r="P80" s="372"/>
      <c r="Q80" s="371"/>
      <c r="R80" s="371"/>
      <c r="S80" s="371"/>
      <c r="T80" s="373"/>
      <c r="U80" s="373"/>
      <c r="V80" s="373"/>
      <c r="W80" s="374"/>
      <c r="X80" s="373"/>
      <c r="Y80" s="373"/>
      <c r="Z80" s="373"/>
      <c r="AA80" s="374"/>
      <c r="AB80" s="375"/>
      <c r="AC80" s="376"/>
    </row>
    <row r="81" spans="1:29">
      <c r="A81" s="369"/>
      <c r="B81" s="381"/>
      <c r="C81" s="377"/>
      <c r="D81" s="378"/>
      <c r="E81" s="378"/>
      <c r="F81" s="378"/>
      <c r="G81" s="378"/>
      <c r="H81" s="378"/>
      <c r="I81" s="377"/>
      <c r="J81" s="377"/>
      <c r="K81" s="378"/>
      <c r="L81" s="378"/>
      <c r="M81" s="378"/>
      <c r="N81" s="377"/>
      <c r="O81" s="377"/>
      <c r="P81" s="378"/>
      <c r="Q81" s="377"/>
      <c r="R81" s="381"/>
      <c r="S81" s="381"/>
      <c r="T81" s="382"/>
      <c r="U81" s="382"/>
      <c r="V81" s="382"/>
      <c r="W81" s="383"/>
      <c r="X81" s="382"/>
      <c r="Y81" s="382"/>
      <c r="Z81" s="382"/>
      <c r="AA81" s="383"/>
      <c r="AB81" s="375"/>
      <c r="AC81" s="376"/>
    </row>
    <row r="82" spans="1:29">
      <c r="A82" s="369"/>
      <c r="B82" s="385"/>
      <c r="C82" s="386"/>
      <c r="D82" s="387"/>
      <c r="E82" s="387"/>
      <c r="F82" s="387"/>
      <c r="G82" s="387"/>
      <c r="H82" s="387"/>
      <c r="I82" s="386"/>
      <c r="J82" s="386"/>
      <c r="K82" s="387"/>
      <c r="L82" s="387"/>
      <c r="M82" s="387"/>
      <c r="N82" s="386"/>
      <c r="O82" s="386"/>
      <c r="P82" s="387"/>
      <c r="Q82" s="386"/>
      <c r="R82" s="386"/>
      <c r="S82" s="386"/>
      <c r="T82" s="388"/>
      <c r="U82" s="388"/>
      <c r="V82" s="388"/>
      <c r="W82" s="389"/>
      <c r="X82" s="388"/>
      <c r="Y82" s="388"/>
      <c r="Z82" s="388"/>
      <c r="AA82" s="389"/>
      <c r="AB82" s="375"/>
      <c r="AC82" s="376"/>
    </row>
    <row r="83" spans="1:29">
      <c r="A83" s="362"/>
      <c r="B83" s="346"/>
      <c r="C83" s="363"/>
      <c r="D83" s="364"/>
      <c r="E83" s="364"/>
      <c r="F83" s="364"/>
      <c r="G83" s="364"/>
      <c r="H83" s="364"/>
      <c r="I83" s="363"/>
      <c r="J83" s="363"/>
      <c r="K83" s="364"/>
      <c r="L83" s="364"/>
      <c r="M83" s="364"/>
      <c r="N83" s="363"/>
      <c r="O83" s="363"/>
      <c r="P83" s="364"/>
      <c r="Q83" s="363"/>
      <c r="R83" s="363"/>
      <c r="S83" s="363"/>
      <c r="T83" s="365"/>
      <c r="U83" s="365"/>
      <c r="V83" s="365"/>
      <c r="W83" s="366"/>
      <c r="X83" s="365"/>
      <c r="Y83" s="365"/>
      <c r="Z83" s="365"/>
      <c r="AA83" s="366"/>
      <c r="AB83" s="367"/>
      <c r="AC83" s="368"/>
    </row>
    <row r="84" spans="1:29">
      <c r="A84" s="369"/>
      <c r="B84" s="370"/>
      <c r="C84" s="371"/>
      <c r="D84" s="372"/>
      <c r="E84" s="372"/>
      <c r="F84" s="372"/>
      <c r="G84" s="372"/>
      <c r="H84" s="372"/>
      <c r="I84" s="371"/>
      <c r="J84" s="371"/>
      <c r="K84" s="372"/>
      <c r="L84" s="372"/>
      <c r="M84" s="372"/>
      <c r="N84" s="371"/>
      <c r="O84" s="371"/>
      <c r="P84" s="372"/>
      <c r="Q84" s="371"/>
      <c r="R84" s="371"/>
      <c r="S84" s="371"/>
      <c r="T84" s="373"/>
      <c r="U84" s="373"/>
      <c r="V84" s="373"/>
      <c r="W84" s="374"/>
      <c r="X84" s="373"/>
      <c r="Y84" s="373"/>
      <c r="Z84" s="373"/>
      <c r="AA84" s="374"/>
      <c r="AB84" s="375"/>
      <c r="AC84" s="376"/>
    </row>
    <row r="85" spans="1:29">
      <c r="A85" s="369"/>
      <c r="B85" s="377"/>
      <c r="C85" s="377"/>
      <c r="D85" s="378"/>
      <c r="E85" s="378"/>
      <c r="F85" s="378"/>
      <c r="G85" s="378"/>
      <c r="H85" s="378"/>
      <c r="I85" s="377"/>
      <c r="J85" s="377"/>
      <c r="K85" s="378"/>
      <c r="L85" s="378"/>
      <c r="M85" s="378"/>
      <c r="N85" s="377"/>
      <c r="O85" s="377"/>
      <c r="P85" s="378"/>
      <c r="Q85" s="377"/>
      <c r="R85" s="377"/>
      <c r="S85" s="377"/>
      <c r="T85" s="379"/>
      <c r="U85" s="379"/>
      <c r="V85" s="379"/>
      <c r="W85" s="380"/>
      <c r="X85" s="379"/>
      <c r="Y85" s="379"/>
      <c r="Z85" s="379"/>
      <c r="AA85" s="380"/>
      <c r="AB85" s="375"/>
      <c r="AC85" s="376"/>
    </row>
    <row r="86" spans="1:29">
      <c r="A86" s="369"/>
      <c r="B86" s="370"/>
      <c r="C86" s="371"/>
      <c r="D86" s="372"/>
      <c r="E86" s="372"/>
      <c r="F86" s="372"/>
      <c r="G86" s="372"/>
      <c r="H86" s="372"/>
      <c r="I86" s="371"/>
      <c r="J86" s="371"/>
      <c r="K86" s="372"/>
      <c r="L86" s="372"/>
      <c r="M86" s="372"/>
      <c r="N86" s="371"/>
      <c r="O86" s="371"/>
      <c r="P86" s="372"/>
      <c r="Q86" s="371"/>
      <c r="R86" s="371"/>
      <c r="S86" s="371"/>
      <c r="T86" s="373"/>
      <c r="U86" s="373"/>
      <c r="V86" s="373"/>
      <c r="W86" s="374"/>
      <c r="X86" s="373"/>
      <c r="Y86" s="373"/>
      <c r="Z86" s="373"/>
      <c r="AA86" s="374"/>
      <c r="AB86" s="375"/>
      <c r="AC86" s="376"/>
    </row>
    <row r="87" spans="1:29">
      <c r="A87" s="369"/>
      <c r="B87" s="370"/>
      <c r="C87" s="371"/>
      <c r="D87" s="372"/>
      <c r="E87" s="372"/>
      <c r="F87" s="372"/>
      <c r="G87" s="372"/>
      <c r="H87" s="372"/>
      <c r="I87" s="371"/>
      <c r="J87" s="371"/>
      <c r="K87" s="372"/>
      <c r="L87" s="372"/>
      <c r="M87" s="372"/>
      <c r="N87" s="371"/>
      <c r="O87" s="371"/>
      <c r="P87" s="372"/>
      <c r="Q87" s="371"/>
      <c r="R87" s="371"/>
      <c r="S87" s="371"/>
      <c r="T87" s="373"/>
      <c r="U87" s="373"/>
      <c r="V87" s="373"/>
      <c r="W87" s="374"/>
      <c r="X87" s="373"/>
      <c r="Y87" s="373"/>
      <c r="Z87" s="373"/>
      <c r="AA87" s="374"/>
      <c r="AB87" s="375"/>
      <c r="AC87" s="376"/>
    </row>
    <row r="88" spans="1:29">
      <c r="A88" s="369"/>
      <c r="B88" s="381"/>
      <c r="C88" s="377"/>
      <c r="D88" s="378"/>
      <c r="E88" s="378"/>
      <c r="F88" s="378"/>
      <c r="G88" s="378"/>
      <c r="H88" s="378"/>
      <c r="I88" s="377"/>
      <c r="J88" s="377"/>
      <c r="K88" s="378"/>
      <c r="L88" s="378"/>
      <c r="M88" s="378"/>
      <c r="N88" s="377"/>
      <c r="O88" s="377"/>
      <c r="P88" s="378"/>
      <c r="Q88" s="377"/>
      <c r="R88" s="381"/>
      <c r="S88" s="381"/>
      <c r="T88" s="382"/>
      <c r="U88" s="382"/>
      <c r="V88" s="382"/>
      <c r="W88" s="383"/>
      <c r="X88" s="382"/>
      <c r="Y88" s="382"/>
      <c r="Z88" s="382"/>
      <c r="AA88" s="383"/>
      <c r="AB88" s="375"/>
      <c r="AC88" s="376"/>
    </row>
    <row r="89" spans="1:29">
      <c r="A89" s="369"/>
      <c r="B89" s="385"/>
      <c r="C89" s="386"/>
      <c r="D89" s="387"/>
      <c r="E89" s="387"/>
      <c r="F89" s="387"/>
      <c r="G89" s="387"/>
      <c r="H89" s="387"/>
      <c r="I89" s="386"/>
      <c r="J89" s="386"/>
      <c r="K89" s="387"/>
      <c r="L89" s="387"/>
      <c r="M89" s="387"/>
      <c r="N89" s="386"/>
      <c r="O89" s="386"/>
      <c r="P89" s="387"/>
      <c r="Q89" s="386"/>
      <c r="R89" s="386"/>
      <c r="S89" s="386"/>
      <c r="T89" s="388"/>
      <c r="U89" s="388"/>
      <c r="V89" s="388"/>
      <c r="W89" s="389"/>
      <c r="X89" s="388"/>
      <c r="Y89" s="388"/>
      <c r="Z89" s="388"/>
      <c r="AA89" s="389"/>
      <c r="AB89" s="375"/>
      <c r="AC89" s="376"/>
    </row>
    <row r="90" spans="1:29">
      <c r="A90" s="362"/>
      <c r="B90" s="346"/>
      <c r="C90" s="363"/>
      <c r="D90" s="364"/>
      <c r="E90" s="364"/>
      <c r="F90" s="364"/>
      <c r="G90" s="364"/>
      <c r="H90" s="364"/>
      <c r="I90" s="363"/>
      <c r="J90" s="363"/>
      <c r="K90" s="364"/>
      <c r="L90" s="364"/>
      <c r="M90" s="364"/>
      <c r="N90" s="363"/>
      <c r="O90" s="363"/>
      <c r="P90" s="364"/>
      <c r="Q90" s="363"/>
      <c r="R90" s="363"/>
      <c r="S90" s="363"/>
      <c r="T90" s="365"/>
      <c r="U90" s="365"/>
      <c r="V90" s="365"/>
      <c r="W90" s="366"/>
      <c r="X90" s="365"/>
      <c r="Y90" s="365"/>
      <c r="Z90" s="365"/>
      <c r="AA90" s="366"/>
      <c r="AB90" s="367"/>
      <c r="AC90" s="368"/>
    </row>
    <row r="91" spans="1:29">
      <c r="A91" s="369"/>
      <c r="B91" s="370"/>
      <c r="C91" s="371"/>
      <c r="D91" s="372"/>
      <c r="E91" s="372"/>
      <c r="F91" s="372"/>
      <c r="G91" s="372"/>
      <c r="H91" s="372"/>
      <c r="I91" s="371"/>
      <c r="J91" s="371"/>
      <c r="K91" s="372"/>
      <c r="L91" s="372"/>
      <c r="M91" s="372"/>
      <c r="N91" s="371"/>
      <c r="O91" s="371"/>
      <c r="P91" s="372"/>
      <c r="Q91" s="371"/>
      <c r="R91" s="371"/>
      <c r="S91" s="371"/>
      <c r="T91" s="373"/>
      <c r="U91" s="373"/>
      <c r="V91" s="373"/>
      <c r="W91" s="374"/>
      <c r="X91" s="373"/>
      <c r="Y91" s="373"/>
      <c r="Z91" s="373"/>
      <c r="AA91" s="374"/>
      <c r="AB91" s="375"/>
      <c r="AC91" s="376"/>
    </row>
    <row r="92" spans="1:29">
      <c r="A92" s="369"/>
      <c r="B92" s="377"/>
      <c r="C92" s="377"/>
      <c r="D92" s="378"/>
      <c r="E92" s="378"/>
      <c r="F92" s="378"/>
      <c r="G92" s="378"/>
      <c r="H92" s="378"/>
      <c r="I92" s="377"/>
      <c r="J92" s="377"/>
      <c r="K92" s="378"/>
      <c r="L92" s="378"/>
      <c r="M92" s="378"/>
      <c r="N92" s="377"/>
      <c r="O92" s="377"/>
      <c r="P92" s="378"/>
      <c r="Q92" s="377"/>
      <c r="R92" s="377"/>
      <c r="S92" s="377"/>
      <c r="T92" s="379"/>
      <c r="U92" s="379"/>
      <c r="V92" s="379"/>
      <c r="W92" s="380"/>
      <c r="X92" s="379"/>
      <c r="Y92" s="379"/>
      <c r="Z92" s="379"/>
      <c r="AA92" s="380"/>
      <c r="AB92" s="375"/>
      <c r="AC92" s="376"/>
    </row>
    <row r="93" spans="1:29">
      <c r="A93" s="369"/>
      <c r="B93" s="370"/>
      <c r="C93" s="371"/>
      <c r="D93" s="372"/>
      <c r="E93" s="372"/>
      <c r="F93" s="372"/>
      <c r="G93" s="372"/>
      <c r="H93" s="372"/>
      <c r="I93" s="371"/>
      <c r="J93" s="371"/>
      <c r="K93" s="372"/>
      <c r="L93" s="372"/>
      <c r="M93" s="372"/>
      <c r="N93" s="371"/>
      <c r="O93" s="371"/>
      <c r="P93" s="372"/>
      <c r="Q93" s="371"/>
      <c r="R93" s="371"/>
      <c r="S93" s="371"/>
      <c r="T93" s="373"/>
      <c r="U93" s="373"/>
      <c r="V93" s="373"/>
      <c r="W93" s="374"/>
      <c r="X93" s="373"/>
      <c r="Y93" s="373"/>
      <c r="Z93" s="373"/>
      <c r="AA93" s="374"/>
      <c r="AB93" s="375"/>
      <c r="AC93" s="376"/>
    </row>
    <row r="94" spans="1:29">
      <c r="A94" s="369"/>
      <c r="B94" s="370"/>
      <c r="C94" s="371"/>
      <c r="D94" s="372"/>
      <c r="E94" s="372"/>
      <c r="F94" s="372"/>
      <c r="G94" s="372"/>
      <c r="H94" s="372"/>
      <c r="I94" s="371"/>
      <c r="J94" s="371"/>
      <c r="K94" s="372"/>
      <c r="L94" s="372"/>
      <c r="M94" s="372"/>
      <c r="N94" s="371"/>
      <c r="O94" s="371"/>
      <c r="P94" s="372"/>
      <c r="Q94" s="371"/>
      <c r="R94" s="371"/>
      <c r="S94" s="371"/>
      <c r="T94" s="373"/>
      <c r="U94" s="373"/>
      <c r="V94" s="373"/>
      <c r="W94" s="374"/>
      <c r="X94" s="373"/>
      <c r="Y94" s="373"/>
      <c r="Z94" s="373"/>
      <c r="AA94" s="374"/>
      <c r="AB94" s="375"/>
      <c r="AC94" s="376"/>
    </row>
    <row r="95" spans="1:29">
      <c r="A95" s="369"/>
      <c r="B95" s="381"/>
      <c r="C95" s="377"/>
      <c r="D95" s="378"/>
      <c r="E95" s="378"/>
      <c r="F95" s="378"/>
      <c r="G95" s="378"/>
      <c r="H95" s="378"/>
      <c r="I95" s="377"/>
      <c r="J95" s="377"/>
      <c r="K95" s="378"/>
      <c r="L95" s="378"/>
      <c r="M95" s="378"/>
      <c r="N95" s="377"/>
      <c r="O95" s="377"/>
      <c r="P95" s="378"/>
      <c r="Q95" s="377"/>
      <c r="R95" s="381"/>
      <c r="S95" s="381"/>
      <c r="T95" s="382"/>
      <c r="U95" s="382"/>
      <c r="V95" s="382"/>
      <c r="W95" s="383"/>
      <c r="X95" s="382"/>
      <c r="Y95" s="382"/>
      <c r="Z95" s="382"/>
      <c r="AA95" s="383"/>
      <c r="AB95" s="375"/>
      <c r="AC95" s="376"/>
    </row>
    <row r="96" spans="1:29">
      <c r="A96" s="369"/>
      <c r="B96" s="385"/>
      <c r="C96" s="386"/>
      <c r="D96" s="387"/>
      <c r="E96" s="387"/>
      <c r="F96" s="387"/>
      <c r="G96" s="387"/>
      <c r="H96" s="387"/>
      <c r="I96" s="386"/>
      <c r="J96" s="386"/>
      <c r="K96" s="387"/>
      <c r="L96" s="387"/>
      <c r="M96" s="387"/>
      <c r="N96" s="386"/>
      <c r="O96" s="386"/>
      <c r="P96" s="387"/>
      <c r="Q96" s="386"/>
      <c r="R96" s="386"/>
      <c r="S96" s="386"/>
      <c r="T96" s="388"/>
      <c r="U96" s="388"/>
      <c r="V96" s="388"/>
      <c r="W96" s="389"/>
      <c r="X96" s="388"/>
      <c r="Y96" s="388"/>
      <c r="Z96" s="388"/>
      <c r="AA96" s="389"/>
      <c r="AB96" s="375"/>
      <c r="AC96" s="376"/>
    </row>
    <row r="97" spans="1:29">
      <c r="A97" s="362"/>
      <c r="B97" s="346"/>
      <c r="C97" s="363"/>
      <c r="D97" s="364"/>
      <c r="E97" s="364"/>
      <c r="F97" s="364"/>
      <c r="G97" s="364"/>
      <c r="H97" s="364"/>
      <c r="I97" s="363"/>
      <c r="J97" s="363"/>
      <c r="K97" s="364"/>
      <c r="L97" s="364"/>
      <c r="M97" s="364"/>
      <c r="N97" s="363"/>
      <c r="O97" s="363"/>
      <c r="P97" s="364"/>
      <c r="Q97" s="363"/>
      <c r="R97" s="363"/>
      <c r="S97" s="363"/>
      <c r="T97" s="365"/>
      <c r="U97" s="365"/>
      <c r="V97" s="365"/>
      <c r="W97" s="366"/>
      <c r="X97" s="365"/>
      <c r="Y97" s="365"/>
      <c r="Z97" s="365"/>
      <c r="AA97" s="366"/>
      <c r="AB97" s="367"/>
      <c r="AC97" s="368"/>
    </row>
    <row r="98" spans="1:29">
      <c r="A98" s="369"/>
      <c r="B98" s="370"/>
      <c r="C98" s="371"/>
      <c r="D98" s="372"/>
      <c r="E98" s="372"/>
      <c r="F98" s="372"/>
      <c r="G98" s="372"/>
      <c r="H98" s="372"/>
      <c r="I98" s="371"/>
      <c r="J98" s="371"/>
      <c r="K98" s="372"/>
      <c r="L98" s="372"/>
      <c r="M98" s="372"/>
      <c r="N98" s="371"/>
      <c r="O98" s="371"/>
      <c r="P98" s="372"/>
      <c r="Q98" s="371"/>
      <c r="R98" s="371"/>
      <c r="S98" s="371"/>
      <c r="T98" s="373"/>
      <c r="U98" s="373"/>
      <c r="V98" s="373"/>
      <c r="W98" s="374"/>
      <c r="X98" s="373"/>
      <c r="Y98" s="373"/>
      <c r="Z98" s="373"/>
      <c r="AA98" s="374"/>
      <c r="AB98" s="375"/>
      <c r="AC98" s="376"/>
    </row>
    <row r="99" spans="1:29">
      <c r="A99" s="369"/>
      <c r="B99" s="377"/>
      <c r="C99" s="377"/>
      <c r="D99" s="378"/>
      <c r="E99" s="378"/>
      <c r="F99" s="378"/>
      <c r="G99" s="378"/>
      <c r="H99" s="378"/>
      <c r="I99" s="377"/>
      <c r="J99" s="377"/>
      <c r="K99" s="378"/>
      <c r="L99" s="378"/>
      <c r="M99" s="378"/>
      <c r="N99" s="377"/>
      <c r="O99" s="377"/>
      <c r="P99" s="378"/>
      <c r="Q99" s="377"/>
      <c r="R99" s="377"/>
      <c r="S99" s="377"/>
      <c r="T99" s="379"/>
      <c r="U99" s="379"/>
      <c r="V99" s="379"/>
      <c r="W99" s="380"/>
      <c r="X99" s="379"/>
      <c r="Y99" s="379"/>
      <c r="Z99" s="379"/>
      <c r="AA99" s="380"/>
      <c r="AB99" s="375"/>
      <c r="AC99" s="376"/>
    </row>
    <row r="100" spans="1:29">
      <c r="A100" s="369"/>
      <c r="B100" s="370"/>
      <c r="C100" s="371"/>
      <c r="D100" s="372"/>
      <c r="E100" s="372"/>
      <c r="F100" s="372"/>
      <c r="G100" s="372"/>
      <c r="H100" s="372"/>
      <c r="I100" s="371"/>
      <c r="J100" s="371"/>
      <c r="K100" s="372"/>
      <c r="L100" s="372"/>
      <c r="M100" s="372"/>
      <c r="N100" s="371"/>
      <c r="O100" s="371"/>
      <c r="P100" s="372"/>
      <c r="Q100" s="371"/>
      <c r="R100" s="371"/>
      <c r="S100" s="371"/>
      <c r="T100" s="373"/>
      <c r="U100" s="373"/>
      <c r="V100" s="373"/>
      <c r="W100" s="374"/>
      <c r="X100" s="373"/>
      <c r="Y100" s="373"/>
      <c r="Z100" s="373"/>
      <c r="AA100" s="374"/>
      <c r="AB100" s="375"/>
      <c r="AC100" s="376"/>
    </row>
    <row r="101" spans="1:29">
      <c r="A101" s="369"/>
      <c r="B101" s="370"/>
      <c r="C101" s="371"/>
      <c r="D101" s="372"/>
      <c r="E101" s="372"/>
      <c r="F101" s="372"/>
      <c r="G101" s="372"/>
      <c r="H101" s="372"/>
      <c r="I101" s="371"/>
      <c r="J101" s="371"/>
      <c r="K101" s="372"/>
      <c r="L101" s="372"/>
      <c r="M101" s="372"/>
      <c r="N101" s="371"/>
      <c r="O101" s="371"/>
      <c r="P101" s="372"/>
      <c r="Q101" s="371"/>
      <c r="R101" s="371"/>
      <c r="S101" s="371"/>
      <c r="T101" s="373"/>
      <c r="U101" s="373"/>
      <c r="V101" s="373"/>
      <c r="W101" s="374"/>
      <c r="X101" s="373"/>
      <c r="Y101" s="373"/>
      <c r="Z101" s="373"/>
      <c r="AA101" s="374"/>
      <c r="AB101" s="375"/>
      <c r="AC101" s="376"/>
    </row>
    <row r="102" spans="1:29">
      <c r="A102" s="369"/>
      <c r="B102" s="381"/>
      <c r="C102" s="377"/>
      <c r="D102" s="378"/>
      <c r="E102" s="378"/>
      <c r="F102" s="378"/>
      <c r="G102" s="378"/>
      <c r="H102" s="378"/>
      <c r="I102" s="377"/>
      <c r="J102" s="377"/>
      <c r="K102" s="378"/>
      <c r="L102" s="378"/>
      <c r="M102" s="378"/>
      <c r="N102" s="377"/>
      <c r="O102" s="377"/>
      <c r="P102" s="378"/>
      <c r="Q102" s="377"/>
      <c r="R102" s="381"/>
      <c r="S102" s="381"/>
      <c r="T102" s="382"/>
      <c r="U102" s="382"/>
      <c r="V102" s="382"/>
      <c r="W102" s="383"/>
      <c r="X102" s="382"/>
      <c r="Y102" s="382"/>
      <c r="Z102" s="382"/>
      <c r="AA102" s="383"/>
      <c r="AB102" s="375"/>
      <c r="AC102" s="376"/>
    </row>
    <row r="103" spans="1:29">
      <c r="A103" s="369"/>
      <c r="B103" s="385"/>
      <c r="C103" s="386"/>
      <c r="D103" s="387"/>
      <c r="E103" s="387"/>
      <c r="F103" s="387"/>
      <c r="G103" s="387"/>
      <c r="H103" s="387"/>
      <c r="I103" s="386"/>
      <c r="J103" s="386"/>
      <c r="K103" s="387"/>
      <c r="L103" s="387"/>
      <c r="M103" s="387"/>
      <c r="N103" s="386"/>
      <c r="O103" s="386"/>
      <c r="P103" s="387"/>
      <c r="Q103" s="386"/>
      <c r="R103" s="386"/>
      <c r="S103" s="386"/>
      <c r="T103" s="388"/>
      <c r="U103" s="388"/>
      <c r="V103" s="388"/>
      <c r="W103" s="389"/>
      <c r="X103" s="388"/>
      <c r="Y103" s="388"/>
      <c r="Z103" s="388"/>
      <c r="AA103" s="389"/>
      <c r="AB103" s="375"/>
      <c r="AC103" s="376"/>
    </row>
    <row r="104" spans="1:29">
      <c r="A104" s="362"/>
      <c r="B104" s="346"/>
      <c r="C104" s="363"/>
      <c r="D104" s="364"/>
      <c r="E104" s="364"/>
      <c r="F104" s="364"/>
      <c r="G104" s="364"/>
      <c r="H104" s="364"/>
      <c r="I104" s="363"/>
      <c r="J104" s="363"/>
      <c r="K104" s="364"/>
      <c r="L104" s="364"/>
      <c r="M104" s="364"/>
      <c r="N104" s="363"/>
      <c r="O104" s="363"/>
      <c r="P104" s="364"/>
      <c r="Q104" s="363"/>
      <c r="R104" s="363"/>
      <c r="S104" s="363"/>
      <c r="T104" s="365"/>
      <c r="U104" s="365"/>
      <c r="V104" s="365"/>
      <c r="W104" s="366"/>
      <c r="X104" s="365"/>
      <c r="Y104" s="365"/>
      <c r="Z104" s="365"/>
      <c r="AA104" s="366"/>
      <c r="AB104" s="367"/>
      <c r="AC104" s="368"/>
    </row>
    <row r="105" spans="1:29">
      <c r="A105" s="369"/>
      <c r="B105" s="370"/>
      <c r="C105" s="371"/>
      <c r="D105" s="372"/>
      <c r="E105" s="372"/>
      <c r="F105" s="372"/>
      <c r="G105" s="372"/>
      <c r="H105" s="372"/>
      <c r="I105" s="371"/>
      <c r="J105" s="371"/>
      <c r="K105" s="372"/>
      <c r="L105" s="372"/>
      <c r="M105" s="372"/>
      <c r="N105" s="371"/>
      <c r="O105" s="371"/>
      <c r="P105" s="372"/>
      <c r="Q105" s="371"/>
      <c r="R105" s="371"/>
      <c r="S105" s="371"/>
      <c r="T105" s="373"/>
      <c r="U105" s="373"/>
      <c r="V105" s="373"/>
      <c r="W105" s="374"/>
      <c r="X105" s="373"/>
      <c r="Y105" s="373"/>
      <c r="Z105" s="373"/>
      <c r="AA105" s="374"/>
      <c r="AB105" s="375"/>
      <c r="AC105" s="376"/>
    </row>
    <row r="106" spans="1:29">
      <c r="A106" s="369"/>
      <c r="B106" s="377"/>
      <c r="C106" s="377"/>
      <c r="D106" s="378"/>
      <c r="E106" s="378"/>
      <c r="F106" s="378"/>
      <c r="G106" s="378"/>
      <c r="H106" s="378"/>
      <c r="I106" s="377"/>
      <c r="J106" s="377"/>
      <c r="K106" s="378"/>
      <c r="L106" s="378"/>
      <c r="M106" s="378"/>
      <c r="N106" s="377"/>
      <c r="O106" s="377"/>
      <c r="P106" s="378"/>
      <c r="Q106" s="377"/>
      <c r="R106" s="377"/>
      <c r="S106" s="377"/>
      <c r="T106" s="379"/>
      <c r="U106" s="379"/>
      <c r="V106" s="379"/>
      <c r="W106" s="380"/>
      <c r="X106" s="379"/>
      <c r="Y106" s="379"/>
      <c r="Z106" s="379"/>
      <c r="AA106" s="380"/>
      <c r="AB106" s="375"/>
      <c r="AC106" s="376"/>
    </row>
    <row r="107" spans="1:29">
      <c r="A107" s="369"/>
      <c r="B107" s="370"/>
      <c r="C107" s="371"/>
      <c r="D107" s="372"/>
      <c r="E107" s="372"/>
      <c r="F107" s="372"/>
      <c r="G107" s="372"/>
      <c r="H107" s="372"/>
      <c r="I107" s="371"/>
      <c r="J107" s="371"/>
      <c r="K107" s="372"/>
      <c r="L107" s="372"/>
      <c r="M107" s="372"/>
      <c r="N107" s="371"/>
      <c r="O107" s="371"/>
      <c r="P107" s="372"/>
      <c r="Q107" s="371"/>
      <c r="R107" s="371"/>
      <c r="S107" s="371"/>
      <c r="T107" s="373"/>
      <c r="U107" s="373"/>
      <c r="V107" s="373"/>
      <c r="W107" s="374"/>
      <c r="X107" s="373"/>
      <c r="Y107" s="373"/>
      <c r="Z107" s="373"/>
      <c r="AA107" s="374"/>
      <c r="AB107" s="375"/>
      <c r="AC107" s="376"/>
    </row>
    <row r="108" spans="1:29">
      <c r="A108" s="369"/>
      <c r="B108" s="370"/>
      <c r="C108" s="371"/>
      <c r="D108" s="372"/>
      <c r="E108" s="372"/>
      <c r="F108" s="372"/>
      <c r="G108" s="372"/>
      <c r="H108" s="372"/>
      <c r="I108" s="371"/>
      <c r="J108" s="371"/>
      <c r="K108" s="372"/>
      <c r="L108" s="372"/>
      <c r="M108" s="372"/>
      <c r="N108" s="371"/>
      <c r="O108" s="371"/>
      <c r="P108" s="372"/>
      <c r="Q108" s="371"/>
      <c r="R108" s="371"/>
      <c r="S108" s="371"/>
      <c r="T108" s="373"/>
      <c r="U108" s="373"/>
      <c r="V108" s="373"/>
      <c r="W108" s="374"/>
      <c r="X108" s="373"/>
      <c r="Y108" s="373"/>
      <c r="Z108" s="373"/>
      <c r="AA108" s="374"/>
      <c r="AB108" s="375"/>
      <c r="AC108" s="376"/>
    </row>
    <row r="109" spans="1:29">
      <c r="A109" s="369"/>
      <c r="B109" s="381"/>
      <c r="C109" s="377"/>
      <c r="D109" s="378"/>
      <c r="E109" s="378"/>
      <c r="F109" s="378"/>
      <c r="G109" s="378"/>
      <c r="H109" s="378"/>
      <c r="I109" s="377"/>
      <c r="J109" s="377"/>
      <c r="K109" s="378"/>
      <c r="L109" s="378"/>
      <c r="M109" s="378"/>
      <c r="N109" s="377"/>
      <c r="O109" s="377"/>
      <c r="P109" s="378"/>
      <c r="Q109" s="377"/>
      <c r="R109" s="381"/>
      <c r="S109" s="381"/>
      <c r="T109" s="382"/>
      <c r="U109" s="382"/>
      <c r="V109" s="382"/>
      <c r="W109" s="383"/>
      <c r="X109" s="382"/>
      <c r="Y109" s="382"/>
      <c r="Z109" s="382"/>
      <c r="AA109" s="383"/>
      <c r="AB109" s="375"/>
      <c r="AC109" s="376"/>
    </row>
    <row r="110" spans="1:29">
      <c r="A110" s="369"/>
      <c r="B110" s="385"/>
      <c r="C110" s="386"/>
      <c r="D110" s="387"/>
      <c r="E110" s="387"/>
      <c r="F110" s="387"/>
      <c r="G110" s="387"/>
      <c r="H110" s="387"/>
      <c r="I110" s="386"/>
      <c r="J110" s="386"/>
      <c r="K110" s="387"/>
      <c r="L110" s="387"/>
      <c r="M110" s="387"/>
      <c r="N110" s="386"/>
      <c r="O110" s="386"/>
      <c r="P110" s="387"/>
      <c r="Q110" s="386"/>
      <c r="R110" s="386"/>
      <c r="S110" s="386"/>
      <c r="T110" s="388"/>
      <c r="U110" s="388"/>
      <c r="V110" s="388"/>
      <c r="W110" s="389"/>
      <c r="X110" s="388"/>
      <c r="Y110" s="388"/>
      <c r="Z110" s="388"/>
      <c r="AA110" s="389"/>
      <c r="AB110" s="375"/>
      <c r="AC110" s="376"/>
    </row>
    <row r="111" spans="1:29">
      <c r="A111" s="362"/>
      <c r="B111" s="346"/>
      <c r="C111" s="363"/>
      <c r="D111" s="364"/>
      <c r="E111" s="364"/>
      <c r="F111" s="364"/>
      <c r="G111" s="364"/>
      <c r="H111" s="364"/>
      <c r="I111" s="363"/>
      <c r="J111" s="363"/>
      <c r="K111" s="364"/>
      <c r="L111" s="364"/>
      <c r="M111" s="364"/>
      <c r="N111" s="363"/>
      <c r="O111" s="363"/>
      <c r="P111" s="364"/>
      <c r="Q111" s="363"/>
      <c r="R111" s="363"/>
      <c r="S111" s="363"/>
      <c r="T111" s="365"/>
      <c r="U111" s="365"/>
      <c r="V111" s="365"/>
      <c r="W111" s="366"/>
      <c r="X111" s="365"/>
      <c r="Y111" s="365"/>
      <c r="Z111" s="365"/>
      <c r="AA111" s="366"/>
      <c r="AB111" s="367"/>
      <c r="AC111" s="368"/>
    </row>
    <row r="112" spans="1:29">
      <c r="A112" s="369"/>
      <c r="B112" s="370"/>
      <c r="C112" s="371"/>
      <c r="D112" s="372"/>
      <c r="E112" s="372"/>
      <c r="F112" s="372"/>
      <c r="G112" s="372"/>
      <c r="H112" s="372"/>
      <c r="I112" s="371"/>
      <c r="J112" s="371"/>
      <c r="K112" s="372"/>
      <c r="L112" s="372"/>
      <c r="M112" s="372"/>
      <c r="N112" s="371"/>
      <c r="O112" s="371"/>
      <c r="P112" s="372"/>
      <c r="Q112" s="371"/>
      <c r="R112" s="371"/>
      <c r="S112" s="371"/>
      <c r="T112" s="373"/>
      <c r="U112" s="373"/>
      <c r="V112" s="373"/>
      <c r="W112" s="374"/>
      <c r="X112" s="373"/>
      <c r="Y112" s="373"/>
      <c r="Z112" s="373"/>
      <c r="AA112" s="374"/>
      <c r="AB112" s="375"/>
      <c r="AC112" s="376"/>
    </row>
    <row r="113" spans="1:29">
      <c r="A113" s="369"/>
      <c r="B113" s="377"/>
      <c r="C113" s="377"/>
      <c r="D113" s="378"/>
      <c r="E113" s="378"/>
      <c r="F113" s="378"/>
      <c r="G113" s="378"/>
      <c r="H113" s="378"/>
      <c r="I113" s="377"/>
      <c r="J113" s="377"/>
      <c r="K113" s="378"/>
      <c r="L113" s="378"/>
      <c r="M113" s="378"/>
      <c r="N113" s="377"/>
      <c r="O113" s="377"/>
      <c r="P113" s="378"/>
      <c r="Q113" s="377"/>
      <c r="R113" s="377"/>
      <c r="S113" s="377"/>
      <c r="T113" s="379"/>
      <c r="U113" s="379"/>
      <c r="V113" s="379"/>
      <c r="W113" s="380"/>
      <c r="X113" s="379"/>
      <c r="Y113" s="379"/>
      <c r="Z113" s="379"/>
      <c r="AA113" s="380"/>
      <c r="AB113" s="375"/>
      <c r="AC113" s="376"/>
    </row>
    <row r="114" spans="1:29">
      <c r="A114" s="369"/>
      <c r="B114" s="370"/>
      <c r="C114" s="371"/>
      <c r="D114" s="372"/>
      <c r="E114" s="372"/>
      <c r="F114" s="372"/>
      <c r="G114" s="372"/>
      <c r="H114" s="372"/>
      <c r="I114" s="371"/>
      <c r="J114" s="371"/>
      <c r="K114" s="372"/>
      <c r="L114" s="372"/>
      <c r="M114" s="372"/>
      <c r="N114" s="371"/>
      <c r="O114" s="371"/>
      <c r="P114" s="372"/>
      <c r="Q114" s="371"/>
      <c r="R114" s="371"/>
      <c r="S114" s="371"/>
      <c r="T114" s="373"/>
      <c r="U114" s="373"/>
      <c r="V114" s="373"/>
      <c r="W114" s="374"/>
      <c r="X114" s="373"/>
      <c r="Y114" s="373"/>
      <c r="Z114" s="373"/>
      <c r="AA114" s="374"/>
      <c r="AB114" s="375"/>
      <c r="AC114" s="376"/>
    </row>
    <row r="115" spans="1:29">
      <c r="A115" s="369"/>
      <c r="B115" s="370"/>
      <c r="C115" s="371"/>
      <c r="D115" s="372"/>
      <c r="E115" s="372"/>
      <c r="F115" s="372"/>
      <c r="G115" s="372"/>
      <c r="H115" s="372"/>
      <c r="I115" s="371"/>
      <c r="J115" s="371"/>
      <c r="K115" s="372"/>
      <c r="L115" s="372"/>
      <c r="M115" s="372"/>
      <c r="N115" s="371"/>
      <c r="O115" s="371"/>
      <c r="P115" s="372"/>
      <c r="Q115" s="371"/>
      <c r="R115" s="371"/>
      <c r="S115" s="371"/>
      <c r="T115" s="373"/>
      <c r="U115" s="373"/>
      <c r="V115" s="373"/>
      <c r="W115" s="374"/>
      <c r="X115" s="373"/>
      <c r="Y115" s="373"/>
      <c r="Z115" s="373"/>
      <c r="AA115" s="374"/>
      <c r="AB115" s="375"/>
      <c r="AC115" s="376"/>
    </row>
    <row r="116" spans="1:29">
      <c r="A116" s="369"/>
      <c r="B116" s="381"/>
      <c r="C116" s="377"/>
      <c r="D116" s="378"/>
      <c r="E116" s="378"/>
      <c r="F116" s="378"/>
      <c r="G116" s="378"/>
      <c r="H116" s="378"/>
      <c r="I116" s="377"/>
      <c r="J116" s="377"/>
      <c r="K116" s="378"/>
      <c r="L116" s="378"/>
      <c r="M116" s="378"/>
      <c r="N116" s="377"/>
      <c r="O116" s="377"/>
      <c r="P116" s="378"/>
      <c r="Q116" s="377"/>
      <c r="R116" s="381"/>
      <c r="S116" s="381"/>
      <c r="T116" s="382"/>
      <c r="U116" s="382"/>
      <c r="V116" s="382"/>
      <c r="W116" s="383"/>
      <c r="X116" s="382"/>
      <c r="Y116" s="382"/>
      <c r="Z116" s="382"/>
      <c r="AA116" s="383"/>
      <c r="AB116" s="375"/>
      <c r="AC116" s="376"/>
    </row>
    <row r="117" spans="1:29">
      <c r="A117" s="369"/>
      <c r="B117" s="385"/>
      <c r="C117" s="386"/>
      <c r="D117" s="387"/>
      <c r="E117" s="387"/>
      <c r="F117" s="387"/>
      <c r="G117" s="387"/>
      <c r="H117" s="387"/>
      <c r="I117" s="386"/>
      <c r="J117" s="386"/>
      <c r="K117" s="387"/>
      <c r="L117" s="387"/>
      <c r="M117" s="387"/>
      <c r="N117" s="386"/>
      <c r="O117" s="386"/>
      <c r="P117" s="387"/>
      <c r="Q117" s="386"/>
      <c r="R117" s="386"/>
      <c r="S117" s="386"/>
      <c r="T117" s="388"/>
      <c r="U117" s="388"/>
      <c r="V117" s="388"/>
      <c r="W117" s="389"/>
      <c r="X117" s="388"/>
      <c r="Y117" s="388"/>
      <c r="Z117" s="388"/>
      <c r="AA117" s="389"/>
      <c r="AB117" s="375"/>
      <c r="AC117" s="376"/>
    </row>
    <row r="118" spans="1:29">
      <c r="A118" s="362"/>
      <c r="B118" s="346"/>
      <c r="C118" s="363"/>
      <c r="D118" s="364"/>
      <c r="E118" s="364"/>
      <c r="F118" s="364"/>
      <c r="G118" s="364"/>
      <c r="H118" s="364"/>
      <c r="I118" s="363"/>
      <c r="J118" s="363"/>
      <c r="K118" s="364"/>
      <c r="L118" s="364"/>
      <c r="M118" s="364"/>
      <c r="N118" s="363"/>
      <c r="O118" s="363"/>
      <c r="P118" s="364"/>
      <c r="Q118" s="363"/>
      <c r="R118" s="363"/>
      <c r="S118" s="363"/>
      <c r="T118" s="365"/>
      <c r="U118" s="365"/>
      <c r="V118" s="365"/>
      <c r="W118" s="366"/>
      <c r="X118" s="365"/>
      <c r="Y118" s="365"/>
      <c r="Z118" s="365"/>
      <c r="AA118" s="366"/>
      <c r="AB118" s="367"/>
      <c r="AC118" s="368"/>
    </row>
    <row r="119" spans="1:29">
      <c r="A119" s="369"/>
      <c r="B119" s="370"/>
      <c r="C119" s="371"/>
      <c r="D119" s="372"/>
      <c r="E119" s="372"/>
      <c r="F119" s="372"/>
      <c r="G119" s="372"/>
      <c r="H119" s="372"/>
      <c r="I119" s="371"/>
      <c r="J119" s="371"/>
      <c r="K119" s="372"/>
      <c r="L119" s="372"/>
      <c r="M119" s="372"/>
      <c r="N119" s="371"/>
      <c r="O119" s="371"/>
      <c r="P119" s="372"/>
      <c r="Q119" s="371"/>
      <c r="R119" s="371"/>
      <c r="S119" s="371"/>
      <c r="T119" s="373"/>
      <c r="U119" s="373"/>
      <c r="V119" s="373"/>
      <c r="W119" s="374"/>
      <c r="X119" s="373"/>
      <c r="Y119" s="373"/>
      <c r="Z119" s="373"/>
      <c r="AA119" s="374"/>
      <c r="AB119" s="367"/>
      <c r="AC119" s="368"/>
    </row>
    <row r="120" spans="1:29">
      <c r="A120" s="369"/>
      <c r="B120" s="377"/>
      <c r="C120" s="377"/>
      <c r="D120" s="378"/>
      <c r="E120" s="378"/>
      <c r="F120" s="378"/>
      <c r="G120" s="378"/>
      <c r="H120" s="378"/>
      <c r="I120" s="377"/>
      <c r="J120" s="377"/>
      <c r="K120" s="378"/>
      <c r="L120" s="378"/>
      <c r="M120" s="378"/>
      <c r="N120" s="377"/>
      <c r="O120" s="377"/>
      <c r="P120" s="378"/>
      <c r="Q120" s="377"/>
      <c r="R120" s="377"/>
      <c r="S120" s="377"/>
      <c r="T120" s="379"/>
      <c r="U120" s="379"/>
      <c r="V120" s="379"/>
      <c r="W120" s="380"/>
      <c r="X120" s="379"/>
      <c r="Y120" s="379"/>
      <c r="Z120" s="379"/>
      <c r="AA120" s="380"/>
      <c r="AB120" s="390"/>
      <c r="AC120" s="391"/>
    </row>
    <row r="121" spans="1:29">
      <c r="A121" s="369"/>
      <c r="B121" s="370"/>
      <c r="C121" s="371"/>
      <c r="D121" s="372"/>
      <c r="E121" s="372"/>
      <c r="F121" s="372"/>
      <c r="G121" s="372"/>
      <c r="H121" s="372"/>
      <c r="I121" s="371"/>
      <c r="J121" s="371"/>
      <c r="K121" s="372"/>
      <c r="L121" s="372"/>
      <c r="M121" s="372"/>
      <c r="N121" s="371"/>
      <c r="O121" s="371"/>
      <c r="P121" s="372"/>
      <c r="Q121" s="371"/>
      <c r="R121" s="371"/>
      <c r="S121" s="371"/>
      <c r="T121" s="373"/>
      <c r="U121" s="373"/>
      <c r="V121" s="373"/>
      <c r="W121" s="374"/>
      <c r="X121" s="373"/>
      <c r="Y121" s="373"/>
      <c r="Z121" s="373"/>
      <c r="AA121" s="374"/>
      <c r="AB121" s="367"/>
      <c r="AC121" s="368"/>
    </row>
    <row r="122" spans="1:29">
      <c r="A122" s="369"/>
      <c r="B122" s="370"/>
      <c r="C122" s="371"/>
      <c r="D122" s="372"/>
      <c r="E122" s="372"/>
      <c r="F122" s="372"/>
      <c r="G122" s="372"/>
      <c r="H122" s="372"/>
      <c r="I122" s="371"/>
      <c r="J122" s="371"/>
      <c r="K122" s="372"/>
      <c r="L122" s="372"/>
      <c r="M122" s="372"/>
      <c r="N122" s="371"/>
      <c r="O122" s="371"/>
      <c r="P122" s="372"/>
      <c r="Q122" s="371"/>
      <c r="R122" s="371"/>
      <c r="S122" s="371"/>
      <c r="T122" s="373"/>
      <c r="U122" s="373"/>
      <c r="V122" s="373"/>
      <c r="W122" s="374"/>
      <c r="X122" s="373"/>
      <c r="Y122" s="373"/>
      <c r="Z122" s="373"/>
      <c r="AA122" s="374"/>
      <c r="AB122" s="367"/>
      <c r="AC122" s="368"/>
    </row>
    <row r="123" spans="1:29">
      <c r="A123" s="369"/>
      <c r="B123" s="381"/>
      <c r="C123" s="377"/>
      <c r="D123" s="378"/>
      <c r="E123" s="378"/>
      <c r="F123" s="378"/>
      <c r="G123" s="378"/>
      <c r="H123" s="378"/>
      <c r="I123" s="377"/>
      <c r="J123" s="377"/>
      <c r="K123" s="378"/>
      <c r="L123" s="378"/>
      <c r="M123" s="378"/>
      <c r="N123" s="377"/>
      <c r="O123" s="377"/>
      <c r="P123" s="378"/>
      <c r="Q123" s="377"/>
      <c r="R123" s="381"/>
      <c r="S123" s="381"/>
      <c r="T123" s="382"/>
      <c r="U123" s="382"/>
      <c r="V123" s="382"/>
      <c r="W123" s="383"/>
      <c r="X123" s="382"/>
      <c r="Y123" s="382"/>
      <c r="Z123" s="382"/>
      <c r="AA123" s="383"/>
      <c r="AB123" s="367"/>
      <c r="AC123" s="368"/>
    </row>
    <row r="124" spans="1:29">
      <c r="A124" s="369"/>
      <c r="B124" s="385"/>
      <c r="C124" s="386"/>
      <c r="D124" s="387"/>
      <c r="E124" s="387"/>
      <c r="F124" s="387"/>
      <c r="G124" s="387"/>
      <c r="H124" s="387"/>
      <c r="I124" s="386"/>
      <c r="J124" s="386"/>
      <c r="K124" s="387"/>
      <c r="L124" s="387"/>
      <c r="M124" s="387"/>
      <c r="N124" s="386"/>
      <c r="O124" s="386"/>
      <c r="P124" s="387"/>
      <c r="Q124" s="386"/>
      <c r="R124" s="386"/>
      <c r="S124" s="386"/>
      <c r="T124" s="388"/>
      <c r="U124" s="388"/>
      <c r="V124" s="388"/>
      <c r="W124" s="389"/>
      <c r="X124" s="388"/>
      <c r="Y124" s="388"/>
      <c r="Z124" s="388"/>
      <c r="AA124" s="389"/>
      <c r="AB124" s="392"/>
      <c r="AC124" s="393"/>
    </row>
    <row r="125" spans="1:29">
      <c r="A125" s="394"/>
      <c r="B125"/>
      <c r="C125" s="282"/>
      <c r="D125" s="282"/>
      <c r="E125" s="282"/>
      <c r="F125" s="282"/>
      <c r="G125" s="282"/>
      <c r="H125" s="282"/>
      <c r="I125" s="282"/>
      <c r="J125" s="282"/>
      <c r="K125" s="282"/>
      <c r="L125" s="282"/>
      <c r="M125" s="282"/>
      <c r="N125" s="282"/>
      <c r="O125" s="282"/>
      <c r="P125" s="282"/>
      <c r="Q125" s="282"/>
      <c r="R125" s="282"/>
      <c r="S125" s="282"/>
      <c r="T125"/>
      <c r="U125"/>
      <c r="V125"/>
      <c r="W125"/>
      <c r="X125"/>
      <c r="Y125"/>
      <c r="Z125"/>
      <c r="AA125"/>
    </row>
    <row r="126" spans="1:29">
      <c r="A126"/>
      <c r="B126"/>
      <c r="C126" s="282"/>
      <c r="D126" s="282"/>
      <c r="E126" s="282"/>
      <c r="F126" s="282"/>
      <c r="G126" s="282"/>
      <c r="H126" s="282"/>
      <c r="I126" s="282"/>
      <c r="J126" s="282"/>
      <c r="K126" s="282"/>
      <c r="L126" s="282"/>
      <c r="M126" s="282"/>
      <c r="N126" s="282"/>
      <c r="O126" s="282"/>
      <c r="P126" s="282"/>
      <c r="Q126" s="282"/>
      <c r="R126" s="282"/>
      <c r="S126" s="282"/>
      <c r="T126"/>
      <c r="U126"/>
      <c r="V126"/>
      <c r="W126"/>
      <c r="X126"/>
      <c r="Y126"/>
      <c r="Z126"/>
      <c r="AA126"/>
    </row>
    <row r="127" spans="1:29">
      <c r="A127"/>
      <c r="B127"/>
      <c r="C127" s="282"/>
      <c r="D127" s="282"/>
      <c r="E127" s="282"/>
      <c r="F127" s="282"/>
      <c r="G127" s="282"/>
      <c r="H127" s="282"/>
      <c r="I127" s="282"/>
      <c r="J127" s="282"/>
      <c r="K127" s="282"/>
      <c r="L127" s="282"/>
      <c r="M127" s="282"/>
      <c r="N127" s="282"/>
      <c r="O127" s="282"/>
      <c r="P127" s="282"/>
      <c r="Q127" s="282"/>
      <c r="R127" s="282"/>
      <c r="S127" s="282"/>
      <c r="T127"/>
      <c r="U127"/>
      <c r="V127"/>
      <c r="W127"/>
      <c r="X127"/>
      <c r="Y127"/>
      <c r="Z127"/>
      <c r="AA127"/>
    </row>
    <row r="128" spans="1:29">
      <c r="A128"/>
      <c r="B128"/>
      <c r="C128" s="282"/>
      <c r="D128" s="282"/>
      <c r="E128" s="282"/>
      <c r="F128" s="282"/>
      <c r="G128" s="282"/>
      <c r="H128" s="282"/>
      <c r="I128" s="282"/>
      <c r="J128" s="282"/>
      <c r="K128" s="282"/>
      <c r="L128" s="282"/>
      <c r="M128" s="282"/>
      <c r="N128" s="282"/>
      <c r="O128" s="282"/>
      <c r="P128" s="282"/>
      <c r="Q128" s="282"/>
      <c r="R128" s="282"/>
      <c r="S128" s="282"/>
      <c r="T128"/>
      <c r="U128"/>
      <c r="V128"/>
      <c r="W128"/>
      <c r="X128"/>
      <c r="Y128"/>
      <c r="Z128"/>
      <c r="AA128"/>
    </row>
    <row r="129" spans="1:27">
      <c r="A129"/>
      <c r="B129"/>
      <c r="C129" s="282"/>
      <c r="D129" s="282"/>
      <c r="E129" s="282"/>
      <c r="F129" s="282"/>
      <c r="G129" s="282"/>
      <c r="H129" s="282"/>
      <c r="I129" s="282"/>
      <c r="J129" s="282"/>
      <c r="K129" s="282"/>
      <c r="L129" s="282"/>
      <c r="M129" s="282"/>
      <c r="N129" s="282"/>
      <c r="O129" s="282"/>
      <c r="P129" s="282"/>
      <c r="Q129" s="282"/>
      <c r="R129" s="282"/>
      <c r="S129" s="282"/>
      <c r="T129"/>
      <c r="U129"/>
      <c r="V129"/>
      <c r="W129"/>
      <c r="X129"/>
      <c r="Y129"/>
      <c r="Z129"/>
      <c r="AA129"/>
    </row>
    <row r="130" spans="1:27">
      <c r="A130"/>
      <c r="B130"/>
      <c r="C130" s="282"/>
      <c r="D130" s="282"/>
      <c r="E130" s="282"/>
      <c r="F130" s="282"/>
      <c r="G130" s="282"/>
      <c r="H130" s="282"/>
      <c r="I130" s="282"/>
      <c r="J130" s="282"/>
      <c r="K130" s="282"/>
      <c r="L130" s="282"/>
      <c r="M130" s="282"/>
      <c r="N130" s="282"/>
      <c r="O130" s="282"/>
      <c r="P130" s="282"/>
      <c r="Q130" s="282"/>
      <c r="R130" s="282"/>
      <c r="S130" s="282"/>
      <c r="T130"/>
      <c r="U130"/>
      <c r="V130"/>
      <c r="W130"/>
      <c r="X130"/>
      <c r="Y130"/>
      <c r="Z130"/>
      <c r="AA130"/>
    </row>
    <row r="131" spans="1:27">
      <c r="A131"/>
      <c r="B131"/>
      <c r="C131" s="282"/>
      <c r="D131" s="282"/>
      <c r="E131" s="282"/>
      <c r="F131" s="282"/>
      <c r="G131" s="282"/>
      <c r="H131" s="282"/>
      <c r="I131" s="282"/>
      <c r="J131" s="282"/>
      <c r="K131" s="282"/>
      <c r="L131" s="282"/>
      <c r="M131" s="282"/>
      <c r="N131" s="282"/>
      <c r="O131" s="282"/>
      <c r="P131" s="282"/>
      <c r="Q131" s="282"/>
      <c r="R131" s="282"/>
      <c r="S131" s="282"/>
      <c r="T131"/>
      <c r="U131"/>
      <c r="V131"/>
      <c r="W131"/>
      <c r="X131"/>
      <c r="Y131"/>
      <c r="Z131"/>
      <c r="AA131"/>
    </row>
    <row r="132" spans="1:27">
      <c r="A132"/>
      <c r="B132"/>
      <c r="C132" s="282"/>
      <c r="D132" s="282"/>
      <c r="E132" s="282"/>
      <c r="F132" s="282"/>
      <c r="G132" s="282"/>
      <c r="H132" s="282"/>
      <c r="I132" s="282"/>
      <c r="J132" s="282"/>
      <c r="K132" s="282"/>
      <c r="L132" s="282"/>
      <c r="M132" s="282"/>
      <c r="N132" s="282"/>
      <c r="O132" s="282"/>
      <c r="P132" s="282"/>
      <c r="Q132" s="282"/>
      <c r="R132" s="282"/>
      <c r="S132" s="282"/>
      <c r="T132"/>
      <c r="X132"/>
    </row>
    <row r="133" spans="1:27">
      <c r="A133"/>
      <c r="B133"/>
      <c r="C133" s="282"/>
      <c r="D133" s="282"/>
      <c r="E133" s="282"/>
      <c r="F133" s="282"/>
      <c r="G133" s="282"/>
      <c r="H133" s="282"/>
      <c r="I133" s="282"/>
      <c r="J133" s="282"/>
      <c r="K133" s="282"/>
      <c r="L133" s="282"/>
      <c r="M133" s="282"/>
      <c r="N133" s="282"/>
      <c r="O133" s="282"/>
      <c r="P133" s="282"/>
      <c r="Q133" s="282"/>
      <c r="R133" s="282"/>
      <c r="S133" s="282"/>
      <c r="T133"/>
      <c r="X133"/>
    </row>
    <row r="134" spans="1:27">
      <c r="A134"/>
      <c r="B134"/>
      <c r="C134" s="282"/>
      <c r="D134" s="282"/>
      <c r="E134" s="282"/>
      <c r="F134" s="282"/>
      <c r="G134" s="282"/>
      <c r="H134" s="282"/>
      <c r="I134" s="282"/>
      <c r="J134" s="282"/>
      <c r="K134" s="282"/>
      <c r="L134" s="282"/>
      <c r="M134" s="282"/>
      <c r="N134" s="282"/>
      <c r="O134" s="282"/>
      <c r="P134" s="282"/>
      <c r="Q134" s="282"/>
      <c r="R134" s="282"/>
      <c r="S134" s="282"/>
      <c r="T134"/>
      <c r="X134"/>
    </row>
    <row r="135" spans="1:27">
      <c r="A135"/>
      <c r="B135"/>
      <c r="C135" s="282"/>
      <c r="D135" s="282"/>
      <c r="E135" s="282"/>
      <c r="F135" s="282"/>
      <c r="G135" s="282"/>
      <c r="H135" s="282"/>
      <c r="I135" s="282"/>
      <c r="J135" s="282"/>
      <c r="K135" s="282"/>
      <c r="L135" s="282"/>
      <c r="M135" s="282"/>
      <c r="N135" s="282"/>
      <c r="O135" s="282"/>
      <c r="P135" s="282"/>
      <c r="Q135" s="282"/>
      <c r="R135" s="282"/>
      <c r="S135" s="282"/>
      <c r="T135"/>
      <c r="X135"/>
    </row>
    <row r="136" spans="1:27">
      <c r="A136"/>
      <c r="B136"/>
      <c r="C136" s="282"/>
      <c r="D136" s="282"/>
      <c r="E136" s="282"/>
      <c r="F136" s="282"/>
      <c r="G136" s="282"/>
      <c r="H136" s="282"/>
      <c r="I136" s="282"/>
      <c r="J136" s="282"/>
      <c r="K136" s="282"/>
      <c r="L136" s="282"/>
      <c r="M136" s="282"/>
      <c r="N136" s="282"/>
      <c r="O136" s="282"/>
      <c r="P136" s="282"/>
      <c r="Q136" s="282"/>
      <c r="R136" s="282"/>
      <c r="S136" s="282"/>
      <c r="T136"/>
      <c r="X136"/>
    </row>
    <row r="137" spans="1:27">
      <c r="A137"/>
      <c r="B137"/>
      <c r="C137" s="282"/>
      <c r="D137" s="282"/>
      <c r="E137" s="282"/>
      <c r="F137" s="282"/>
      <c r="G137" s="282"/>
      <c r="H137" s="282"/>
      <c r="I137" s="282"/>
      <c r="J137" s="282"/>
      <c r="K137" s="282"/>
      <c r="L137" s="282"/>
      <c r="M137" s="282"/>
      <c r="N137" s="282"/>
      <c r="O137" s="282"/>
      <c r="P137" s="282"/>
      <c r="Q137" s="282"/>
      <c r="R137" s="282"/>
      <c r="S137" s="282"/>
      <c r="T137"/>
      <c r="X137"/>
    </row>
    <row r="138" spans="1:27">
      <c r="A138"/>
      <c r="B138"/>
      <c r="C138" s="282"/>
      <c r="D138" s="282"/>
      <c r="E138" s="282"/>
      <c r="F138" s="282"/>
      <c r="G138" s="282"/>
      <c r="H138" s="282"/>
      <c r="I138" s="282"/>
      <c r="J138" s="282"/>
      <c r="K138" s="282"/>
      <c r="L138" s="282"/>
      <c r="M138" s="282"/>
      <c r="N138" s="282"/>
      <c r="O138" s="282"/>
      <c r="P138" s="282"/>
      <c r="Q138" s="282"/>
      <c r="R138" s="282"/>
      <c r="S138" s="282"/>
      <c r="T138"/>
      <c r="X138"/>
    </row>
    <row r="139" spans="1:27">
      <c r="A139"/>
      <c r="B139"/>
      <c r="C139" s="282"/>
      <c r="D139" s="282"/>
      <c r="E139" s="282"/>
      <c r="F139" s="282"/>
      <c r="G139" s="282"/>
      <c r="H139" s="282"/>
      <c r="I139" s="282"/>
      <c r="J139" s="282"/>
      <c r="K139" s="282"/>
      <c r="L139" s="282"/>
      <c r="M139" s="282"/>
      <c r="N139" s="282"/>
      <c r="O139" s="282"/>
      <c r="P139" s="282"/>
      <c r="Q139" s="282"/>
      <c r="R139" s="282"/>
      <c r="S139" s="282"/>
      <c r="T139"/>
      <c r="X139"/>
    </row>
    <row r="140" spans="1:27">
      <c r="A140"/>
      <c r="B140"/>
      <c r="C140" s="282"/>
      <c r="D140" s="282"/>
      <c r="E140" s="282"/>
      <c r="F140" s="282"/>
      <c r="G140" s="282"/>
      <c r="H140" s="282"/>
      <c r="I140" s="282"/>
      <c r="J140" s="282"/>
      <c r="K140" s="282"/>
      <c r="L140" s="282"/>
      <c r="M140" s="282"/>
      <c r="N140" s="282"/>
      <c r="O140" s="282"/>
      <c r="P140" s="282"/>
      <c r="Q140" s="282"/>
      <c r="R140" s="282"/>
      <c r="S140" s="282"/>
      <c r="T140"/>
      <c r="X140"/>
    </row>
    <row r="141" spans="1:27">
      <c r="A141"/>
      <c r="B141"/>
      <c r="C141" s="282"/>
      <c r="D141" s="282"/>
      <c r="E141" s="282"/>
      <c r="F141" s="282"/>
      <c r="G141" s="282"/>
      <c r="H141" s="282"/>
      <c r="I141" s="282"/>
      <c r="J141" s="282"/>
      <c r="K141" s="282"/>
      <c r="L141" s="282"/>
      <c r="M141" s="282"/>
      <c r="N141" s="282"/>
      <c r="O141" s="282"/>
      <c r="P141" s="282"/>
      <c r="Q141" s="282"/>
      <c r="R141" s="282"/>
      <c r="S141" s="282"/>
      <c r="T141"/>
      <c r="X141"/>
    </row>
    <row r="145" spans="3:19">
      <c r="C145" s="345"/>
      <c r="D145" s="345"/>
      <c r="E145" s="345"/>
      <c r="F145" s="345"/>
      <c r="G145" s="345"/>
      <c r="H145" s="345"/>
      <c r="I145" s="345"/>
      <c r="J145" s="345"/>
      <c r="K145" s="345"/>
      <c r="L145" s="345"/>
      <c r="M145" s="345"/>
      <c r="N145" s="345"/>
      <c r="O145" s="345"/>
      <c r="P145" s="345"/>
      <c r="Q145" s="345"/>
      <c r="R145" s="345"/>
      <c r="S145" s="345"/>
    </row>
    <row r="146" spans="3:19">
      <c r="C146" s="345"/>
      <c r="D146" s="345"/>
      <c r="E146" s="345"/>
      <c r="F146" s="345"/>
      <c r="G146" s="345"/>
      <c r="H146" s="345"/>
      <c r="I146" s="345"/>
      <c r="J146" s="345"/>
      <c r="K146" s="345"/>
      <c r="L146" s="345"/>
      <c r="M146" s="345"/>
      <c r="N146" s="345"/>
      <c r="O146" s="345"/>
      <c r="P146" s="345"/>
      <c r="Q146" s="345"/>
      <c r="R146" s="345"/>
      <c r="S146" s="345"/>
    </row>
    <row r="147" spans="3:19">
      <c r="C147" s="345"/>
      <c r="D147" s="345"/>
      <c r="E147" s="345"/>
      <c r="F147" s="345"/>
      <c r="G147" s="345"/>
      <c r="H147" s="345"/>
      <c r="I147" s="345"/>
      <c r="J147" s="345"/>
      <c r="K147" s="345"/>
      <c r="L147" s="345"/>
      <c r="M147" s="345"/>
      <c r="N147" s="345"/>
      <c r="O147" s="345"/>
      <c r="P147" s="345"/>
      <c r="Q147" s="345"/>
      <c r="R147" s="345"/>
      <c r="S147" s="345"/>
    </row>
    <row r="148" spans="3:19">
      <c r="C148" s="345"/>
      <c r="D148" s="345"/>
      <c r="E148" s="345"/>
      <c r="F148" s="345"/>
      <c r="G148" s="345"/>
      <c r="H148" s="345"/>
      <c r="I148" s="345"/>
      <c r="J148" s="345"/>
      <c r="K148" s="345"/>
      <c r="L148" s="345"/>
      <c r="M148" s="345"/>
      <c r="N148" s="345"/>
      <c r="O148" s="345"/>
      <c r="P148" s="345"/>
      <c r="Q148" s="345"/>
      <c r="R148" s="345"/>
      <c r="S148" s="345"/>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05301DA58C2B44BF1B2331A9765B0F" ma:contentTypeVersion="28" ma:contentTypeDescription="Create a new document." ma:contentTypeScope="" ma:versionID="92d53a7416e32486b409cf1bcad1674c">
  <xsd:schema xmlns:xsd="http://www.w3.org/2001/XMLSchema" xmlns:xs="http://www.w3.org/2001/XMLSchema" xmlns:p="http://schemas.microsoft.com/office/2006/metadata/properties" xmlns:ns2="14967c4d-1d58-4d2b-9b28-bedbaf0997e5" targetNamespace="http://schemas.microsoft.com/office/2006/metadata/properties" ma:root="true" ma:fieldsID="fcc85c8b0303cafb248a6a00171b426f" ns2:_="">
    <xsd:import namespace="14967c4d-1d58-4d2b-9b28-bedbaf0997e5"/>
    <xsd:element name="properties">
      <xsd:complexType>
        <xsd:sequence>
          <xsd:element name="documentManagement">
            <xsd:complexType>
              <xsd:all>
                <xsd:element ref="ns2:Coordinator"/>
                <xsd:element ref="ns2:Coordinator_x003a_State" minOccurs="0"/>
                <xsd:element ref="ns2:Coordinator_x003a_Agency_x0020_Code" minOccurs="0"/>
                <xsd:element ref="ns2:Coordinator_x003a_Email" minOccurs="0"/>
                <xsd:element ref="ns2:Survey"/>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967c4d-1d58-4d2b-9b28-bedbaf0997e5" elementFormDefault="qualified">
    <xsd:import namespace="http://schemas.microsoft.com/office/2006/documentManagement/types"/>
    <xsd:import namespace="http://schemas.microsoft.com/office/infopath/2007/PartnerControls"/>
    <xsd:element name="Coordinator" ma:index="9" ma:displayName="Coordinator" ma:list="{5b1e6847-f591-4099-b966-6ad3b1c1d18d}" ma:internalName="Coordinator" ma:readOnly="false" ma:showField="Full_x0020_Name0">
      <xsd:simpleType>
        <xsd:restriction base="dms:Lookup"/>
      </xsd:simpleType>
    </xsd:element>
    <xsd:element name="Coordinator_x003a_State" ma:index="10" nillable="true" ma:displayName="Coordinator:State" ma:list="{5b1e6847-f591-4099-b966-6ad3b1c1d18d}" ma:internalName="Coordinator_x003a_State" ma:readOnly="true" ma:showField="WorkState" ma:web="6ccd43a6-848c-45d3-a9f1-a57cda118cc4">
      <xsd:simpleType>
        <xsd:restriction base="dms:Lookup"/>
      </xsd:simpleType>
    </xsd:element>
    <xsd:element name="Coordinator_x003a_Agency_x0020_Code" ma:index="11" nillable="true" ma:displayName="Coordinator:Agency Code" ma:list="{5b1e6847-f591-4099-b966-6ad3b1c1d18d}" ma:internalName="Coordinator_x003a_Agency_x0020_Code" ma:readOnly="true" ma:showField="Title" ma:web="6ccd43a6-848c-45d3-a9f1-a57cda118cc4">
      <xsd:simpleType>
        <xsd:restriction base="dms:Lookup"/>
      </xsd:simpleType>
    </xsd:element>
    <xsd:element name="Coordinator_x003a_Email" ma:index="12" nillable="true" ma:displayName="Coordinator:Email" ma:list="{5b1e6847-f591-4099-b966-6ad3b1c1d18d}" ma:internalName="Coordinator_x003a_Email" ma:readOnly="true" ma:showField="Email" ma:web="6ccd43a6-848c-45d3-a9f1-a57cda118cc4">
      <xsd:simpleType>
        <xsd:restriction base="dms:Lookup"/>
      </xsd:simpleType>
    </xsd:element>
    <xsd:element name="Survey" ma:index="13" ma:displayName="Survey" ma:list="{3b8e7ff9-509b-423a-9f66-8138f770fb64}" ma:internalName="Survey" ma:showField="Title">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ordinator xmlns="14967c4d-1d58-4d2b-9b28-bedbaf0997e5">1</Coordinator>
    <Survey xmlns="14967c4d-1d58-4d2b-9b28-bedbaf0997e5">4</Survey>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7EB98BB-3E9E-467A-8349-CD2BAA6642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4967c4d-1d58-4d2b-9b28-bedbaf099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487697B-056F-45C0-97AF-5A5D36EFA56B}">
  <ds:schemaRefs>
    <ds:schemaRef ds:uri="http://purl.org/dc/elements/1.1/"/>
    <ds:schemaRef ds:uri="http://purl.org/dc/terms/"/>
    <ds:schemaRef ds:uri="http://schemas.microsoft.com/office/2006/documentManagement/types"/>
    <ds:schemaRef ds:uri="http://schemas.openxmlformats.org/package/2006/metadata/core-properties"/>
    <ds:schemaRef ds:uri="http://schemas.microsoft.com/office/2006/metadata/properties"/>
    <ds:schemaRef ds:uri="http://schemas.microsoft.com/office/infopath/2007/PartnerControls"/>
    <ds:schemaRef ds:uri="http://www.w3.org/XML/1998/namespace"/>
    <ds:schemaRef ds:uri="14967c4d-1d58-4d2b-9b28-bedbaf0997e5"/>
    <ds:schemaRef ds:uri="http://purl.org/dc/dcmitype/"/>
  </ds:schemaRefs>
</ds:datastoreItem>
</file>

<file path=customXml/itemProps3.xml><?xml version="1.0" encoding="utf-8"?>
<ds:datastoreItem xmlns:ds="http://schemas.openxmlformats.org/officeDocument/2006/customXml" ds:itemID="{5027BC8B-41BF-4624-A0BF-E64460E6172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NEW-Tables 80-86</vt:lpstr>
      <vt:lpstr>OLD Tables</vt:lpstr>
      <vt:lpstr>FTE Pivot for regular counts</vt:lpstr>
      <vt:lpstr>Pivot-HS Student % of Undergrad</vt:lpstr>
      <vt:lpstr>04SCH_FTE</vt:lpstr>
      <vt:lpstr>Format for FTE</vt:lpstr>
      <vt:lpstr>Format for HS%</vt:lpstr>
      <vt:lpstr>'04SCH_FTE'!Print_Area</vt:lpstr>
      <vt:lpstr>'NEW-Tables 80-86'!Print_Area</vt:lpstr>
      <vt:lpstr>'OLD Tables'!Print_Area</vt:lpstr>
      <vt:lpstr>'Pivot-HS Student % of Undergrad'!Print_Area</vt:lpstr>
      <vt:lpstr>'04SCH_FTE'!Print_Titles</vt:lpstr>
      <vt:lpstr>'Pivot-HS Student % of Undergrad'!Print_Titles</vt:lpstr>
    </vt:vector>
  </TitlesOfParts>
  <Company>SREB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Lisa Cowan</dc:creator>
  <cp:keywords/>
  <dc:description/>
  <cp:lastModifiedBy>Susan Lounsbury</cp:lastModifiedBy>
  <cp:lastPrinted>2016-03-17T19:39:44Z</cp:lastPrinted>
  <dcterms:created xsi:type="dcterms:W3CDTF">1999-02-24T13:58:47Z</dcterms:created>
  <dcterms:modified xsi:type="dcterms:W3CDTF">2018-03-19T16:26:07Z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0x010100F305301DA58C2B44BF1B2331A9765B0F</vt:lpwstr>
  </property>
  <property fmtid="{D5CDD505-2E9C-101B-9397-08002B2CF9AE}" pid="3" name="WorkflowChangePath">
    <vt:lpwstr>d414d66f-4701-430f-b564-e4006377633d,2;d414d66f-4701-430f-b564-e4006377633d,2;f6e3247f-53d7-4c4b-9444-023ca256227c,3;f6e3247f-53d7-4c4b-9444-023ca256227c,3;f6e3247f-53d7-4c4b-9444-023ca256227c,3;d414d66f-4701-430f-b564-e4006377633d,2;d414d66f-4701-430f-b5</vt:lpwstr>
  </property>
  <property fmtid="{D5CDD505-2E9C-101B-9397-08002B2CF9AE}" pid="4" name="Agency Code">
    <vt:lpwstr>ACHE</vt:lpwstr>
  </property>
  <property fmtid="{D5CDD505-2E9C-101B-9397-08002B2CF9AE}" pid="5" name="State">
    <vt:lpwstr>AL</vt:lpwstr>
  </property>
  <property fmtid="{D5CDD505-2E9C-101B-9397-08002B2CF9AE}" pid="6" name="Notes to SREB">
    <vt:lpwstr/>
  </property>
  <property fmtid="{D5CDD505-2E9C-101B-9397-08002B2CF9AE}" pid="7" name="Survey Type">
    <vt:lpwstr>04: Student Credit Hours</vt:lpwstr>
  </property>
  <property fmtid="{D5CDD505-2E9C-101B-9397-08002B2CF9AE}" pid="8" name="Notes0">
    <vt:lpwstr/>
  </property>
  <property fmtid="{D5CDD505-2E9C-101B-9397-08002B2CF9AE}" pid="9" name="Status">
    <vt:lpwstr>Validated-2</vt:lpwstr>
  </property>
  <property fmtid="{D5CDD505-2E9C-101B-9397-08002B2CF9AE}" pid="10" name="Done">
    <vt:lpwstr>false</vt:lpwstr>
  </property>
  <property fmtid="{D5CDD505-2E9C-101B-9397-08002B2CF9AE}" pid="11" name="Order">
    <vt:r8>16500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ies>
</file>